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drawings/drawing2.xml" ContentType="application/vnd.openxmlformats-officedocument.drawing+xml"/>
  <Override PartName="/xl/namedSheetViews/namedSheetView4.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124226"/>
  <xr:revisionPtr revIDLastSave="2485" documentId="8_{0092F1B5-E726-4E31-8391-F04457226207}" xr6:coauthVersionLast="47" xr6:coauthVersionMax="47" xr10:uidLastSave="{788745FF-8644-4378-A12F-16619F837CD7}"/>
  <bookViews>
    <workbookView xWindow="-120" yWindow="-120" windowWidth="29040" windowHeight="15840" tabRatio="921" firstSheet="2" activeTab="5" xr2:uid="{00000000-000D-0000-FFFF-FFFF00000000}"/>
  </bookViews>
  <sheets>
    <sheet name="README" sheetId="8" r:id="rId1"/>
    <sheet name="Data Quality Indicators" sheetId="29" r:id="rId2"/>
    <sheet name="Materials" sheetId="15" r:id="rId3"/>
    <sheet name="Input_NL" sheetId="20" r:id="rId4"/>
    <sheet name="Input_EU" sheetId="18" r:id="rId5"/>
    <sheet name="Transfer coefficients" sheetId="19" r:id="rId6"/>
    <sheet name="Clothing" sheetId="50" r:id="rId7"/>
    <sheet name="Pellets" sheetId="46" r:id="rId8"/>
    <sheet name="Tyre wear" sheetId="44" r:id="rId9"/>
    <sheet name="Paints and Coatings" sheetId="39" r:id="rId10"/>
    <sheet name="Textiles" sheetId="26" r:id="rId11"/>
    <sheet name="Agriculture" sheetId="38" r:id="rId12"/>
    <sheet name="Intentionally_produced_MPs" sheetId="22" r:id="rId13"/>
    <sheet name="Packaging" sheetId="35" r:id="rId14"/>
    <sheet name="Recycling TCs" sheetId="37" r:id="rId15"/>
    <sheet name="Compost TCs" sheetId="43" r:id="rId16"/>
    <sheet name="Scaling tables" sheetId="45" r:id="rId17"/>
    <sheet name="Input projections" sheetId="47" r:id="rId18"/>
    <sheet name="Lifetimes" sheetId="13" r:id="rId19"/>
    <sheet name="Lifetimes_pairs" sheetId="25" r:id="rId20"/>
    <sheet name="Lifetimes_references" sheetId="48" r:id="rId21"/>
    <sheet name="Compartments" sheetId="33" r:id="rId22"/>
    <sheet name="Compartments_Kawecki&amp;Nowack19" sheetId="23" r:id="rId23"/>
    <sheet name="Compartments_Added" sheetId="36" r:id="rId24"/>
    <sheet name="Check_Compartments" sheetId="30" r:id="rId25"/>
  </sheets>
  <externalReferences>
    <externalReference r:id="rId26"/>
  </externalReferences>
  <definedNames>
    <definedName name="_xlnm._FilterDatabase" localSheetId="21" hidden="1">Compartments!$A$1:$D$407</definedName>
    <definedName name="_xlnm._FilterDatabase" localSheetId="23" hidden="1">Compartments_Added!$A$2:$C$197</definedName>
    <definedName name="_xlnm._FilterDatabase" localSheetId="22" hidden="1">'Compartments_Kawecki&amp;Nowack19'!$A$2:$F$136</definedName>
    <definedName name="_xlnm._FilterDatabase" localSheetId="4" hidden="1">Input_EU!$A$1:$L$594</definedName>
    <definedName name="_xlnm._FilterDatabase" localSheetId="3" hidden="1">Input_NL!$A$1:$L$1147</definedName>
    <definedName name="_xlnm._FilterDatabase" localSheetId="19" hidden="1">Lifetimes_pairs!$A$1:$B$93</definedName>
    <definedName name="_xlnm._FilterDatabase" localSheetId="9" hidden="1">'Paints and Coatings'!$A$60:$P$315</definedName>
    <definedName name="_xlnm._FilterDatabase" localSheetId="5" hidden="1">'Transfer coefficients'!$A$1:$P$1425</definedName>
    <definedName name="Aggr_2021">Intentionally_produced_MPs!$J$63</definedName>
    <definedName name="In_EU_2018">Agriculture!$E$4</definedName>
    <definedName name="In_EU_2019">Agriculture!$E$5</definedName>
    <definedName name="IN_NL_2018_high">Agriculture!$E$23</definedName>
    <definedName name="In_NL_2018_low">Agriculture!$E$22</definedName>
    <definedName name="IN_NL_2019_high">Agriculture!$E$25</definedName>
    <definedName name="IN_NL_2019_low">Agriculture!$E$24</definedName>
    <definedName name="Intentional_Agr_EU_2020">Agriculture!$B$232</definedName>
    <definedName name="Intentional_Agr_NL_2020">Agriculture!$C$232</definedName>
    <definedName name="OECD_ref_2018">'Input projections'!$B$40</definedName>
    <definedName name="OECD_ref_2019">'Input projections'!$B$41</definedName>
    <definedName name="OIL_GAS_2020">Intentionally_produced_MPs!$J$65</definedName>
    <definedName name="POP_coef_2020">Intentionally_produced_MPs!$J$61</definedName>
    <definedName name="RiskSelectedCell" hidden="1">"$AF$54"</definedName>
    <definedName name="RiskSelectedNameCell1" hidden="1">"$AE$54"</definedName>
    <definedName name="RiskSelectedNameCell2" hidden="1">"$AF$53"</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1" i="50" l="1"/>
  <c r="D422" i="50"/>
  <c r="D420" i="50"/>
  <c r="C422" i="50"/>
  <c r="C421" i="50"/>
  <c r="C420" i="50"/>
  <c r="H1422" i="19"/>
  <c r="I1422" i="19"/>
  <c r="J1422" i="19"/>
  <c r="K1422" i="19"/>
  <c r="L1422" i="19"/>
  <c r="M1422" i="19"/>
  <c r="H1423" i="19"/>
  <c r="I1423" i="19"/>
  <c r="J1423" i="19"/>
  <c r="K1423" i="19"/>
  <c r="L1423" i="19"/>
  <c r="M1423" i="19"/>
  <c r="D229" i="36"/>
  <c r="D230" i="36"/>
  <c r="D231" i="36"/>
  <c r="B1420" i="19"/>
  <c r="C1420" i="19"/>
  <c r="D1420" i="19"/>
  <c r="E1420" i="19"/>
  <c r="F1420" i="19"/>
  <c r="G1420" i="19"/>
  <c r="B1421" i="19"/>
  <c r="C1421" i="19"/>
  <c r="D1421" i="19"/>
  <c r="E1421" i="19"/>
  <c r="F1421" i="19"/>
  <c r="G1421" i="19"/>
  <c r="B1422" i="19"/>
  <c r="C1422" i="19"/>
  <c r="D1422" i="19"/>
  <c r="F1422" i="19"/>
  <c r="G1422" i="19"/>
  <c r="B1423" i="19"/>
  <c r="C1423" i="19"/>
  <c r="D1423" i="19"/>
  <c r="F1423" i="19"/>
  <c r="G1423" i="19"/>
  <c r="B1424" i="19"/>
  <c r="C1424" i="19"/>
  <c r="D1424" i="19"/>
  <c r="E1424" i="19"/>
  <c r="F1424" i="19"/>
  <c r="G1424" i="19"/>
  <c r="B1425" i="19"/>
  <c r="C1425" i="19"/>
  <c r="D1425" i="19"/>
  <c r="E1425" i="19"/>
  <c r="F1425" i="19"/>
  <c r="G1425" i="19"/>
  <c r="A1420" i="19"/>
  <c r="A1421" i="19"/>
  <c r="A1422" i="19"/>
  <c r="A1423" i="19"/>
  <c r="A1424" i="19"/>
  <c r="A1425" i="19"/>
  <c r="B1410" i="19" l="1"/>
  <c r="C1410" i="19"/>
  <c r="F1410" i="19"/>
  <c r="G1410" i="19"/>
  <c r="B1411" i="19"/>
  <c r="C1411" i="19"/>
  <c r="F1411" i="19"/>
  <c r="G1411" i="19"/>
  <c r="B1412" i="19"/>
  <c r="C1412" i="19"/>
  <c r="F1412" i="19"/>
  <c r="G1412" i="19"/>
  <c r="B1413" i="19"/>
  <c r="C1413" i="19"/>
  <c r="F1413" i="19"/>
  <c r="G1413" i="19"/>
  <c r="B1414" i="19"/>
  <c r="C1414" i="19"/>
  <c r="F1414" i="19"/>
  <c r="G1414" i="19"/>
  <c r="B1415" i="19"/>
  <c r="C1415" i="19"/>
  <c r="F1415" i="19"/>
  <c r="G1415" i="19"/>
  <c r="B1416" i="19"/>
  <c r="C1416" i="19"/>
  <c r="F1416" i="19"/>
  <c r="G1416" i="19"/>
  <c r="B1417" i="19"/>
  <c r="C1417" i="19"/>
  <c r="F1417" i="19"/>
  <c r="G1417" i="19"/>
  <c r="B1418" i="19"/>
  <c r="C1418" i="19"/>
  <c r="F1418" i="19"/>
  <c r="G1418" i="19"/>
  <c r="B1419" i="19"/>
  <c r="C1419" i="19"/>
  <c r="F1419" i="19"/>
  <c r="G1419" i="19"/>
  <c r="A1411" i="19"/>
  <c r="A1412" i="19"/>
  <c r="A1413" i="19"/>
  <c r="A1414" i="19"/>
  <c r="A1415" i="19"/>
  <c r="A1416" i="19"/>
  <c r="A1417" i="19"/>
  <c r="A1418" i="19"/>
  <c r="A1419" i="19"/>
  <c r="A1410" i="19"/>
  <c r="B763" i="18"/>
  <c r="C763" i="18"/>
  <c r="E763" i="18"/>
  <c r="B764" i="18"/>
  <c r="C764" i="18"/>
  <c r="E764" i="18"/>
  <c r="B765" i="18"/>
  <c r="C765" i="18"/>
  <c r="E765" i="18"/>
  <c r="B766" i="18"/>
  <c r="C766" i="18"/>
  <c r="E766" i="18"/>
  <c r="B767" i="18"/>
  <c r="C767" i="18"/>
  <c r="E767" i="18"/>
  <c r="B768" i="18"/>
  <c r="C768" i="18"/>
  <c r="E768" i="18"/>
  <c r="B769" i="18"/>
  <c r="C769" i="18"/>
  <c r="E769" i="18"/>
  <c r="B770" i="18"/>
  <c r="C770" i="18"/>
  <c r="E770" i="18"/>
  <c r="B771" i="18"/>
  <c r="C771" i="18"/>
  <c r="E771" i="18"/>
  <c r="B772" i="18"/>
  <c r="C772" i="18"/>
  <c r="E772" i="18"/>
  <c r="B773" i="18"/>
  <c r="C773" i="18"/>
  <c r="E773" i="18"/>
  <c r="B774" i="18"/>
  <c r="C774" i="18"/>
  <c r="E774" i="18"/>
  <c r="B775" i="18"/>
  <c r="C775" i="18"/>
  <c r="E775" i="18"/>
  <c r="B776" i="18"/>
  <c r="C776" i="18"/>
  <c r="E776" i="18"/>
  <c r="B777" i="18"/>
  <c r="C777" i="18"/>
  <c r="E777" i="18"/>
  <c r="B778" i="18"/>
  <c r="C778" i="18"/>
  <c r="E778" i="18"/>
  <c r="B779" i="18"/>
  <c r="C779" i="18"/>
  <c r="E779" i="18"/>
  <c r="B780" i="18"/>
  <c r="C780" i="18"/>
  <c r="E780" i="18"/>
  <c r="B781" i="18"/>
  <c r="C781" i="18"/>
  <c r="E781" i="18"/>
  <c r="B782" i="18"/>
  <c r="C782" i="18"/>
  <c r="E782" i="18"/>
  <c r="B783" i="18"/>
  <c r="C783" i="18"/>
  <c r="E783" i="18"/>
  <c r="B784" i="18"/>
  <c r="C784" i="18"/>
  <c r="E784" i="18"/>
  <c r="B785" i="18"/>
  <c r="C785" i="18"/>
  <c r="E785" i="18"/>
  <c r="B786" i="18"/>
  <c r="C786" i="18"/>
  <c r="E786" i="18"/>
  <c r="B787" i="18"/>
  <c r="C787" i="18"/>
  <c r="E787" i="18"/>
  <c r="B788" i="18"/>
  <c r="C788" i="18"/>
  <c r="E788" i="18"/>
  <c r="B789" i="18"/>
  <c r="C789" i="18"/>
  <c r="E789" i="18"/>
  <c r="B790" i="18"/>
  <c r="C790" i="18"/>
  <c r="E790" i="18"/>
  <c r="B791" i="18"/>
  <c r="C791" i="18"/>
  <c r="E791" i="18"/>
  <c r="B792" i="18"/>
  <c r="C792" i="18"/>
  <c r="E792" i="18"/>
  <c r="B793" i="18"/>
  <c r="C793" i="18"/>
  <c r="E793" i="18"/>
  <c r="B794" i="18"/>
  <c r="C794" i="18"/>
  <c r="E794" i="18"/>
  <c r="B795" i="18"/>
  <c r="C795" i="18"/>
  <c r="E795" i="18"/>
  <c r="B796" i="18"/>
  <c r="C796" i="18"/>
  <c r="E796" i="18"/>
  <c r="B797" i="18"/>
  <c r="C797" i="18"/>
  <c r="E797" i="18"/>
  <c r="B798" i="18"/>
  <c r="C798" i="18"/>
  <c r="E798" i="18"/>
  <c r="B799" i="18"/>
  <c r="C799" i="18"/>
  <c r="E799" i="18"/>
  <c r="B800" i="18"/>
  <c r="C800" i="18"/>
  <c r="E800" i="18"/>
  <c r="B801" i="18"/>
  <c r="C801" i="18"/>
  <c r="E801" i="18"/>
  <c r="B802" i="18"/>
  <c r="C802" i="18"/>
  <c r="E802" i="18"/>
  <c r="B803" i="18"/>
  <c r="C803" i="18"/>
  <c r="E803" i="18"/>
  <c r="B804" i="18"/>
  <c r="C804" i="18"/>
  <c r="E804" i="18"/>
  <c r="B805" i="18"/>
  <c r="C805" i="18"/>
  <c r="E805" i="18"/>
  <c r="B806" i="18"/>
  <c r="C806" i="18"/>
  <c r="E806" i="18"/>
  <c r="B807" i="18"/>
  <c r="C807" i="18"/>
  <c r="E807" i="18"/>
  <c r="B808" i="18"/>
  <c r="C808" i="18"/>
  <c r="E808" i="18"/>
  <c r="B809" i="18"/>
  <c r="C809" i="18"/>
  <c r="E809" i="18"/>
  <c r="B810" i="18"/>
  <c r="C810" i="18"/>
  <c r="E810" i="18"/>
  <c r="A810" i="18"/>
  <c r="A807" i="18"/>
  <c r="A808" i="18"/>
  <c r="A809" i="18"/>
  <c r="A789" i="18"/>
  <c r="A790" i="18"/>
  <c r="A791" i="18"/>
  <c r="A792" i="18"/>
  <c r="A793" i="18"/>
  <c r="A794" i="18"/>
  <c r="A795" i="18"/>
  <c r="A796" i="18"/>
  <c r="A797" i="18"/>
  <c r="A798" i="18"/>
  <c r="A799" i="18"/>
  <c r="A800" i="18"/>
  <c r="A801" i="18"/>
  <c r="A802" i="18"/>
  <c r="A803" i="18"/>
  <c r="A804" i="18"/>
  <c r="A805" i="18"/>
  <c r="A806" i="18"/>
  <c r="A764" i="18"/>
  <c r="A765" i="18"/>
  <c r="A766" i="18"/>
  <c r="A767" i="18"/>
  <c r="A768" i="18"/>
  <c r="A769" i="18"/>
  <c r="A770" i="18"/>
  <c r="A771" i="18"/>
  <c r="A772" i="18"/>
  <c r="A773" i="18"/>
  <c r="A774" i="18"/>
  <c r="A775" i="18"/>
  <c r="A776" i="18"/>
  <c r="A777" i="18"/>
  <c r="A778" i="18"/>
  <c r="A779" i="18"/>
  <c r="A780" i="18"/>
  <c r="A781" i="18"/>
  <c r="A782" i="18"/>
  <c r="A783" i="18"/>
  <c r="A784" i="18"/>
  <c r="A785" i="18"/>
  <c r="A786" i="18"/>
  <c r="A787" i="18"/>
  <c r="A788" i="18"/>
  <c r="A763" i="18"/>
  <c r="F198" i="50"/>
  <c r="F764" i="18" s="1"/>
  <c r="G198" i="50"/>
  <c r="G764" i="18" s="1"/>
  <c r="H198" i="50"/>
  <c r="H764" i="18" s="1"/>
  <c r="I198" i="50"/>
  <c r="I764" i="18" s="1"/>
  <c r="J198" i="50"/>
  <c r="J764" i="18" s="1"/>
  <c r="F199" i="50"/>
  <c r="F765" i="18" s="1"/>
  <c r="G199" i="50"/>
  <c r="G765" i="18" s="1"/>
  <c r="H199" i="50"/>
  <c r="H765" i="18" s="1"/>
  <c r="I199" i="50"/>
  <c r="I765" i="18" s="1"/>
  <c r="J199" i="50"/>
  <c r="J765" i="18" s="1"/>
  <c r="F200" i="50"/>
  <c r="F766" i="18" s="1"/>
  <c r="G200" i="50"/>
  <c r="G766" i="18" s="1"/>
  <c r="H200" i="50"/>
  <c r="H766" i="18" s="1"/>
  <c r="I200" i="50"/>
  <c r="I766" i="18" s="1"/>
  <c r="J200" i="50"/>
  <c r="J766" i="18" s="1"/>
  <c r="F201" i="50"/>
  <c r="F767" i="18" s="1"/>
  <c r="G201" i="50"/>
  <c r="G767" i="18" s="1"/>
  <c r="H201" i="50"/>
  <c r="H767" i="18" s="1"/>
  <c r="I201" i="50"/>
  <c r="I767" i="18" s="1"/>
  <c r="J201" i="50"/>
  <c r="J767" i="18" s="1"/>
  <c r="F202" i="50"/>
  <c r="F768" i="18" s="1"/>
  <c r="G202" i="50"/>
  <c r="G768" i="18" s="1"/>
  <c r="H202" i="50"/>
  <c r="H768" i="18" s="1"/>
  <c r="I202" i="50"/>
  <c r="I768" i="18" s="1"/>
  <c r="J202" i="50"/>
  <c r="J768" i="18" s="1"/>
  <c r="F203" i="50"/>
  <c r="F769" i="18" s="1"/>
  <c r="G203" i="50"/>
  <c r="G769" i="18" s="1"/>
  <c r="H203" i="50"/>
  <c r="H769" i="18" s="1"/>
  <c r="I203" i="50"/>
  <c r="I769" i="18" s="1"/>
  <c r="J203" i="50"/>
  <c r="J769" i="18" s="1"/>
  <c r="F204" i="50"/>
  <c r="F770" i="18" s="1"/>
  <c r="G204" i="50"/>
  <c r="G770" i="18" s="1"/>
  <c r="H204" i="50"/>
  <c r="H770" i="18" s="1"/>
  <c r="I204" i="50"/>
  <c r="I770" i="18" s="1"/>
  <c r="J204" i="50"/>
  <c r="J770" i="18" s="1"/>
  <c r="F205" i="50"/>
  <c r="F771" i="18" s="1"/>
  <c r="G205" i="50"/>
  <c r="G771" i="18" s="1"/>
  <c r="H205" i="50"/>
  <c r="H771" i="18" s="1"/>
  <c r="I205" i="50"/>
  <c r="I771" i="18" s="1"/>
  <c r="J205" i="50"/>
  <c r="J771" i="18" s="1"/>
  <c r="F206" i="50"/>
  <c r="F772" i="18" s="1"/>
  <c r="G206" i="50"/>
  <c r="G772" i="18" s="1"/>
  <c r="H206" i="50"/>
  <c r="H772" i="18" s="1"/>
  <c r="I206" i="50"/>
  <c r="I772" i="18" s="1"/>
  <c r="J206" i="50"/>
  <c r="J772" i="18" s="1"/>
  <c r="F207" i="50"/>
  <c r="F773" i="18" s="1"/>
  <c r="G207" i="50"/>
  <c r="G773" i="18" s="1"/>
  <c r="H207" i="50"/>
  <c r="H773" i="18" s="1"/>
  <c r="I207" i="50"/>
  <c r="I773" i="18" s="1"/>
  <c r="J207" i="50"/>
  <c r="J773" i="18" s="1"/>
  <c r="F208" i="50"/>
  <c r="F774" i="18" s="1"/>
  <c r="G208" i="50"/>
  <c r="G774" i="18" s="1"/>
  <c r="H208" i="50"/>
  <c r="H774" i="18" s="1"/>
  <c r="I208" i="50"/>
  <c r="I774" i="18" s="1"/>
  <c r="J208" i="50"/>
  <c r="J774" i="18" s="1"/>
  <c r="F209" i="50"/>
  <c r="F775" i="18" s="1"/>
  <c r="G209" i="50"/>
  <c r="G775" i="18" s="1"/>
  <c r="H209" i="50"/>
  <c r="H775" i="18" s="1"/>
  <c r="I209" i="50"/>
  <c r="I775" i="18" s="1"/>
  <c r="J209" i="50"/>
  <c r="J775" i="18" s="1"/>
  <c r="F210" i="50"/>
  <c r="F776" i="18" s="1"/>
  <c r="G210" i="50"/>
  <c r="G776" i="18" s="1"/>
  <c r="H210" i="50"/>
  <c r="H776" i="18" s="1"/>
  <c r="I210" i="50"/>
  <c r="I776" i="18" s="1"/>
  <c r="J210" i="50"/>
  <c r="J776" i="18" s="1"/>
  <c r="F211" i="50"/>
  <c r="F777" i="18" s="1"/>
  <c r="G211" i="50"/>
  <c r="G777" i="18" s="1"/>
  <c r="H211" i="50"/>
  <c r="H777" i="18" s="1"/>
  <c r="I211" i="50"/>
  <c r="I777" i="18" s="1"/>
  <c r="J211" i="50"/>
  <c r="J777" i="18" s="1"/>
  <c r="F212" i="50"/>
  <c r="F778" i="18" s="1"/>
  <c r="G212" i="50"/>
  <c r="G778" i="18" s="1"/>
  <c r="H212" i="50"/>
  <c r="H778" i="18" s="1"/>
  <c r="I212" i="50"/>
  <c r="I778" i="18" s="1"/>
  <c r="J212" i="50"/>
  <c r="J778" i="18" s="1"/>
  <c r="F213" i="50"/>
  <c r="F779" i="18" s="1"/>
  <c r="G213" i="50"/>
  <c r="G779" i="18" s="1"/>
  <c r="H213" i="50"/>
  <c r="H779" i="18" s="1"/>
  <c r="I213" i="50"/>
  <c r="I779" i="18" s="1"/>
  <c r="J213" i="50"/>
  <c r="J779" i="18" s="1"/>
  <c r="F214" i="50"/>
  <c r="F780" i="18" s="1"/>
  <c r="G214" i="50"/>
  <c r="G780" i="18" s="1"/>
  <c r="H214" i="50"/>
  <c r="H780" i="18" s="1"/>
  <c r="I214" i="50"/>
  <c r="I780" i="18" s="1"/>
  <c r="J214" i="50"/>
  <c r="J780" i="18" s="1"/>
  <c r="F215" i="50"/>
  <c r="F781" i="18" s="1"/>
  <c r="G215" i="50"/>
  <c r="G781" i="18" s="1"/>
  <c r="H215" i="50"/>
  <c r="H781" i="18" s="1"/>
  <c r="I215" i="50"/>
  <c r="I781" i="18" s="1"/>
  <c r="J215" i="50"/>
  <c r="J781" i="18" s="1"/>
  <c r="F216" i="50"/>
  <c r="F782" i="18" s="1"/>
  <c r="G216" i="50"/>
  <c r="G782" i="18" s="1"/>
  <c r="H216" i="50"/>
  <c r="H782" i="18" s="1"/>
  <c r="I216" i="50"/>
  <c r="I782" i="18" s="1"/>
  <c r="J216" i="50"/>
  <c r="J782" i="18" s="1"/>
  <c r="F217" i="50"/>
  <c r="F783" i="18" s="1"/>
  <c r="G217" i="50"/>
  <c r="G783" i="18" s="1"/>
  <c r="H217" i="50"/>
  <c r="H783" i="18" s="1"/>
  <c r="I217" i="50"/>
  <c r="I783" i="18" s="1"/>
  <c r="J217" i="50"/>
  <c r="J783" i="18" s="1"/>
  <c r="F218" i="50"/>
  <c r="F784" i="18" s="1"/>
  <c r="G218" i="50"/>
  <c r="G784" i="18" s="1"/>
  <c r="H218" i="50"/>
  <c r="H784" i="18" s="1"/>
  <c r="I218" i="50"/>
  <c r="I784" i="18" s="1"/>
  <c r="J218" i="50"/>
  <c r="J784" i="18" s="1"/>
  <c r="F219" i="50"/>
  <c r="F785" i="18" s="1"/>
  <c r="G219" i="50"/>
  <c r="G785" i="18" s="1"/>
  <c r="H219" i="50"/>
  <c r="H785" i="18" s="1"/>
  <c r="I219" i="50"/>
  <c r="I785" i="18" s="1"/>
  <c r="J219" i="50"/>
  <c r="J785" i="18" s="1"/>
  <c r="F220" i="50"/>
  <c r="F786" i="18" s="1"/>
  <c r="G220" i="50"/>
  <c r="G786" i="18" s="1"/>
  <c r="H220" i="50"/>
  <c r="H786" i="18" s="1"/>
  <c r="I220" i="50"/>
  <c r="I786" i="18" s="1"/>
  <c r="J220" i="50"/>
  <c r="J786" i="18" s="1"/>
  <c r="G197" i="50"/>
  <c r="G763" i="18" s="1"/>
  <c r="H197" i="50"/>
  <c r="H763" i="18" s="1"/>
  <c r="I197" i="50"/>
  <c r="I763" i="18" s="1"/>
  <c r="J197" i="50"/>
  <c r="J763" i="18" s="1"/>
  <c r="F197" i="50"/>
  <c r="F763" i="18" s="1"/>
  <c r="F222" i="50"/>
  <c r="F788" i="18" s="1"/>
  <c r="G222" i="50"/>
  <c r="G788" i="18" s="1"/>
  <c r="H222" i="50"/>
  <c r="H788" i="18" s="1"/>
  <c r="I222" i="50"/>
  <c r="I788" i="18" s="1"/>
  <c r="J222" i="50"/>
  <c r="J788" i="18" s="1"/>
  <c r="F223" i="50"/>
  <c r="F789" i="18" s="1"/>
  <c r="G223" i="50"/>
  <c r="G789" i="18" s="1"/>
  <c r="H223" i="50"/>
  <c r="H789" i="18" s="1"/>
  <c r="I223" i="50"/>
  <c r="I789" i="18" s="1"/>
  <c r="J223" i="50"/>
  <c r="J789" i="18" s="1"/>
  <c r="F224" i="50"/>
  <c r="F790" i="18" s="1"/>
  <c r="G224" i="50"/>
  <c r="G790" i="18" s="1"/>
  <c r="H224" i="50"/>
  <c r="H790" i="18" s="1"/>
  <c r="I224" i="50"/>
  <c r="I790" i="18" s="1"/>
  <c r="J224" i="50"/>
  <c r="J790" i="18" s="1"/>
  <c r="F225" i="50"/>
  <c r="F791" i="18" s="1"/>
  <c r="G225" i="50"/>
  <c r="G791" i="18" s="1"/>
  <c r="H225" i="50"/>
  <c r="H791" i="18" s="1"/>
  <c r="I225" i="50"/>
  <c r="I791" i="18" s="1"/>
  <c r="J225" i="50"/>
  <c r="J791" i="18" s="1"/>
  <c r="F226" i="50"/>
  <c r="F792" i="18" s="1"/>
  <c r="G226" i="50"/>
  <c r="G792" i="18" s="1"/>
  <c r="H226" i="50"/>
  <c r="H792" i="18" s="1"/>
  <c r="I226" i="50"/>
  <c r="I792" i="18" s="1"/>
  <c r="J226" i="50"/>
  <c r="J792" i="18" s="1"/>
  <c r="F227" i="50"/>
  <c r="F793" i="18" s="1"/>
  <c r="G227" i="50"/>
  <c r="G793" i="18" s="1"/>
  <c r="H227" i="50"/>
  <c r="H793" i="18" s="1"/>
  <c r="I227" i="50"/>
  <c r="I793" i="18" s="1"/>
  <c r="J227" i="50"/>
  <c r="J793" i="18" s="1"/>
  <c r="F228" i="50"/>
  <c r="F794" i="18" s="1"/>
  <c r="G228" i="50"/>
  <c r="G794" i="18" s="1"/>
  <c r="H228" i="50"/>
  <c r="H794" i="18" s="1"/>
  <c r="I228" i="50"/>
  <c r="I794" i="18" s="1"/>
  <c r="J228" i="50"/>
  <c r="J794" i="18" s="1"/>
  <c r="F229" i="50"/>
  <c r="F795" i="18" s="1"/>
  <c r="G229" i="50"/>
  <c r="G795" i="18" s="1"/>
  <c r="H229" i="50"/>
  <c r="H795" i="18" s="1"/>
  <c r="I229" i="50"/>
  <c r="I795" i="18" s="1"/>
  <c r="J229" i="50"/>
  <c r="J795" i="18" s="1"/>
  <c r="F230" i="50"/>
  <c r="F796" i="18" s="1"/>
  <c r="G230" i="50"/>
  <c r="G796" i="18" s="1"/>
  <c r="H230" i="50"/>
  <c r="H796" i="18" s="1"/>
  <c r="I230" i="50"/>
  <c r="I796" i="18" s="1"/>
  <c r="J230" i="50"/>
  <c r="J796" i="18" s="1"/>
  <c r="F231" i="50"/>
  <c r="F797" i="18" s="1"/>
  <c r="G231" i="50"/>
  <c r="G797" i="18" s="1"/>
  <c r="H231" i="50"/>
  <c r="H797" i="18" s="1"/>
  <c r="I231" i="50"/>
  <c r="I797" i="18" s="1"/>
  <c r="J231" i="50"/>
  <c r="J797" i="18" s="1"/>
  <c r="F232" i="50"/>
  <c r="F798" i="18" s="1"/>
  <c r="G232" i="50"/>
  <c r="G798" i="18" s="1"/>
  <c r="H232" i="50"/>
  <c r="H798" i="18" s="1"/>
  <c r="I232" i="50"/>
  <c r="I798" i="18" s="1"/>
  <c r="J232" i="50"/>
  <c r="J798" i="18" s="1"/>
  <c r="F233" i="50"/>
  <c r="F799" i="18" s="1"/>
  <c r="G233" i="50"/>
  <c r="G799" i="18" s="1"/>
  <c r="H233" i="50"/>
  <c r="H799" i="18" s="1"/>
  <c r="I233" i="50"/>
  <c r="I799" i="18" s="1"/>
  <c r="J233" i="50"/>
  <c r="J799" i="18" s="1"/>
  <c r="F234" i="50"/>
  <c r="F800" i="18" s="1"/>
  <c r="G234" i="50"/>
  <c r="G800" i="18" s="1"/>
  <c r="H234" i="50"/>
  <c r="H800" i="18" s="1"/>
  <c r="I234" i="50"/>
  <c r="I800" i="18" s="1"/>
  <c r="J234" i="50"/>
  <c r="J800" i="18" s="1"/>
  <c r="F235" i="50"/>
  <c r="F801" i="18" s="1"/>
  <c r="G235" i="50"/>
  <c r="G801" i="18" s="1"/>
  <c r="H235" i="50"/>
  <c r="H801" i="18" s="1"/>
  <c r="I235" i="50"/>
  <c r="I801" i="18" s="1"/>
  <c r="J235" i="50"/>
  <c r="J801" i="18" s="1"/>
  <c r="F236" i="50"/>
  <c r="F802" i="18" s="1"/>
  <c r="G236" i="50"/>
  <c r="G802" i="18" s="1"/>
  <c r="H236" i="50"/>
  <c r="H802" i="18" s="1"/>
  <c r="I236" i="50"/>
  <c r="I802" i="18" s="1"/>
  <c r="J236" i="50"/>
  <c r="J802" i="18" s="1"/>
  <c r="F237" i="50"/>
  <c r="F803" i="18" s="1"/>
  <c r="G237" i="50"/>
  <c r="G803" i="18" s="1"/>
  <c r="H237" i="50"/>
  <c r="H803" i="18" s="1"/>
  <c r="I237" i="50"/>
  <c r="I803" i="18" s="1"/>
  <c r="J237" i="50"/>
  <c r="J803" i="18" s="1"/>
  <c r="F238" i="50"/>
  <c r="F804" i="18" s="1"/>
  <c r="G238" i="50"/>
  <c r="G804" i="18" s="1"/>
  <c r="H238" i="50"/>
  <c r="H804" i="18" s="1"/>
  <c r="I238" i="50"/>
  <c r="I804" i="18" s="1"/>
  <c r="J238" i="50"/>
  <c r="J804" i="18" s="1"/>
  <c r="F239" i="50"/>
  <c r="F805" i="18" s="1"/>
  <c r="G239" i="50"/>
  <c r="G805" i="18" s="1"/>
  <c r="H239" i="50"/>
  <c r="H805" i="18" s="1"/>
  <c r="I239" i="50"/>
  <c r="I805" i="18" s="1"/>
  <c r="J239" i="50"/>
  <c r="J805" i="18" s="1"/>
  <c r="F240" i="50"/>
  <c r="F806" i="18" s="1"/>
  <c r="G240" i="50"/>
  <c r="G806" i="18" s="1"/>
  <c r="H240" i="50"/>
  <c r="H806" i="18" s="1"/>
  <c r="I240" i="50"/>
  <c r="I806" i="18" s="1"/>
  <c r="J240" i="50"/>
  <c r="J806" i="18" s="1"/>
  <c r="F241" i="50"/>
  <c r="F807" i="18" s="1"/>
  <c r="G241" i="50"/>
  <c r="G807" i="18" s="1"/>
  <c r="H241" i="50"/>
  <c r="H807" i="18" s="1"/>
  <c r="I241" i="50"/>
  <c r="I807" i="18" s="1"/>
  <c r="J241" i="50"/>
  <c r="J807" i="18" s="1"/>
  <c r="F242" i="50"/>
  <c r="F808" i="18" s="1"/>
  <c r="G242" i="50"/>
  <c r="G808" i="18" s="1"/>
  <c r="H242" i="50"/>
  <c r="H808" i="18" s="1"/>
  <c r="I242" i="50"/>
  <c r="I808" i="18" s="1"/>
  <c r="J242" i="50"/>
  <c r="J808" i="18" s="1"/>
  <c r="F243" i="50"/>
  <c r="F809" i="18" s="1"/>
  <c r="G243" i="50"/>
  <c r="G809" i="18" s="1"/>
  <c r="H243" i="50"/>
  <c r="H809" i="18" s="1"/>
  <c r="I243" i="50"/>
  <c r="I809" i="18" s="1"/>
  <c r="J243" i="50"/>
  <c r="J809" i="18" s="1"/>
  <c r="F244" i="50"/>
  <c r="F810" i="18" s="1"/>
  <c r="G244" i="50"/>
  <c r="G810" i="18" s="1"/>
  <c r="H244" i="50"/>
  <c r="H810" i="18" s="1"/>
  <c r="I244" i="50"/>
  <c r="I810" i="18" s="1"/>
  <c r="J244" i="50"/>
  <c r="J810" i="18" s="1"/>
  <c r="G221" i="50"/>
  <c r="G787" i="18" s="1"/>
  <c r="H221" i="50"/>
  <c r="H787" i="18" s="1"/>
  <c r="I221" i="50"/>
  <c r="I787" i="18" s="1"/>
  <c r="J221" i="50"/>
  <c r="J787" i="18" s="1"/>
  <c r="F221" i="50"/>
  <c r="F787" i="18" s="1"/>
  <c r="I249" i="50"/>
  <c r="I1410" i="19" s="1"/>
  <c r="J249" i="50"/>
  <c r="J1410" i="19" s="1"/>
  <c r="K249" i="50"/>
  <c r="K1410" i="19" s="1"/>
  <c r="L249" i="50"/>
  <c r="L1410" i="19" s="1"/>
  <c r="M249" i="50"/>
  <c r="M1410" i="19" s="1"/>
  <c r="I250" i="50"/>
  <c r="I1411" i="19" s="1"/>
  <c r="J250" i="50"/>
  <c r="J1411" i="19" s="1"/>
  <c r="K250" i="50"/>
  <c r="K1411" i="19" s="1"/>
  <c r="L250" i="50"/>
  <c r="L1411" i="19" s="1"/>
  <c r="M250" i="50"/>
  <c r="M1411" i="19" s="1"/>
  <c r="I251" i="50"/>
  <c r="I1412" i="19" s="1"/>
  <c r="J251" i="50"/>
  <c r="J1412" i="19" s="1"/>
  <c r="K251" i="50"/>
  <c r="K1412" i="19" s="1"/>
  <c r="L251" i="50"/>
  <c r="L1412" i="19" s="1"/>
  <c r="M251" i="50"/>
  <c r="M1412" i="19" s="1"/>
  <c r="I252" i="50"/>
  <c r="I1413" i="19" s="1"/>
  <c r="J252" i="50"/>
  <c r="J1413" i="19" s="1"/>
  <c r="K252" i="50"/>
  <c r="K1413" i="19" s="1"/>
  <c r="L252" i="50"/>
  <c r="L1413" i="19" s="1"/>
  <c r="M252" i="50"/>
  <c r="M1413" i="19" s="1"/>
  <c r="I253" i="50"/>
  <c r="I1414" i="19" s="1"/>
  <c r="J253" i="50"/>
  <c r="J1414" i="19" s="1"/>
  <c r="K253" i="50"/>
  <c r="K1414" i="19" s="1"/>
  <c r="L253" i="50"/>
  <c r="L1414" i="19" s="1"/>
  <c r="M253" i="50"/>
  <c r="M1414" i="19" s="1"/>
  <c r="I254" i="50"/>
  <c r="I1415" i="19" s="1"/>
  <c r="J254" i="50"/>
  <c r="J1415" i="19" s="1"/>
  <c r="K254" i="50"/>
  <c r="K1415" i="19" s="1"/>
  <c r="L254" i="50"/>
  <c r="L1415" i="19" s="1"/>
  <c r="M254" i="50"/>
  <c r="M1415" i="19" s="1"/>
  <c r="I255" i="50"/>
  <c r="I1416" i="19" s="1"/>
  <c r="J255" i="50"/>
  <c r="J1416" i="19" s="1"/>
  <c r="K255" i="50"/>
  <c r="K1416" i="19" s="1"/>
  <c r="L255" i="50"/>
  <c r="L1416" i="19" s="1"/>
  <c r="M255" i="50"/>
  <c r="M1416" i="19" s="1"/>
  <c r="I256" i="50"/>
  <c r="I1417" i="19" s="1"/>
  <c r="J256" i="50"/>
  <c r="J1417" i="19" s="1"/>
  <c r="K256" i="50"/>
  <c r="K1417" i="19" s="1"/>
  <c r="L256" i="50"/>
  <c r="L1417" i="19" s="1"/>
  <c r="M256" i="50"/>
  <c r="M1417" i="19" s="1"/>
  <c r="I257" i="50"/>
  <c r="I1418" i="19" s="1"/>
  <c r="J257" i="50"/>
  <c r="J1418" i="19" s="1"/>
  <c r="K257" i="50"/>
  <c r="K1418" i="19" s="1"/>
  <c r="L257" i="50"/>
  <c r="L1418" i="19" s="1"/>
  <c r="M257" i="50"/>
  <c r="M1418" i="19" s="1"/>
  <c r="I258" i="50"/>
  <c r="I1419" i="19" s="1"/>
  <c r="J258" i="50"/>
  <c r="J1419" i="19" s="1"/>
  <c r="K258" i="50"/>
  <c r="K1419" i="19" s="1"/>
  <c r="L258" i="50"/>
  <c r="L1419" i="19" s="1"/>
  <c r="M258" i="50"/>
  <c r="M1419" i="19" s="1"/>
  <c r="D254" i="50"/>
  <c r="D1415" i="19" s="1"/>
  <c r="D255" i="50"/>
  <c r="D1416" i="19" s="1"/>
  <c r="D256" i="50"/>
  <c r="D1417" i="19" s="1"/>
  <c r="D257" i="50"/>
  <c r="D1418" i="19" s="1"/>
  <c r="D258" i="50"/>
  <c r="D1419" i="19" s="1"/>
  <c r="D249" i="50"/>
  <c r="D1410" i="19" s="1"/>
  <c r="D250" i="50"/>
  <c r="D1411" i="19" s="1"/>
  <c r="D251" i="50"/>
  <c r="D1412" i="19" s="1"/>
  <c r="D252" i="50"/>
  <c r="D1413" i="19" s="1"/>
  <c r="D253" i="50"/>
  <c r="D1414" i="19" s="1"/>
  <c r="G20" i="50"/>
  <c r="I20" i="50" s="1"/>
  <c r="K20" i="50" s="1"/>
  <c r="E391" i="50"/>
  <c r="E1423" i="19" s="1"/>
  <c r="E390" i="50"/>
  <c r="E1422" i="19" s="1"/>
  <c r="J762" i="18"/>
  <c r="I762" i="18"/>
  <c r="H762" i="18"/>
  <c r="G762" i="18"/>
  <c r="F762" i="18"/>
  <c r="D762" i="18"/>
  <c r="C762" i="18"/>
  <c r="B762" i="18"/>
  <c r="J761" i="18"/>
  <c r="I761" i="18"/>
  <c r="H761" i="18"/>
  <c r="G761" i="18"/>
  <c r="F761" i="18"/>
  <c r="D761" i="18"/>
  <c r="C761" i="18"/>
  <c r="B761" i="18"/>
  <c r="J760" i="18"/>
  <c r="I760" i="18"/>
  <c r="H760" i="18"/>
  <c r="K760" i="18" s="1"/>
  <c r="G760" i="18"/>
  <c r="F760" i="18"/>
  <c r="D760" i="18"/>
  <c r="C760" i="18"/>
  <c r="B760" i="18"/>
  <c r="J759" i="18"/>
  <c r="I759" i="18"/>
  <c r="H759" i="18"/>
  <c r="G759" i="18"/>
  <c r="F759" i="18"/>
  <c r="D759" i="18"/>
  <c r="C759" i="18"/>
  <c r="B759" i="18"/>
  <c r="J758" i="18"/>
  <c r="I758" i="18"/>
  <c r="H758" i="18"/>
  <c r="G758" i="18"/>
  <c r="F758" i="18"/>
  <c r="D758" i="18"/>
  <c r="C758" i="18"/>
  <c r="B758" i="18"/>
  <c r="J757" i="18"/>
  <c r="I757" i="18"/>
  <c r="H757" i="18"/>
  <c r="K757" i="18" s="1"/>
  <c r="G757" i="18"/>
  <c r="F757" i="18"/>
  <c r="D757" i="18"/>
  <c r="C757" i="18"/>
  <c r="B757" i="18"/>
  <c r="J756" i="18"/>
  <c r="I756" i="18"/>
  <c r="H756" i="18"/>
  <c r="G756" i="18"/>
  <c r="F756" i="18"/>
  <c r="D756" i="18"/>
  <c r="C756" i="18"/>
  <c r="B756" i="18"/>
  <c r="J755" i="18"/>
  <c r="I755" i="18"/>
  <c r="H755" i="18"/>
  <c r="G755" i="18"/>
  <c r="F755" i="18"/>
  <c r="D755" i="18"/>
  <c r="C755" i="18"/>
  <c r="B755" i="18"/>
  <c r="J754" i="18"/>
  <c r="I754" i="18"/>
  <c r="H754" i="18"/>
  <c r="K754" i="18" s="1"/>
  <c r="G754" i="18"/>
  <c r="F754" i="18"/>
  <c r="D754" i="18"/>
  <c r="C754" i="18"/>
  <c r="B754" i="18"/>
  <c r="J753" i="18"/>
  <c r="I753" i="18"/>
  <c r="H753" i="18"/>
  <c r="G753" i="18"/>
  <c r="F753" i="18"/>
  <c r="D753" i="18"/>
  <c r="C753" i="18"/>
  <c r="B753" i="18"/>
  <c r="J752" i="18"/>
  <c r="I752" i="18"/>
  <c r="H752" i="18"/>
  <c r="G752" i="18"/>
  <c r="F752" i="18"/>
  <c r="D752" i="18"/>
  <c r="C752" i="18"/>
  <c r="B752" i="18"/>
  <c r="J751" i="18"/>
  <c r="I751" i="18"/>
  <c r="H751" i="18"/>
  <c r="K751" i="18" s="1"/>
  <c r="G751" i="18"/>
  <c r="F751" i="18"/>
  <c r="D751" i="18"/>
  <c r="C751" i="18"/>
  <c r="B751" i="18"/>
  <c r="J750" i="18"/>
  <c r="I750" i="18"/>
  <c r="H750" i="18"/>
  <c r="G750" i="18"/>
  <c r="F750" i="18"/>
  <c r="D750" i="18"/>
  <c r="C750" i="18"/>
  <c r="B750" i="18"/>
  <c r="J749" i="18"/>
  <c r="I749" i="18"/>
  <c r="H749" i="18"/>
  <c r="G749" i="18"/>
  <c r="F749" i="18"/>
  <c r="D749" i="18"/>
  <c r="C749" i="18"/>
  <c r="B749" i="18"/>
  <c r="J748" i="18"/>
  <c r="I748" i="18"/>
  <c r="H748" i="18"/>
  <c r="K748" i="18" s="1"/>
  <c r="G748" i="18"/>
  <c r="F748" i="18"/>
  <c r="D748" i="18"/>
  <c r="C748" i="18"/>
  <c r="B748" i="18"/>
  <c r="J747" i="18"/>
  <c r="I747" i="18"/>
  <c r="H747" i="18"/>
  <c r="G747" i="18"/>
  <c r="F747" i="18"/>
  <c r="D747" i="18"/>
  <c r="C747" i="18"/>
  <c r="B747" i="18"/>
  <c r="J746" i="18"/>
  <c r="I746" i="18"/>
  <c r="H746" i="18"/>
  <c r="G746" i="18"/>
  <c r="F746" i="18"/>
  <c r="D746" i="18"/>
  <c r="C746" i="18"/>
  <c r="B746" i="18"/>
  <c r="J745" i="18"/>
  <c r="I745" i="18"/>
  <c r="H745" i="18"/>
  <c r="K745" i="18" s="1"/>
  <c r="G745" i="18"/>
  <c r="F745" i="18"/>
  <c r="D745" i="18"/>
  <c r="C745" i="18"/>
  <c r="B745" i="18"/>
  <c r="J744" i="18"/>
  <c r="I744" i="18"/>
  <c r="H744" i="18"/>
  <c r="G744" i="18"/>
  <c r="F744" i="18"/>
  <c r="D744" i="18"/>
  <c r="C744" i="18"/>
  <c r="B744" i="18"/>
  <c r="J743" i="18"/>
  <c r="I743" i="18"/>
  <c r="H743" i="18"/>
  <c r="G743" i="18"/>
  <c r="F743" i="18"/>
  <c r="D743" i="18"/>
  <c r="C743" i="18"/>
  <c r="B743" i="18"/>
  <c r="J742" i="18"/>
  <c r="I742" i="18"/>
  <c r="H742" i="18"/>
  <c r="K742" i="18" s="1"/>
  <c r="G742" i="18"/>
  <c r="F742" i="18"/>
  <c r="D742" i="18"/>
  <c r="C742" i="18"/>
  <c r="B742" i="18"/>
  <c r="J741" i="18"/>
  <c r="I741" i="18"/>
  <c r="H741" i="18"/>
  <c r="G741" i="18"/>
  <c r="F741" i="18"/>
  <c r="D741" i="18"/>
  <c r="C741" i="18"/>
  <c r="B741" i="18"/>
  <c r="J740" i="18"/>
  <c r="I740" i="18"/>
  <c r="H740" i="18"/>
  <c r="G740" i="18"/>
  <c r="F740" i="18"/>
  <c r="D740" i="18"/>
  <c r="C740" i="18"/>
  <c r="B740" i="18"/>
  <c r="J739" i="18"/>
  <c r="I739" i="18"/>
  <c r="H739" i="18"/>
  <c r="K739" i="18" s="1"/>
  <c r="G739" i="18"/>
  <c r="F739" i="18"/>
  <c r="D739" i="18"/>
  <c r="C739" i="18"/>
  <c r="B739" i="18"/>
  <c r="J738" i="18"/>
  <c r="I738" i="18"/>
  <c r="H738" i="18"/>
  <c r="G738" i="18"/>
  <c r="F738" i="18"/>
  <c r="D738" i="18"/>
  <c r="C738" i="18"/>
  <c r="B738" i="18"/>
  <c r="J737" i="18"/>
  <c r="I737" i="18"/>
  <c r="H737" i="18"/>
  <c r="G737" i="18"/>
  <c r="F737" i="18"/>
  <c r="D737" i="18"/>
  <c r="C737" i="18"/>
  <c r="B737" i="18"/>
  <c r="J736" i="18"/>
  <c r="I736" i="18"/>
  <c r="H736" i="18"/>
  <c r="K736" i="18" s="1"/>
  <c r="G736" i="18"/>
  <c r="F736" i="18"/>
  <c r="D736" i="18"/>
  <c r="C736" i="18"/>
  <c r="B736" i="18"/>
  <c r="J735" i="18"/>
  <c r="I735" i="18"/>
  <c r="H735" i="18"/>
  <c r="G735" i="18"/>
  <c r="F735" i="18"/>
  <c r="D735" i="18"/>
  <c r="C735" i="18"/>
  <c r="B735" i="18"/>
  <c r="J734" i="18"/>
  <c r="I734" i="18"/>
  <c r="H734" i="18"/>
  <c r="G734" i="18"/>
  <c r="F734" i="18"/>
  <c r="D734" i="18"/>
  <c r="C734" i="18"/>
  <c r="B734" i="18"/>
  <c r="J733" i="18"/>
  <c r="I733" i="18"/>
  <c r="H733" i="18"/>
  <c r="K733" i="18" s="1"/>
  <c r="G733" i="18"/>
  <c r="F733" i="18"/>
  <c r="D733" i="18"/>
  <c r="C733" i="18"/>
  <c r="B733" i="18"/>
  <c r="J732" i="18"/>
  <c r="I732" i="18"/>
  <c r="H732" i="18"/>
  <c r="G732" i="18"/>
  <c r="F732" i="18"/>
  <c r="D732" i="18"/>
  <c r="C732" i="18"/>
  <c r="B732" i="18"/>
  <c r="J731" i="18"/>
  <c r="I731" i="18"/>
  <c r="H731" i="18"/>
  <c r="G731" i="18"/>
  <c r="F731" i="18"/>
  <c r="D731" i="18"/>
  <c r="C731" i="18"/>
  <c r="B731" i="18"/>
  <c r="J730" i="18"/>
  <c r="I730" i="18"/>
  <c r="H730" i="18"/>
  <c r="K730" i="18" s="1"/>
  <c r="G730" i="18"/>
  <c r="F730" i="18"/>
  <c r="D730" i="18"/>
  <c r="C730" i="18"/>
  <c r="B730" i="18"/>
  <c r="J729" i="18"/>
  <c r="I729" i="18"/>
  <c r="H729" i="18"/>
  <c r="G729" i="18"/>
  <c r="F729" i="18"/>
  <c r="D729" i="18"/>
  <c r="C729" i="18"/>
  <c r="B729" i="18"/>
  <c r="J728" i="18"/>
  <c r="I728" i="18"/>
  <c r="H728" i="18"/>
  <c r="G728" i="18"/>
  <c r="F728" i="18"/>
  <c r="D728" i="18"/>
  <c r="C728" i="18"/>
  <c r="B728" i="18"/>
  <c r="J727" i="18"/>
  <c r="I727" i="18"/>
  <c r="H727" i="18"/>
  <c r="K727" i="18" s="1"/>
  <c r="G727" i="18"/>
  <c r="F727" i="18"/>
  <c r="D727" i="18"/>
  <c r="C727" i="18"/>
  <c r="B727" i="18"/>
  <c r="J726" i="18"/>
  <c r="I726" i="18"/>
  <c r="H726" i="18"/>
  <c r="G726" i="18"/>
  <c r="F726" i="18"/>
  <c r="D726" i="18"/>
  <c r="C726" i="18"/>
  <c r="B726" i="18"/>
  <c r="J725" i="18"/>
  <c r="I725" i="18"/>
  <c r="H725" i="18"/>
  <c r="G725" i="18"/>
  <c r="F725" i="18"/>
  <c r="D725" i="18"/>
  <c r="C725" i="18"/>
  <c r="B725" i="18"/>
  <c r="J724" i="18"/>
  <c r="I724" i="18"/>
  <c r="H724" i="18"/>
  <c r="K724" i="18" s="1"/>
  <c r="G724" i="18"/>
  <c r="F724" i="18"/>
  <c r="D724" i="18"/>
  <c r="C724" i="18"/>
  <c r="B724" i="18"/>
  <c r="J723" i="18"/>
  <c r="I723" i="18"/>
  <c r="H723" i="18"/>
  <c r="G723" i="18"/>
  <c r="F723" i="18"/>
  <c r="D723" i="18"/>
  <c r="C723" i="18"/>
  <c r="B723" i="18"/>
  <c r="J722" i="18"/>
  <c r="I722" i="18"/>
  <c r="H722" i="18"/>
  <c r="G722" i="18"/>
  <c r="F722" i="18"/>
  <c r="D722" i="18"/>
  <c r="C722" i="18"/>
  <c r="B722" i="18"/>
  <c r="J721" i="18"/>
  <c r="I721" i="18"/>
  <c r="H721" i="18"/>
  <c r="K721" i="18" s="1"/>
  <c r="G721" i="18"/>
  <c r="F721" i="18"/>
  <c r="D721" i="18"/>
  <c r="C721" i="18"/>
  <c r="B721" i="18"/>
  <c r="J720" i="18"/>
  <c r="I720" i="18"/>
  <c r="H720" i="18"/>
  <c r="G720" i="18"/>
  <c r="F720" i="18"/>
  <c r="D720" i="18"/>
  <c r="C720" i="18"/>
  <c r="B720" i="18"/>
  <c r="J719" i="18"/>
  <c r="I719" i="18"/>
  <c r="H719" i="18"/>
  <c r="G719" i="18"/>
  <c r="F719" i="18"/>
  <c r="D719" i="18"/>
  <c r="C719" i="18"/>
  <c r="B719" i="18"/>
  <c r="J718" i="18"/>
  <c r="I718" i="18"/>
  <c r="H718" i="18"/>
  <c r="K718" i="18" s="1"/>
  <c r="G718" i="18"/>
  <c r="F718" i="18"/>
  <c r="D718" i="18"/>
  <c r="C718" i="18"/>
  <c r="B718" i="18"/>
  <c r="J717" i="18"/>
  <c r="I717" i="18"/>
  <c r="H717" i="18"/>
  <c r="G717" i="18"/>
  <c r="F717" i="18"/>
  <c r="D717" i="18"/>
  <c r="C717" i="18"/>
  <c r="B717" i="18"/>
  <c r="J716" i="18"/>
  <c r="I716" i="18"/>
  <c r="H716" i="18"/>
  <c r="G716" i="18"/>
  <c r="F716" i="18"/>
  <c r="D716" i="18"/>
  <c r="C716" i="18"/>
  <c r="B716" i="18"/>
  <c r="J715" i="18"/>
  <c r="I715" i="18"/>
  <c r="H715" i="18"/>
  <c r="K715" i="18" s="1"/>
  <c r="G715" i="18"/>
  <c r="F715" i="18"/>
  <c r="D715" i="18"/>
  <c r="C715" i="18"/>
  <c r="B715" i="18"/>
  <c r="J714" i="18"/>
  <c r="I714" i="18"/>
  <c r="H714" i="18"/>
  <c r="G714" i="18"/>
  <c r="F714" i="18"/>
  <c r="D714" i="18"/>
  <c r="C714" i="18"/>
  <c r="B714" i="18"/>
  <c r="J713" i="18"/>
  <c r="I713" i="18"/>
  <c r="H713" i="18"/>
  <c r="G713" i="18"/>
  <c r="F713" i="18"/>
  <c r="D713" i="18"/>
  <c r="C713" i="18"/>
  <c r="B713" i="18"/>
  <c r="J712" i="18"/>
  <c r="I712" i="18"/>
  <c r="H712" i="18"/>
  <c r="K712" i="18" s="1"/>
  <c r="G712" i="18"/>
  <c r="F712" i="18"/>
  <c r="D712" i="18"/>
  <c r="C712" i="18"/>
  <c r="B712" i="18"/>
  <c r="J711" i="18"/>
  <c r="I711" i="18"/>
  <c r="H711" i="18"/>
  <c r="G711" i="18"/>
  <c r="F711" i="18"/>
  <c r="D711" i="18"/>
  <c r="C711" i="18"/>
  <c r="B711" i="18"/>
  <c r="J710" i="18"/>
  <c r="I710" i="18"/>
  <c r="H710" i="18"/>
  <c r="G710" i="18"/>
  <c r="F710" i="18"/>
  <c r="D710" i="18"/>
  <c r="C710" i="18"/>
  <c r="B710" i="18"/>
  <c r="J709" i="18"/>
  <c r="I709" i="18"/>
  <c r="H709" i="18"/>
  <c r="K709" i="18" s="1"/>
  <c r="G709" i="18"/>
  <c r="F709" i="18"/>
  <c r="D709" i="18"/>
  <c r="C709" i="18"/>
  <c r="B709" i="18"/>
  <c r="J708" i="18"/>
  <c r="I708" i="18"/>
  <c r="H708" i="18"/>
  <c r="G708" i="18"/>
  <c r="F708" i="18"/>
  <c r="D708" i="18"/>
  <c r="C708" i="18"/>
  <c r="B708" i="18"/>
  <c r="J707" i="18"/>
  <c r="I707" i="18"/>
  <c r="H707" i="18"/>
  <c r="G707" i="18"/>
  <c r="F707" i="18"/>
  <c r="D707" i="18"/>
  <c r="C707" i="18"/>
  <c r="B707" i="18"/>
  <c r="J706" i="18"/>
  <c r="I706" i="18"/>
  <c r="H706" i="18"/>
  <c r="K706" i="18" s="1"/>
  <c r="G706" i="18"/>
  <c r="F706" i="18"/>
  <c r="D706" i="18"/>
  <c r="C706" i="18"/>
  <c r="B706" i="18"/>
  <c r="J705" i="18"/>
  <c r="I705" i="18"/>
  <c r="H705" i="18"/>
  <c r="G705" i="18"/>
  <c r="F705" i="18"/>
  <c r="D705" i="18"/>
  <c r="C705" i="18"/>
  <c r="B705" i="18"/>
  <c r="J704" i="18"/>
  <c r="I704" i="18"/>
  <c r="H704" i="18"/>
  <c r="G704" i="18"/>
  <c r="F704" i="18"/>
  <c r="D704" i="18"/>
  <c r="C704" i="18"/>
  <c r="B704" i="18"/>
  <c r="J703" i="18"/>
  <c r="I703" i="18"/>
  <c r="H703" i="18"/>
  <c r="K703" i="18" s="1"/>
  <c r="G703" i="18"/>
  <c r="F703" i="18"/>
  <c r="D703" i="18"/>
  <c r="C703" i="18"/>
  <c r="B703" i="18"/>
  <c r="J702" i="18"/>
  <c r="I702" i="18"/>
  <c r="H702" i="18"/>
  <c r="G702" i="18"/>
  <c r="F702" i="18"/>
  <c r="D702" i="18"/>
  <c r="C702" i="18"/>
  <c r="B702" i="18"/>
  <c r="J701" i="18"/>
  <c r="I701" i="18"/>
  <c r="H701" i="18"/>
  <c r="G701" i="18"/>
  <c r="F701" i="18"/>
  <c r="D701" i="18"/>
  <c r="C701" i="18"/>
  <c r="B701" i="18"/>
  <c r="J700" i="18"/>
  <c r="I700" i="18"/>
  <c r="H700" i="18"/>
  <c r="K700" i="18" s="1"/>
  <c r="G700" i="18"/>
  <c r="F700" i="18"/>
  <c r="D700" i="18"/>
  <c r="C700" i="18"/>
  <c r="B700" i="18"/>
  <c r="J699" i="18"/>
  <c r="I699" i="18"/>
  <c r="H699" i="18"/>
  <c r="G699" i="18"/>
  <c r="F699" i="18"/>
  <c r="D699" i="18"/>
  <c r="C699" i="18"/>
  <c r="B699" i="18"/>
  <c r="J698" i="18"/>
  <c r="I698" i="18"/>
  <c r="H698" i="18"/>
  <c r="G698" i="18"/>
  <c r="F698" i="18"/>
  <c r="D698" i="18"/>
  <c r="C698" i="18"/>
  <c r="B698" i="18"/>
  <c r="J697" i="18"/>
  <c r="I697" i="18"/>
  <c r="H697" i="18"/>
  <c r="K697" i="18" s="1"/>
  <c r="G697" i="18"/>
  <c r="F697" i="18"/>
  <c r="D697" i="18"/>
  <c r="C697" i="18"/>
  <c r="B697" i="18"/>
  <c r="J696" i="18"/>
  <c r="I696" i="18"/>
  <c r="H696" i="18"/>
  <c r="G696" i="18"/>
  <c r="F696" i="18"/>
  <c r="D696" i="18"/>
  <c r="C696" i="18"/>
  <c r="B696" i="18"/>
  <c r="J695" i="18"/>
  <c r="I695" i="18"/>
  <c r="H695" i="18"/>
  <c r="G695" i="18"/>
  <c r="F695" i="18"/>
  <c r="D695" i="18"/>
  <c r="C695" i="18"/>
  <c r="B695" i="18"/>
  <c r="J694" i="18"/>
  <c r="I694" i="18"/>
  <c r="H694" i="18"/>
  <c r="K694" i="18" s="1"/>
  <c r="G694" i="18"/>
  <c r="F694" i="18"/>
  <c r="D694" i="18"/>
  <c r="C694" i="18"/>
  <c r="B694" i="18"/>
  <c r="J693" i="18"/>
  <c r="I693" i="18"/>
  <c r="H693" i="18"/>
  <c r="G693" i="18"/>
  <c r="F693" i="18"/>
  <c r="D693" i="18"/>
  <c r="C693" i="18"/>
  <c r="B693" i="18"/>
  <c r="J692" i="18"/>
  <c r="I692" i="18"/>
  <c r="H692" i="18"/>
  <c r="G692" i="18"/>
  <c r="F692" i="18"/>
  <c r="D692" i="18"/>
  <c r="C692" i="18"/>
  <c r="B692" i="18"/>
  <c r="J691" i="18"/>
  <c r="I691" i="18"/>
  <c r="H691" i="18"/>
  <c r="K691" i="18" s="1"/>
  <c r="G691" i="18"/>
  <c r="F691" i="18"/>
  <c r="D691" i="18"/>
  <c r="C691" i="18"/>
  <c r="B691" i="18"/>
  <c r="J690" i="18"/>
  <c r="I690" i="18"/>
  <c r="H690" i="18"/>
  <c r="G690" i="18"/>
  <c r="F690" i="18"/>
  <c r="D690" i="18"/>
  <c r="C690" i="18"/>
  <c r="B690" i="18"/>
  <c r="J689" i="18"/>
  <c r="I689" i="18"/>
  <c r="H689" i="18"/>
  <c r="G689" i="18"/>
  <c r="F689" i="18"/>
  <c r="D689" i="18"/>
  <c r="C689" i="18"/>
  <c r="B689" i="18"/>
  <c r="J688" i="18"/>
  <c r="I688" i="18"/>
  <c r="H688" i="18"/>
  <c r="K688" i="18" s="1"/>
  <c r="G688" i="18"/>
  <c r="F688" i="18"/>
  <c r="D688" i="18"/>
  <c r="C688" i="18"/>
  <c r="B688" i="18"/>
  <c r="J687" i="18"/>
  <c r="I687" i="18"/>
  <c r="H687" i="18"/>
  <c r="G687" i="18"/>
  <c r="F687" i="18"/>
  <c r="D687" i="18"/>
  <c r="C687" i="18"/>
  <c r="B687" i="18"/>
  <c r="J686" i="18"/>
  <c r="I686" i="18"/>
  <c r="H686" i="18"/>
  <c r="G686" i="18"/>
  <c r="F686" i="18"/>
  <c r="D686" i="18"/>
  <c r="C686" i="18"/>
  <c r="B686" i="18"/>
  <c r="J685" i="18"/>
  <c r="I685" i="18"/>
  <c r="H685" i="18"/>
  <c r="K685" i="18" s="1"/>
  <c r="G685" i="18"/>
  <c r="F685" i="18"/>
  <c r="D685" i="18"/>
  <c r="C685" i="18"/>
  <c r="B685" i="18"/>
  <c r="J684" i="18"/>
  <c r="I684" i="18"/>
  <c r="H684" i="18"/>
  <c r="G684" i="18"/>
  <c r="F684" i="18"/>
  <c r="D684" i="18"/>
  <c r="C684" i="18"/>
  <c r="B684" i="18"/>
  <c r="J683" i="18"/>
  <c r="I683" i="18"/>
  <c r="H683" i="18"/>
  <c r="G683" i="18"/>
  <c r="F683" i="18"/>
  <c r="D683" i="18"/>
  <c r="C683" i="18"/>
  <c r="B683" i="18"/>
  <c r="J682" i="18"/>
  <c r="I682" i="18"/>
  <c r="H682" i="18"/>
  <c r="K682" i="18" s="1"/>
  <c r="G682" i="18"/>
  <c r="F682" i="18"/>
  <c r="D682" i="18"/>
  <c r="C682" i="18"/>
  <c r="B682" i="18"/>
  <c r="J681" i="18"/>
  <c r="I681" i="18"/>
  <c r="H681" i="18"/>
  <c r="G681" i="18"/>
  <c r="F681" i="18"/>
  <c r="D681" i="18"/>
  <c r="C681" i="18"/>
  <c r="B681" i="18"/>
  <c r="J680" i="18"/>
  <c r="I680" i="18"/>
  <c r="H680" i="18"/>
  <c r="G680" i="18"/>
  <c r="F680" i="18"/>
  <c r="D680" i="18"/>
  <c r="C680" i="18"/>
  <c r="B680" i="18"/>
  <c r="J679" i="18"/>
  <c r="I679" i="18"/>
  <c r="H679" i="18"/>
  <c r="K679" i="18" s="1"/>
  <c r="G679" i="18"/>
  <c r="F679" i="18"/>
  <c r="D679" i="18"/>
  <c r="C679" i="18"/>
  <c r="B679" i="18"/>
  <c r="J678" i="18"/>
  <c r="I678" i="18"/>
  <c r="H678" i="18"/>
  <c r="G678" i="18"/>
  <c r="F678" i="18"/>
  <c r="E678" i="18"/>
  <c r="D678" i="18"/>
  <c r="C678" i="18"/>
  <c r="B678" i="18"/>
  <c r="J677" i="18"/>
  <c r="I677" i="18"/>
  <c r="H677" i="18"/>
  <c r="G677" i="18"/>
  <c r="F677" i="18"/>
  <c r="E677" i="18"/>
  <c r="D677" i="18"/>
  <c r="C677" i="18"/>
  <c r="B677" i="18"/>
  <c r="J676" i="18"/>
  <c r="I676" i="18"/>
  <c r="H676" i="18"/>
  <c r="G676" i="18"/>
  <c r="K676" i="18" s="1"/>
  <c r="F676" i="18"/>
  <c r="E676" i="18"/>
  <c r="D676" i="18"/>
  <c r="C676" i="18"/>
  <c r="B676" i="18"/>
  <c r="J675" i="18"/>
  <c r="I675" i="18"/>
  <c r="H675" i="18"/>
  <c r="G675" i="18"/>
  <c r="F675" i="18"/>
  <c r="E675" i="18"/>
  <c r="D675" i="18"/>
  <c r="C675" i="18"/>
  <c r="B675" i="18"/>
  <c r="J674" i="18"/>
  <c r="I674" i="18"/>
  <c r="H674" i="18"/>
  <c r="G674" i="18"/>
  <c r="F674" i="18"/>
  <c r="E674" i="18"/>
  <c r="D674" i="18"/>
  <c r="C674" i="18"/>
  <c r="B674" i="18"/>
  <c r="J673" i="18"/>
  <c r="I673" i="18"/>
  <c r="H673" i="18"/>
  <c r="G673" i="18"/>
  <c r="K673" i="18" s="1"/>
  <c r="F673" i="18"/>
  <c r="E673" i="18"/>
  <c r="D673" i="18"/>
  <c r="C673" i="18"/>
  <c r="B673" i="18"/>
  <c r="J672" i="18"/>
  <c r="I672" i="18"/>
  <c r="H672" i="18"/>
  <c r="G672" i="18"/>
  <c r="F672" i="18"/>
  <c r="E672" i="18"/>
  <c r="D672" i="18"/>
  <c r="C672" i="18"/>
  <c r="B672" i="18"/>
  <c r="J671" i="18"/>
  <c r="I671" i="18"/>
  <c r="H671" i="18"/>
  <c r="G671" i="18"/>
  <c r="F671" i="18"/>
  <c r="E671" i="18"/>
  <c r="D671" i="18"/>
  <c r="C671" i="18"/>
  <c r="B671" i="18"/>
  <c r="J670" i="18"/>
  <c r="I670" i="18"/>
  <c r="H670" i="18"/>
  <c r="G670" i="18"/>
  <c r="K670" i="18" s="1"/>
  <c r="F670" i="18"/>
  <c r="E670" i="18"/>
  <c r="D670" i="18"/>
  <c r="C670" i="18"/>
  <c r="B670" i="18"/>
  <c r="J669" i="18"/>
  <c r="I669" i="18"/>
  <c r="H669" i="18"/>
  <c r="G669" i="18"/>
  <c r="F669" i="18"/>
  <c r="E669" i="18"/>
  <c r="D669" i="18"/>
  <c r="C669" i="18"/>
  <c r="B669" i="18"/>
  <c r="J668" i="18"/>
  <c r="I668" i="18"/>
  <c r="H668" i="18"/>
  <c r="G668" i="18"/>
  <c r="F668" i="18"/>
  <c r="E668" i="18"/>
  <c r="D668" i="18"/>
  <c r="C668" i="18"/>
  <c r="B668" i="18"/>
  <c r="J667" i="18"/>
  <c r="I667" i="18"/>
  <c r="H667" i="18"/>
  <c r="G667" i="18"/>
  <c r="K667" i="18" s="1"/>
  <c r="F667" i="18"/>
  <c r="E667" i="18"/>
  <c r="D667" i="18"/>
  <c r="C667" i="18"/>
  <c r="B667" i="18"/>
  <c r="J666" i="18"/>
  <c r="I666" i="18"/>
  <c r="H666" i="18"/>
  <c r="G666" i="18"/>
  <c r="F666" i="18"/>
  <c r="E666" i="18"/>
  <c r="D666" i="18"/>
  <c r="C666" i="18"/>
  <c r="B666" i="18"/>
  <c r="J665" i="18"/>
  <c r="I665" i="18"/>
  <c r="H665" i="18"/>
  <c r="G665" i="18"/>
  <c r="F665" i="18"/>
  <c r="E665" i="18"/>
  <c r="D665" i="18"/>
  <c r="C665" i="18"/>
  <c r="B665" i="18"/>
  <c r="J664" i="18"/>
  <c r="I664" i="18"/>
  <c r="H664" i="18"/>
  <c r="G664" i="18"/>
  <c r="K664" i="18" s="1"/>
  <c r="F664" i="18"/>
  <c r="E664" i="18"/>
  <c r="D664" i="18"/>
  <c r="C664" i="18"/>
  <c r="B664" i="18"/>
  <c r="J663" i="18"/>
  <c r="I663" i="18"/>
  <c r="H663" i="18"/>
  <c r="G663" i="18"/>
  <c r="F663" i="18"/>
  <c r="E663" i="18"/>
  <c r="D663" i="18"/>
  <c r="C663" i="18"/>
  <c r="B663" i="18"/>
  <c r="J662" i="18"/>
  <c r="I662" i="18"/>
  <c r="H662" i="18"/>
  <c r="G662" i="18"/>
  <c r="F662" i="18"/>
  <c r="E662" i="18"/>
  <c r="D662" i="18"/>
  <c r="C662" i="18"/>
  <c r="B662" i="18"/>
  <c r="J661" i="18"/>
  <c r="I661" i="18"/>
  <c r="H661" i="18"/>
  <c r="G661" i="18"/>
  <c r="K661" i="18" s="1"/>
  <c r="F661" i="18"/>
  <c r="E661" i="18"/>
  <c r="D661" i="18"/>
  <c r="C661" i="18"/>
  <c r="B661" i="18"/>
  <c r="J660" i="18"/>
  <c r="I660" i="18"/>
  <c r="H660" i="18"/>
  <c r="G660" i="18"/>
  <c r="F660" i="18"/>
  <c r="E660" i="18"/>
  <c r="D660" i="18"/>
  <c r="C660" i="18"/>
  <c r="B660" i="18"/>
  <c r="J659" i="18"/>
  <c r="I659" i="18"/>
  <c r="H659" i="18"/>
  <c r="G659" i="18"/>
  <c r="F659" i="18"/>
  <c r="E659" i="18"/>
  <c r="D659" i="18"/>
  <c r="C659" i="18"/>
  <c r="B659" i="18"/>
  <c r="J658" i="18"/>
  <c r="I658" i="18"/>
  <c r="H658" i="18"/>
  <c r="G658" i="18"/>
  <c r="K658" i="18" s="1"/>
  <c r="F658" i="18"/>
  <c r="E658" i="18"/>
  <c r="D658" i="18"/>
  <c r="C658" i="18"/>
  <c r="B658" i="18"/>
  <c r="J657" i="18"/>
  <c r="I657" i="18"/>
  <c r="H657" i="18"/>
  <c r="G657" i="18"/>
  <c r="F657" i="18"/>
  <c r="E657" i="18"/>
  <c r="D657" i="18"/>
  <c r="C657" i="18"/>
  <c r="B657" i="18"/>
  <c r="J656" i="18"/>
  <c r="I656" i="18"/>
  <c r="H656" i="18"/>
  <c r="G656" i="18"/>
  <c r="F656" i="18"/>
  <c r="E656" i="18"/>
  <c r="D656" i="18"/>
  <c r="C656" i="18"/>
  <c r="B656" i="18"/>
  <c r="J655" i="18"/>
  <c r="I655" i="18"/>
  <c r="H655" i="18"/>
  <c r="G655" i="18"/>
  <c r="K655" i="18" s="1"/>
  <c r="F655" i="18"/>
  <c r="E655" i="18"/>
  <c r="D655" i="18"/>
  <c r="C655" i="18"/>
  <c r="B655" i="18"/>
  <c r="J654" i="18"/>
  <c r="I654" i="18"/>
  <c r="H654" i="18"/>
  <c r="G654" i="18"/>
  <c r="F654" i="18"/>
  <c r="E654" i="18"/>
  <c r="D654" i="18"/>
  <c r="C654" i="18"/>
  <c r="B654" i="18"/>
  <c r="J653" i="18"/>
  <c r="I653" i="18"/>
  <c r="H653" i="18"/>
  <c r="G653" i="18"/>
  <c r="F653" i="18"/>
  <c r="E653" i="18"/>
  <c r="D653" i="18"/>
  <c r="C653" i="18"/>
  <c r="B653" i="18"/>
  <c r="J652" i="18"/>
  <c r="I652" i="18"/>
  <c r="H652" i="18"/>
  <c r="G652" i="18"/>
  <c r="K652" i="18" s="1"/>
  <c r="F652" i="18"/>
  <c r="E652" i="18"/>
  <c r="D652" i="18"/>
  <c r="C652" i="18"/>
  <c r="B652" i="18"/>
  <c r="J651" i="18"/>
  <c r="I651" i="18"/>
  <c r="H651" i="18"/>
  <c r="G651" i="18"/>
  <c r="F651" i="18"/>
  <c r="E651" i="18"/>
  <c r="D651" i="18"/>
  <c r="C651" i="18"/>
  <c r="B651" i="18"/>
  <c r="J650" i="18"/>
  <c r="I650" i="18"/>
  <c r="H650" i="18"/>
  <c r="G650" i="18"/>
  <c r="F650" i="18"/>
  <c r="E650" i="18"/>
  <c r="D650" i="18"/>
  <c r="C650" i="18"/>
  <c r="B650" i="18"/>
  <c r="J649" i="18"/>
  <c r="I649" i="18"/>
  <c r="H649" i="18"/>
  <c r="G649" i="18"/>
  <c r="K649" i="18" s="1"/>
  <c r="F649" i="18"/>
  <c r="E649" i="18"/>
  <c r="D649" i="18"/>
  <c r="C649" i="18"/>
  <c r="B649" i="18"/>
  <c r="J648" i="18"/>
  <c r="I648" i="18"/>
  <c r="H648" i="18"/>
  <c r="G648" i="18"/>
  <c r="F648" i="18"/>
  <c r="E648" i="18"/>
  <c r="D648" i="18"/>
  <c r="C648" i="18"/>
  <c r="B648" i="18"/>
  <c r="J647" i="18"/>
  <c r="I647" i="18"/>
  <c r="H647" i="18"/>
  <c r="G647" i="18"/>
  <c r="F647" i="18"/>
  <c r="E647" i="18"/>
  <c r="D647" i="18"/>
  <c r="C647" i="18"/>
  <c r="B647" i="18"/>
  <c r="J646" i="18"/>
  <c r="I646" i="18"/>
  <c r="H646" i="18"/>
  <c r="G646" i="18"/>
  <c r="K646" i="18" s="1"/>
  <c r="F646" i="18"/>
  <c r="E646" i="18"/>
  <c r="D646" i="18"/>
  <c r="C646" i="18"/>
  <c r="B646" i="18"/>
  <c r="J645" i="18"/>
  <c r="I645" i="18"/>
  <c r="H645" i="18"/>
  <c r="G645" i="18"/>
  <c r="F645" i="18"/>
  <c r="E645" i="18"/>
  <c r="D645" i="18"/>
  <c r="C645" i="18"/>
  <c r="B645" i="18"/>
  <c r="J644" i="18"/>
  <c r="I644" i="18"/>
  <c r="H644" i="18"/>
  <c r="G644" i="18"/>
  <c r="F644" i="18"/>
  <c r="E644" i="18"/>
  <c r="D644" i="18"/>
  <c r="C644" i="18"/>
  <c r="B644" i="18"/>
  <c r="J643" i="18"/>
  <c r="I643" i="18"/>
  <c r="H643" i="18"/>
  <c r="G643" i="18"/>
  <c r="K643" i="18" s="1"/>
  <c r="F643" i="18"/>
  <c r="E643" i="18"/>
  <c r="D643" i="18"/>
  <c r="C643" i="18"/>
  <c r="B643" i="18"/>
  <c r="J642" i="18"/>
  <c r="I642" i="18"/>
  <c r="H642" i="18"/>
  <c r="G642" i="18"/>
  <c r="F642" i="18"/>
  <c r="E642" i="18"/>
  <c r="D642" i="18"/>
  <c r="C642" i="18"/>
  <c r="B642" i="18"/>
  <c r="J641" i="18"/>
  <c r="I641" i="18"/>
  <c r="H641" i="18"/>
  <c r="G641" i="18"/>
  <c r="F641" i="18"/>
  <c r="E641" i="18"/>
  <c r="D641" i="18"/>
  <c r="C641" i="18"/>
  <c r="B641" i="18"/>
  <c r="J640" i="18"/>
  <c r="I640" i="18"/>
  <c r="H640" i="18"/>
  <c r="G640" i="18"/>
  <c r="K640" i="18" s="1"/>
  <c r="F640" i="18"/>
  <c r="E640" i="18"/>
  <c r="D640" i="18"/>
  <c r="C640" i="18"/>
  <c r="B640" i="18"/>
  <c r="J639" i="18"/>
  <c r="I639" i="18"/>
  <c r="H639" i="18"/>
  <c r="G639" i="18"/>
  <c r="F639" i="18"/>
  <c r="E639" i="18"/>
  <c r="D639" i="18"/>
  <c r="C639" i="18"/>
  <c r="B639" i="18"/>
  <c r="J638" i="18"/>
  <c r="I638" i="18"/>
  <c r="H638" i="18"/>
  <c r="G638" i="18"/>
  <c r="F638" i="18"/>
  <c r="E638" i="18"/>
  <c r="D638" i="18"/>
  <c r="C638" i="18"/>
  <c r="B638" i="18"/>
  <c r="J637" i="18"/>
  <c r="I637" i="18"/>
  <c r="H637" i="18"/>
  <c r="G637" i="18"/>
  <c r="K637" i="18" s="1"/>
  <c r="F637" i="18"/>
  <c r="E637" i="18"/>
  <c r="D637" i="18"/>
  <c r="C637" i="18"/>
  <c r="B637" i="18"/>
  <c r="J636" i="18"/>
  <c r="I636" i="18"/>
  <c r="H636" i="18"/>
  <c r="G636" i="18"/>
  <c r="F636" i="18"/>
  <c r="E636" i="18"/>
  <c r="D636" i="18"/>
  <c r="C636" i="18"/>
  <c r="B636" i="18"/>
  <c r="J635" i="18"/>
  <c r="I635" i="18"/>
  <c r="H635" i="18"/>
  <c r="G635" i="18"/>
  <c r="F635" i="18"/>
  <c r="E635" i="18"/>
  <c r="D635" i="18"/>
  <c r="C635" i="18"/>
  <c r="B635" i="18"/>
  <c r="J634" i="18"/>
  <c r="I634" i="18"/>
  <c r="H634" i="18"/>
  <c r="G634" i="18"/>
  <c r="K634" i="18" s="1"/>
  <c r="F634" i="18"/>
  <c r="E634" i="18"/>
  <c r="D634" i="18"/>
  <c r="C634" i="18"/>
  <c r="B634" i="18"/>
  <c r="J633" i="18"/>
  <c r="I633" i="18"/>
  <c r="H633" i="18"/>
  <c r="G633" i="18"/>
  <c r="F633" i="18"/>
  <c r="E633" i="18"/>
  <c r="D633" i="18"/>
  <c r="C633" i="18"/>
  <c r="B633" i="18"/>
  <c r="J632" i="18"/>
  <c r="I632" i="18"/>
  <c r="H632" i="18"/>
  <c r="G632" i="18"/>
  <c r="F632" i="18"/>
  <c r="E632" i="18"/>
  <c r="D632" i="18"/>
  <c r="C632" i="18"/>
  <c r="B632" i="18"/>
  <c r="J631" i="18"/>
  <c r="I631" i="18"/>
  <c r="H631" i="18"/>
  <c r="G631" i="18"/>
  <c r="K631" i="18" s="1"/>
  <c r="F631" i="18"/>
  <c r="E631" i="18"/>
  <c r="D631" i="18"/>
  <c r="C631" i="18"/>
  <c r="B631" i="18"/>
  <c r="J630" i="18"/>
  <c r="I630" i="18"/>
  <c r="H630" i="18"/>
  <c r="G630" i="18"/>
  <c r="F630" i="18"/>
  <c r="E630" i="18"/>
  <c r="D630" i="18"/>
  <c r="C630" i="18"/>
  <c r="B630" i="18"/>
  <c r="J629" i="18"/>
  <c r="I629" i="18"/>
  <c r="H629" i="18"/>
  <c r="G629" i="18"/>
  <c r="F629" i="18"/>
  <c r="E629" i="18"/>
  <c r="D629" i="18"/>
  <c r="C629" i="18"/>
  <c r="B629" i="18"/>
  <c r="J628" i="18"/>
  <c r="I628" i="18"/>
  <c r="H628" i="18"/>
  <c r="G628" i="18"/>
  <c r="K628" i="18" s="1"/>
  <c r="F628" i="18"/>
  <c r="E628" i="18"/>
  <c r="D628" i="18"/>
  <c r="C628" i="18"/>
  <c r="B628" i="18"/>
  <c r="J627" i="18"/>
  <c r="I627" i="18"/>
  <c r="H627" i="18"/>
  <c r="G627" i="18"/>
  <c r="F627" i="18"/>
  <c r="E627" i="18"/>
  <c r="D627" i="18"/>
  <c r="C627" i="18"/>
  <c r="B627" i="18"/>
  <c r="J626" i="18"/>
  <c r="I626" i="18"/>
  <c r="H626" i="18"/>
  <c r="G626" i="18"/>
  <c r="F626" i="18"/>
  <c r="E626" i="18"/>
  <c r="D626" i="18"/>
  <c r="C626" i="18"/>
  <c r="B626" i="18"/>
  <c r="J625" i="18"/>
  <c r="I625" i="18"/>
  <c r="H625" i="18"/>
  <c r="G625" i="18"/>
  <c r="K625" i="18" s="1"/>
  <c r="F625" i="18"/>
  <c r="E625" i="18"/>
  <c r="D625" i="18"/>
  <c r="C625" i="18"/>
  <c r="B625" i="18"/>
  <c r="J624" i="18"/>
  <c r="I624" i="18"/>
  <c r="H624" i="18"/>
  <c r="G624" i="18"/>
  <c r="F624" i="18"/>
  <c r="E624" i="18"/>
  <c r="D624" i="18"/>
  <c r="C624" i="18"/>
  <c r="B624" i="18"/>
  <c r="J623" i="18"/>
  <c r="I623" i="18"/>
  <c r="H623" i="18"/>
  <c r="G623" i="18"/>
  <c r="F623" i="18"/>
  <c r="E623" i="18"/>
  <c r="D623" i="18"/>
  <c r="C623" i="18"/>
  <c r="B623" i="18"/>
  <c r="J622" i="18"/>
  <c r="I622" i="18"/>
  <c r="H622" i="18"/>
  <c r="G622" i="18"/>
  <c r="K622" i="18" s="1"/>
  <c r="F622" i="18"/>
  <c r="E622" i="18"/>
  <c r="D622" i="18"/>
  <c r="C622" i="18"/>
  <c r="B622" i="18"/>
  <c r="J621" i="18"/>
  <c r="I621" i="18"/>
  <c r="H621" i="18"/>
  <c r="G621" i="18"/>
  <c r="F621" i="18"/>
  <c r="E621" i="18"/>
  <c r="D621" i="18"/>
  <c r="C621" i="18"/>
  <c r="B621" i="18"/>
  <c r="J620" i="18"/>
  <c r="I620" i="18"/>
  <c r="H620" i="18"/>
  <c r="G620" i="18"/>
  <c r="F620" i="18"/>
  <c r="E620" i="18"/>
  <c r="D620" i="18"/>
  <c r="C620" i="18"/>
  <c r="B620" i="18"/>
  <c r="J619" i="18"/>
  <c r="I619" i="18"/>
  <c r="H619" i="18"/>
  <c r="G619" i="18"/>
  <c r="K619" i="18" s="1"/>
  <c r="F619" i="18"/>
  <c r="E619" i="18"/>
  <c r="D619" i="18"/>
  <c r="C619" i="18"/>
  <c r="B619" i="18"/>
  <c r="J618" i="18"/>
  <c r="I618" i="18"/>
  <c r="H618" i="18"/>
  <c r="G618" i="18"/>
  <c r="F618" i="18"/>
  <c r="E618" i="18"/>
  <c r="D618" i="18"/>
  <c r="C618" i="18"/>
  <c r="B618" i="18"/>
  <c r="J617" i="18"/>
  <c r="I617" i="18"/>
  <c r="H617" i="18"/>
  <c r="G617" i="18"/>
  <c r="F617" i="18"/>
  <c r="E617" i="18"/>
  <c r="D617" i="18"/>
  <c r="C617" i="18"/>
  <c r="B617" i="18"/>
  <c r="J616" i="18"/>
  <c r="I616" i="18"/>
  <c r="H616" i="18"/>
  <c r="G616" i="18"/>
  <c r="F616" i="18"/>
  <c r="E616" i="18"/>
  <c r="D616" i="18"/>
  <c r="C616" i="18"/>
  <c r="B616" i="18"/>
  <c r="J615" i="18"/>
  <c r="I615" i="18"/>
  <c r="H615" i="18"/>
  <c r="G615" i="18"/>
  <c r="F615" i="18"/>
  <c r="E615" i="18"/>
  <c r="D615" i="18"/>
  <c r="C615" i="18"/>
  <c r="B615" i="18"/>
  <c r="J614" i="18"/>
  <c r="I614" i="18"/>
  <c r="H614" i="18"/>
  <c r="G614" i="18"/>
  <c r="F614" i="18"/>
  <c r="E614" i="18"/>
  <c r="D614" i="18"/>
  <c r="C614" i="18"/>
  <c r="B614" i="18"/>
  <c r="J613" i="18"/>
  <c r="I613" i="18"/>
  <c r="H613" i="18"/>
  <c r="G613" i="18"/>
  <c r="F613" i="18"/>
  <c r="E613" i="18"/>
  <c r="D613" i="18"/>
  <c r="C613" i="18"/>
  <c r="B613" i="18"/>
  <c r="J612" i="18"/>
  <c r="I612" i="18"/>
  <c r="H612" i="18"/>
  <c r="G612" i="18"/>
  <c r="F612" i="18"/>
  <c r="E612" i="18"/>
  <c r="D612" i="18"/>
  <c r="C612" i="18"/>
  <c r="B612" i="18"/>
  <c r="J611" i="18"/>
  <c r="I611" i="18"/>
  <c r="H611" i="18"/>
  <c r="G611" i="18"/>
  <c r="F611" i="18"/>
  <c r="E611" i="18"/>
  <c r="D611" i="18"/>
  <c r="C611" i="18"/>
  <c r="B611" i="18"/>
  <c r="J610" i="18"/>
  <c r="I610" i="18"/>
  <c r="H610" i="18"/>
  <c r="G610" i="18"/>
  <c r="F610" i="18"/>
  <c r="E610" i="18"/>
  <c r="D610" i="18"/>
  <c r="C610" i="18"/>
  <c r="B610" i="18"/>
  <c r="J609" i="18"/>
  <c r="I609" i="18"/>
  <c r="H609" i="18"/>
  <c r="G609" i="18"/>
  <c r="F609" i="18"/>
  <c r="E609" i="18"/>
  <c r="D609" i="18"/>
  <c r="C609" i="18"/>
  <c r="B609" i="18"/>
  <c r="J608" i="18"/>
  <c r="I608" i="18"/>
  <c r="H608" i="18"/>
  <c r="G608" i="18"/>
  <c r="F608" i="18"/>
  <c r="E608" i="18"/>
  <c r="D608" i="18"/>
  <c r="C608" i="18"/>
  <c r="B608" i="18"/>
  <c r="J607" i="18"/>
  <c r="I607" i="18"/>
  <c r="H607" i="18"/>
  <c r="G607" i="18"/>
  <c r="F607" i="18"/>
  <c r="E607" i="18"/>
  <c r="D607" i="18"/>
  <c r="C607" i="18"/>
  <c r="B607" i="18"/>
  <c r="J606" i="18"/>
  <c r="I606" i="18"/>
  <c r="H606" i="18"/>
  <c r="G606" i="18"/>
  <c r="F606" i="18"/>
  <c r="E606" i="18"/>
  <c r="D606" i="18"/>
  <c r="C606" i="18"/>
  <c r="B606" i="18"/>
  <c r="J605" i="18"/>
  <c r="I605" i="18"/>
  <c r="H605" i="18"/>
  <c r="G605" i="18"/>
  <c r="F605" i="18"/>
  <c r="E605" i="18"/>
  <c r="D605" i="18"/>
  <c r="C605" i="18"/>
  <c r="B605" i="18"/>
  <c r="J604" i="18"/>
  <c r="I604" i="18"/>
  <c r="H604" i="18"/>
  <c r="G604" i="18"/>
  <c r="F604" i="18"/>
  <c r="E604" i="18"/>
  <c r="D604" i="18"/>
  <c r="C604" i="18"/>
  <c r="B604" i="18"/>
  <c r="J603" i="18"/>
  <c r="I603" i="18"/>
  <c r="H603" i="18"/>
  <c r="G603" i="18"/>
  <c r="F603" i="18"/>
  <c r="E603" i="18"/>
  <c r="D603" i="18"/>
  <c r="C603" i="18"/>
  <c r="B603" i="18"/>
  <c r="J602" i="18"/>
  <c r="I602" i="18"/>
  <c r="H602" i="18"/>
  <c r="G602" i="18"/>
  <c r="F602" i="18"/>
  <c r="E602" i="18"/>
  <c r="D602" i="18"/>
  <c r="C602" i="18"/>
  <c r="B602" i="18"/>
  <c r="J601" i="18"/>
  <c r="I601" i="18"/>
  <c r="H601" i="18"/>
  <c r="G601" i="18"/>
  <c r="F601" i="18"/>
  <c r="E601" i="18"/>
  <c r="D601" i="18"/>
  <c r="C601" i="18"/>
  <c r="B601" i="18"/>
  <c r="J600" i="18"/>
  <c r="I600" i="18"/>
  <c r="H600" i="18"/>
  <c r="G600" i="18"/>
  <c r="F600" i="18"/>
  <c r="E600" i="18"/>
  <c r="D600" i="18"/>
  <c r="C600" i="18"/>
  <c r="B600" i="18"/>
  <c r="J599" i="18"/>
  <c r="I599" i="18"/>
  <c r="H599" i="18"/>
  <c r="G599" i="18"/>
  <c r="F599" i="18"/>
  <c r="E599" i="18"/>
  <c r="D599" i="18"/>
  <c r="C599" i="18"/>
  <c r="B599" i="18"/>
  <c r="J598" i="18"/>
  <c r="I598" i="18"/>
  <c r="H598" i="18"/>
  <c r="G598" i="18"/>
  <c r="F598" i="18"/>
  <c r="E598" i="18"/>
  <c r="D598" i="18"/>
  <c r="C598" i="18"/>
  <c r="B598" i="18"/>
  <c r="J597" i="18"/>
  <c r="I597" i="18"/>
  <c r="H597" i="18"/>
  <c r="G597" i="18"/>
  <c r="F597" i="18"/>
  <c r="E597" i="18"/>
  <c r="D597" i="18"/>
  <c r="C597" i="18"/>
  <c r="B597" i="18"/>
  <c r="J596" i="18"/>
  <c r="I596" i="18"/>
  <c r="H596" i="18"/>
  <c r="G596" i="18"/>
  <c r="F596" i="18"/>
  <c r="E596" i="18"/>
  <c r="D596" i="18"/>
  <c r="C596" i="18"/>
  <c r="B596" i="18"/>
  <c r="J595" i="18"/>
  <c r="I595" i="18"/>
  <c r="H595" i="18"/>
  <c r="G595" i="18"/>
  <c r="F595" i="18"/>
  <c r="E595" i="18"/>
  <c r="D595" i="18"/>
  <c r="C595" i="18"/>
  <c r="B595" i="18"/>
  <c r="N1409" i="19"/>
  <c r="F813" i="20"/>
  <c r="G813" i="20"/>
  <c r="H813" i="20"/>
  <c r="I813" i="20"/>
  <c r="J813" i="20"/>
  <c r="F814" i="20"/>
  <c r="G814" i="20"/>
  <c r="H814" i="20"/>
  <c r="I814" i="20"/>
  <c r="J814" i="20"/>
  <c r="F815" i="20"/>
  <c r="G815" i="20"/>
  <c r="H815" i="20"/>
  <c r="I815" i="20"/>
  <c r="J815" i="20"/>
  <c r="F816" i="20"/>
  <c r="G816" i="20"/>
  <c r="H816" i="20"/>
  <c r="I816" i="20"/>
  <c r="J816" i="20"/>
  <c r="F817" i="20"/>
  <c r="G817" i="20"/>
  <c r="H817" i="20"/>
  <c r="I817" i="20"/>
  <c r="J817" i="20"/>
  <c r="F818" i="20"/>
  <c r="G818" i="20"/>
  <c r="H818" i="20"/>
  <c r="I818" i="20"/>
  <c r="J818" i="20"/>
  <c r="F819" i="20"/>
  <c r="G819" i="20"/>
  <c r="H819" i="20"/>
  <c r="I819" i="20"/>
  <c r="J819" i="20"/>
  <c r="F820" i="20"/>
  <c r="G820" i="20"/>
  <c r="H820" i="20"/>
  <c r="I820" i="20"/>
  <c r="J820" i="20"/>
  <c r="F821" i="20"/>
  <c r="G821" i="20"/>
  <c r="H821" i="20"/>
  <c r="I821" i="20"/>
  <c r="J821" i="20"/>
  <c r="F822" i="20"/>
  <c r="G822" i="20"/>
  <c r="H822" i="20"/>
  <c r="I822" i="20"/>
  <c r="J822" i="20"/>
  <c r="F823" i="20"/>
  <c r="G823" i="20"/>
  <c r="H823" i="20"/>
  <c r="I823" i="20"/>
  <c r="J823" i="20"/>
  <c r="F824" i="20"/>
  <c r="G824" i="20"/>
  <c r="H824" i="20"/>
  <c r="I824" i="20"/>
  <c r="J824" i="20"/>
  <c r="F825" i="20"/>
  <c r="G825" i="20"/>
  <c r="H825" i="20"/>
  <c r="I825" i="20"/>
  <c r="J825" i="20"/>
  <c r="F826" i="20"/>
  <c r="G826" i="20"/>
  <c r="H826" i="20"/>
  <c r="I826" i="20"/>
  <c r="J826" i="20"/>
  <c r="F827" i="20"/>
  <c r="G827" i="20"/>
  <c r="H827" i="20"/>
  <c r="I827" i="20"/>
  <c r="J827" i="20"/>
  <c r="F828" i="20"/>
  <c r="G828" i="20"/>
  <c r="H828" i="20"/>
  <c r="I828" i="20"/>
  <c r="J828" i="20"/>
  <c r="F829" i="20"/>
  <c r="G829" i="20"/>
  <c r="H829" i="20"/>
  <c r="I829" i="20"/>
  <c r="J829" i="20"/>
  <c r="F830" i="20"/>
  <c r="G830" i="20"/>
  <c r="H830" i="20"/>
  <c r="I830" i="20"/>
  <c r="J830" i="20"/>
  <c r="F831" i="20"/>
  <c r="G831" i="20"/>
  <c r="H831" i="20"/>
  <c r="I831" i="20"/>
  <c r="J831" i="20"/>
  <c r="F832" i="20"/>
  <c r="G832" i="20"/>
  <c r="H832" i="20"/>
  <c r="I832" i="20"/>
  <c r="J832" i="20"/>
  <c r="F833" i="20"/>
  <c r="G833" i="20"/>
  <c r="H833" i="20"/>
  <c r="I833" i="20"/>
  <c r="J833" i="20"/>
  <c r="F834" i="20"/>
  <c r="G834" i="20"/>
  <c r="H834" i="20"/>
  <c r="I834" i="20"/>
  <c r="J834" i="20"/>
  <c r="F835" i="20"/>
  <c r="G835" i="20"/>
  <c r="H835" i="20"/>
  <c r="I835" i="20"/>
  <c r="J835" i="20"/>
  <c r="F836" i="20"/>
  <c r="G836" i="20"/>
  <c r="H836" i="20"/>
  <c r="I836" i="20"/>
  <c r="J836" i="20"/>
  <c r="F837" i="20"/>
  <c r="G837" i="20"/>
  <c r="H837" i="20"/>
  <c r="I837" i="20"/>
  <c r="J837" i="20"/>
  <c r="F838" i="20"/>
  <c r="G838" i="20"/>
  <c r="H838" i="20"/>
  <c r="I838" i="20"/>
  <c r="J838" i="20"/>
  <c r="F839" i="20"/>
  <c r="G839" i="20"/>
  <c r="H839" i="20"/>
  <c r="I839" i="20"/>
  <c r="J839" i="20"/>
  <c r="F840" i="20"/>
  <c r="G840" i="20"/>
  <c r="H840" i="20"/>
  <c r="I840" i="20"/>
  <c r="J840" i="20"/>
  <c r="F841" i="20"/>
  <c r="G841" i="20"/>
  <c r="H841" i="20"/>
  <c r="I841" i="20"/>
  <c r="J841" i="20"/>
  <c r="F842" i="20"/>
  <c r="G842" i="20"/>
  <c r="H842" i="20"/>
  <c r="I842" i="20"/>
  <c r="J842" i="20"/>
  <c r="F843" i="20"/>
  <c r="G843" i="20"/>
  <c r="H843" i="20"/>
  <c r="I843" i="20"/>
  <c r="J843" i="20"/>
  <c r="F844" i="20"/>
  <c r="G844" i="20"/>
  <c r="H844" i="20"/>
  <c r="I844" i="20"/>
  <c r="J844" i="20"/>
  <c r="F845" i="20"/>
  <c r="G845" i="20"/>
  <c r="H845" i="20"/>
  <c r="I845" i="20"/>
  <c r="J845" i="20"/>
  <c r="F846" i="20"/>
  <c r="G846" i="20"/>
  <c r="H846" i="20"/>
  <c r="I846" i="20"/>
  <c r="J846" i="20"/>
  <c r="F847" i="20"/>
  <c r="G847" i="20"/>
  <c r="H847" i="20"/>
  <c r="I847" i="20"/>
  <c r="J847" i="20"/>
  <c r="F848" i="20"/>
  <c r="G848" i="20"/>
  <c r="H848" i="20"/>
  <c r="I848" i="20"/>
  <c r="J848" i="20"/>
  <c r="F849" i="20"/>
  <c r="G849" i="20"/>
  <c r="H849" i="20"/>
  <c r="I849" i="20"/>
  <c r="J849" i="20"/>
  <c r="F850" i="20"/>
  <c r="G850" i="20"/>
  <c r="H850" i="20"/>
  <c r="I850" i="20"/>
  <c r="J850" i="20"/>
  <c r="F851" i="20"/>
  <c r="G851" i="20"/>
  <c r="H851" i="20"/>
  <c r="I851" i="20"/>
  <c r="J851" i="20"/>
  <c r="F852" i="20"/>
  <c r="G852" i="20"/>
  <c r="H852" i="20"/>
  <c r="I852" i="20"/>
  <c r="J852" i="20"/>
  <c r="F853" i="20"/>
  <c r="G853" i="20"/>
  <c r="H853" i="20"/>
  <c r="I853" i="20"/>
  <c r="J853" i="20"/>
  <c r="F854" i="20"/>
  <c r="G854" i="20"/>
  <c r="H854" i="20"/>
  <c r="I854" i="20"/>
  <c r="J854" i="20"/>
  <c r="F855" i="20"/>
  <c r="G855" i="20"/>
  <c r="H855" i="20"/>
  <c r="I855" i="20"/>
  <c r="J855" i="20"/>
  <c r="F856" i="20"/>
  <c r="G856" i="20"/>
  <c r="H856" i="20"/>
  <c r="I856" i="20"/>
  <c r="J856" i="20"/>
  <c r="F857" i="20"/>
  <c r="G857" i="20"/>
  <c r="H857" i="20"/>
  <c r="I857" i="20"/>
  <c r="J857" i="20"/>
  <c r="F858" i="20"/>
  <c r="G858" i="20"/>
  <c r="H858" i="20"/>
  <c r="I858" i="20"/>
  <c r="J858" i="20"/>
  <c r="F859" i="20"/>
  <c r="G859" i="20"/>
  <c r="H859" i="20"/>
  <c r="I859" i="20"/>
  <c r="J859" i="20"/>
  <c r="F860" i="20"/>
  <c r="G860" i="20"/>
  <c r="H860" i="20"/>
  <c r="I860" i="20"/>
  <c r="J860" i="20"/>
  <c r="F861" i="20"/>
  <c r="G861" i="20"/>
  <c r="H861" i="20"/>
  <c r="I861" i="20"/>
  <c r="J861" i="20"/>
  <c r="F862" i="20"/>
  <c r="G862" i="20"/>
  <c r="H862" i="20"/>
  <c r="I862" i="20"/>
  <c r="J862" i="20"/>
  <c r="F863" i="20"/>
  <c r="G863" i="20"/>
  <c r="H863" i="20"/>
  <c r="I863" i="20"/>
  <c r="J863" i="20"/>
  <c r="F864" i="20"/>
  <c r="G864" i="20"/>
  <c r="H864" i="20"/>
  <c r="I864" i="20"/>
  <c r="J864" i="20"/>
  <c r="F865" i="20"/>
  <c r="G865" i="20"/>
  <c r="H865" i="20"/>
  <c r="I865" i="20"/>
  <c r="J865" i="20"/>
  <c r="F866" i="20"/>
  <c r="G866" i="20"/>
  <c r="H866" i="20"/>
  <c r="I866" i="20"/>
  <c r="J866" i="20"/>
  <c r="F867" i="20"/>
  <c r="G867" i="20"/>
  <c r="H867" i="20"/>
  <c r="I867" i="20"/>
  <c r="J867" i="20"/>
  <c r="F868" i="20"/>
  <c r="G868" i="20"/>
  <c r="H868" i="20"/>
  <c r="I868" i="20"/>
  <c r="J868" i="20"/>
  <c r="F869" i="20"/>
  <c r="G869" i="20"/>
  <c r="H869" i="20"/>
  <c r="I869" i="20"/>
  <c r="J869" i="20"/>
  <c r="F870" i="20"/>
  <c r="G870" i="20"/>
  <c r="H870" i="20"/>
  <c r="I870" i="20"/>
  <c r="J870" i="20"/>
  <c r="F871" i="20"/>
  <c r="G871" i="20"/>
  <c r="H871" i="20"/>
  <c r="I871" i="20"/>
  <c r="J871" i="20"/>
  <c r="F872" i="20"/>
  <c r="G872" i="20"/>
  <c r="H872" i="20"/>
  <c r="I872" i="20"/>
  <c r="J872" i="20"/>
  <c r="F873" i="20"/>
  <c r="G873" i="20"/>
  <c r="H873" i="20"/>
  <c r="I873" i="20"/>
  <c r="J873" i="20"/>
  <c r="F874" i="20"/>
  <c r="G874" i="20"/>
  <c r="H874" i="20"/>
  <c r="I874" i="20"/>
  <c r="J874" i="20"/>
  <c r="F875" i="20"/>
  <c r="G875" i="20"/>
  <c r="H875" i="20"/>
  <c r="I875" i="20"/>
  <c r="J875" i="20"/>
  <c r="F876" i="20"/>
  <c r="G876" i="20"/>
  <c r="H876" i="20"/>
  <c r="I876" i="20"/>
  <c r="J876" i="20"/>
  <c r="F877" i="20"/>
  <c r="G877" i="20"/>
  <c r="H877" i="20"/>
  <c r="I877" i="20"/>
  <c r="J877" i="20"/>
  <c r="F878" i="20"/>
  <c r="G878" i="20"/>
  <c r="H878" i="20"/>
  <c r="I878" i="20"/>
  <c r="J878" i="20"/>
  <c r="F879" i="20"/>
  <c r="G879" i="20"/>
  <c r="H879" i="20"/>
  <c r="I879" i="20"/>
  <c r="J879" i="20"/>
  <c r="F880" i="20"/>
  <c r="G880" i="20"/>
  <c r="H880" i="20"/>
  <c r="I880" i="20"/>
  <c r="J880" i="20"/>
  <c r="F881" i="20"/>
  <c r="G881" i="20"/>
  <c r="H881" i="20"/>
  <c r="I881" i="20"/>
  <c r="J881" i="20"/>
  <c r="F882" i="20"/>
  <c r="G882" i="20"/>
  <c r="H882" i="20"/>
  <c r="I882" i="20"/>
  <c r="J882" i="20"/>
  <c r="F883" i="20"/>
  <c r="G883" i="20"/>
  <c r="H883" i="20"/>
  <c r="I883" i="20"/>
  <c r="J883" i="20"/>
  <c r="F884" i="20"/>
  <c r="G884" i="20"/>
  <c r="H884" i="20"/>
  <c r="I884" i="20"/>
  <c r="J884" i="20"/>
  <c r="F885" i="20"/>
  <c r="G885" i="20"/>
  <c r="H885" i="20"/>
  <c r="I885" i="20"/>
  <c r="J885" i="20"/>
  <c r="F886" i="20"/>
  <c r="G886" i="20"/>
  <c r="H886" i="20"/>
  <c r="I886" i="20"/>
  <c r="J886" i="20"/>
  <c r="F887" i="20"/>
  <c r="G887" i="20"/>
  <c r="H887" i="20"/>
  <c r="I887" i="20"/>
  <c r="J887" i="20"/>
  <c r="F888" i="20"/>
  <c r="G888" i="20"/>
  <c r="H888" i="20"/>
  <c r="I888" i="20"/>
  <c r="J888" i="20"/>
  <c r="F889" i="20"/>
  <c r="G889" i="20"/>
  <c r="H889" i="20"/>
  <c r="I889" i="20"/>
  <c r="J889" i="20"/>
  <c r="F890" i="20"/>
  <c r="G890" i="20"/>
  <c r="H890" i="20"/>
  <c r="I890" i="20"/>
  <c r="J890" i="20"/>
  <c r="F891" i="20"/>
  <c r="G891" i="20"/>
  <c r="H891" i="20"/>
  <c r="I891" i="20"/>
  <c r="J891" i="20"/>
  <c r="F892" i="20"/>
  <c r="G892" i="20"/>
  <c r="H892" i="20"/>
  <c r="I892" i="20"/>
  <c r="J892" i="20"/>
  <c r="F893" i="20"/>
  <c r="G893" i="20"/>
  <c r="H893" i="20"/>
  <c r="I893" i="20"/>
  <c r="J893" i="20"/>
  <c r="F894" i="20"/>
  <c r="G894" i="20"/>
  <c r="H894" i="20"/>
  <c r="I894" i="20"/>
  <c r="J894" i="20"/>
  <c r="F895" i="20"/>
  <c r="G895" i="20"/>
  <c r="H895" i="20"/>
  <c r="I895" i="20"/>
  <c r="J895" i="20"/>
  <c r="F896" i="20"/>
  <c r="G896" i="20"/>
  <c r="H896" i="20"/>
  <c r="I896" i="20"/>
  <c r="J896" i="20"/>
  <c r="F897" i="20"/>
  <c r="G897" i="20"/>
  <c r="H897" i="20"/>
  <c r="I897" i="20"/>
  <c r="J897" i="20"/>
  <c r="F898" i="20"/>
  <c r="G898" i="20"/>
  <c r="H898" i="20"/>
  <c r="I898" i="20"/>
  <c r="J898" i="20"/>
  <c r="F899" i="20"/>
  <c r="G899" i="20"/>
  <c r="H899" i="20"/>
  <c r="I899" i="20"/>
  <c r="J899" i="20"/>
  <c r="F900" i="20"/>
  <c r="G900" i="20"/>
  <c r="H900" i="20"/>
  <c r="I900" i="20"/>
  <c r="J900" i="20"/>
  <c r="F901" i="20"/>
  <c r="G901" i="20"/>
  <c r="H901" i="20"/>
  <c r="I901" i="20"/>
  <c r="J901" i="20"/>
  <c r="F902" i="20"/>
  <c r="G902" i="20"/>
  <c r="H902" i="20"/>
  <c r="I902" i="20"/>
  <c r="J902" i="20"/>
  <c r="F903" i="20"/>
  <c r="G903" i="20"/>
  <c r="H903" i="20"/>
  <c r="I903" i="20"/>
  <c r="J903" i="20"/>
  <c r="F904" i="20"/>
  <c r="G904" i="20"/>
  <c r="H904" i="20"/>
  <c r="I904" i="20"/>
  <c r="J904" i="20"/>
  <c r="F905" i="20"/>
  <c r="G905" i="20"/>
  <c r="H905" i="20"/>
  <c r="I905" i="20"/>
  <c r="J905" i="20"/>
  <c r="F906" i="20"/>
  <c r="G906" i="20"/>
  <c r="H906" i="20"/>
  <c r="I906" i="20"/>
  <c r="J906" i="20"/>
  <c r="F907" i="20"/>
  <c r="G907" i="20"/>
  <c r="H907" i="20"/>
  <c r="I907" i="20"/>
  <c r="J907" i="20"/>
  <c r="F908" i="20"/>
  <c r="G908" i="20"/>
  <c r="H908" i="20"/>
  <c r="I908" i="20"/>
  <c r="J908" i="20"/>
  <c r="F909" i="20"/>
  <c r="G909" i="20"/>
  <c r="H909" i="20"/>
  <c r="I909" i="20"/>
  <c r="J909" i="20"/>
  <c r="F910" i="20"/>
  <c r="G910" i="20"/>
  <c r="H910" i="20"/>
  <c r="I910" i="20"/>
  <c r="J910" i="20"/>
  <c r="F911" i="20"/>
  <c r="G911" i="20"/>
  <c r="H911" i="20"/>
  <c r="I911" i="20"/>
  <c r="J911" i="20"/>
  <c r="F912" i="20"/>
  <c r="G912" i="20"/>
  <c r="H912" i="20"/>
  <c r="I912" i="20"/>
  <c r="J912" i="20"/>
  <c r="F913" i="20"/>
  <c r="G913" i="20"/>
  <c r="H913" i="20"/>
  <c r="I913" i="20"/>
  <c r="J913" i="20"/>
  <c r="F914" i="20"/>
  <c r="G914" i="20"/>
  <c r="H914" i="20"/>
  <c r="I914" i="20"/>
  <c r="J914" i="20"/>
  <c r="F915" i="20"/>
  <c r="G915" i="20"/>
  <c r="H915" i="20"/>
  <c r="I915" i="20"/>
  <c r="J915" i="20"/>
  <c r="F916" i="20"/>
  <c r="G916" i="20"/>
  <c r="H916" i="20"/>
  <c r="I916" i="20"/>
  <c r="J916" i="20"/>
  <c r="F917" i="20"/>
  <c r="G917" i="20"/>
  <c r="H917" i="20"/>
  <c r="I917" i="20"/>
  <c r="J917" i="20"/>
  <c r="F918" i="20"/>
  <c r="G918" i="20"/>
  <c r="H918" i="20"/>
  <c r="I918" i="20"/>
  <c r="J918" i="20"/>
  <c r="F919" i="20"/>
  <c r="G919" i="20"/>
  <c r="H919" i="20"/>
  <c r="I919" i="20"/>
  <c r="J919" i="20"/>
  <c r="F920" i="20"/>
  <c r="G920" i="20"/>
  <c r="H920" i="20"/>
  <c r="I920" i="20"/>
  <c r="J920" i="20"/>
  <c r="F921" i="20"/>
  <c r="G921" i="20"/>
  <c r="H921" i="20"/>
  <c r="I921" i="20"/>
  <c r="J921" i="20"/>
  <c r="F922" i="20"/>
  <c r="G922" i="20"/>
  <c r="H922" i="20"/>
  <c r="I922" i="20"/>
  <c r="J922" i="20"/>
  <c r="F923" i="20"/>
  <c r="G923" i="20"/>
  <c r="H923" i="20"/>
  <c r="I923" i="20"/>
  <c r="J923" i="20"/>
  <c r="F924" i="20"/>
  <c r="G924" i="20"/>
  <c r="H924" i="20"/>
  <c r="I924" i="20"/>
  <c r="J924" i="20"/>
  <c r="F925" i="20"/>
  <c r="G925" i="20"/>
  <c r="H925" i="20"/>
  <c r="I925" i="20"/>
  <c r="J925" i="20"/>
  <c r="F926" i="20"/>
  <c r="G926" i="20"/>
  <c r="H926" i="20"/>
  <c r="I926" i="20"/>
  <c r="J926" i="20"/>
  <c r="F927" i="20"/>
  <c r="G927" i="20"/>
  <c r="H927" i="20"/>
  <c r="I927" i="20"/>
  <c r="J927" i="20"/>
  <c r="F928" i="20"/>
  <c r="G928" i="20"/>
  <c r="H928" i="20"/>
  <c r="I928" i="20"/>
  <c r="J928" i="20"/>
  <c r="F929" i="20"/>
  <c r="G929" i="20"/>
  <c r="H929" i="20"/>
  <c r="I929" i="20"/>
  <c r="J929" i="20"/>
  <c r="F930" i="20"/>
  <c r="G930" i="20"/>
  <c r="H930" i="20"/>
  <c r="I930" i="20"/>
  <c r="J930" i="20"/>
  <c r="F931" i="20"/>
  <c r="G931" i="20"/>
  <c r="H931" i="20"/>
  <c r="I931" i="20"/>
  <c r="J931" i="20"/>
  <c r="F932" i="20"/>
  <c r="G932" i="20"/>
  <c r="H932" i="20"/>
  <c r="I932" i="20"/>
  <c r="J932" i="20"/>
  <c r="F933" i="20"/>
  <c r="G933" i="20"/>
  <c r="H933" i="20"/>
  <c r="I933" i="20"/>
  <c r="J933" i="20"/>
  <c r="F934" i="20"/>
  <c r="G934" i="20"/>
  <c r="H934" i="20"/>
  <c r="I934" i="20"/>
  <c r="J934" i="20"/>
  <c r="F935" i="20"/>
  <c r="G935" i="20"/>
  <c r="H935" i="20"/>
  <c r="I935" i="20"/>
  <c r="J935" i="20"/>
  <c r="F936" i="20"/>
  <c r="G936" i="20"/>
  <c r="H936" i="20"/>
  <c r="I936" i="20"/>
  <c r="J936" i="20"/>
  <c r="F937" i="20"/>
  <c r="G937" i="20"/>
  <c r="H937" i="20"/>
  <c r="I937" i="20"/>
  <c r="J937" i="20"/>
  <c r="F938" i="20"/>
  <c r="G938" i="20"/>
  <c r="H938" i="20"/>
  <c r="I938" i="20"/>
  <c r="J938" i="20"/>
  <c r="F939" i="20"/>
  <c r="G939" i="20"/>
  <c r="H939" i="20"/>
  <c r="I939" i="20"/>
  <c r="J939" i="20"/>
  <c r="F940" i="20"/>
  <c r="G940" i="20"/>
  <c r="H940" i="20"/>
  <c r="I940" i="20"/>
  <c r="J940" i="20"/>
  <c r="F941" i="20"/>
  <c r="G941" i="20"/>
  <c r="H941" i="20"/>
  <c r="I941" i="20"/>
  <c r="J941" i="20"/>
  <c r="F942" i="20"/>
  <c r="G942" i="20"/>
  <c r="H942" i="20"/>
  <c r="I942" i="20"/>
  <c r="J942" i="20"/>
  <c r="F943" i="20"/>
  <c r="G943" i="20"/>
  <c r="H943" i="20"/>
  <c r="I943" i="20"/>
  <c r="J943" i="20"/>
  <c r="F944" i="20"/>
  <c r="G944" i="20"/>
  <c r="H944" i="20"/>
  <c r="I944" i="20"/>
  <c r="J944" i="20"/>
  <c r="F945" i="20"/>
  <c r="G945" i="20"/>
  <c r="H945" i="20"/>
  <c r="I945" i="20"/>
  <c r="J945" i="20"/>
  <c r="F946" i="20"/>
  <c r="G946" i="20"/>
  <c r="H946" i="20"/>
  <c r="I946" i="20"/>
  <c r="J946" i="20"/>
  <c r="F947" i="20"/>
  <c r="G947" i="20"/>
  <c r="H947" i="20"/>
  <c r="I947" i="20"/>
  <c r="J947" i="20"/>
  <c r="F948" i="20"/>
  <c r="G948" i="20"/>
  <c r="H948" i="20"/>
  <c r="I948" i="20"/>
  <c r="J948" i="20"/>
  <c r="F949" i="20"/>
  <c r="G949" i="20"/>
  <c r="H949" i="20"/>
  <c r="I949" i="20"/>
  <c r="J949" i="20"/>
  <c r="F950" i="20"/>
  <c r="G950" i="20"/>
  <c r="H950" i="20"/>
  <c r="I950" i="20"/>
  <c r="J950" i="20"/>
  <c r="F951" i="20"/>
  <c r="G951" i="20"/>
  <c r="H951" i="20"/>
  <c r="I951" i="20"/>
  <c r="J951" i="20"/>
  <c r="F952" i="20"/>
  <c r="G952" i="20"/>
  <c r="H952" i="20"/>
  <c r="I952" i="20"/>
  <c r="J952" i="20"/>
  <c r="F953" i="20"/>
  <c r="G953" i="20"/>
  <c r="H953" i="20"/>
  <c r="I953" i="20"/>
  <c r="J953" i="20"/>
  <c r="F954" i="20"/>
  <c r="G954" i="20"/>
  <c r="H954" i="20"/>
  <c r="I954" i="20"/>
  <c r="J954" i="20"/>
  <c r="F955" i="20"/>
  <c r="G955" i="20"/>
  <c r="H955" i="20"/>
  <c r="I955" i="20"/>
  <c r="J955" i="20"/>
  <c r="F956" i="20"/>
  <c r="G956" i="20"/>
  <c r="H956" i="20"/>
  <c r="I956" i="20"/>
  <c r="J956" i="20"/>
  <c r="F957" i="20"/>
  <c r="G957" i="20"/>
  <c r="H957" i="20"/>
  <c r="I957" i="20"/>
  <c r="J957" i="20"/>
  <c r="F958" i="20"/>
  <c r="G958" i="20"/>
  <c r="H958" i="20"/>
  <c r="I958" i="20"/>
  <c r="J958" i="20"/>
  <c r="F959" i="20"/>
  <c r="G959" i="20"/>
  <c r="H959" i="20"/>
  <c r="I959" i="20"/>
  <c r="J959" i="20"/>
  <c r="F960" i="20"/>
  <c r="G960" i="20"/>
  <c r="H960" i="20"/>
  <c r="I960" i="20"/>
  <c r="J960" i="20"/>
  <c r="F961" i="20"/>
  <c r="G961" i="20"/>
  <c r="H961" i="20"/>
  <c r="I961" i="20"/>
  <c r="J961" i="20"/>
  <c r="F962" i="20"/>
  <c r="G962" i="20"/>
  <c r="H962" i="20"/>
  <c r="I962" i="20"/>
  <c r="J962" i="20"/>
  <c r="F963" i="20"/>
  <c r="G963" i="20"/>
  <c r="H963" i="20"/>
  <c r="I963" i="20"/>
  <c r="J963" i="20"/>
  <c r="F964" i="20"/>
  <c r="G964" i="20"/>
  <c r="H964" i="20"/>
  <c r="I964" i="20"/>
  <c r="J964" i="20"/>
  <c r="F965" i="20"/>
  <c r="G965" i="20"/>
  <c r="H965" i="20"/>
  <c r="I965" i="20"/>
  <c r="J965" i="20"/>
  <c r="F966" i="20"/>
  <c r="G966" i="20"/>
  <c r="H966" i="20"/>
  <c r="I966" i="20"/>
  <c r="J966" i="20"/>
  <c r="F967" i="20"/>
  <c r="G967" i="20"/>
  <c r="H967" i="20"/>
  <c r="I967" i="20"/>
  <c r="J967" i="20"/>
  <c r="F968" i="20"/>
  <c r="G968" i="20"/>
  <c r="H968" i="20"/>
  <c r="I968" i="20"/>
  <c r="J968" i="20"/>
  <c r="F969" i="20"/>
  <c r="G969" i="20"/>
  <c r="H969" i="20"/>
  <c r="I969" i="20"/>
  <c r="J969" i="20"/>
  <c r="F970" i="20"/>
  <c r="G970" i="20"/>
  <c r="H970" i="20"/>
  <c r="I970" i="20"/>
  <c r="J970" i="20"/>
  <c r="F971" i="20"/>
  <c r="G971" i="20"/>
  <c r="H971" i="20"/>
  <c r="I971" i="20"/>
  <c r="J971" i="20"/>
  <c r="F972" i="20"/>
  <c r="G972" i="20"/>
  <c r="H972" i="20"/>
  <c r="I972" i="20"/>
  <c r="J972" i="20"/>
  <c r="F973" i="20"/>
  <c r="G973" i="20"/>
  <c r="H973" i="20"/>
  <c r="I973" i="20"/>
  <c r="J973" i="20"/>
  <c r="F974" i="20"/>
  <c r="G974" i="20"/>
  <c r="H974" i="20"/>
  <c r="I974" i="20"/>
  <c r="J974" i="20"/>
  <c r="F975" i="20"/>
  <c r="G975" i="20"/>
  <c r="H975" i="20"/>
  <c r="I975" i="20"/>
  <c r="J975" i="20"/>
  <c r="F976" i="20"/>
  <c r="G976" i="20"/>
  <c r="H976" i="20"/>
  <c r="I976" i="20"/>
  <c r="J976" i="20"/>
  <c r="F977" i="20"/>
  <c r="G977" i="20"/>
  <c r="H977" i="20"/>
  <c r="I977" i="20"/>
  <c r="J977" i="20"/>
  <c r="F978" i="20"/>
  <c r="G978" i="20"/>
  <c r="H978" i="20"/>
  <c r="I978" i="20"/>
  <c r="J978" i="20"/>
  <c r="F979" i="20"/>
  <c r="G979" i="20"/>
  <c r="H979" i="20"/>
  <c r="I979" i="20"/>
  <c r="J979" i="20"/>
  <c r="F980" i="20"/>
  <c r="G980" i="20"/>
  <c r="H980" i="20"/>
  <c r="I980" i="20"/>
  <c r="J980" i="20"/>
  <c r="F981" i="20"/>
  <c r="G981" i="20"/>
  <c r="H981" i="20"/>
  <c r="I981" i="20"/>
  <c r="J981" i="20"/>
  <c r="F982" i="20"/>
  <c r="G982" i="20"/>
  <c r="H982" i="20"/>
  <c r="I982" i="20"/>
  <c r="J982" i="20"/>
  <c r="F983" i="20"/>
  <c r="G983" i="20"/>
  <c r="H983" i="20"/>
  <c r="I983" i="20"/>
  <c r="J983" i="20"/>
  <c r="F984" i="20"/>
  <c r="G984" i="20"/>
  <c r="H984" i="20"/>
  <c r="I984" i="20"/>
  <c r="J984" i="20"/>
  <c r="F985" i="20"/>
  <c r="G985" i="20"/>
  <c r="H985" i="20"/>
  <c r="I985" i="20"/>
  <c r="J985" i="20"/>
  <c r="F986" i="20"/>
  <c r="G986" i="20"/>
  <c r="H986" i="20"/>
  <c r="I986" i="20"/>
  <c r="J986" i="20"/>
  <c r="F987" i="20"/>
  <c r="G987" i="20"/>
  <c r="H987" i="20"/>
  <c r="I987" i="20"/>
  <c r="J987" i="20"/>
  <c r="F988" i="20"/>
  <c r="G988" i="20"/>
  <c r="H988" i="20"/>
  <c r="I988" i="20"/>
  <c r="J988" i="20"/>
  <c r="F989" i="20"/>
  <c r="G989" i="20"/>
  <c r="H989" i="20"/>
  <c r="I989" i="20"/>
  <c r="J989" i="20"/>
  <c r="F990" i="20"/>
  <c r="G990" i="20"/>
  <c r="H990" i="20"/>
  <c r="I990" i="20"/>
  <c r="J990" i="20"/>
  <c r="F991" i="20"/>
  <c r="G991" i="20"/>
  <c r="H991" i="20"/>
  <c r="I991" i="20"/>
  <c r="J991" i="20"/>
  <c r="F992" i="20"/>
  <c r="G992" i="20"/>
  <c r="H992" i="20"/>
  <c r="I992" i="20"/>
  <c r="J992" i="20"/>
  <c r="F993" i="20"/>
  <c r="G993" i="20"/>
  <c r="H993" i="20"/>
  <c r="I993" i="20"/>
  <c r="J993" i="20"/>
  <c r="F994" i="20"/>
  <c r="G994" i="20"/>
  <c r="H994" i="20"/>
  <c r="I994" i="20"/>
  <c r="J994" i="20"/>
  <c r="F995" i="20"/>
  <c r="G995" i="20"/>
  <c r="H995" i="20"/>
  <c r="I995" i="20"/>
  <c r="J995" i="20"/>
  <c r="F996" i="20"/>
  <c r="G996" i="20"/>
  <c r="H996" i="20"/>
  <c r="I996" i="20"/>
  <c r="J996" i="20"/>
  <c r="F997" i="20"/>
  <c r="G997" i="20"/>
  <c r="H997" i="20"/>
  <c r="I997" i="20"/>
  <c r="J997" i="20"/>
  <c r="F998" i="20"/>
  <c r="G998" i="20"/>
  <c r="H998" i="20"/>
  <c r="I998" i="20"/>
  <c r="J998" i="20"/>
  <c r="F999" i="20"/>
  <c r="G999" i="20"/>
  <c r="H999" i="20"/>
  <c r="I999" i="20"/>
  <c r="J999" i="20"/>
  <c r="F1000" i="20"/>
  <c r="G1000" i="20"/>
  <c r="H1000" i="20"/>
  <c r="I1000" i="20"/>
  <c r="J1000" i="20"/>
  <c r="F1001" i="20"/>
  <c r="G1001" i="20"/>
  <c r="H1001" i="20"/>
  <c r="I1001" i="20"/>
  <c r="J1001" i="20"/>
  <c r="F1002" i="20"/>
  <c r="G1002" i="20"/>
  <c r="H1002" i="20"/>
  <c r="I1002" i="20"/>
  <c r="J1002" i="20"/>
  <c r="F1003" i="20"/>
  <c r="G1003" i="20"/>
  <c r="H1003" i="20"/>
  <c r="I1003" i="20"/>
  <c r="J1003" i="20"/>
  <c r="F1004" i="20"/>
  <c r="G1004" i="20"/>
  <c r="H1004" i="20"/>
  <c r="I1004" i="20"/>
  <c r="J1004" i="20"/>
  <c r="F1005" i="20"/>
  <c r="G1005" i="20"/>
  <c r="H1005" i="20"/>
  <c r="I1005" i="20"/>
  <c r="J1005" i="20"/>
  <c r="F1006" i="20"/>
  <c r="G1006" i="20"/>
  <c r="H1006" i="20"/>
  <c r="I1006" i="20"/>
  <c r="J1006" i="20"/>
  <c r="F1007" i="20"/>
  <c r="G1007" i="20"/>
  <c r="H1007" i="20"/>
  <c r="I1007" i="20"/>
  <c r="J1007" i="20"/>
  <c r="F1008" i="20"/>
  <c r="G1008" i="20"/>
  <c r="H1008" i="20"/>
  <c r="I1008" i="20"/>
  <c r="J1008" i="20"/>
  <c r="F1009" i="20"/>
  <c r="G1009" i="20"/>
  <c r="H1009" i="20"/>
  <c r="I1009" i="20"/>
  <c r="J1009" i="20"/>
  <c r="F1010" i="20"/>
  <c r="G1010" i="20"/>
  <c r="H1010" i="20"/>
  <c r="I1010" i="20"/>
  <c r="J1010" i="20"/>
  <c r="F1011" i="20"/>
  <c r="G1011" i="20"/>
  <c r="H1011" i="20"/>
  <c r="I1011" i="20"/>
  <c r="J1011" i="20"/>
  <c r="F1012" i="20"/>
  <c r="G1012" i="20"/>
  <c r="H1012" i="20"/>
  <c r="I1012" i="20"/>
  <c r="J1012" i="20"/>
  <c r="F1013" i="20"/>
  <c r="G1013" i="20"/>
  <c r="H1013" i="20"/>
  <c r="I1013" i="20"/>
  <c r="J1013" i="20"/>
  <c r="F1014" i="20"/>
  <c r="G1014" i="20"/>
  <c r="H1014" i="20"/>
  <c r="I1014" i="20"/>
  <c r="J1014" i="20"/>
  <c r="F1015" i="20"/>
  <c r="G1015" i="20"/>
  <c r="H1015" i="20"/>
  <c r="I1015" i="20"/>
  <c r="J1015" i="20"/>
  <c r="F1016" i="20"/>
  <c r="G1016" i="20"/>
  <c r="H1016" i="20"/>
  <c r="I1016" i="20"/>
  <c r="J1016" i="20"/>
  <c r="F1017" i="20"/>
  <c r="G1017" i="20"/>
  <c r="H1017" i="20"/>
  <c r="I1017" i="20"/>
  <c r="J1017" i="20"/>
  <c r="F1018" i="20"/>
  <c r="G1018" i="20"/>
  <c r="H1018" i="20"/>
  <c r="I1018" i="20"/>
  <c r="J1018" i="20"/>
  <c r="F1019" i="20"/>
  <c r="G1019" i="20"/>
  <c r="H1019" i="20"/>
  <c r="I1019" i="20"/>
  <c r="J1019" i="20"/>
  <c r="F1020" i="20"/>
  <c r="G1020" i="20"/>
  <c r="H1020" i="20"/>
  <c r="I1020" i="20"/>
  <c r="J1020" i="20"/>
  <c r="F1021" i="20"/>
  <c r="G1021" i="20"/>
  <c r="H1021" i="20"/>
  <c r="I1021" i="20"/>
  <c r="J1021" i="20"/>
  <c r="F1022" i="20"/>
  <c r="G1022" i="20"/>
  <c r="H1022" i="20"/>
  <c r="I1022" i="20"/>
  <c r="J1022" i="20"/>
  <c r="F1023" i="20"/>
  <c r="G1023" i="20"/>
  <c r="H1023" i="20"/>
  <c r="I1023" i="20"/>
  <c r="J1023" i="20"/>
  <c r="F1024" i="20"/>
  <c r="G1024" i="20"/>
  <c r="H1024" i="20"/>
  <c r="I1024" i="20"/>
  <c r="J1024" i="20"/>
  <c r="F1025" i="20"/>
  <c r="G1025" i="20"/>
  <c r="H1025" i="20"/>
  <c r="I1025" i="20"/>
  <c r="J1025" i="20"/>
  <c r="F1026" i="20"/>
  <c r="G1026" i="20"/>
  <c r="H1026" i="20"/>
  <c r="I1026" i="20"/>
  <c r="J1026" i="20"/>
  <c r="F1027" i="20"/>
  <c r="G1027" i="20"/>
  <c r="H1027" i="20"/>
  <c r="I1027" i="20"/>
  <c r="J1027" i="20"/>
  <c r="F1028" i="20"/>
  <c r="G1028" i="20"/>
  <c r="H1028" i="20"/>
  <c r="I1028" i="20"/>
  <c r="J1028" i="20"/>
  <c r="F1029" i="20"/>
  <c r="G1029" i="20"/>
  <c r="H1029" i="20"/>
  <c r="I1029" i="20"/>
  <c r="J1029" i="20"/>
  <c r="F1030" i="20"/>
  <c r="G1030" i="20"/>
  <c r="H1030" i="20"/>
  <c r="I1030" i="20"/>
  <c r="J1030" i="20"/>
  <c r="F1031" i="20"/>
  <c r="G1031" i="20"/>
  <c r="H1031" i="20"/>
  <c r="I1031" i="20"/>
  <c r="J1031" i="20"/>
  <c r="F1032" i="20"/>
  <c r="G1032" i="20"/>
  <c r="H1032" i="20"/>
  <c r="I1032" i="20"/>
  <c r="J1032" i="20"/>
  <c r="F1033" i="20"/>
  <c r="G1033" i="20"/>
  <c r="H1033" i="20"/>
  <c r="I1033" i="20"/>
  <c r="J1033" i="20"/>
  <c r="F1034" i="20"/>
  <c r="G1034" i="20"/>
  <c r="H1034" i="20"/>
  <c r="I1034" i="20"/>
  <c r="J1034" i="20"/>
  <c r="F1035" i="20"/>
  <c r="G1035" i="20"/>
  <c r="H1035" i="20"/>
  <c r="I1035" i="20"/>
  <c r="J1035" i="20"/>
  <c r="F1036" i="20"/>
  <c r="G1036" i="20"/>
  <c r="H1036" i="20"/>
  <c r="I1036" i="20"/>
  <c r="J1036" i="20"/>
  <c r="F1037" i="20"/>
  <c r="G1037" i="20"/>
  <c r="H1037" i="20"/>
  <c r="I1037" i="20"/>
  <c r="J1037" i="20"/>
  <c r="F1038" i="20"/>
  <c r="G1038" i="20"/>
  <c r="H1038" i="20"/>
  <c r="I1038" i="20"/>
  <c r="J1038" i="20"/>
  <c r="F1039" i="20"/>
  <c r="G1039" i="20"/>
  <c r="H1039" i="20"/>
  <c r="I1039" i="20"/>
  <c r="J1039" i="20"/>
  <c r="F1040" i="20"/>
  <c r="G1040" i="20"/>
  <c r="H1040" i="20"/>
  <c r="I1040" i="20"/>
  <c r="J1040" i="20"/>
  <c r="F1041" i="20"/>
  <c r="G1041" i="20"/>
  <c r="H1041" i="20"/>
  <c r="I1041" i="20"/>
  <c r="J1041" i="20"/>
  <c r="F1042" i="20"/>
  <c r="G1042" i="20"/>
  <c r="H1042" i="20"/>
  <c r="I1042" i="20"/>
  <c r="J1042" i="20"/>
  <c r="F1043" i="20"/>
  <c r="G1043" i="20"/>
  <c r="H1043" i="20"/>
  <c r="I1043" i="20"/>
  <c r="J1043" i="20"/>
  <c r="F1044" i="20"/>
  <c r="G1044" i="20"/>
  <c r="H1044" i="20"/>
  <c r="I1044" i="20"/>
  <c r="J1044" i="20"/>
  <c r="F1045" i="20"/>
  <c r="G1045" i="20"/>
  <c r="H1045" i="20"/>
  <c r="I1045" i="20"/>
  <c r="J1045" i="20"/>
  <c r="F1046" i="20"/>
  <c r="G1046" i="20"/>
  <c r="H1046" i="20"/>
  <c r="I1046" i="20"/>
  <c r="J1046" i="20"/>
  <c r="F1047" i="20"/>
  <c r="G1047" i="20"/>
  <c r="H1047" i="20"/>
  <c r="I1047" i="20"/>
  <c r="J1047" i="20"/>
  <c r="F1048" i="20"/>
  <c r="G1048" i="20"/>
  <c r="H1048" i="20"/>
  <c r="I1048" i="20"/>
  <c r="J1048" i="20"/>
  <c r="F1049" i="20"/>
  <c r="G1049" i="20"/>
  <c r="H1049" i="20"/>
  <c r="I1049" i="20"/>
  <c r="J1049" i="20"/>
  <c r="F1050" i="20"/>
  <c r="G1050" i="20"/>
  <c r="H1050" i="20"/>
  <c r="I1050" i="20"/>
  <c r="J1050" i="20"/>
  <c r="F1051" i="20"/>
  <c r="G1051" i="20"/>
  <c r="H1051" i="20"/>
  <c r="I1051" i="20"/>
  <c r="J1051" i="20"/>
  <c r="F1052" i="20"/>
  <c r="G1052" i="20"/>
  <c r="H1052" i="20"/>
  <c r="I1052" i="20"/>
  <c r="J1052" i="20"/>
  <c r="F1053" i="20"/>
  <c r="G1053" i="20"/>
  <c r="H1053" i="20"/>
  <c r="I1053" i="20"/>
  <c r="J1053" i="20"/>
  <c r="F1054" i="20"/>
  <c r="G1054" i="20"/>
  <c r="H1054" i="20"/>
  <c r="I1054" i="20"/>
  <c r="J1054" i="20"/>
  <c r="F1055" i="20"/>
  <c r="G1055" i="20"/>
  <c r="H1055" i="20"/>
  <c r="I1055" i="20"/>
  <c r="J1055" i="20"/>
  <c r="F1056" i="20"/>
  <c r="G1056" i="20"/>
  <c r="H1056" i="20"/>
  <c r="I1056" i="20"/>
  <c r="J1056" i="20"/>
  <c r="F1057" i="20"/>
  <c r="G1057" i="20"/>
  <c r="H1057" i="20"/>
  <c r="I1057" i="20"/>
  <c r="J1057" i="20"/>
  <c r="F1058" i="20"/>
  <c r="G1058" i="20"/>
  <c r="H1058" i="20"/>
  <c r="I1058" i="20"/>
  <c r="J1058" i="20"/>
  <c r="F1059" i="20"/>
  <c r="G1059" i="20"/>
  <c r="H1059" i="20"/>
  <c r="I1059" i="20"/>
  <c r="J1059" i="20"/>
  <c r="F1060" i="20"/>
  <c r="G1060" i="20"/>
  <c r="H1060" i="20"/>
  <c r="I1060" i="20"/>
  <c r="J1060" i="20"/>
  <c r="F1061" i="20"/>
  <c r="G1061" i="20"/>
  <c r="H1061" i="20"/>
  <c r="I1061" i="20"/>
  <c r="J1061" i="20"/>
  <c r="F1062" i="20"/>
  <c r="G1062" i="20"/>
  <c r="H1062" i="20"/>
  <c r="I1062" i="20"/>
  <c r="J1062" i="20"/>
  <c r="F1063" i="20"/>
  <c r="G1063" i="20"/>
  <c r="H1063" i="20"/>
  <c r="I1063" i="20"/>
  <c r="J1063" i="20"/>
  <c r="F1064" i="20"/>
  <c r="G1064" i="20"/>
  <c r="H1064" i="20"/>
  <c r="I1064" i="20"/>
  <c r="J1064" i="20"/>
  <c r="F1065" i="20"/>
  <c r="G1065" i="20"/>
  <c r="H1065" i="20"/>
  <c r="I1065" i="20"/>
  <c r="J1065" i="20"/>
  <c r="F1066" i="20"/>
  <c r="G1066" i="20"/>
  <c r="H1066" i="20"/>
  <c r="I1066" i="20"/>
  <c r="J1066" i="20"/>
  <c r="F1067" i="20"/>
  <c r="G1067" i="20"/>
  <c r="H1067" i="20"/>
  <c r="I1067" i="20"/>
  <c r="J1067" i="20"/>
  <c r="F1068" i="20"/>
  <c r="G1068" i="20"/>
  <c r="H1068" i="20"/>
  <c r="I1068" i="20"/>
  <c r="J1068" i="20"/>
  <c r="F1069" i="20"/>
  <c r="G1069" i="20"/>
  <c r="H1069" i="20"/>
  <c r="I1069" i="20"/>
  <c r="J1069" i="20"/>
  <c r="F1070" i="20"/>
  <c r="G1070" i="20"/>
  <c r="H1070" i="20"/>
  <c r="I1070" i="20"/>
  <c r="J1070" i="20"/>
  <c r="F1071" i="20"/>
  <c r="G1071" i="20"/>
  <c r="H1071" i="20"/>
  <c r="I1071" i="20"/>
  <c r="J1071" i="20"/>
  <c r="F1072" i="20"/>
  <c r="G1072" i="20"/>
  <c r="H1072" i="20"/>
  <c r="I1072" i="20"/>
  <c r="J1072" i="20"/>
  <c r="F1073" i="20"/>
  <c r="G1073" i="20"/>
  <c r="H1073" i="20"/>
  <c r="I1073" i="20"/>
  <c r="J1073" i="20"/>
  <c r="F1074" i="20"/>
  <c r="G1074" i="20"/>
  <c r="H1074" i="20"/>
  <c r="I1074" i="20"/>
  <c r="J1074" i="20"/>
  <c r="F1075" i="20"/>
  <c r="G1075" i="20"/>
  <c r="H1075" i="20"/>
  <c r="I1075" i="20"/>
  <c r="J1075" i="20"/>
  <c r="F1076" i="20"/>
  <c r="G1076" i="20"/>
  <c r="H1076" i="20"/>
  <c r="I1076" i="20"/>
  <c r="J1076" i="20"/>
  <c r="F1077" i="20"/>
  <c r="G1077" i="20"/>
  <c r="H1077" i="20"/>
  <c r="I1077" i="20"/>
  <c r="J1077" i="20"/>
  <c r="F1078" i="20"/>
  <c r="G1078" i="20"/>
  <c r="H1078" i="20"/>
  <c r="I1078" i="20"/>
  <c r="J1078" i="20"/>
  <c r="F1079" i="20"/>
  <c r="G1079" i="20"/>
  <c r="H1079" i="20"/>
  <c r="I1079" i="20"/>
  <c r="J1079" i="20"/>
  <c r="F1080" i="20"/>
  <c r="G1080" i="20"/>
  <c r="H1080" i="20"/>
  <c r="I1080" i="20"/>
  <c r="J1080" i="20"/>
  <c r="F1081" i="20"/>
  <c r="G1081" i="20"/>
  <c r="H1081" i="20"/>
  <c r="I1081" i="20"/>
  <c r="J1081" i="20"/>
  <c r="F1082" i="20"/>
  <c r="G1082" i="20"/>
  <c r="H1082" i="20"/>
  <c r="I1082" i="20"/>
  <c r="J1082" i="20"/>
  <c r="F1083" i="20"/>
  <c r="G1083" i="20"/>
  <c r="H1083" i="20"/>
  <c r="I1083" i="20"/>
  <c r="J1083" i="20"/>
  <c r="F1084" i="20"/>
  <c r="G1084" i="20"/>
  <c r="H1084" i="20"/>
  <c r="I1084" i="20"/>
  <c r="J1084" i="20"/>
  <c r="F1085" i="20"/>
  <c r="G1085" i="20"/>
  <c r="H1085" i="20"/>
  <c r="I1085" i="20"/>
  <c r="J1085" i="20"/>
  <c r="F1086" i="20"/>
  <c r="G1086" i="20"/>
  <c r="H1086" i="20"/>
  <c r="I1086" i="20"/>
  <c r="J1086" i="20"/>
  <c r="F1087" i="20"/>
  <c r="G1087" i="20"/>
  <c r="H1087" i="20"/>
  <c r="I1087" i="20"/>
  <c r="J1087" i="20"/>
  <c r="F1088" i="20"/>
  <c r="G1088" i="20"/>
  <c r="H1088" i="20"/>
  <c r="I1088" i="20"/>
  <c r="J1088" i="20"/>
  <c r="F1089" i="20"/>
  <c r="G1089" i="20"/>
  <c r="H1089" i="20"/>
  <c r="I1089" i="20"/>
  <c r="J1089" i="20"/>
  <c r="F1090" i="20"/>
  <c r="G1090" i="20"/>
  <c r="H1090" i="20"/>
  <c r="I1090" i="20"/>
  <c r="J1090" i="20"/>
  <c r="F1091" i="20"/>
  <c r="G1091" i="20"/>
  <c r="H1091" i="20"/>
  <c r="I1091" i="20"/>
  <c r="J1091" i="20"/>
  <c r="F1092" i="20"/>
  <c r="G1092" i="20"/>
  <c r="H1092" i="20"/>
  <c r="I1092" i="20"/>
  <c r="J1092" i="20"/>
  <c r="F1093" i="20"/>
  <c r="G1093" i="20"/>
  <c r="H1093" i="20"/>
  <c r="I1093" i="20"/>
  <c r="J1093" i="20"/>
  <c r="F1094" i="20"/>
  <c r="G1094" i="20"/>
  <c r="H1094" i="20"/>
  <c r="I1094" i="20"/>
  <c r="J1094" i="20"/>
  <c r="F1095" i="20"/>
  <c r="G1095" i="20"/>
  <c r="H1095" i="20"/>
  <c r="I1095" i="20"/>
  <c r="J1095" i="20"/>
  <c r="F1096" i="20"/>
  <c r="G1096" i="20"/>
  <c r="H1096" i="20"/>
  <c r="I1096" i="20"/>
  <c r="J1096" i="20"/>
  <c r="F1097" i="20"/>
  <c r="G1097" i="20"/>
  <c r="H1097" i="20"/>
  <c r="I1097" i="20"/>
  <c r="J1097" i="20"/>
  <c r="F1098" i="20"/>
  <c r="G1098" i="20"/>
  <c r="H1098" i="20"/>
  <c r="I1098" i="20"/>
  <c r="J1098" i="20"/>
  <c r="F1099" i="20"/>
  <c r="G1099" i="20"/>
  <c r="H1099" i="20"/>
  <c r="I1099" i="20"/>
  <c r="J1099" i="20"/>
  <c r="F1100" i="20"/>
  <c r="G1100" i="20"/>
  <c r="H1100" i="20"/>
  <c r="I1100" i="20"/>
  <c r="J1100" i="20"/>
  <c r="F1101" i="20"/>
  <c r="G1101" i="20"/>
  <c r="H1101" i="20"/>
  <c r="I1101" i="20"/>
  <c r="J1101" i="20"/>
  <c r="F1102" i="20"/>
  <c r="G1102" i="20"/>
  <c r="H1102" i="20"/>
  <c r="I1102" i="20"/>
  <c r="J1102" i="20"/>
  <c r="F1103" i="20"/>
  <c r="G1103" i="20"/>
  <c r="H1103" i="20"/>
  <c r="I1103" i="20"/>
  <c r="J1103" i="20"/>
  <c r="F1104" i="20"/>
  <c r="G1104" i="20"/>
  <c r="H1104" i="20"/>
  <c r="I1104" i="20"/>
  <c r="J1104" i="20"/>
  <c r="F1105" i="20"/>
  <c r="G1105" i="20"/>
  <c r="H1105" i="20"/>
  <c r="I1105" i="20"/>
  <c r="J1105" i="20"/>
  <c r="F1106" i="20"/>
  <c r="G1106" i="20"/>
  <c r="H1106" i="20"/>
  <c r="I1106" i="20"/>
  <c r="J1106" i="20"/>
  <c r="F1107" i="20"/>
  <c r="G1107" i="20"/>
  <c r="H1107" i="20"/>
  <c r="I1107" i="20"/>
  <c r="J1107" i="20"/>
  <c r="F1108" i="20"/>
  <c r="G1108" i="20"/>
  <c r="H1108" i="20"/>
  <c r="I1108" i="20"/>
  <c r="J1108" i="20"/>
  <c r="F1109" i="20"/>
  <c r="G1109" i="20"/>
  <c r="H1109" i="20"/>
  <c r="I1109" i="20"/>
  <c r="J1109" i="20"/>
  <c r="F1110" i="20"/>
  <c r="G1110" i="20"/>
  <c r="H1110" i="20"/>
  <c r="I1110" i="20"/>
  <c r="J1110" i="20"/>
  <c r="F1111" i="20"/>
  <c r="G1111" i="20"/>
  <c r="H1111" i="20"/>
  <c r="I1111" i="20"/>
  <c r="J1111" i="20"/>
  <c r="F1112" i="20"/>
  <c r="G1112" i="20"/>
  <c r="H1112" i="20"/>
  <c r="I1112" i="20"/>
  <c r="J1112" i="20"/>
  <c r="F1113" i="20"/>
  <c r="G1113" i="20"/>
  <c r="H1113" i="20"/>
  <c r="I1113" i="20"/>
  <c r="J1113" i="20"/>
  <c r="F1114" i="20"/>
  <c r="G1114" i="20"/>
  <c r="H1114" i="20"/>
  <c r="I1114" i="20"/>
  <c r="J1114" i="20"/>
  <c r="F1115" i="20"/>
  <c r="G1115" i="20"/>
  <c r="H1115" i="20"/>
  <c r="I1115" i="20"/>
  <c r="J1115" i="20"/>
  <c r="F1116" i="20"/>
  <c r="G1116" i="20"/>
  <c r="H1116" i="20"/>
  <c r="I1116" i="20"/>
  <c r="J1116" i="20"/>
  <c r="F1117" i="20"/>
  <c r="G1117" i="20"/>
  <c r="H1117" i="20"/>
  <c r="I1117" i="20"/>
  <c r="J1117" i="20"/>
  <c r="F1118" i="20"/>
  <c r="G1118" i="20"/>
  <c r="H1118" i="20"/>
  <c r="I1118" i="20"/>
  <c r="J1118" i="20"/>
  <c r="F1119" i="20"/>
  <c r="G1119" i="20"/>
  <c r="H1119" i="20"/>
  <c r="I1119" i="20"/>
  <c r="J1119" i="20"/>
  <c r="F1120" i="20"/>
  <c r="G1120" i="20"/>
  <c r="H1120" i="20"/>
  <c r="I1120" i="20"/>
  <c r="J1120" i="20"/>
  <c r="F1121" i="20"/>
  <c r="G1121" i="20"/>
  <c r="H1121" i="20"/>
  <c r="I1121" i="20"/>
  <c r="J1121" i="20"/>
  <c r="F1122" i="20"/>
  <c r="G1122" i="20"/>
  <c r="H1122" i="20"/>
  <c r="I1122" i="20"/>
  <c r="J1122" i="20"/>
  <c r="F1123" i="20"/>
  <c r="G1123" i="20"/>
  <c r="H1123" i="20"/>
  <c r="I1123" i="20"/>
  <c r="J1123" i="20"/>
  <c r="F1124" i="20"/>
  <c r="G1124" i="20"/>
  <c r="H1124" i="20"/>
  <c r="I1124" i="20"/>
  <c r="J1124" i="20"/>
  <c r="F1125" i="20"/>
  <c r="G1125" i="20"/>
  <c r="H1125" i="20"/>
  <c r="I1125" i="20"/>
  <c r="J1125" i="20"/>
  <c r="F1126" i="20"/>
  <c r="G1126" i="20"/>
  <c r="H1126" i="20"/>
  <c r="I1126" i="20"/>
  <c r="J1126" i="20"/>
  <c r="F1127" i="20"/>
  <c r="G1127" i="20"/>
  <c r="H1127" i="20"/>
  <c r="I1127" i="20"/>
  <c r="J1127" i="20"/>
  <c r="F1128" i="20"/>
  <c r="G1128" i="20"/>
  <c r="H1128" i="20"/>
  <c r="I1128" i="20"/>
  <c r="J1128" i="20"/>
  <c r="F1129" i="20"/>
  <c r="G1129" i="20"/>
  <c r="H1129" i="20"/>
  <c r="I1129" i="20"/>
  <c r="J1129" i="20"/>
  <c r="F1130" i="20"/>
  <c r="G1130" i="20"/>
  <c r="H1130" i="20"/>
  <c r="I1130" i="20"/>
  <c r="J1130" i="20"/>
  <c r="F1131" i="20"/>
  <c r="G1131" i="20"/>
  <c r="H1131" i="20"/>
  <c r="I1131" i="20"/>
  <c r="J1131" i="20"/>
  <c r="F1132" i="20"/>
  <c r="G1132" i="20"/>
  <c r="H1132" i="20"/>
  <c r="I1132" i="20"/>
  <c r="J1132" i="20"/>
  <c r="F1133" i="20"/>
  <c r="G1133" i="20"/>
  <c r="H1133" i="20"/>
  <c r="I1133" i="20"/>
  <c r="J1133" i="20"/>
  <c r="F1134" i="20"/>
  <c r="G1134" i="20"/>
  <c r="H1134" i="20"/>
  <c r="I1134" i="20"/>
  <c r="J1134" i="20"/>
  <c r="F1135" i="20"/>
  <c r="G1135" i="20"/>
  <c r="H1135" i="20"/>
  <c r="I1135" i="20"/>
  <c r="J1135" i="20"/>
  <c r="F1136" i="20"/>
  <c r="G1136" i="20"/>
  <c r="H1136" i="20"/>
  <c r="I1136" i="20"/>
  <c r="J1136" i="20"/>
  <c r="F1137" i="20"/>
  <c r="G1137" i="20"/>
  <c r="H1137" i="20"/>
  <c r="I1137" i="20"/>
  <c r="J1137" i="20"/>
  <c r="F1138" i="20"/>
  <c r="G1138" i="20"/>
  <c r="H1138" i="20"/>
  <c r="I1138" i="20"/>
  <c r="J1138" i="20"/>
  <c r="F1139" i="20"/>
  <c r="G1139" i="20"/>
  <c r="H1139" i="20"/>
  <c r="I1139" i="20"/>
  <c r="J1139" i="20"/>
  <c r="F1140" i="20"/>
  <c r="G1140" i="20"/>
  <c r="H1140" i="20"/>
  <c r="I1140" i="20"/>
  <c r="J1140" i="20"/>
  <c r="F1141" i="20"/>
  <c r="G1141" i="20"/>
  <c r="H1141" i="20"/>
  <c r="I1141" i="20"/>
  <c r="J1141" i="20"/>
  <c r="F1142" i="20"/>
  <c r="G1142" i="20"/>
  <c r="H1142" i="20"/>
  <c r="I1142" i="20"/>
  <c r="J1142" i="20"/>
  <c r="F1143" i="20"/>
  <c r="G1143" i="20"/>
  <c r="H1143" i="20"/>
  <c r="I1143" i="20"/>
  <c r="J1143" i="20"/>
  <c r="F1144" i="20"/>
  <c r="G1144" i="20"/>
  <c r="H1144" i="20"/>
  <c r="I1144" i="20"/>
  <c r="J1144" i="20"/>
  <c r="F1145" i="20"/>
  <c r="G1145" i="20"/>
  <c r="H1145" i="20"/>
  <c r="I1145" i="20"/>
  <c r="J1145" i="20"/>
  <c r="F1146" i="20"/>
  <c r="G1146" i="20"/>
  <c r="H1146" i="20"/>
  <c r="I1146" i="20"/>
  <c r="J1146" i="20"/>
  <c r="F1147" i="20"/>
  <c r="G1147" i="20"/>
  <c r="H1147" i="20"/>
  <c r="I1147" i="20"/>
  <c r="J1147" i="20"/>
  <c r="C97" i="25"/>
  <c r="C98" i="25"/>
  <c r="C99" i="25"/>
  <c r="C100" i="25"/>
  <c r="F574" i="50"/>
  <c r="F575" i="50"/>
  <c r="F576" i="50"/>
  <c r="F577" i="50"/>
  <c r="J575" i="50" s="1"/>
  <c r="F578" i="50"/>
  <c r="I577" i="50" s="1"/>
  <c r="F579" i="50"/>
  <c r="F580" i="50"/>
  <c r="F581" i="50"/>
  <c r="F582" i="50"/>
  <c r="F584" i="50"/>
  <c r="F585" i="50"/>
  <c r="F586" i="50"/>
  <c r="F583" i="50"/>
  <c r="H575" i="50" s="1"/>
  <c r="E575" i="50"/>
  <c r="E576" i="50"/>
  <c r="E577" i="50"/>
  <c r="E578" i="50"/>
  <c r="E579" i="50"/>
  <c r="E580" i="50"/>
  <c r="E581" i="50"/>
  <c r="E582" i="50"/>
  <c r="E583" i="50"/>
  <c r="E584" i="50"/>
  <c r="E585" i="50"/>
  <c r="E586" i="50"/>
  <c r="E574" i="50"/>
  <c r="Z3" i="13"/>
  <c r="Z4" i="13"/>
  <c r="Z5" i="13"/>
  <c r="Z2" i="13"/>
  <c r="Y3" i="13"/>
  <c r="Y4" i="13"/>
  <c r="Y2" i="13"/>
  <c r="AA3" i="13"/>
  <c r="AA4" i="13"/>
  <c r="AA5" i="13"/>
  <c r="AA6" i="13"/>
  <c r="AA2" i="13"/>
  <c r="X3" i="13"/>
  <c r="X2" i="13"/>
  <c r="G1399" i="19"/>
  <c r="F1399" i="19"/>
  <c r="E1399" i="19"/>
  <c r="D1399" i="19"/>
  <c r="C1399" i="19"/>
  <c r="B1399" i="19"/>
  <c r="A1399" i="19"/>
  <c r="G1398" i="19"/>
  <c r="F1398" i="19"/>
  <c r="E1398" i="19"/>
  <c r="D1398" i="19"/>
  <c r="C1398" i="19"/>
  <c r="B1398" i="19"/>
  <c r="A1398" i="19"/>
  <c r="M1397" i="19"/>
  <c r="L1397" i="19"/>
  <c r="K1397" i="19"/>
  <c r="J1397" i="19"/>
  <c r="I1397" i="19"/>
  <c r="H1397" i="19"/>
  <c r="G1397" i="19"/>
  <c r="F1397" i="19"/>
  <c r="E1397" i="19"/>
  <c r="D1397" i="19"/>
  <c r="C1397" i="19"/>
  <c r="B1397" i="19"/>
  <c r="A1397" i="19"/>
  <c r="G1396" i="19"/>
  <c r="F1396" i="19"/>
  <c r="E1396" i="19"/>
  <c r="D1396" i="19"/>
  <c r="C1396" i="19"/>
  <c r="B1396" i="19"/>
  <c r="A1396" i="19"/>
  <c r="M1395" i="19"/>
  <c r="L1395" i="19"/>
  <c r="K1395" i="19"/>
  <c r="J1395" i="19"/>
  <c r="I1395" i="19"/>
  <c r="H1395" i="19"/>
  <c r="G1395" i="19"/>
  <c r="F1395" i="19"/>
  <c r="E1395" i="19"/>
  <c r="D1395" i="19"/>
  <c r="C1395" i="19"/>
  <c r="B1395" i="19"/>
  <c r="A1395" i="19"/>
  <c r="G1394" i="19"/>
  <c r="F1394" i="19"/>
  <c r="E1394" i="19"/>
  <c r="D1394" i="19"/>
  <c r="C1394" i="19"/>
  <c r="B1394" i="19"/>
  <c r="A1394" i="19"/>
  <c r="M1393" i="19"/>
  <c r="L1393" i="19"/>
  <c r="K1393" i="19"/>
  <c r="J1393" i="19"/>
  <c r="I1393" i="19"/>
  <c r="H1393" i="19"/>
  <c r="G1393" i="19"/>
  <c r="F1393" i="19"/>
  <c r="E1393" i="19"/>
  <c r="D1393" i="19"/>
  <c r="C1393" i="19"/>
  <c r="B1393" i="19"/>
  <c r="A1393" i="19"/>
  <c r="G1392" i="19"/>
  <c r="F1392" i="19"/>
  <c r="E1392" i="19"/>
  <c r="D1392" i="19"/>
  <c r="C1392" i="19"/>
  <c r="B1392" i="19"/>
  <c r="A1392" i="19"/>
  <c r="M1391" i="19"/>
  <c r="L1391" i="19"/>
  <c r="K1391" i="19"/>
  <c r="J1391" i="19"/>
  <c r="I1391" i="19"/>
  <c r="H1391" i="19"/>
  <c r="G1391" i="19"/>
  <c r="F1391" i="19"/>
  <c r="E1391" i="19"/>
  <c r="D1391" i="19"/>
  <c r="C1391" i="19"/>
  <c r="B1391" i="19"/>
  <c r="A1391" i="19"/>
  <c r="G1390" i="19"/>
  <c r="F1390" i="19"/>
  <c r="E1390" i="19"/>
  <c r="D1390" i="19"/>
  <c r="C1390" i="19"/>
  <c r="B1390" i="19"/>
  <c r="A1390" i="19"/>
  <c r="M1389" i="19"/>
  <c r="L1389" i="19"/>
  <c r="K1389" i="19"/>
  <c r="J1389" i="19"/>
  <c r="I1389" i="19"/>
  <c r="H1389" i="19"/>
  <c r="G1389" i="19"/>
  <c r="F1389" i="19"/>
  <c r="E1389" i="19"/>
  <c r="D1389" i="19"/>
  <c r="C1389" i="19"/>
  <c r="B1389" i="19"/>
  <c r="A1389" i="19"/>
  <c r="M1388" i="19"/>
  <c r="L1388" i="19"/>
  <c r="K1388" i="19"/>
  <c r="J1388" i="19"/>
  <c r="I1388" i="19"/>
  <c r="H1388" i="19"/>
  <c r="G1388" i="19"/>
  <c r="F1388" i="19"/>
  <c r="E1388" i="19"/>
  <c r="D1388" i="19"/>
  <c r="C1388" i="19"/>
  <c r="B1388" i="19"/>
  <c r="A1388" i="19"/>
  <c r="M1387" i="19"/>
  <c r="L1387" i="19"/>
  <c r="K1387" i="19"/>
  <c r="J1387" i="19"/>
  <c r="I1387" i="19"/>
  <c r="H1387" i="19"/>
  <c r="G1387" i="19"/>
  <c r="F1387" i="19"/>
  <c r="E1387" i="19"/>
  <c r="D1387" i="19"/>
  <c r="C1387" i="19"/>
  <c r="B1387" i="19"/>
  <c r="A1387" i="19"/>
  <c r="M1386" i="19"/>
  <c r="L1386" i="19"/>
  <c r="K1386" i="19"/>
  <c r="J1386" i="19"/>
  <c r="I1386" i="19"/>
  <c r="H1386" i="19"/>
  <c r="G1386" i="19"/>
  <c r="F1386" i="19"/>
  <c r="E1386" i="19"/>
  <c r="D1386" i="19"/>
  <c r="C1386" i="19"/>
  <c r="B1386" i="19"/>
  <c r="A1386" i="19"/>
  <c r="M1385" i="19"/>
  <c r="L1385" i="19"/>
  <c r="K1385" i="19"/>
  <c r="J1385" i="19"/>
  <c r="I1385" i="19"/>
  <c r="H1385" i="19"/>
  <c r="G1385" i="19"/>
  <c r="F1385" i="19"/>
  <c r="E1385" i="19"/>
  <c r="D1385" i="19"/>
  <c r="C1385" i="19"/>
  <c r="B1385" i="19"/>
  <c r="A1385" i="19"/>
  <c r="M1384" i="19"/>
  <c r="L1384" i="19"/>
  <c r="K1384" i="19"/>
  <c r="J1384" i="19"/>
  <c r="I1384" i="19"/>
  <c r="H1384" i="19"/>
  <c r="G1384" i="19"/>
  <c r="F1384" i="19"/>
  <c r="E1384" i="19"/>
  <c r="D1384" i="19"/>
  <c r="C1384" i="19"/>
  <c r="B1384" i="19"/>
  <c r="A1384" i="19"/>
  <c r="H1400" i="19"/>
  <c r="I1400" i="19"/>
  <c r="J1400" i="19"/>
  <c r="K1400" i="19"/>
  <c r="L1400" i="19"/>
  <c r="M1400" i="19"/>
  <c r="H1402" i="19"/>
  <c r="I1402" i="19"/>
  <c r="J1402" i="19"/>
  <c r="K1402" i="19"/>
  <c r="L1402" i="19"/>
  <c r="M1402" i="19"/>
  <c r="H1404" i="19"/>
  <c r="I1404" i="19"/>
  <c r="J1404" i="19"/>
  <c r="K1404" i="19"/>
  <c r="L1404" i="19"/>
  <c r="M1404" i="19"/>
  <c r="H1406" i="19"/>
  <c r="I1406" i="19"/>
  <c r="J1406" i="19"/>
  <c r="K1406" i="19"/>
  <c r="L1406" i="19"/>
  <c r="M1406" i="19"/>
  <c r="H1408" i="19"/>
  <c r="I1408" i="19"/>
  <c r="J1408" i="19"/>
  <c r="K1408" i="19"/>
  <c r="L1408" i="19"/>
  <c r="M1408" i="19"/>
  <c r="I1383" i="19"/>
  <c r="J1383" i="19"/>
  <c r="K1383" i="19"/>
  <c r="L1383" i="19"/>
  <c r="M1383" i="19"/>
  <c r="H1383" i="19"/>
  <c r="N1374" i="19"/>
  <c r="H1375" i="19"/>
  <c r="I1375" i="19"/>
  <c r="J1375" i="19"/>
  <c r="K1375" i="19"/>
  <c r="L1375" i="19"/>
  <c r="M1375" i="19"/>
  <c r="H1377" i="19"/>
  <c r="I1377" i="19"/>
  <c r="J1377" i="19"/>
  <c r="K1377" i="19"/>
  <c r="L1377" i="19"/>
  <c r="M1377" i="19"/>
  <c r="H1378" i="19"/>
  <c r="I1378" i="19"/>
  <c r="J1378" i="19"/>
  <c r="K1378" i="19"/>
  <c r="L1378" i="19"/>
  <c r="M1378" i="19"/>
  <c r="H1379" i="19"/>
  <c r="I1379" i="19"/>
  <c r="J1379" i="19"/>
  <c r="K1379" i="19"/>
  <c r="L1379" i="19"/>
  <c r="M1379" i="19"/>
  <c r="A1407" i="19"/>
  <c r="B1407" i="19"/>
  <c r="C1407" i="19"/>
  <c r="D1407" i="19"/>
  <c r="E1407" i="19"/>
  <c r="F1407" i="19"/>
  <c r="G1407" i="19"/>
  <c r="A1408" i="19"/>
  <c r="B1408" i="19"/>
  <c r="C1408" i="19"/>
  <c r="D1408" i="19"/>
  <c r="E1408" i="19"/>
  <c r="F1408" i="19"/>
  <c r="G1408" i="19"/>
  <c r="A1409" i="19"/>
  <c r="B1409" i="19"/>
  <c r="C1409" i="19"/>
  <c r="D1409" i="19"/>
  <c r="E1409" i="19"/>
  <c r="F1409" i="19"/>
  <c r="G1409" i="19"/>
  <c r="A1403" i="19"/>
  <c r="B1403" i="19"/>
  <c r="C1403" i="19"/>
  <c r="D1403" i="19"/>
  <c r="E1403" i="19"/>
  <c r="F1403" i="19"/>
  <c r="G1403" i="19"/>
  <c r="A1404" i="19"/>
  <c r="B1404" i="19"/>
  <c r="C1404" i="19"/>
  <c r="D1404" i="19"/>
  <c r="E1404" i="19"/>
  <c r="F1404" i="19"/>
  <c r="G1404" i="19"/>
  <c r="A1405" i="19"/>
  <c r="B1405" i="19"/>
  <c r="C1405" i="19"/>
  <c r="D1405" i="19"/>
  <c r="E1405" i="19"/>
  <c r="F1405" i="19"/>
  <c r="G1405" i="19"/>
  <c r="A1406" i="19"/>
  <c r="B1406" i="19"/>
  <c r="C1406" i="19"/>
  <c r="D1406" i="19"/>
  <c r="E1406" i="19"/>
  <c r="F1406" i="19"/>
  <c r="G1406" i="19"/>
  <c r="A1400" i="19"/>
  <c r="B1400" i="19"/>
  <c r="C1400" i="19"/>
  <c r="D1400" i="19"/>
  <c r="E1400" i="19"/>
  <c r="F1400" i="19"/>
  <c r="G1400" i="19"/>
  <c r="A1401" i="19"/>
  <c r="B1401" i="19"/>
  <c r="C1401" i="19"/>
  <c r="D1401" i="19"/>
  <c r="E1401" i="19"/>
  <c r="F1401" i="19"/>
  <c r="G1401" i="19"/>
  <c r="A1402" i="19"/>
  <c r="B1402" i="19"/>
  <c r="C1402" i="19"/>
  <c r="D1402" i="19"/>
  <c r="E1402" i="19"/>
  <c r="F1402" i="19"/>
  <c r="G1402" i="19"/>
  <c r="B1383" i="19"/>
  <c r="C1383" i="19"/>
  <c r="D1383" i="19"/>
  <c r="E1383" i="19"/>
  <c r="F1383" i="19"/>
  <c r="G1383" i="19"/>
  <c r="A1383" i="19"/>
  <c r="A1382" i="19"/>
  <c r="B1382" i="19"/>
  <c r="C1382" i="19"/>
  <c r="D1382" i="19"/>
  <c r="E1382" i="19"/>
  <c r="F1382" i="19"/>
  <c r="G1382" i="19"/>
  <c r="B1381" i="19"/>
  <c r="C1381" i="19"/>
  <c r="D1381" i="19"/>
  <c r="E1381" i="19"/>
  <c r="F1381" i="19"/>
  <c r="G1381" i="19"/>
  <c r="A1381" i="19"/>
  <c r="A1374" i="19"/>
  <c r="B1374" i="19"/>
  <c r="C1374" i="19"/>
  <c r="D1374" i="19"/>
  <c r="E1374" i="19"/>
  <c r="F1374" i="19"/>
  <c r="A1375" i="19"/>
  <c r="B1375" i="19"/>
  <c r="C1375" i="19"/>
  <c r="D1375" i="19"/>
  <c r="F1375" i="19"/>
  <c r="A1376" i="19"/>
  <c r="B1376" i="19"/>
  <c r="C1376" i="19"/>
  <c r="D1376" i="19"/>
  <c r="F1376" i="19"/>
  <c r="A1377" i="19"/>
  <c r="B1377" i="19"/>
  <c r="C1377" i="19"/>
  <c r="D1377" i="19"/>
  <c r="F1377" i="19"/>
  <c r="A1378" i="19"/>
  <c r="B1378" i="19"/>
  <c r="C1378" i="19"/>
  <c r="D1378" i="19"/>
  <c r="E1378" i="19"/>
  <c r="F1378" i="19"/>
  <c r="G1378" i="19"/>
  <c r="A1379" i="19"/>
  <c r="B1379" i="19"/>
  <c r="C1379" i="19"/>
  <c r="D1379" i="19"/>
  <c r="E1379" i="19"/>
  <c r="F1379" i="19"/>
  <c r="G1379" i="19"/>
  <c r="A1380" i="19"/>
  <c r="B1380" i="19"/>
  <c r="C1380" i="19"/>
  <c r="D1380" i="19"/>
  <c r="E1380" i="19"/>
  <c r="F1380" i="19"/>
  <c r="G1380" i="19"/>
  <c r="B1373" i="19"/>
  <c r="C1373" i="19"/>
  <c r="D1373" i="19"/>
  <c r="F1373" i="19"/>
  <c r="G1373" i="19"/>
  <c r="A1373" i="19"/>
  <c r="E533" i="50"/>
  <c r="E1377" i="19" s="1"/>
  <c r="G533" i="50"/>
  <c r="G1377" i="19" s="1"/>
  <c r="G532" i="50"/>
  <c r="G1376" i="19" s="1"/>
  <c r="E532" i="50"/>
  <c r="E1376" i="19" s="1"/>
  <c r="M525" i="50"/>
  <c r="L525" i="50"/>
  <c r="K525" i="50"/>
  <c r="J525" i="50"/>
  <c r="I525" i="50"/>
  <c r="H525" i="50"/>
  <c r="M519" i="50"/>
  <c r="L519" i="50"/>
  <c r="K519" i="50"/>
  <c r="J519" i="50"/>
  <c r="I519" i="50"/>
  <c r="H519" i="50"/>
  <c r="M513" i="50"/>
  <c r="L513" i="50"/>
  <c r="K513" i="50"/>
  <c r="J513" i="50"/>
  <c r="I513" i="50"/>
  <c r="H513" i="50"/>
  <c r="M507" i="50"/>
  <c r="L507" i="50"/>
  <c r="K507" i="50"/>
  <c r="J507" i="50"/>
  <c r="I507" i="50"/>
  <c r="H507" i="50"/>
  <c r="M501" i="50"/>
  <c r="L501" i="50"/>
  <c r="K501" i="50"/>
  <c r="J501" i="50"/>
  <c r="I501" i="50"/>
  <c r="H501" i="50"/>
  <c r="M495" i="50"/>
  <c r="L495" i="50"/>
  <c r="K495" i="50"/>
  <c r="J495" i="50"/>
  <c r="I495" i="50"/>
  <c r="H495" i="50"/>
  <c r="M489" i="50"/>
  <c r="L489" i="50"/>
  <c r="K489" i="50"/>
  <c r="J489" i="50"/>
  <c r="I489" i="50"/>
  <c r="H489" i="50"/>
  <c r="M483" i="50"/>
  <c r="L483" i="50"/>
  <c r="K483" i="50"/>
  <c r="J483" i="50"/>
  <c r="I483" i="50"/>
  <c r="H483" i="50"/>
  <c r="M477" i="50"/>
  <c r="L477" i="50"/>
  <c r="K477" i="50"/>
  <c r="J477" i="50"/>
  <c r="I477" i="50"/>
  <c r="H477" i="50"/>
  <c r="M473" i="50"/>
  <c r="L473" i="50"/>
  <c r="K473" i="50"/>
  <c r="J473" i="50"/>
  <c r="I473" i="50"/>
  <c r="H473" i="50"/>
  <c r="M469" i="50"/>
  <c r="L469" i="50"/>
  <c r="K469" i="50"/>
  <c r="J469" i="50"/>
  <c r="I469" i="50"/>
  <c r="H469" i="50"/>
  <c r="M465" i="50"/>
  <c r="L465" i="50"/>
  <c r="K465" i="50"/>
  <c r="J465" i="50"/>
  <c r="I465" i="50"/>
  <c r="H465" i="50"/>
  <c r="I461" i="50"/>
  <c r="H461" i="50"/>
  <c r="J461" i="50"/>
  <c r="K461" i="50"/>
  <c r="L461" i="50"/>
  <c r="M461" i="50"/>
  <c r="I456" i="50"/>
  <c r="I462" i="50" s="1"/>
  <c r="I1308" i="19" s="1"/>
  <c r="J456" i="50"/>
  <c r="K456" i="50"/>
  <c r="K478" i="50" s="1"/>
  <c r="K1324" i="19" s="1"/>
  <c r="L456" i="50"/>
  <c r="L462" i="50" s="1"/>
  <c r="L1308" i="19" s="1"/>
  <c r="M456" i="50"/>
  <c r="H456" i="50"/>
  <c r="H478" i="50" s="1"/>
  <c r="H1324" i="19" s="1"/>
  <c r="I454" i="50"/>
  <c r="I460" i="50" s="1"/>
  <c r="I1306" i="19" s="1"/>
  <c r="J454" i="50"/>
  <c r="K454" i="50"/>
  <c r="K476" i="50" s="1"/>
  <c r="K1322" i="19" s="1"/>
  <c r="L454" i="50"/>
  <c r="L476" i="50" s="1"/>
  <c r="L1322" i="19" s="1"/>
  <c r="M454" i="50"/>
  <c r="H454" i="50"/>
  <c r="H476" i="50" s="1"/>
  <c r="H1322" i="19" s="1"/>
  <c r="I453" i="50"/>
  <c r="I475" i="50" s="1"/>
  <c r="I1321" i="19" s="1"/>
  <c r="J453" i="50"/>
  <c r="K453" i="50"/>
  <c r="K475" i="50" s="1"/>
  <c r="K1321" i="19" s="1"/>
  <c r="L453" i="50"/>
  <c r="L471" i="50" s="1"/>
  <c r="L1317" i="19" s="1"/>
  <c r="M453" i="50"/>
  <c r="H453" i="50"/>
  <c r="H475" i="50" s="1"/>
  <c r="H1321" i="19" s="1"/>
  <c r="I450" i="50"/>
  <c r="J450" i="50"/>
  <c r="J490" i="50" s="1"/>
  <c r="J1336" i="19" s="1"/>
  <c r="K450" i="50"/>
  <c r="K484" i="50" s="1"/>
  <c r="K1330" i="19" s="1"/>
  <c r="L450" i="50"/>
  <c r="L520" i="50" s="1"/>
  <c r="L1366" i="19" s="1"/>
  <c r="M450" i="50"/>
  <c r="M520" i="50" s="1"/>
  <c r="M1366" i="19" s="1"/>
  <c r="H450" i="50"/>
  <c r="H484" i="50" s="1"/>
  <c r="H1330" i="19" s="1"/>
  <c r="I448" i="50"/>
  <c r="J448" i="50"/>
  <c r="J500" i="50" s="1"/>
  <c r="J1346" i="19" s="1"/>
  <c r="K448" i="50"/>
  <c r="K482" i="50" s="1"/>
  <c r="K1328" i="19" s="1"/>
  <c r="L448" i="50"/>
  <c r="M448" i="50"/>
  <c r="M494" i="50" s="1"/>
  <c r="M1340" i="19" s="1"/>
  <c r="H448" i="50"/>
  <c r="I447" i="50"/>
  <c r="I523" i="50" s="1"/>
  <c r="I1369" i="19" s="1"/>
  <c r="J447" i="50"/>
  <c r="J511" i="50" s="1"/>
  <c r="J1357" i="19" s="1"/>
  <c r="K447" i="50"/>
  <c r="L447" i="50"/>
  <c r="M447" i="50"/>
  <c r="H447" i="50"/>
  <c r="I446" i="50"/>
  <c r="J446" i="50"/>
  <c r="J522" i="50" s="1"/>
  <c r="J1368" i="19" s="1"/>
  <c r="K446" i="50"/>
  <c r="K480" i="50" s="1"/>
  <c r="K1326" i="19" s="1"/>
  <c r="L446" i="50"/>
  <c r="L516" i="50" s="1"/>
  <c r="L1362" i="19" s="1"/>
  <c r="M446" i="50"/>
  <c r="M516" i="50" s="1"/>
  <c r="M1362" i="19" s="1"/>
  <c r="H446" i="50"/>
  <c r="H480" i="50" s="1"/>
  <c r="H1326" i="19" s="1"/>
  <c r="O540" i="50"/>
  <c r="N540" i="50"/>
  <c r="O539" i="50"/>
  <c r="N539" i="50"/>
  <c r="I445" i="50"/>
  <c r="I479" i="50" s="1"/>
  <c r="I1325" i="19" s="1"/>
  <c r="J445" i="50"/>
  <c r="J491" i="50" s="1"/>
  <c r="J1337" i="19" s="1"/>
  <c r="K445" i="50"/>
  <c r="L445" i="50"/>
  <c r="L503" i="50" s="1"/>
  <c r="L1349" i="19" s="1"/>
  <c r="M445" i="50"/>
  <c r="H445" i="50"/>
  <c r="G445" i="50"/>
  <c r="K597" i="18" l="1"/>
  <c r="K600" i="18"/>
  <c r="K603" i="18"/>
  <c r="K606" i="18"/>
  <c r="K609" i="18"/>
  <c r="K612" i="18"/>
  <c r="K615" i="18"/>
  <c r="K618" i="18"/>
  <c r="K595" i="18"/>
  <c r="K596" i="18"/>
  <c r="K599" i="18"/>
  <c r="K602" i="18"/>
  <c r="K605" i="18"/>
  <c r="K604" i="18"/>
  <c r="K608" i="18"/>
  <c r="K611" i="18"/>
  <c r="K614" i="18"/>
  <c r="K617" i="18"/>
  <c r="K621" i="18"/>
  <c r="K624" i="18"/>
  <c r="K627" i="18"/>
  <c r="K630" i="18"/>
  <c r="K633" i="18"/>
  <c r="K636" i="18"/>
  <c r="K639" i="18"/>
  <c r="K642" i="18"/>
  <c r="K645" i="18"/>
  <c r="K648" i="18"/>
  <c r="K651" i="18"/>
  <c r="K654" i="18"/>
  <c r="K657" i="18"/>
  <c r="K660" i="18"/>
  <c r="K663" i="18"/>
  <c r="K666" i="18"/>
  <c r="K669" i="18"/>
  <c r="K672" i="18"/>
  <c r="K675" i="18"/>
  <c r="K678" i="18"/>
  <c r="K681" i="18"/>
  <c r="K684" i="18"/>
  <c r="K687" i="18"/>
  <c r="K690" i="18"/>
  <c r="K693" i="18"/>
  <c r="K696" i="18"/>
  <c r="K699" i="18"/>
  <c r="K702" i="18"/>
  <c r="K705" i="18"/>
  <c r="K708" i="18"/>
  <c r="K711" i="18"/>
  <c r="K714" i="18"/>
  <c r="K717" i="18"/>
  <c r="K720" i="18"/>
  <c r="K723" i="18"/>
  <c r="K726" i="18"/>
  <c r="K729" i="18"/>
  <c r="K732" i="18"/>
  <c r="K735" i="18"/>
  <c r="K738" i="18"/>
  <c r="K741" i="18"/>
  <c r="K744" i="18"/>
  <c r="K747" i="18"/>
  <c r="K750" i="18"/>
  <c r="K753" i="18"/>
  <c r="K756" i="18"/>
  <c r="K759" i="18"/>
  <c r="K762" i="18"/>
  <c r="K610" i="18"/>
  <c r="K613" i="18"/>
  <c r="K616" i="18"/>
  <c r="K620" i="18"/>
  <c r="K623" i="18"/>
  <c r="K626" i="18"/>
  <c r="K629" i="18"/>
  <c r="K632" i="18"/>
  <c r="K635" i="18"/>
  <c r="K638" i="18"/>
  <c r="K641" i="18"/>
  <c r="K644" i="18"/>
  <c r="K647" i="18"/>
  <c r="K650" i="18"/>
  <c r="K653" i="18"/>
  <c r="K656" i="18"/>
  <c r="K659" i="18"/>
  <c r="K662" i="18"/>
  <c r="K665" i="18"/>
  <c r="K668" i="18"/>
  <c r="K671" i="18"/>
  <c r="K674" i="18"/>
  <c r="K677" i="18"/>
  <c r="K680" i="18"/>
  <c r="K683" i="18"/>
  <c r="K686" i="18"/>
  <c r="K689" i="18"/>
  <c r="K692" i="18"/>
  <c r="K695" i="18"/>
  <c r="K698" i="18"/>
  <c r="K701" i="18"/>
  <c r="K704" i="18"/>
  <c r="K707" i="18"/>
  <c r="K710" i="18"/>
  <c r="K713" i="18"/>
  <c r="K716" i="18"/>
  <c r="K719" i="18"/>
  <c r="K722" i="18"/>
  <c r="K725" i="18"/>
  <c r="K728" i="18"/>
  <c r="K731" i="18"/>
  <c r="K734" i="18"/>
  <c r="K737" i="18"/>
  <c r="K740" i="18"/>
  <c r="K743" i="18"/>
  <c r="K746" i="18"/>
  <c r="K749" i="18"/>
  <c r="K752" i="18"/>
  <c r="K755" i="18"/>
  <c r="K758" i="18"/>
  <c r="K761" i="18"/>
  <c r="K598" i="18"/>
  <c r="K607" i="18"/>
  <c r="K601" i="18"/>
  <c r="H578" i="50"/>
  <c r="L459" i="50"/>
  <c r="L1305" i="19" s="1"/>
  <c r="I487" i="50"/>
  <c r="I1333" i="19" s="1"/>
  <c r="I474" i="50"/>
  <c r="I1320" i="19" s="1"/>
  <c r="L467" i="50"/>
  <c r="L1313" i="19" s="1"/>
  <c r="L496" i="50"/>
  <c r="L1342" i="19" s="1"/>
  <c r="I576" i="50"/>
  <c r="J479" i="50"/>
  <c r="J1325" i="19" s="1"/>
  <c r="K460" i="50"/>
  <c r="K1306" i="19" s="1"/>
  <c r="H462" i="50"/>
  <c r="H1308" i="19" s="1"/>
  <c r="L463" i="50"/>
  <c r="L1309" i="19" s="1"/>
  <c r="I470" i="50"/>
  <c r="I1316" i="19" s="1"/>
  <c r="L475" i="50"/>
  <c r="L1321" i="19" s="1"/>
  <c r="L480" i="50"/>
  <c r="L1326" i="19" s="1"/>
  <c r="L514" i="50"/>
  <c r="L1360" i="19" s="1"/>
  <c r="J581" i="50"/>
  <c r="H460" i="50"/>
  <c r="H1306" i="19" s="1"/>
  <c r="I466" i="50"/>
  <c r="I1312" i="19" s="1"/>
  <c r="I478" i="50"/>
  <c r="I1324" i="19" s="1"/>
  <c r="L492" i="50"/>
  <c r="L1338" i="19" s="1"/>
  <c r="I579" i="50"/>
  <c r="K863" i="20"/>
  <c r="I491" i="50"/>
  <c r="I1337" i="19" s="1"/>
  <c r="J504" i="50"/>
  <c r="J1350" i="19" s="1"/>
  <c r="I522" i="50"/>
  <c r="I1368" i="19" s="1"/>
  <c r="I516" i="50"/>
  <c r="I1362" i="19" s="1"/>
  <c r="I498" i="50"/>
  <c r="I1344" i="19" s="1"/>
  <c r="L523" i="50"/>
  <c r="L1369" i="19" s="1"/>
  <c r="L517" i="50"/>
  <c r="L1363" i="19" s="1"/>
  <c r="I511" i="50"/>
  <c r="I1357" i="19" s="1"/>
  <c r="I505" i="50"/>
  <c r="I1351" i="19" s="1"/>
  <c r="L512" i="50"/>
  <c r="L1358" i="19" s="1"/>
  <c r="L506" i="50"/>
  <c r="L1352" i="19" s="1"/>
  <c r="L524" i="50"/>
  <c r="L1370" i="19" s="1"/>
  <c r="I518" i="50"/>
  <c r="I1364" i="19" s="1"/>
  <c r="I512" i="50"/>
  <c r="I1358" i="19" s="1"/>
  <c r="I526" i="50"/>
  <c r="I1372" i="19" s="1"/>
  <c r="I520" i="50"/>
  <c r="I1366" i="19" s="1"/>
  <c r="I502" i="50"/>
  <c r="I1348" i="19" s="1"/>
  <c r="L460" i="50"/>
  <c r="L1306" i="19" s="1"/>
  <c r="I464" i="50"/>
  <c r="I1310" i="19" s="1"/>
  <c r="L466" i="50"/>
  <c r="L1312" i="19" s="1"/>
  <c r="I468" i="50"/>
  <c r="I1314" i="19" s="1"/>
  <c r="L470" i="50"/>
  <c r="L1316" i="19" s="1"/>
  <c r="I472" i="50"/>
  <c r="I1318" i="19" s="1"/>
  <c r="L474" i="50"/>
  <c r="L1320" i="19" s="1"/>
  <c r="I476" i="50"/>
  <c r="I1322" i="19" s="1"/>
  <c r="L478" i="50"/>
  <c r="L1324" i="19" s="1"/>
  <c r="L479" i="50"/>
  <c r="L1325" i="19" s="1"/>
  <c r="I481" i="50"/>
  <c r="I1327" i="19" s="1"/>
  <c r="L484" i="50"/>
  <c r="L1330" i="19" s="1"/>
  <c r="L485" i="50"/>
  <c r="L1331" i="19" s="1"/>
  <c r="L488" i="50"/>
  <c r="L1334" i="19" s="1"/>
  <c r="I494" i="50"/>
  <c r="I1340" i="19" s="1"/>
  <c r="L499" i="50"/>
  <c r="L1345" i="19" s="1"/>
  <c r="J508" i="50"/>
  <c r="J1354" i="19" s="1"/>
  <c r="K836" i="20"/>
  <c r="M515" i="50"/>
  <c r="M1361" i="19" s="1"/>
  <c r="M509" i="50"/>
  <c r="M1355" i="19" s="1"/>
  <c r="M503" i="50"/>
  <c r="M1349" i="19" s="1"/>
  <c r="M521" i="50"/>
  <c r="M1367" i="19" s="1"/>
  <c r="J521" i="50"/>
  <c r="J1367" i="19" s="1"/>
  <c r="J515" i="50"/>
  <c r="J1361" i="19" s="1"/>
  <c r="J509" i="50"/>
  <c r="J1355" i="19" s="1"/>
  <c r="J497" i="50"/>
  <c r="J1343" i="19" s="1"/>
  <c r="I459" i="50"/>
  <c r="I1305" i="19" s="1"/>
  <c r="I463" i="50"/>
  <c r="I1309" i="19" s="1"/>
  <c r="L464" i="50"/>
  <c r="L1310" i="19" s="1"/>
  <c r="I467" i="50"/>
  <c r="I1313" i="19" s="1"/>
  <c r="L468" i="50"/>
  <c r="L1314" i="19" s="1"/>
  <c r="I471" i="50"/>
  <c r="I1317" i="19" s="1"/>
  <c r="L472" i="50"/>
  <c r="L1318" i="19" s="1"/>
  <c r="M479" i="50"/>
  <c r="M1325" i="19" s="1"/>
  <c r="I480" i="50"/>
  <c r="I1326" i="19" s="1"/>
  <c r="L481" i="50"/>
  <c r="L1327" i="19" s="1"/>
  <c r="M485" i="50"/>
  <c r="M1331" i="19" s="1"/>
  <c r="M491" i="50"/>
  <c r="M1337" i="19" s="1"/>
  <c r="M502" i="50"/>
  <c r="M1348" i="19" s="1"/>
  <c r="L510" i="50"/>
  <c r="L1356" i="19" s="1"/>
  <c r="H576" i="50"/>
  <c r="H579" i="50"/>
  <c r="H577" i="50"/>
  <c r="H574" i="50"/>
  <c r="J576" i="50"/>
  <c r="J579" i="50"/>
  <c r="J574" i="50"/>
  <c r="J577" i="50"/>
  <c r="J580" i="50"/>
  <c r="J578" i="50"/>
  <c r="I574" i="50"/>
  <c r="I578" i="50"/>
  <c r="I575" i="50"/>
  <c r="K1043" i="20"/>
  <c r="K1034" i="20"/>
  <c r="K1016" i="20"/>
  <c r="K1007" i="20"/>
  <c r="K989" i="20"/>
  <c r="K980" i="20"/>
  <c r="K962" i="20"/>
  <c r="K953" i="20"/>
  <c r="K935" i="20"/>
  <c r="K926" i="20"/>
  <c r="K908" i="20"/>
  <c r="K899" i="20"/>
  <c r="K881" i="20"/>
  <c r="K872" i="20"/>
  <c r="K854" i="20"/>
  <c r="K845" i="20"/>
  <c r="K827" i="20"/>
  <c r="K818" i="20"/>
  <c r="N1383" i="19"/>
  <c r="O1383" i="19"/>
  <c r="I580" i="50"/>
  <c r="K1146" i="20"/>
  <c r="K1143" i="20"/>
  <c r="K1140" i="20"/>
  <c r="K1137" i="20"/>
  <c r="K1134" i="20"/>
  <c r="K1131" i="20"/>
  <c r="K1128" i="20"/>
  <c r="K1125" i="20"/>
  <c r="K1122" i="20"/>
  <c r="K1119" i="20"/>
  <c r="K1116" i="20"/>
  <c r="K1113" i="20"/>
  <c r="K1110" i="20"/>
  <c r="K1107" i="20"/>
  <c r="K1104" i="20"/>
  <c r="K1101" i="20"/>
  <c r="K1098" i="20"/>
  <c r="K1095" i="20"/>
  <c r="K1092" i="20"/>
  <c r="K1089" i="20"/>
  <c r="K1086" i="20"/>
  <c r="K1083" i="20"/>
  <c r="K1080" i="20"/>
  <c r="K1077" i="20"/>
  <c r="K1074" i="20"/>
  <c r="K1071" i="20"/>
  <c r="K1068" i="20"/>
  <c r="K1065" i="20"/>
  <c r="K1062" i="20"/>
  <c r="K1059" i="20"/>
  <c r="K1056" i="20"/>
  <c r="K1053" i="20"/>
  <c r="K1050" i="20"/>
  <c r="K1049" i="20"/>
  <c r="K1029" i="20"/>
  <c r="K1025" i="20"/>
  <c r="K998" i="20"/>
  <c r="K996" i="20"/>
  <c r="K971" i="20"/>
  <c r="K957" i="20"/>
  <c r="K944" i="20"/>
  <c r="K917" i="20"/>
  <c r="K890" i="20"/>
  <c r="K987" i="20"/>
  <c r="K984" i="20"/>
  <c r="K981" i="20"/>
  <c r="K978" i="20"/>
  <c r="K975" i="20"/>
  <c r="K972" i="20"/>
  <c r="K969" i="20"/>
  <c r="K966" i="20"/>
  <c r="K963" i="20"/>
  <c r="K960" i="20"/>
  <c r="K954" i="20"/>
  <c r="K951" i="20"/>
  <c r="K948" i="20"/>
  <c r="K945" i="20"/>
  <c r="K942" i="20"/>
  <c r="K939" i="20"/>
  <c r="K936" i="20"/>
  <c r="K933" i="20"/>
  <c r="K930" i="20"/>
  <c r="K927" i="20"/>
  <c r="K924" i="20"/>
  <c r="K921" i="20"/>
  <c r="K918" i="20"/>
  <c r="K915" i="20"/>
  <c r="K912" i="20"/>
  <c r="K909" i="20"/>
  <c r="K906" i="20"/>
  <c r="K903" i="20"/>
  <c r="K900" i="20"/>
  <c r="K897" i="20"/>
  <c r="K894" i="20"/>
  <c r="K891" i="20"/>
  <c r="K888" i="20"/>
  <c r="K885" i="20"/>
  <c r="K1147" i="20"/>
  <c r="K1144" i="20"/>
  <c r="K1141" i="20"/>
  <c r="K1138" i="20"/>
  <c r="K1135" i="20"/>
  <c r="K1132" i="20"/>
  <c r="K1129" i="20"/>
  <c r="K1126" i="20"/>
  <c r="K1123" i="20"/>
  <c r="K1120" i="20"/>
  <c r="K1117" i="20"/>
  <c r="K1114" i="20"/>
  <c r="K1111" i="20"/>
  <c r="K1108" i="20"/>
  <c r="K1105" i="20"/>
  <c r="K1102" i="20"/>
  <c r="K1099" i="20"/>
  <c r="K1096" i="20"/>
  <c r="K1093" i="20"/>
  <c r="K1090" i="20"/>
  <c r="K1087" i="20"/>
  <c r="K1084" i="20"/>
  <c r="K1081" i="20"/>
  <c r="K1078" i="20"/>
  <c r="K1075" i="20"/>
  <c r="K1072" i="20"/>
  <c r="K1069" i="20"/>
  <c r="K1066" i="20"/>
  <c r="K1063" i="20"/>
  <c r="K1060" i="20"/>
  <c r="K1057" i="20"/>
  <c r="K1054" i="20"/>
  <c r="K1051" i="20"/>
  <c r="K1048" i="20"/>
  <c r="K1045" i="20"/>
  <c r="K1042" i="20"/>
  <c r="K1039" i="20"/>
  <c r="K1036" i="20"/>
  <c r="K1033" i="20"/>
  <c r="K1030" i="20"/>
  <c r="K1027" i="20"/>
  <c r="K1024" i="20"/>
  <c r="K1021" i="20"/>
  <c r="K1018" i="20"/>
  <c r="K1015" i="20"/>
  <c r="K1012" i="20"/>
  <c r="K1009" i="20"/>
  <c r="K1006" i="20"/>
  <c r="K1003" i="20"/>
  <c r="K1000" i="20"/>
  <c r="K997" i="20"/>
  <c r="K994" i="20"/>
  <c r="K991" i="20"/>
  <c r="K988" i="20"/>
  <c r="K985" i="20"/>
  <c r="K982" i="20"/>
  <c r="K979" i="20"/>
  <c r="K976" i="20"/>
  <c r="K973" i="20"/>
  <c r="K970" i="20"/>
  <c r="K967" i="20"/>
  <c r="K964" i="20"/>
  <c r="K961" i="20"/>
  <c r="K958" i="20"/>
  <c r="K955" i="20"/>
  <c r="K952" i="20"/>
  <c r="K949" i="20"/>
  <c r="K946" i="20"/>
  <c r="K943" i="20"/>
  <c r="K940" i="20"/>
  <c r="K937" i="20"/>
  <c r="K934" i="20"/>
  <c r="K931" i="20"/>
  <c r="K928" i="20"/>
  <c r="K925" i="20"/>
  <c r="K922" i="20"/>
  <c r="K919" i="20"/>
  <c r="K916" i="20"/>
  <c r="K913" i="20"/>
  <c r="K910" i="20"/>
  <c r="K907" i="20"/>
  <c r="K904" i="20"/>
  <c r="K901" i="20"/>
  <c r="K898" i="20"/>
  <c r="K1047" i="20"/>
  <c r="K1044" i="20"/>
  <c r="K1041" i="20"/>
  <c r="K1038" i="20"/>
  <c r="K1035" i="20"/>
  <c r="K1032" i="20"/>
  <c r="K1026" i="20"/>
  <c r="K1023" i="20"/>
  <c r="K1020" i="20"/>
  <c r="K1017" i="20"/>
  <c r="K1014" i="20"/>
  <c r="K1011" i="20"/>
  <c r="K1008" i="20"/>
  <c r="K1005" i="20"/>
  <c r="K1002" i="20"/>
  <c r="K999" i="20"/>
  <c r="K993" i="20"/>
  <c r="K990" i="20"/>
  <c r="K1145" i="20"/>
  <c r="K1142" i="20"/>
  <c r="K1139" i="20"/>
  <c r="K1136" i="20"/>
  <c r="K1133" i="20"/>
  <c r="K1130" i="20"/>
  <c r="K1127" i="20"/>
  <c r="K1124" i="20"/>
  <c r="K1121" i="20"/>
  <c r="K1118" i="20"/>
  <c r="K1115" i="20"/>
  <c r="K1112" i="20"/>
  <c r="K1109" i="20"/>
  <c r="K1106" i="20"/>
  <c r="K1103" i="20"/>
  <c r="K1100" i="20"/>
  <c r="K1097" i="20"/>
  <c r="K1094" i="20"/>
  <c r="K1091" i="20"/>
  <c r="K1088" i="20"/>
  <c r="K1085" i="20"/>
  <c r="K1082" i="20"/>
  <c r="K1079" i="20"/>
  <c r="K1076" i="20"/>
  <c r="K1073" i="20"/>
  <c r="K1070" i="20"/>
  <c r="K1067" i="20"/>
  <c r="K1064" i="20"/>
  <c r="K1061" i="20"/>
  <c r="K1058" i="20"/>
  <c r="K1055" i="20"/>
  <c r="K1052" i="20"/>
  <c r="K1046" i="20"/>
  <c r="K1040" i="20"/>
  <c r="K1037" i="20"/>
  <c r="K1031" i="20"/>
  <c r="K1028" i="20"/>
  <c r="K1022" i="20"/>
  <c r="K1019" i="20"/>
  <c r="K1013" i="20"/>
  <c r="K1010" i="20"/>
  <c r="K1004" i="20"/>
  <c r="K1001" i="20"/>
  <c r="K995" i="20"/>
  <c r="K992" i="20"/>
  <c r="K986" i="20"/>
  <c r="K983" i="20"/>
  <c r="K977" i="20"/>
  <c r="K974" i="20"/>
  <c r="K968" i="20"/>
  <c r="K965" i="20"/>
  <c r="K959" i="20"/>
  <c r="K956" i="20"/>
  <c r="K950" i="20"/>
  <c r="K947" i="20"/>
  <c r="K941" i="20"/>
  <c r="K938" i="20"/>
  <c r="K932" i="20"/>
  <c r="K929" i="20"/>
  <c r="K923" i="20"/>
  <c r="K920" i="20"/>
  <c r="K914" i="20"/>
  <c r="K911" i="20"/>
  <c r="K905" i="20"/>
  <c r="K902" i="20"/>
  <c r="K896" i="20"/>
  <c r="K893" i="20"/>
  <c r="K887" i="20"/>
  <c r="K884" i="20"/>
  <c r="K878" i="20"/>
  <c r="K875" i="20"/>
  <c r="K869" i="20"/>
  <c r="K866" i="20"/>
  <c r="K860" i="20"/>
  <c r="K857" i="20"/>
  <c r="K851" i="20"/>
  <c r="K848" i="20"/>
  <c r="K842" i="20"/>
  <c r="K839" i="20"/>
  <c r="K833" i="20"/>
  <c r="K830" i="20"/>
  <c r="K824" i="20"/>
  <c r="K821" i="20"/>
  <c r="K815" i="20"/>
  <c r="K882" i="20"/>
  <c r="K879" i="20"/>
  <c r="K876" i="20"/>
  <c r="K873" i="20"/>
  <c r="K870" i="20"/>
  <c r="K867" i="20"/>
  <c r="K864" i="20"/>
  <c r="K861" i="20"/>
  <c r="K858" i="20"/>
  <c r="K855" i="20"/>
  <c r="K852" i="20"/>
  <c r="K849" i="20"/>
  <c r="K846" i="20"/>
  <c r="K843" i="20"/>
  <c r="K840" i="20"/>
  <c r="K837" i="20"/>
  <c r="K834" i="20"/>
  <c r="K831" i="20"/>
  <c r="K828" i="20"/>
  <c r="K825" i="20"/>
  <c r="K822" i="20"/>
  <c r="K819" i="20"/>
  <c r="K816" i="20"/>
  <c r="K813" i="20"/>
  <c r="K895" i="20"/>
  <c r="K892" i="20"/>
  <c r="K889" i="20"/>
  <c r="K886" i="20"/>
  <c r="K883" i="20"/>
  <c r="K880" i="20"/>
  <c r="K877" i="20"/>
  <c r="K874" i="20"/>
  <c r="K871" i="20"/>
  <c r="K868" i="20"/>
  <c r="K865" i="20"/>
  <c r="K862" i="20"/>
  <c r="K859" i="20"/>
  <c r="K856" i="20"/>
  <c r="K853" i="20"/>
  <c r="K850" i="20"/>
  <c r="K847" i="20"/>
  <c r="K844" i="20"/>
  <c r="K841" i="20"/>
  <c r="K838" i="20"/>
  <c r="K835" i="20"/>
  <c r="K832" i="20"/>
  <c r="K829" i="20"/>
  <c r="K826" i="20"/>
  <c r="K823" i="20"/>
  <c r="K820" i="20"/>
  <c r="K817" i="20"/>
  <c r="K814" i="20"/>
  <c r="N1384" i="19"/>
  <c r="N1400" i="19"/>
  <c r="O1365" i="19"/>
  <c r="O1371" i="19"/>
  <c r="O1375" i="19"/>
  <c r="O1395" i="19"/>
  <c r="N1389" i="19"/>
  <c r="N1380" i="19"/>
  <c r="N1378" i="19"/>
  <c r="O1405" i="19"/>
  <c r="O1378" i="19"/>
  <c r="N1405" i="19"/>
  <c r="N1403" i="19"/>
  <c r="N1402" i="19"/>
  <c r="N1394" i="19"/>
  <c r="N1393" i="19"/>
  <c r="N1391" i="19"/>
  <c r="O1335" i="19"/>
  <c r="O1381" i="19"/>
  <c r="O1377" i="19"/>
  <c r="N1376" i="19"/>
  <c r="N1404" i="19"/>
  <c r="N1401" i="19"/>
  <c r="N1399" i="19"/>
  <c r="O1398" i="19"/>
  <c r="N1397" i="19"/>
  <c r="N1396" i="19"/>
  <c r="N1395" i="19"/>
  <c r="N1392" i="19"/>
  <c r="N1390" i="19"/>
  <c r="O1389" i="19"/>
  <c r="N1388" i="19"/>
  <c r="N1387" i="19"/>
  <c r="N1386" i="19"/>
  <c r="N1385" i="19"/>
  <c r="O1311" i="19"/>
  <c r="O1315" i="19"/>
  <c r="O1319" i="19"/>
  <c r="O1323" i="19"/>
  <c r="N1329" i="19"/>
  <c r="O1353" i="19"/>
  <c r="O1404" i="19"/>
  <c r="N1398" i="19"/>
  <c r="O1387" i="19"/>
  <c r="N1381" i="19"/>
  <c r="O1380" i="19"/>
  <c r="N1379" i="19"/>
  <c r="O1402" i="19"/>
  <c r="O1401" i="19"/>
  <c r="O1393" i="19"/>
  <c r="O1392" i="19"/>
  <c r="O1384" i="19"/>
  <c r="N1408" i="19"/>
  <c r="O1407" i="19"/>
  <c r="N1406" i="19"/>
  <c r="N1347" i="19"/>
  <c r="N1407" i="19"/>
  <c r="O1396" i="19"/>
  <c r="O1386" i="19"/>
  <c r="N1382" i="19"/>
  <c r="N1377" i="19"/>
  <c r="N1375" i="19"/>
  <c r="O1374" i="19"/>
  <c r="N1373" i="19"/>
  <c r="O1408" i="19"/>
  <c r="O1399" i="19"/>
  <c r="O1390" i="19"/>
  <c r="O1409" i="19"/>
  <c r="O1406" i="19"/>
  <c r="O1403" i="19"/>
  <c r="O1400" i="19"/>
  <c r="O1397" i="19"/>
  <c r="O1394" i="19"/>
  <c r="O1391" i="19"/>
  <c r="O1388" i="19"/>
  <c r="O1385" i="19"/>
  <c r="O1382" i="19"/>
  <c r="O1379" i="19"/>
  <c r="O1376" i="19"/>
  <c r="O1373" i="19"/>
  <c r="N1311" i="19"/>
  <c r="N1371" i="19"/>
  <c r="N1365" i="19"/>
  <c r="N1335" i="19"/>
  <c r="L509" i="50"/>
  <c r="L1355" i="19" s="1"/>
  <c r="L491" i="50"/>
  <c r="L1337" i="19" s="1"/>
  <c r="L515" i="50"/>
  <c r="L1361" i="19" s="1"/>
  <c r="L497" i="50"/>
  <c r="L1343" i="19" s="1"/>
  <c r="I515" i="50"/>
  <c r="I1361" i="19" s="1"/>
  <c r="I497" i="50"/>
  <c r="I1343" i="19" s="1"/>
  <c r="I521" i="50"/>
  <c r="I1367" i="19" s="1"/>
  <c r="I503" i="50"/>
  <c r="I1349" i="19" s="1"/>
  <c r="I485" i="50"/>
  <c r="I1331" i="19" s="1"/>
  <c r="M522" i="50"/>
  <c r="M1368" i="19" s="1"/>
  <c r="M504" i="50"/>
  <c r="M1350" i="19" s="1"/>
  <c r="M486" i="50"/>
  <c r="M1332" i="19" s="1"/>
  <c r="M480" i="50"/>
  <c r="M1326" i="19" s="1"/>
  <c r="M510" i="50"/>
  <c r="M1356" i="19" s="1"/>
  <c r="M492" i="50"/>
  <c r="M1338" i="19" s="1"/>
  <c r="J510" i="50"/>
  <c r="J1356" i="19" s="1"/>
  <c r="J492" i="50"/>
  <c r="J1338" i="19" s="1"/>
  <c r="J480" i="50"/>
  <c r="J1326" i="19" s="1"/>
  <c r="J516" i="50"/>
  <c r="J1362" i="19" s="1"/>
  <c r="J498" i="50"/>
  <c r="J1344" i="19" s="1"/>
  <c r="J517" i="50"/>
  <c r="J1363" i="19" s="1"/>
  <c r="J499" i="50"/>
  <c r="J1345" i="19" s="1"/>
  <c r="J523" i="50"/>
  <c r="J1369" i="19" s="1"/>
  <c r="J505" i="50"/>
  <c r="J1351" i="19" s="1"/>
  <c r="J487" i="50"/>
  <c r="J1333" i="19" s="1"/>
  <c r="J481" i="50"/>
  <c r="J1327" i="19" s="1"/>
  <c r="M518" i="50"/>
  <c r="M1364" i="19" s="1"/>
  <c r="M500" i="50"/>
  <c r="M1346" i="19" s="1"/>
  <c r="M524" i="50"/>
  <c r="M1370" i="19" s="1"/>
  <c r="M506" i="50"/>
  <c r="M1352" i="19" s="1"/>
  <c r="M488" i="50"/>
  <c r="M1334" i="19" s="1"/>
  <c r="M482" i="50"/>
  <c r="J482" i="50"/>
  <c r="J1328" i="19" s="1"/>
  <c r="J524" i="50"/>
  <c r="J1370" i="19" s="1"/>
  <c r="J506" i="50"/>
  <c r="J1352" i="19" s="1"/>
  <c r="J488" i="50"/>
  <c r="J1334" i="19" s="1"/>
  <c r="J512" i="50"/>
  <c r="J1358" i="19" s="1"/>
  <c r="J494" i="50"/>
  <c r="J1340" i="19" s="1"/>
  <c r="M484" i="50"/>
  <c r="M1330" i="19" s="1"/>
  <c r="M526" i="50"/>
  <c r="M1372" i="19" s="1"/>
  <c r="M508" i="50"/>
  <c r="M1354" i="19" s="1"/>
  <c r="M490" i="50"/>
  <c r="M1336" i="19" s="1"/>
  <c r="M514" i="50"/>
  <c r="M1360" i="19" s="1"/>
  <c r="M496" i="50"/>
  <c r="M1342" i="19" s="1"/>
  <c r="J484" i="50"/>
  <c r="J1330" i="19" s="1"/>
  <c r="J514" i="50"/>
  <c r="J1360" i="19" s="1"/>
  <c r="J496" i="50"/>
  <c r="J1342" i="19" s="1"/>
  <c r="J520" i="50"/>
  <c r="J1366" i="19" s="1"/>
  <c r="J502" i="50"/>
  <c r="J1348" i="19" s="1"/>
  <c r="M475" i="50"/>
  <c r="M1321" i="19" s="1"/>
  <c r="M471" i="50"/>
  <c r="M1317" i="19" s="1"/>
  <c r="M467" i="50"/>
  <c r="M1313" i="19" s="1"/>
  <c r="M463" i="50"/>
  <c r="M1309" i="19" s="1"/>
  <c r="M459" i="50"/>
  <c r="M1305" i="19" s="1"/>
  <c r="J475" i="50"/>
  <c r="J1321" i="19" s="1"/>
  <c r="J471" i="50"/>
  <c r="J1317" i="19" s="1"/>
  <c r="J467" i="50"/>
  <c r="J1313" i="19" s="1"/>
  <c r="J463" i="50"/>
  <c r="J1309" i="19" s="1"/>
  <c r="J459" i="50"/>
  <c r="J1305" i="19" s="1"/>
  <c r="M460" i="50"/>
  <c r="M1306" i="19" s="1"/>
  <c r="M476" i="50"/>
  <c r="M1322" i="19" s="1"/>
  <c r="M472" i="50"/>
  <c r="M1318" i="19" s="1"/>
  <c r="M468" i="50"/>
  <c r="M1314" i="19" s="1"/>
  <c r="M464" i="50"/>
  <c r="M1310" i="19" s="1"/>
  <c r="J476" i="50"/>
  <c r="J1322" i="19" s="1"/>
  <c r="J472" i="50"/>
  <c r="J1318" i="19" s="1"/>
  <c r="J468" i="50"/>
  <c r="J1314" i="19" s="1"/>
  <c r="J464" i="50"/>
  <c r="J1310" i="19" s="1"/>
  <c r="J460" i="50"/>
  <c r="J1306" i="19" s="1"/>
  <c r="M478" i="50"/>
  <c r="M1324" i="19" s="1"/>
  <c r="M474" i="50"/>
  <c r="M1320" i="19" s="1"/>
  <c r="M470" i="50"/>
  <c r="M1316" i="19" s="1"/>
  <c r="M466" i="50"/>
  <c r="M1312" i="19" s="1"/>
  <c r="M462" i="50"/>
  <c r="M1308" i="19" s="1"/>
  <c r="J462" i="50"/>
  <c r="J1308" i="19" s="1"/>
  <c r="J478" i="50"/>
  <c r="J1324" i="19" s="1"/>
  <c r="J474" i="50"/>
  <c r="J1320" i="19" s="1"/>
  <c r="J470" i="50"/>
  <c r="J1316" i="19" s="1"/>
  <c r="J466" i="50"/>
  <c r="J1312" i="19" s="1"/>
  <c r="O1307" i="19"/>
  <c r="J486" i="50"/>
  <c r="J1332" i="19" s="1"/>
  <c r="J493" i="50"/>
  <c r="J1339" i="19" s="1"/>
  <c r="M498" i="50"/>
  <c r="M1344" i="19" s="1"/>
  <c r="I509" i="50"/>
  <c r="I1355" i="19" s="1"/>
  <c r="M512" i="50"/>
  <c r="M1358" i="19" s="1"/>
  <c r="J518" i="50"/>
  <c r="J1364" i="19" s="1"/>
  <c r="L521" i="50"/>
  <c r="L1367" i="19" s="1"/>
  <c r="J526" i="50"/>
  <c r="J1372" i="19" s="1"/>
  <c r="H521" i="50"/>
  <c r="H1367" i="19" s="1"/>
  <c r="H515" i="50"/>
  <c r="H1361" i="19" s="1"/>
  <c r="H509" i="50"/>
  <c r="H1355" i="19" s="1"/>
  <c r="H503" i="50"/>
  <c r="H1349" i="19" s="1"/>
  <c r="H497" i="50"/>
  <c r="H1343" i="19" s="1"/>
  <c r="H491" i="50"/>
  <c r="H1337" i="19" s="1"/>
  <c r="H485" i="50"/>
  <c r="H1331" i="19" s="1"/>
  <c r="K521" i="50"/>
  <c r="K1367" i="19" s="1"/>
  <c r="K515" i="50"/>
  <c r="K1361" i="19" s="1"/>
  <c r="K509" i="50"/>
  <c r="K1355" i="19" s="1"/>
  <c r="K503" i="50"/>
  <c r="K1349" i="19" s="1"/>
  <c r="K497" i="50"/>
  <c r="K1343" i="19" s="1"/>
  <c r="K491" i="50"/>
  <c r="K1337" i="19" s="1"/>
  <c r="K485" i="50"/>
  <c r="K1331" i="19" s="1"/>
  <c r="I482" i="50"/>
  <c r="I1328" i="19" s="1"/>
  <c r="O1329" i="19"/>
  <c r="L486" i="50"/>
  <c r="L1332" i="19" s="1"/>
  <c r="I488" i="50"/>
  <c r="I1334" i="19" s="1"/>
  <c r="L490" i="50"/>
  <c r="L1336" i="19" s="1"/>
  <c r="I492" i="50"/>
  <c r="I1338" i="19" s="1"/>
  <c r="L493" i="50"/>
  <c r="L1339" i="19" s="1"/>
  <c r="N1341" i="19"/>
  <c r="I496" i="50"/>
  <c r="I1342" i="19" s="1"/>
  <c r="I499" i="50"/>
  <c r="I1345" i="19" s="1"/>
  <c r="L500" i="50"/>
  <c r="L1346" i="19" s="1"/>
  <c r="O1347" i="19"/>
  <c r="L504" i="50"/>
  <c r="L1350" i="19" s="1"/>
  <c r="I506" i="50"/>
  <c r="I1352" i="19" s="1"/>
  <c r="L508" i="50"/>
  <c r="L1354" i="19" s="1"/>
  <c r="I510" i="50"/>
  <c r="I1356" i="19" s="1"/>
  <c r="L511" i="50"/>
  <c r="L1357" i="19" s="1"/>
  <c r="I514" i="50"/>
  <c r="I1360" i="19" s="1"/>
  <c r="I517" i="50"/>
  <c r="I1363" i="19" s="1"/>
  <c r="L518" i="50"/>
  <c r="L1364" i="19" s="1"/>
  <c r="L522" i="50"/>
  <c r="L1368" i="19" s="1"/>
  <c r="I524" i="50"/>
  <c r="I1370" i="19" s="1"/>
  <c r="L526" i="50"/>
  <c r="L1372" i="19" s="1"/>
  <c r="O1359" i="19"/>
  <c r="H522" i="50"/>
  <c r="H1368" i="19" s="1"/>
  <c r="H516" i="50"/>
  <c r="H1362" i="19" s="1"/>
  <c r="H510" i="50"/>
  <c r="H1356" i="19" s="1"/>
  <c r="H504" i="50"/>
  <c r="H1350" i="19" s="1"/>
  <c r="H498" i="50"/>
  <c r="H1344" i="19" s="1"/>
  <c r="H492" i="50"/>
  <c r="H1338" i="19" s="1"/>
  <c r="H486" i="50"/>
  <c r="H1332" i="19" s="1"/>
  <c r="K522" i="50"/>
  <c r="K1368" i="19" s="1"/>
  <c r="K516" i="50"/>
  <c r="K1362" i="19" s="1"/>
  <c r="K510" i="50"/>
  <c r="K1356" i="19" s="1"/>
  <c r="K504" i="50"/>
  <c r="K1350" i="19" s="1"/>
  <c r="K498" i="50"/>
  <c r="K1344" i="19" s="1"/>
  <c r="K492" i="50"/>
  <c r="K1338" i="19" s="1"/>
  <c r="K486" i="50"/>
  <c r="K1332" i="19" s="1"/>
  <c r="H523" i="50"/>
  <c r="H1369" i="19" s="1"/>
  <c r="H517" i="50"/>
  <c r="H1363" i="19" s="1"/>
  <c r="H511" i="50"/>
  <c r="H1357" i="19" s="1"/>
  <c r="H505" i="50"/>
  <c r="H1351" i="19" s="1"/>
  <c r="H499" i="50"/>
  <c r="H1345" i="19" s="1"/>
  <c r="H493" i="50"/>
  <c r="H1339" i="19" s="1"/>
  <c r="H487" i="50"/>
  <c r="H1333" i="19" s="1"/>
  <c r="K523" i="50"/>
  <c r="K1369" i="19" s="1"/>
  <c r="K517" i="50"/>
  <c r="K1363" i="19" s="1"/>
  <c r="K511" i="50"/>
  <c r="K1357" i="19" s="1"/>
  <c r="K505" i="50"/>
  <c r="K1351" i="19" s="1"/>
  <c r="K499" i="50"/>
  <c r="K1345" i="19" s="1"/>
  <c r="K493" i="50"/>
  <c r="K1339" i="19" s="1"/>
  <c r="K487" i="50"/>
  <c r="K1333" i="19" s="1"/>
  <c r="H524" i="50"/>
  <c r="H1370" i="19" s="1"/>
  <c r="H518" i="50"/>
  <c r="H1364" i="19" s="1"/>
  <c r="H512" i="50"/>
  <c r="H1358" i="19" s="1"/>
  <c r="H506" i="50"/>
  <c r="H1352" i="19" s="1"/>
  <c r="H500" i="50"/>
  <c r="H1346" i="19" s="1"/>
  <c r="H494" i="50"/>
  <c r="H1340" i="19" s="1"/>
  <c r="H488" i="50"/>
  <c r="H1334" i="19" s="1"/>
  <c r="K524" i="50"/>
  <c r="K1370" i="19" s="1"/>
  <c r="K518" i="50"/>
  <c r="K1364" i="19" s="1"/>
  <c r="K512" i="50"/>
  <c r="K1358" i="19" s="1"/>
  <c r="K506" i="50"/>
  <c r="K1352" i="19" s="1"/>
  <c r="K500" i="50"/>
  <c r="K1346" i="19" s="1"/>
  <c r="K494" i="50"/>
  <c r="K1340" i="19" s="1"/>
  <c r="K488" i="50"/>
  <c r="K1334" i="19" s="1"/>
  <c r="H526" i="50"/>
  <c r="H1372" i="19" s="1"/>
  <c r="H520" i="50"/>
  <c r="H1366" i="19" s="1"/>
  <c r="H514" i="50"/>
  <c r="H1360" i="19" s="1"/>
  <c r="H508" i="50"/>
  <c r="H1354" i="19" s="1"/>
  <c r="H502" i="50"/>
  <c r="H1348" i="19" s="1"/>
  <c r="H496" i="50"/>
  <c r="H1342" i="19" s="1"/>
  <c r="H490" i="50"/>
  <c r="H1336" i="19" s="1"/>
  <c r="K526" i="50"/>
  <c r="K1372" i="19" s="1"/>
  <c r="K520" i="50"/>
  <c r="K1366" i="19" s="1"/>
  <c r="K514" i="50"/>
  <c r="K1360" i="19" s="1"/>
  <c r="K508" i="50"/>
  <c r="K1354" i="19" s="1"/>
  <c r="K502" i="50"/>
  <c r="K1348" i="19" s="1"/>
  <c r="K496" i="50"/>
  <c r="K1342" i="19" s="1"/>
  <c r="K490" i="50"/>
  <c r="K1336" i="19" s="1"/>
  <c r="H459" i="50"/>
  <c r="H1305" i="19" s="1"/>
  <c r="K459" i="50"/>
  <c r="K1305" i="19" s="1"/>
  <c r="K462" i="50"/>
  <c r="K1308" i="19" s="1"/>
  <c r="N1307" i="19"/>
  <c r="H463" i="50"/>
  <c r="H1309" i="19" s="1"/>
  <c r="K463" i="50"/>
  <c r="K1309" i="19" s="1"/>
  <c r="H464" i="50"/>
  <c r="H1310" i="19" s="1"/>
  <c r="K464" i="50"/>
  <c r="K1310" i="19" s="1"/>
  <c r="H466" i="50"/>
  <c r="H1312" i="19" s="1"/>
  <c r="K466" i="50"/>
  <c r="K1312" i="19" s="1"/>
  <c r="H467" i="50"/>
  <c r="H1313" i="19" s="1"/>
  <c r="K467" i="50"/>
  <c r="K1313" i="19" s="1"/>
  <c r="H468" i="50"/>
  <c r="H1314" i="19" s="1"/>
  <c r="K468" i="50"/>
  <c r="K1314" i="19" s="1"/>
  <c r="N1315" i="19"/>
  <c r="H470" i="50"/>
  <c r="H1316" i="19" s="1"/>
  <c r="K470" i="50"/>
  <c r="K1316" i="19" s="1"/>
  <c r="H471" i="50"/>
  <c r="H1317" i="19" s="1"/>
  <c r="K471" i="50"/>
  <c r="K1317" i="19" s="1"/>
  <c r="H472" i="50"/>
  <c r="H1318" i="19" s="1"/>
  <c r="K472" i="50"/>
  <c r="K1318" i="19" s="1"/>
  <c r="N1319" i="19"/>
  <c r="H474" i="50"/>
  <c r="H1320" i="19" s="1"/>
  <c r="K474" i="50"/>
  <c r="K1320" i="19" s="1"/>
  <c r="N1323" i="19"/>
  <c r="H479" i="50"/>
  <c r="H1325" i="19" s="1"/>
  <c r="K479" i="50"/>
  <c r="K1325" i="19" s="1"/>
  <c r="H481" i="50"/>
  <c r="H1327" i="19" s="1"/>
  <c r="K481" i="50"/>
  <c r="K1327" i="19" s="1"/>
  <c r="L482" i="50"/>
  <c r="L1328" i="19" s="1"/>
  <c r="H482" i="50"/>
  <c r="H1328" i="19" s="1"/>
  <c r="I484" i="50"/>
  <c r="I1330" i="19" s="1"/>
  <c r="J485" i="50"/>
  <c r="J1331" i="19" s="1"/>
  <c r="I486" i="50"/>
  <c r="I1332" i="19" s="1"/>
  <c r="L487" i="50"/>
  <c r="L1333" i="19" s="1"/>
  <c r="I490" i="50"/>
  <c r="I1336" i="19" s="1"/>
  <c r="I493" i="50"/>
  <c r="I1339" i="19" s="1"/>
  <c r="L494" i="50"/>
  <c r="L1340" i="19" s="1"/>
  <c r="O1341" i="19"/>
  <c r="M497" i="50"/>
  <c r="M1343" i="19" s="1"/>
  <c r="L498" i="50"/>
  <c r="L1344" i="19" s="1"/>
  <c r="I500" i="50"/>
  <c r="I1346" i="19" s="1"/>
  <c r="L502" i="50"/>
  <c r="L1348" i="19" s="1"/>
  <c r="J503" i="50"/>
  <c r="J1349" i="19" s="1"/>
  <c r="I504" i="50"/>
  <c r="I1350" i="19" s="1"/>
  <c r="L505" i="50"/>
  <c r="L1351" i="19" s="1"/>
  <c r="N1353" i="19"/>
  <c r="I508" i="50"/>
  <c r="I1354" i="19" s="1"/>
  <c r="N1359" i="19"/>
  <c r="O1325" i="19" l="1"/>
  <c r="N1330" i="19"/>
  <c r="O1324" i="19"/>
  <c r="O1306" i="19"/>
  <c r="O1322" i="19"/>
  <c r="O1321" i="19"/>
  <c r="N1324" i="19"/>
  <c r="O1312" i="19"/>
  <c r="O1362" i="19"/>
  <c r="N1326" i="19"/>
  <c r="O1320" i="19"/>
  <c r="O1305" i="19"/>
  <c r="O1337" i="19"/>
  <c r="N1316" i="19"/>
  <c r="N1314" i="19"/>
  <c r="N1360" i="19"/>
  <c r="O1360" i="19"/>
  <c r="N1355" i="19"/>
  <c r="O1310" i="19"/>
  <c r="O1346" i="19"/>
  <c r="O1317" i="19"/>
  <c r="O1350" i="19"/>
  <c r="O1358" i="19"/>
  <c r="O1368" i="19"/>
  <c r="O1344" i="19"/>
  <c r="O1326" i="19"/>
  <c r="O1340" i="19"/>
  <c r="O1364" i="19"/>
  <c r="O1309" i="19"/>
  <c r="N1321" i="19"/>
  <c r="O1332" i="19"/>
  <c r="N1310" i="19"/>
  <c r="N1305" i="19"/>
  <c r="O1348" i="19"/>
  <c r="N1342" i="19"/>
  <c r="N1346" i="19"/>
  <c r="N1364" i="19"/>
  <c r="N1338" i="19"/>
  <c r="N1356" i="19"/>
  <c r="O1342" i="19"/>
  <c r="O1338" i="19"/>
  <c r="N1337" i="19"/>
  <c r="O1372" i="19"/>
  <c r="O1316" i="19"/>
  <c r="N1308" i="19"/>
  <c r="O1318" i="19"/>
  <c r="O1314" i="19"/>
  <c r="O1313" i="19"/>
  <c r="O1366" i="19"/>
  <c r="O1354" i="19"/>
  <c r="O1336" i="19"/>
  <c r="N1317" i="19"/>
  <c r="N1312" i="19"/>
  <c r="N1348" i="19"/>
  <c r="N1366" i="19"/>
  <c r="N1334" i="19"/>
  <c r="N1352" i="19"/>
  <c r="N1370" i="19"/>
  <c r="N1344" i="19"/>
  <c r="N1362" i="19"/>
  <c r="O1352" i="19"/>
  <c r="N1343" i="19"/>
  <c r="N1361" i="19"/>
  <c r="N1306" i="19"/>
  <c r="M481" i="50"/>
  <c r="M1327" i="19" s="1"/>
  <c r="O1327" i="19" s="1"/>
  <c r="M1328" i="19"/>
  <c r="O1328" i="19" s="1"/>
  <c r="M511" i="50"/>
  <c r="M1357" i="19" s="1"/>
  <c r="O1357" i="19" s="1"/>
  <c r="M493" i="50"/>
  <c r="M1339" i="19" s="1"/>
  <c r="N1339" i="19" s="1"/>
  <c r="M517" i="50"/>
  <c r="M1363" i="19" s="1"/>
  <c r="O1363" i="19" s="1"/>
  <c r="M499" i="50"/>
  <c r="M1345" i="19" s="1"/>
  <c r="O1345" i="19" s="1"/>
  <c r="M505" i="50"/>
  <c r="M1351" i="19" s="1"/>
  <c r="N1351" i="19" s="1"/>
  <c r="M487" i="50"/>
  <c r="M1333" i="19" s="1"/>
  <c r="N1333" i="19" s="1"/>
  <c r="M523" i="50"/>
  <c r="M1369" i="19" s="1"/>
  <c r="O1369" i="19" s="1"/>
  <c r="O1349" i="19"/>
  <c r="O1361" i="19"/>
  <c r="O1308" i="19"/>
  <c r="O1330" i="19"/>
  <c r="N1325" i="19"/>
  <c r="N1320" i="19"/>
  <c r="N1318" i="19"/>
  <c r="N1313" i="19"/>
  <c r="N1309" i="19"/>
  <c r="N1336" i="19"/>
  <c r="N1354" i="19"/>
  <c r="N1372" i="19"/>
  <c r="N1340" i="19"/>
  <c r="N1358" i="19"/>
  <c r="N1332" i="19"/>
  <c r="N1350" i="19"/>
  <c r="N1368" i="19"/>
  <c r="O1370" i="19"/>
  <c r="O1356" i="19"/>
  <c r="O1334" i="19"/>
  <c r="N1331" i="19"/>
  <c r="N1349" i="19"/>
  <c r="N1367" i="19"/>
  <c r="O1355" i="19"/>
  <c r="O1367" i="19"/>
  <c r="N1322" i="19"/>
  <c r="O1331" i="19"/>
  <c r="O1343" i="19"/>
  <c r="N1345" i="19" l="1"/>
  <c r="N1328" i="19"/>
  <c r="N1363" i="19"/>
  <c r="N1369" i="19"/>
  <c r="O1333" i="19"/>
  <c r="N1357" i="19"/>
  <c r="O1351" i="19"/>
  <c r="O1339" i="19"/>
  <c r="N1327" i="19"/>
  <c r="F526" i="50" l="1"/>
  <c r="F1372" i="19" s="1"/>
  <c r="F525" i="50"/>
  <c r="F1371" i="19" s="1"/>
  <c r="F524" i="50"/>
  <c r="F1370" i="19" s="1"/>
  <c r="F523" i="50"/>
  <c r="F522" i="50"/>
  <c r="F1368" i="19" s="1"/>
  <c r="F521" i="50"/>
  <c r="F1367" i="19" s="1"/>
  <c r="F520" i="50"/>
  <c r="F1366" i="19" s="1"/>
  <c r="F519" i="50"/>
  <c r="F1365" i="19" s="1"/>
  <c r="F518" i="50"/>
  <c r="F1364" i="19" s="1"/>
  <c r="F517" i="50"/>
  <c r="F1363" i="19" s="1"/>
  <c r="F516" i="50"/>
  <c r="F1362" i="19" s="1"/>
  <c r="F515" i="50"/>
  <c r="F1361" i="19" s="1"/>
  <c r="F514" i="50"/>
  <c r="F513" i="50"/>
  <c r="F1359" i="19" s="1"/>
  <c r="F512" i="50"/>
  <c r="F1358" i="19" s="1"/>
  <c r="F511" i="50"/>
  <c r="F510" i="50"/>
  <c r="F1356" i="19" s="1"/>
  <c r="F509" i="50"/>
  <c r="F1355" i="19" s="1"/>
  <c r="F508" i="50"/>
  <c r="F1354" i="19" s="1"/>
  <c r="F507" i="50"/>
  <c r="F1353" i="19" s="1"/>
  <c r="F506" i="50"/>
  <c r="F1352" i="19" s="1"/>
  <c r="F505" i="50"/>
  <c r="F1351" i="19" s="1"/>
  <c r="F504" i="50"/>
  <c r="F1350" i="19" s="1"/>
  <c r="F503" i="50"/>
  <c r="F1349" i="19" s="1"/>
  <c r="F502" i="50"/>
  <c r="F1348" i="19" s="1"/>
  <c r="F501" i="50"/>
  <c r="F1347" i="19" s="1"/>
  <c r="F500" i="50"/>
  <c r="F1346" i="19" s="1"/>
  <c r="F499" i="50"/>
  <c r="F498" i="50"/>
  <c r="F1344" i="19" s="1"/>
  <c r="F497" i="50"/>
  <c r="F1343" i="19" s="1"/>
  <c r="F496" i="50"/>
  <c r="F1342" i="19" s="1"/>
  <c r="F495" i="50"/>
  <c r="F1341" i="19" s="1"/>
  <c r="F494" i="50"/>
  <c r="F1340" i="19" s="1"/>
  <c r="F493" i="50"/>
  <c r="F1339" i="19" s="1"/>
  <c r="F492" i="50"/>
  <c r="F1338" i="19" s="1"/>
  <c r="F491" i="50"/>
  <c r="F1337" i="19" s="1"/>
  <c r="F490" i="50"/>
  <c r="F489" i="50"/>
  <c r="F1335" i="19" s="1"/>
  <c r="F488" i="50"/>
  <c r="F1334" i="19" s="1"/>
  <c r="F487" i="50"/>
  <c r="F486" i="50"/>
  <c r="F1332" i="19" s="1"/>
  <c r="F485" i="50"/>
  <c r="F1331" i="19" s="1"/>
  <c r="F484" i="50"/>
  <c r="F1330" i="19" s="1"/>
  <c r="F483" i="50"/>
  <c r="F1329" i="19" s="1"/>
  <c r="F482" i="50"/>
  <c r="F1328" i="19" s="1"/>
  <c r="F481" i="50"/>
  <c r="F1327" i="19" s="1"/>
  <c r="F480" i="50"/>
  <c r="F1326" i="19" s="1"/>
  <c r="F479" i="50"/>
  <c r="F1325" i="19" s="1"/>
  <c r="F478" i="50"/>
  <c r="F1324" i="19" s="1"/>
  <c r="F477" i="50"/>
  <c r="F1323" i="19" s="1"/>
  <c r="F476" i="50"/>
  <c r="F1322" i="19" s="1"/>
  <c r="F475" i="50"/>
  <c r="F474" i="50"/>
  <c r="F1320" i="19" s="1"/>
  <c r="F473" i="50"/>
  <c r="F1319" i="19" s="1"/>
  <c r="F472" i="50"/>
  <c r="F1318" i="19" s="1"/>
  <c r="F471" i="50"/>
  <c r="F1317" i="19" s="1"/>
  <c r="F470" i="50"/>
  <c r="F1316" i="19" s="1"/>
  <c r="F469" i="50"/>
  <c r="F1315" i="19" s="1"/>
  <c r="F468" i="50"/>
  <c r="F1314" i="19" s="1"/>
  <c r="F467" i="50"/>
  <c r="F1313" i="19" s="1"/>
  <c r="F466" i="50"/>
  <c r="F465" i="50"/>
  <c r="F1311" i="19" s="1"/>
  <c r="F464" i="50"/>
  <c r="F1310" i="19" s="1"/>
  <c r="F463" i="50"/>
  <c r="F462" i="50"/>
  <c r="F1308" i="19" s="1"/>
  <c r="F461" i="50"/>
  <c r="F1307" i="19" s="1"/>
  <c r="F460" i="50"/>
  <c r="F1306" i="19" s="1"/>
  <c r="F459" i="50"/>
  <c r="F1305" i="19" s="1"/>
  <c r="A1365" i="19"/>
  <c r="B1365" i="19"/>
  <c r="C1365" i="19"/>
  <c r="D1365" i="19"/>
  <c r="G1365" i="19"/>
  <c r="A1366" i="19"/>
  <c r="B1366" i="19"/>
  <c r="C1366" i="19"/>
  <c r="D1366" i="19"/>
  <c r="G1366" i="19"/>
  <c r="A1367" i="19"/>
  <c r="B1367" i="19"/>
  <c r="C1367" i="19"/>
  <c r="D1367" i="19"/>
  <c r="G1367" i="19"/>
  <c r="A1368" i="19"/>
  <c r="B1368" i="19"/>
  <c r="C1368" i="19"/>
  <c r="D1368" i="19"/>
  <c r="G1368" i="19"/>
  <c r="A1369" i="19"/>
  <c r="B1369" i="19"/>
  <c r="C1369" i="19"/>
  <c r="D1369" i="19"/>
  <c r="F1369" i="19"/>
  <c r="G1369" i="19"/>
  <c r="A1370" i="19"/>
  <c r="B1370" i="19"/>
  <c r="C1370" i="19"/>
  <c r="D1370" i="19"/>
  <c r="G1370" i="19"/>
  <c r="A1371" i="19"/>
  <c r="B1371" i="19"/>
  <c r="C1371" i="19"/>
  <c r="D1371" i="19"/>
  <c r="G1371" i="19"/>
  <c r="A1372" i="19"/>
  <c r="B1372" i="19"/>
  <c r="C1372" i="19"/>
  <c r="D1372" i="19"/>
  <c r="G1372" i="19"/>
  <c r="A1358" i="19"/>
  <c r="B1358" i="19"/>
  <c r="C1358" i="19"/>
  <c r="D1358" i="19"/>
  <c r="G1358" i="19"/>
  <c r="A1359" i="19"/>
  <c r="B1359" i="19"/>
  <c r="C1359" i="19"/>
  <c r="D1359" i="19"/>
  <c r="G1359" i="19"/>
  <c r="A1360" i="19"/>
  <c r="B1360" i="19"/>
  <c r="C1360" i="19"/>
  <c r="D1360" i="19"/>
  <c r="F1360" i="19"/>
  <c r="G1360" i="19"/>
  <c r="A1361" i="19"/>
  <c r="B1361" i="19"/>
  <c r="C1361" i="19"/>
  <c r="D1361" i="19"/>
  <c r="G1361" i="19"/>
  <c r="A1362" i="19"/>
  <c r="B1362" i="19"/>
  <c r="C1362" i="19"/>
  <c r="D1362" i="19"/>
  <c r="G1362" i="19"/>
  <c r="A1363" i="19"/>
  <c r="B1363" i="19"/>
  <c r="C1363" i="19"/>
  <c r="D1363" i="19"/>
  <c r="G1363" i="19"/>
  <c r="A1364" i="19"/>
  <c r="B1364" i="19"/>
  <c r="C1364" i="19"/>
  <c r="D1364" i="19"/>
  <c r="G1364" i="19"/>
  <c r="A1345" i="19"/>
  <c r="B1345" i="19"/>
  <c r="C1345" i="19"/>
  <c r="D1345" i="19"/>
  <c r="F1345" i="19"/>
  <c r="G1345" i="19"/>
  <c r="A1346" i="19"/>
  <c r="B1346" i="19"/>
  <c r="C1346" i="19"/>
  <c r="D1346" i="19"/>
  <c r="G1346" i="19"/>
  <c r="A1347" i="19"/>
  <c r="B1347" i="19"/>
  <c r="C1347" i="19"/>
  <c r="D1347" i="19"/>
  <c r="G1347" i="19"/>
  <c r="A1348" i="19"/>
  <c r="B1348" i="19"/>
  <c r="C1348" i="19"/>
  <c r="D1348" i="19"/>
  <c r="G1348" i="19"/>
  <c r="A1349" i="19"/>
  <c r="B1349" i="19"/>
  <c r="C1349" i="19"/>
  <c r="D1349" i="19"/>
  <c r="G1349" i="19"/>
  <c r="A1350" i="19"/>
  <c r="B1350" i="19"/>
  <c r="C1350" i="19"/>
  <c r="D1350" i="19"/>
  <c r="G1350" i="19"/>
  <c r="A1351" i="19"/>
  <c r="B1351" i="19"/>
  <c r="C1351" i="19"/>
  <c r="D1351" i="19"/>
  <c r="G1351" i="19"/>
  <c r="A1352" i="19"/>
  <c r="B1352" i="19"/>
  <c r="C1352" i="19"/>
  <c r="D1352" i="19"/>
  <c r="G1352" i="19"/>
  <c r="A1353" i="19"/>
  <c r="B1353" i="19"/>
  <c r="C1353" i="19"/>
  <c r="D1353" i="19"/>
  <c r="G1353" i="19"/>
  <c r="A1354" i="19"/>
  <c r="B1354" i="19"/>
  <c r="C1354" i="19"/>
  <c r="D1354" i="19"/>
  <c r="G1354" i="19"/>
  <c r="A1355" i="19"/>
  <c r="B1355" i="19"/>
  <c r="C1355" i="19"/>
  <c r="D1355" i="19"/>
  <c r="G1355" i="19"/>
  <c r="A1356" i="19"/>
  <c r="B1356" i="19"/>
  <c r="C1356" i="19"/>
  <c r="D1356" i="19"/>
  <c r="G1356" i="19"/>
  <c r="A1357" i="19"/>
  <c r="B1357" i="19"/>
  <c r="C1357" i="19"/>
  <c r="D1357" i="19"/>
  <c r="F1357" i="19"/>
  <c r="G1357" i="19"/>
  <c r="A1328" i="19"/>
  <c r="B1328" i="19"/>
  <c r="C1328" i="19"/>
  <c r="D1328" i="19"/>
  <c r="G1328" i="19"/>
  <c r="A1329" i="19"/>
  <c r="B1329" i="19"/>
  <c r="C1329" i="19"/>
  <c r="D1329" i="19"/>
  <c r="G1329" i="19"/>
  <c r="A1330" i="19"/>
  <c r="B1330" i="19"/>
  <c r="C1330" i="19"/>
  <c r="D1330" i="19"/>
  <c r="G1330" i="19"/>
  <c r="A1331" i="19"/>
  <c r="B1331" i="19"/>
  <c r="C1331" i="19"/>
  <c r="D1331" i="19"/>
  <c r="G1331" i="19"/>
  <c r="A1332" i="19"/>
  <c r="B1332" i="19"/>
  <c r="C1332" i="19"/>
  <c r="D1332" i="19"/>
  <c r="G1332" i="19"/>
  <c r="A1333" i="19"/>
  <c r="B1333" i="19"/>
  <c r="C1333" i="19"/>
  <c r="D1333" i="19"/>
  <c r="F1333" i="19"/>
  <c r="G1333" i="19"/>
  <c r="A1334" i="19"/>
  <c r="B1334" i="19"/>
  <c r="C1334" i="19"/>
  <c r="D1334" i="19"/>
  <c r="G1334" i="19"/>
  <c r="A1335" i="19"/>
  <c r="B1335" i="19"/>
  <c r="C1335" i="19"/>
  <c r="D1335" i="19"/>
  <c r="G1335" i="19"/>
  <c r="A1336" i="19"/>
  <c r="B1336" i="19"/>
  <c r="C1336" i="19"/>
  <c r="D1336" i="19"/>
  <c r="F1336" i="19"/>
  <c r="G1336" i="19"/>
  <c r="A1337" i="19"/>
  <c r="B1337" i="19"/>
  <c r="C1337" i="19"/>
  <c r="D1337" i="19"/>
  <c r="G1337" i="19"/>
  <c r="A1338" i="19"/>
  <c r="B1338" i="19"/>
  <c r="C1338" i="19"/>
  <c r="D1338" i="19"/>
  <c r="G1338" i="19"/>
  <c r="A1339" i="19"/>
  <c r="B1339" i="19"/>
  <c r="C1339" i="19"/>
  <c r="D1339" i="19"/>
  <c r="G1339" i="19"/>
  <c r="A1340" i="19"/>
  <c r="B1340" i="19"/>
  <c r="C1340" i="19"/>
  <c r="D1340" i="19"/>
  <c r="G1340" i="19"/>
  <c r="A1341" i="19"/>
  <c r="B1341" i="19"/>
  <c r="C1341" i="19"/>
  <c r="D1341" i="19"/>
  <c r="G1341" i="19"/>
  <c r="A1342" i="19"/>
  <c r="B1342" i="19"/>
  <c r="C1342" i="19"/>
  <c r="D1342" i="19"/>
  <c r="G1342" i="19"/>
  <c r="A1343" i="19"/>
  <c r="B1343" i="19"/>
  <c r="C1343" i="19"/>
  <c r="D1343" i="19"/>
  <c r="G1343" i="19"/>
  <c r="A1344" i="19"/>
  <c r="B1344" i="19"/>
  <c r="C1344" i="19"/>
  <c r="D1344" i="19"/>
  <c r="G1344" i="19"/>
  <c r="G1307" i="19"/>
  <c r="A1309" i="19"/>
  <c r="F1309" i="19"/>
  <c r="A1310" i="19"/>
  <c r="A1311" i="19"/>
  <c r="G1311" i="19"/>
  <c r="A1312" i="19"/>
  <c r="F1312" i="19"/>
  <c r="A1313" i="19"/>
  <c r="A1314" i="19"/>
  <c r="A1315" i="19"/>
  <c r="G1315" i="19"/>
  <c r="A1316" i="19"/>
  <c r="A1317" i="19"/>
  <c r="A1318" i="19"/>
  <c r="A1319" i="19"/>
  <c r="G1319" i="19"/>
  <c r="A1320" i="19"/>
  <c r="A1321" i="19"/>
  <c r="F1321" i="19"/>
  <c r="A1322" i="19"/>
  <c r="A1323" i="19"/>
  <c r="G1323" i="19"/>
  <c r="A1324" i="19"/>
  <c r="A1325" i="19"/>
  <c r="B1325" i="19"/>
  <c r="C1325" i="19"/>
  <c r="D1325" i="19"/>
  <c r="G1325" i="19"/>
  <c r="A1326" i="19"/>
  <c r="B1326" i="19"/>
  <c r="C1326" i="19"/>
  <c r="D1326" i="19"/>
  <c r="G1326" i="19"/>
  <c r="A1327" i="19"/>
  <c r="B1327" i="19"/>
  <c r="C1327" i="19"/>
  <c r="D1327" i="19"/>
  <c r="G1327" i="19"/>
  <c r="O1188" i="19"/>
  <c r="N1188" i="19"/>
  <c r="O1187" i="19"/>
  <c r="N1187" i="19"/>
  <c r="O1186" i="19"/>
  <c r="N1186" i="19"/>
  <c r="O1185" i="19"/>
  <c r="N1185" i="19"/>
  <c r="O1184" i="19"/>
  <c r="N1184" i="19"/>
  <c r="O1183" i="19"/>
  <c r="N1183" i="19"/>
  <c r="O1182" i="19"/>
  <c r="N1182" i="19"/>
  <c r="O1181" i="19"/>
  <c r="N1181" i="19"/>
  <c r="O1180" i="19"/>
  <c r="N1180" i="19"/>
  <c r="O1179" i="19"/>
  <c r="N1179" i="19"/>
  <c r="O1178" i="19"/>
  <c r="N1178" i="19"/>
  <c r="H1248" i="19"/>
  <c r="I1248" i="19"/>
  <c r="J1248" i="19"/>
  <c r="K1248" i="19"/>
  <c r="L1248" i="19"/>
  <c r="M1248" i="19"/>
  <c r="H1249" i="19"/>
  <c r="I1249" i="19"/>
  <c r="J1249" i="19"/>
  <c r="K1249" i="19"/>
  <c r="L1249" i="19"/>
  <c r="M1249" i="19"/>
  <c r="H1250" i="19"/>
  <c r="I1250" i="19"/>
  <c r="J1250" i="19"/>
  <c r="K1250" i="19"/>
  <c r="L1250" i="19"/>
  <c r="M1250" i="19"/>
  <c r="H1251" i="19"/>
  <c r="I1251" i="19"/>
  <c r="J1251" i="19"/>
  <c r="K1251" i="19"/>
  <c r="L1251" i="19"/>
  <c r="M1251" i="19"/>
  <c r="H1252" i="19"/>
  <c r="I1252" i="19"/>
  <c r="J1252" i="19"/>
  <c r="K1252" i="19"/>
  <c r="L1252" i="19"/>
  <c r="M1252" i="19"/>
  <c r="H1253" i="19"/>
  <c r="I1253" i="19"/>
  <c r="J1253" i="19"/>
  <c r="K1253" i="19"/>
  <c r="L1253" i="19"/>
  <c r="M1253" i="19"/>
  <c r="H1254" i="19"/>
  <c r="I1254" i="19"/>
  <c r="J1254" i="19"/>
  <c r="K1254" i="19"/>
  <c r="L1254" i="19"/>
  <c r="M1254" i="19"/>
  <c r="H1255" i="19"/>
  <c r="I1255" i="19"/>
  <c r="J1255" i="19"/>
  <c r="K1255" i="19"/>
  <c r="L1255" i="19"/>
  <c r="M1255" i="19"/>
  <c r="H1256" i="19"/>
  <c r="I1256" i="19"/>
  <c r="J1256" i="19"/>
  <c r="K1256" i="19"/>
  <c r="L1256" i="19"/>
  <c r="M1256" i="19"/>
  <c r="H1257" i="19"/>
  <c r="I1257" i="19"/>
  <c r="J1257" i="19"/>
  <c r="K1257" i="19"/>
  <c r="L1257" i="19"/>
  <c r="M1257" i="19"/>
  <c r="H1258" i="19"/>
  <c r="I1258" i="19"/>
  <c r="J1258" i="19"/>
  <c r="K1258" i="19"/>
  <c r="L1258" i="19"/>
  <c r="M1258" i="19"/>
  <c r="H1259" i="19"/>
  <c r="I1259" i="19"/>
  <c r="J1259" i="19"/>
  <c r="K1259" i="19"/>
  <c r="L1259" i="19"/>
  <c r="M1259" i="19"/>
  <c r="H1260" i="19"/>
  <c r="I1260" i="19"/>
  <c r="J1260" i="19"/>
  <c r="K1260" i="19"/>
  <c r="L1260" i="19"/>
  <c r="M1260" i="19"/>
  <c r="H1261" i="19"/>
  <c r="I1261" i="19"/>
  <c r="J1261" i="19"/>
  <c r="K1261" i="19"/>
  <c r="L1261" i="19"/>
  <c r="M1261" i="19"/>
  <c r="H1262" i="19"/>
  <c r="I1262" i="19"/>
  <c r="J1262" i="19"/>
  <c r="K1262" i="19"/>
  <c r="L1262" i="19"/>
  <c r="M1262" i="19"/>
  <c r="H1263" i="19"/>
  <c r="I1263" i="19"/>
  <c r="J1263" i="19"/>
  <c r="K1263" i="19"/>
  <c r="L1263" i="19"/>
  <c r="M1263" i="19"/>
  <c r="H1264" i="19"/>
  <c r="I1264" i="19"/>
  <c r="J1264" i="19"/>
  <c r="K1264" i="19"/>
  <c r="L1264" i="19"/>
  <c r="M1264" i="19"/>
  <c r="H1265" i="19"/>
  <c r="I1265" i="19"/>
  <c r="J1265" i="19"/>
  <c r="K1265" i="19"/>
  <c r="L1265" i="19"/>
  <c r="M1265" i="19"/>
  <c r="H1266" i="19"/>
  <c r="I1266" i="19"/>
  <c r="J1266" i="19"/>
  <c r="K1266" i="19"/>
  <c r="L1266" i="19"/>
  <c r="M1266" i="19"/>
  <c r="H1267" i="19"/>
  <c r="I1267" i="19"/>
  <c r="J1267" i="19"/>
  <c r="K1267" i="19"/>
  <c r="L1267" i="19"/>
  <c r="M1267" i="19"/>
  <c r="H1268" i="19"/>
  <c r="I1268" i="19"/>
  <c r="J1268" i="19"/>
  <c r="K1268" i="19"/>
  <c r="L1268" i="19"/>
  <c r="M1268" i="19"/>
  <c r="H1269" i="19"/>
  <c r="I1269" i="19"/>
  <c r="J1269" i="19"/>
  <c r="K1269" i="19"/>
  <c r="L1269" i="19"/>
  <c r="M1269" i="19"/>
  <c r="H1270" i="19"/>
  <c r="I1270" i="19"/>
  <c r="J1270" i="19"/>
  <c r="K1270" i="19"/>
  <c r="L1270" i="19"/>
  <c r="M1270" i="19"/>
  <c r="H1271" i="19"/>
  <c r="I1271" i="19"/>
  <c r="J1271" i="19"/>
  <c r="K1271" i="19"/>
  <c r="L1271" i="19"/>
  <c r="M1271" i="19"/>
  <c r="H1272" i="19"/>
  <c r="I1272" i="19"/>
  <c r="J1272" i="19"/>
  <c r="K1272" i="19"/>
  <c r="L1272" i="19"/>
  <c r="M1272" i="19"/>
  <c r="H1273" i="19"/>
  <c r="I1273" i="19"/>
  <c r="J1273" i="19"/>
  <c r="K1273" i="19"/>
  <c r="L1273" i="19"/>
  <c r="M1273" i="19"/>
  <c r="H1274" i="19"/>
  <c r="I1274" i="19"/>
  <c r="J1274" i="19"/>
  <c r="K1274" i="19"/>
  <c r="L1274" i="19"/>
  <c r="M1274" i="19"/>
  <c r="H1275" i="19"/>
  <c r="I1275" i="19"/>
  <c r="J1275" i="19"/>
  <c r="K1275" i="19"/>
  <c r="L1275" i="19"/>
  <c r="M1275" i="19"/>
  <c r="H1276" i="19"/>
  <c r="I1276" i="19"/>
  <c r="J1276" i="19"/>
  <c r="K1276" i="19"/>
  <c r="L1276" i="19"/>
  <c r="M1276" i="19"/>
  <c r="H1277" i="19"/>
  <c r="I1277" i="19"/>
  <c r="J1277" i="19"/>
  <c r="K1277" i="19"/>
  <c r="L1277" i="19"/>
  <c r="M1277" i="19"/>
  <c r="H1278" i="19"/>
  <c r="I1278" i="19"/>
  <c r="J1278" i="19"/>
  <c r="K1278" i="19"/>
  <c r="L1278" i="19"/>
  <c r="M1278" i="19"/>
  <c r="H1279" i="19"/>
  <c r="I1279" i="19"/>
  <c r="J1279" i="19"/>
  <c r="K1279" i="19"/>
  <c r="L1279" i="19"/>
  <c r="M1279" i="19"/>
  <c r="H1280" i="19"/>
  <c r="I1280" i="19"/>
  <c r="J1280" i="19"/>
  <c r="K1280" i="19"/>
  <c r="L1280" i="19"/>
  <c r="M1280" i="19"/>
  <c r="H1281" i="19"/>
  <c r="I1281" i="19"/>
  <c r="J1281" i="19"/>
  <c r="K1281" i="19"/>
  <c r="L1281" i="19"/>
  <c r="M1281" i="19"/>
  <c r="H1282" i="19"/>
  <c r="I1282" i="19"/>
  <c r="J1282" i="19"/>
  <c r="K1282" i="19"/>
  <c r="L1282" i="19"/>
  <c r="M1282" i="19"/>
  <c r="H1283" i="19"/>
  <c r="I1283" i="19"/>
  <c r="J1283" i="19"/>
  <c r="K1283" i="19"/>
  <c r="L1283" i="19"/>
  <c r="M1283" i="19"/>
  <c r="H1284" i="19"/>
  <c r="I1284" i="19"/>
  <c r="J1284" i="19"/>
  <c r="K1284" i="19"/>
  <c r="L1284" i="19"/>
  <c r="M1284" i="19"/>
  <c r="H1285" i="19"/>
  <c r="I1285" i="19"/>
  <c r="J1285" i="19"/>
  <c r="K1285" i="19"/>
  <c r="L1285" i="19"/>
  <c r="M1285" i="19"/>
  <c r="H1286" i="19"/>
  <c r="I1286" i="19"/>
  <c r="J1286" i="19"/>
  <c r="K1286" i="19"/>
  <c r="L1286" i="19"/>
  <c r="M1286" i="19"/>
  <c r="H1287" i="19"/>
  <c r="I1287" i="19"/>
  <c r="J1287" i="19"/>
  <c r="K1287" i="19"/>
  <c r="L1287" i="19"/>
  <c r="M1287" i="19"/>
  <c r="H1288" i="19"/>
  <c r="I1288" i="19"/>
  <c r="J1288" i="19"/>
  <c r="K1288" i="19"/>
  <c r="L1288" i="19"/>
  <c r="M1288" i="19"/>
  <c r="H1289" i="19"/>
  <c r="I1289" i="19"/>
  <c r="J1289" i="19"/>
  <c r="K1289" i="19"/>
  <c r="L1289" i="19"/>
  <c r="M1289" i="19"/>
  <c r="H1290" i="19"/>
  <c r="I1290" i="19"/>
  <c r="J1290" i="19"/>
  <c r="K1290" i="19"/>
  <c r="L1290" i="19"/>
  <c r="M1290" i="19"/>
  <c r="H1291" i="19"/>
  <c r="I1291" i="19"/>
  <c r="J1291" i="19"/>
  <c r="K1291" i="19"/>
  <c r="L1291" i="19"/>
  <c r="M1291" i="19"/>
  <c r="H1292" i="19"/>
  <c r="I1292" i="19"/>
  <c r="J1292" i="19"/>
  <c r="K1292" i="19"/>
  <c r="L1292" i="19"/>
  <c r="M1292" i="19"/>
  <c r="H1293" i="19"/>
  <c r="I1293" i="19"/>
  <c r="J1293" i="19"/>
  <c r="K1293" i="19"/>
  <c r="L1293" i="19"/>
  <c r="M1293" i="19"/>
  <c r="H1294" i="19"/>
  <c r="I1294" i="19"/>
  <c r="J1294" i="19"/>
  <c r="K1294" i="19"/>
  <c r="L1294" i="19"/>
  <c r="M1294" i="19"/>
  <c r="H1295" i="19"/>
  <c r="I1295" i="19"/>
  <c r="J1295" i="19"/>
  <c r="K1295" i="19"/>
  <c r="L1295" i="19"/>
  <c r="M1295" i="19"/>
  <c r="H1296" i="19"/>
  <c r="I1296" i="19"/>
  <c r="J1296" i="19"/>
  <c r="K1296" i="19"/>
  <c r="L1296" i="19"/>
  <c r="M1296" i="19"/>
  <c r="H1297" i="19"/>
  <c r="I1297" i="19"/>
  <c r="J1297" i="19"/>
  <c r="K1297" i="19"/>
  <c r="L1297" i="19"/>
  <c r="M1297" i="19"/>
  <c r="H1298" i="19"/>
  <c r="I1298" i="19"/>
  <c r="J1298" i="19"/>
  <c r="K1298" i="19"/>
  <c r="L1298" i="19"/>
  <c r="M1298" i="19"/>
  <c r="H1299" i="19"/>
  <c r="I1299" i="19"/>
  <c r="J1299" i="19"/>
  <c r="K1299" i="19"/>
  <c r="L1299" i="19"/>
  <c r="M1299" i="19"/>
  <c r="H1300" i="19"/>
  <c r="I1300" i="19"/>
  <c r="J1300" i="19"/>
  <c r="K1300" i="19"/>
  <c r="L1300" i="19"/>
  <c r="M1300" i="19"/>
  <c r="H1301" i="19"/>
  <c r="I1301" i="19"/>
  <c r="J1301" i="19"/>
  <c r="K1301" i="19"/>
  <c r="L1301" i="19"/>
  <c r="M1301" i="19"/>
  <c r="H1302" i="19"/>
  <c r="I1302" i="19"/>
  <c r="J1302" i="19"/>
  <c r="K1302" i="19"/>
  <c r="L1302" i="19"/>
  <c r="M1302" i="19"/>
  <c r="H1303" i="19"/>
  <c r="I1303" i="19"/>
  <c r="J1303" i="19"/>
  <c r="K1303" i="19"/>
  <c r="L1303" i="19"/>
  <c r="M1303" i="19"/>
  <c r="H1304" i="19"/>
  <c r="I1304" i="19"/>
  <c r="J1304" i="19"/>
  <c r="K1304" i="19"/>
  <c r="L1304" i="19"/>
  <c r="M1304" i="19"/>
  <c r="H1247" i="19"/>
  <c r="I1247" i="19"/>
  <c r="J1247" i="19"/>
  <c r="K1247" i="19"/>
  <c r="L1247" i="19"/>
  <c r="M1247" i="19"/>
  <c r="A1248" i="19"/>
  <c r="B1248" i="19"/>
  <c r="C1248" i="19"/>
  <c r="D1248" i="19"/>
  <c r="E1248" i="19"/>
  <c r="F1248" i="19"/>
  <c r="G1248" i="19"/>
  <c r="A1249" i="19"/>
  <c r="B1249" i="19"/>
  <c r="C1249" i="19"/>
  <c r="D1249" i="19"/>
  <c r="E1249" i="19"/>
  <c r="F1249" i="19"/>
  <c r="G1249" i="19"/>
  <c r="A1250" i="19"/>
  <c r="B1250" i="19"/>
  <c r="C1250" i="19"/>
  <c r="D1250" i="19"/>
  <c r="E1250" i="19"/>
  <c r="F1250" i="19"/>
  <c r="G1250" i="19"/>
  <c r="A1251" i="19"/>
  <c r="B1251" i="19"/>
  <c r="C1251" i="19"/>
  <c r="D1251" i="19"/>
  <c r="E1251" i="19"/>
  <c r="F1251" i="19"/>
  <c r="G1251" i="19"/>
  <c r="A1252" i="19"/>
  <c r="B1252" i="19"/>
  <c r="C1252" i="19"/>
  <c r="D1252" i="19"/>
  <c r="E1252" i="19"/>
  <c r="F1252" i="19"/>
  <c r="G1252" i="19"/>
  <c r="A1253" i="19"/>
  <c r="B1253" i="19"/>
  <c r="C1253" i="19"/>
  <c r="D1253" i="19"/>
  <c r="E1253" i="19"/>
  <c r="F1253" i="19"/>
  <c r="G1253" i="19"/>
  <c r="A1254" i="19"/>
  <c r="B1254" i="19"/>
  <c r="C1254" i="19"/>
  <c r="D1254" i="19"/>
  <c r="E1254" i="19"/>
  <c r="F1254" i="19"/>
  <c r="G1254" i="19"/>
  <c r="A1255" i="19"/>
  <c r="B1255" i="19"/>
  <c r="C1255" i="19"/>
  <c r="D1255" i="19"/>
  <c r="E1255" i="19"/>
  <c r="F1255" i="19"/>
  <c r="G1255" i="19"/>
  <c r="A1256" i="19"/>
  <c r="B1256" i="19"/>
  <c r="C1256" i="19"/>
  <c r="D1256" i="19"/>
  <c r="E1256" i="19"/>
  <c r="F1256" i="19"/>
  <c r="G1256" i="19"/>
  <c r="A1257" i="19"/>
  <c r="B1257" i="19"/>
  <c r="C1257" i="19"/>
  <c r="D1257" i="19"/>
  <c r="E1257" i="19"/>
  <c r="F1257" i="19"/>
  <c r="G1257" i="19"/>
  <c r="A1258" i="19"/>
  <c r="B1258" i="19"/>
  <c r="C1258" i="19"/>
  <c r="D1258" i="19"/>
  <c r="E1258" i="19"/>
  <c r="F1258" i="19"/>
  <c r="G1258" i="19"/>
  <c r="A1259" i="19"/>
  <c r="B1259" i="19"/>
  <c r="C1259" i="19"/>
  <c r="D1259" i="19"/>
  <c r="E1259" i="19"/>
  <c r="F1259" i="19"/>
  <c r="G1259" i="19"/>
  <c r="A1260" i="19"/>
  <c r="B1260" i="19"/>
  <c r="C1260" i="19"/>
  <c r="D1260" i="19"/>
  <c r="E1260" i="19"/>
  <c r="F1260" i="19"/>
  <c r="G1260" i="19"/>
  <c r="A1261" i="19"/>
  <c r="B1261" i="19"/>
  <c r="C1261" i="19"/>
  <c r="D1261" i="19"/>
  <c r="E1261" i="19"/>
  <c r="F1261" i="19"/>
  <c r="G1261" i="19"/>
  <c r="A1262" i="19"/>
  <c r="B1262" i="19"/>
  <c r="C1262" i="19"/>
  <c r="D1262" i="19"/>
  <c r="E1262" i="19"/>
  <c r="F1262" i="19"/>
  <c r="G1262" i="19"/>
  <c r="A1263" i="19"/>
  <c r="B1263" i="19"/>
  <c r="C1263" i="19"/>
  <c r="D1263" i="19"/>
  <c r="E1263" i="19"/>
  <c r="F1263" i="19"/>
  <c r="G1263" i="19"/>
  <c r="A1264" i="19"/>
  <c r="B1264" i="19"/>
  <c r="C1264" i="19"/>
  <c r="D1264" i="19"/>
  <c r="E1264" i="19"/>
  <c r="F1264" i="19"/>
  <c r="G1264" i="19"/>
  <c r="A1265" i="19"/>
  <c r="B1265" i="19"/>
  <c r="C1265" i="19"/>
  <c r="D1265" i="19"/>
  <c r="E1265" i="19"/>
  <c r="F1265" i="19"/>
  <c r="G1265" i="19"/>
  <c r="A1266" i="19"/>
  <c r="B1266" i="19"/>
  <c r="C1266" i="19"/>
  <c r="D1266" i="19"/>
  <c r="E1266" i="19"/>
  <c r="F1266" i="19"/>
  <c r="G1266" i="19"/>
  <c r="A1267" i="19"/>
  <c r="B1267" i="19"/>
  <c r="C1267" i="19"/>
  <c r="D1267" i="19"/>
  <c r="E1267" i="19"/>
  <c r="F1267" i="19"/>
  <c r="G1267" i="19"/>
  <c r="A1268" i="19"/>
  <c r="B1268" i="19"/>
  <c r="C1268" i="19"/>
  <c r="D1268" i="19"/>
  <c r="E1268" i="19"/>
  <c r="F1268" i="19"/>
  <c r="G1268" i="19"/>
  <c r="A1269" i="19"/>
  <c r="B1269" i="19"/>
  <c r="C1269" i="19"/>
  <c r="D1269" i="19"/>
  <c r="E1269" i="19"/>
  <c r="F1269" i="19"/>
  <c r="G1269" i="19"/>
  <c r="A1270" i="19"/>
  <c r="B1270" i="19"/>
  <c r="C1270" i="19"/>
  <c r="D1270" i="19"/>
  <c r="E1270" i="19"/>
  <c r="F1270" i="19"/>
  <c r="G1270" i="19"/>
  <c r="A1271" i="19"/>
  <c r="B1271" i="19"/>
  <c r="C1271" i="19"/>
  <c r="D1271" i="19"/>
  <c r="E1271" i="19"/>
  <c r="F1271" i="19"/>
  <c r="G1271" i="19"/>
  <c r="A1272" i="19"/>
  <c r="B1272" i="19"/>
  <c r="C1272" i="19"/>
  <c r="D1272" i="19"/>
  <c r="E1272" i="19"/>
  <c r="F1272" i="19"/>
  <c r="G1272" i="19"/>
  <c r="A1273" i="19"/>
  <c r="B1273" i="19"/>
  <c r="C1273" i="19"/>
  <c r="D1273" i="19"/>
  <c r="E1273" i="19"/>
  <c r="F1273" i="19"/>
  <c r="G1273" i="19"/>
  <c r="A1274" i="19"/>
  <c r="B1274" i="19"/>
  <c r="C1274" i="19"/>
  <c r="D1274" i="19"/>
  <c r="E1274" i="19"/>
  <c r="F1274" i="19"/>
  <c r="G1274" i="19"/>
  <c r="A1275" i="19"/>
  <c r="B1275" i="19"/>
  <c r="C1275" i="19"/>
  <c r="D1275" i="19"/>
  <c r="E1275" i="19"/>
  <c r="F1275" i="19"/>
  <c r="G1275" i="19"/>
  <c r="A1276" i="19"/>
  <c r="B1276" i="19"/>
  <c r="C1276" i="19"/>
  <c r="D1276" i="19"/>
  <c r="E1276" i="19"/>
  <c r="F1276" i="19"/>
  <c r="G1276" i="19"/>
  <c r="A1277" i="19"/>
  <c r="B1277" i="19"/>
  <c r="C1277" i="19"/>
  <c r="D1277" i="19"/>
  <c r="E1277" i="19"/>
  <c r="F1277" i="19"/>
  <c r="G1277" i="19"/>
  <c r="A1278" i="19"/>
  <c r="B1278" i="19"/>
  <c r="C1278" i="19"/>
  <c r="D1278" i="19"/>
  <c r="E1278" i="19"/>
  <c r="F1278" i="19"/>
  <c r="G1278" i="19"/>
  <c r="A1279" i="19"/>
  <c r="B1279" i="19"/>
  <c r="C1279" i="19"/>
  <c r="D1279" i="19"/>
  <c r="E1279" i="19"/>
  <c r="F1279" i="19"/>
  <c r="G1279" i="19"/>
  <c r="A1280" i="19"/>
  <c r="B1280" i="19"/>
  <c r="C1280" i="19"/>
  <c r="D1280" i="19"/>
  <c r="E1280" i="19"/>
  <c r="F1280" i="19"/>
  <c r="G1280" i="19"/>
  <c r="A1281" i="19"/>
  <c r="B1281" i="19"/>
  <c r="C1281" i="19"/>
  <c r="D1281" i="19"/>
  <c r="E1281" i="19"/>
  <c r="F1281" i="19"/>
  <c r="G1281" i="19"/>
  <c r="A1282" i="19"/>
  <c r="B1282" i="19"/>
  <c r="C1282" i="19"/>
  <c r="D1282" i="19"/>
  <c r="E1282" i="19"/>
  <c r="F1282" i="19"/>
  <c r="G1282" i="19"/>
  <c r="A1283" i="19"/>
  <c r="B1283" i="19"/>
  <c r="C1283" i="19"/>
  <c r="D1283" i="19"/>
  <c r="E1283" i="19"/>
  <c r="F1283" i="19"/>
  <c r="G1283" i="19"/>
  <c r="A1284" i="19"/>
  <c r="B1284" i="19"/>
  <c r="C1284" i="19"/>
  <c r="D1284" i="19"/>
  <c r="E1284" i="19"/>
  <c r="F1284" i="19"/>
  <c r="G1284" i="19"/>
  <c r="A1285" i="19"/>
  <c r="B1285" i="19"/>
  <c r="C1285" i="19"/>
  <c r="D1285" i="19"/>
  <c r="E1285" i="19"/>
  <c r="F1285" i="19"/>
  <c r="G1285" i="19"/>
  <c r="A1286" i="19"/>
  <c r="B1286" i="19"/>
  <c r="C1286" i="19"/>
  <c r="D1286" i="19"/>
  <c r="E1286" i="19"/>
  <c r="F1286" i="19"/>
  <c r="G1286" i="19"/>
  <c r="A1287" i="19"/>
  <c r="B1287" i="19"/>
  <c r="C1287" i="19"/>
  <c r="D1287" i="19"/>
  <c r="E1287" i="19"/>
  <c r="F1287" i="19"/>
  <c r="G1287" i="19"/>
  <c r="A1288" i="19"/>
  <c r="B1288" i="19"/>
  <c r="C1288" i="19"/>
  <c r="D1288" i="19"/>
  <c r="E1288" i="19"/>
  <c r="F1288" i="19"/>
  <c r="G1288" i="19"/>
  <c r="A1289" i="19"/>
  <c r="B1289" i="19"/>
  <c r="C1289" i="19"/>
  <c r="D1289" i="19"/>
  <c r="E1289" i="19"/>
  <c r="F1289" i="19"/>
  <c r="G1289" i="19"/>
  <c r="A1290" i="19"/>
  <c r="B1290" i="19"/>
  <c r="C1290" i="19"/>
  <c r="D1290" i="19"/>
  <c r="E1290" i="19"/>
  <c r="F1290" i="19"/>
  <c r="G1290" i="19"/>
  <c r="A1291" i="19"/>
  <c r="B1291" i="19"/>
  <c r="C1291" i="19"/>
  <c r="D1291" i="19"/>
  <c r="E1291" i="19"/>
  <c r="F1291" i="19"/>
  <c r="G1291" i="19"/>
  <c r="A1292" i="19"/>
  <c r="B1292" i="19"/>
  <c r="C1292" i="19"/>
  <c r="D1292" i="19"/>
  <c r="E1292" i="19"/>
  <c r="F1292" i="19"/>
  <c r="G1292" i="19"/>
  <c r="A1293" i="19"/>
  <c r="B1293" i="19"/>
  <c r="C1293" i="19"/>
  <c r="D1293" i="19"/>
  <c r="E1293" i="19"/>
  <c r="F1293" i="19"/>
  <c r="G1293" i="19"/>
  <c r="A1294" i="19"/>
  <c r="B1294" i="19"/>
  <c r="C1294" i="19"/>
  <c r="D1294" i="19"/>
  <c r="E1294" i="19"/>
  <c r="F1294" i="19"/>
  <c r="G1294" i="19"/>
  <c r="A1295" i="19"/>
  <c r="B1295" i="19"/>
  <c r="C1295" i="19"/>
  <c r="D1295" i="19"/>
  <c r="E1295" i="19"/>
  <c r="F1295" i="19"/>
  <c r="G1295" i="19"/>
  <c r="A1296" i="19"/>
  <c r="B1296" i="19"/>
  <c r="C1296" i="19"/>
  <c r="D1296" i="19"/>
  <c r="E1296" i="19"/>
  <c r="F1296" i="19"/>
  <c r="G1296" i="19"/>
  <c r="A1297" i="19"/>
  <c r="B1297" i="19"/>
  <c r="C1297" i="19"/>
  <c r="D1297" i="19"/>
  <c r="E1297" i="19"/>
  <c r="F1297" i="19"/>
  <c r="G1297" i="19"/>
  <c r="A1298" i="19"/>
  <c r="B1298" i="19"/>
  <c r="C1298" i="19"/>
  <c r="D1298" i="19"/>
  <c r="E1298" i="19"/>
  <c r="F1298" i="19"/>
  <c r="G1298" i="19"/>
  <c r="A1299" i="19"/>
  <c r="B1299" i="19"/>
  <c r="C1299" i="19"/>
  <c r="D1299" i="19"/>
  <c r="E1299" i="19"/>
  <c r="F1299" i="19"/>
  <c r="G1299" i="19"/>
  <c r="A1300" i="19"/>
  <c r="B1300" i="19"/>
  <c r="C1300" i="19"/>
  <c r="D1300" i="19"/>
  <c r="E1300" i="19"/>
  <c r="F1300" i="19"/>
  <c r="G1300" i="19"/>
  <c r="A1301" i="19"/>
  <c r="B1301" i="19"/>
  <c r="C1301" i="19"/>
  <c r="D1301" i="19"/>
  <c r="E1301" i="19"/>
  <c r="F1301" i="19"/>
  <c r="G1301" i="19"/>
  <c r="A1302" i="19"/>
  <c r="B1302" i="19"/>
  <c r="C1302" i="19"/>
  <c r="D1302" i="19"/>
  <c r="E1302" i="19"/>
  <c r="F1302" i="19"/>
  <c r="G1302" i="19"/>
  <c r="A1303" i="19"/>
  <c r="B1303" i="19"/>
  <c r="C1303" i="19"/>
  <c r="D1303" i="19"/>
  <c r="E1303" i="19"/>
  <c r="F1303" i="19"/>
  <c r="G1303" i="19"/>
  <c r="A1304" i="19"/>
  <c r="B1304" i="19"/>
  <c r="C1304" i="19"/>
  <c r="D1304" i="19"/>
  <c r="E1304" i="19"/>
  <c r="F1304" i="19"/>
  <c r="G1304" i="19"/>
  <c r="B1247" i="19"/>
  <c r="C1247" i="19"/>
  <c r="D1247" i="19"/>
  <c r="E1247" i="19"/>
  <c r="F1247" i="19"/>
  <c r="G1247" i="19"/>
  <c r="A1247" i="19"/>
  <c r="E525" i="50"/>
  <c r="E1371" i="19" s="1"/>
  <c r="E519" i="50"/>
  <c r="E1365" i="19" s="1"/>
  <c r="E513" i="50"/>
  <c r="E1359" i="19" s="1"/>
  <c r="E507" i="50"/>
  <c r="E1353" i="19" s="1"/>
  <c r="E501" i="50"/>
  <c r="E1347" i="19" s="1"/>
  <c r="E495" i="50"/>
  <c r="E1341" i="19" s="1"/>
  <c r="E489" i="50"/>
  <c r="E1335" i="19" s="1"/>
  <c r="E483" i="50"/>
  <c r="E1329" i="19" s="1"/>
  <c r="E413" i="50"/>
  <c r="E412" i="50"/>
  <c r="E404" i="50"/>
  <c r="E402" i="50"/>
  <c r="G531" i="50"/>
  <c r="G1375" i="19" s="1"/>
  <c r="G530" i="50"/>
  <c r="G1374" i="19" s="1"/>
  <c r="E529" i="50"/>
  <c r="E1373" i="19" s="1"/>
  <c r="E397" i="50"/>
  <c r="E531" i="50" s="1"/>
  <c r="E1375" i="19" s="1"/>
  <c r="D478" i="50"/>
  <c r="D1324" i="19" s="1"/>
  <c r="C478" i="50"/>
  <c r="C1324" i="19" s="1"/>
  <c r="B478" i="50"/>
  <c r="B1324" i="19" s="1"/>
  <c r="E477" i="50"/>
  <c r="E1323" i="19" s="1"/>
  <c r="D477" i="50"/>
  <c r="D1323" i="19" s="1"/>
  <c r="C477" i="50"/>
  <c r="C1323" i="19" s="1"/>
  <c r="B477" i="50"/>
  <c r="B1323" i="19" s="1"/>
  <c r="D476" i="50"/>
  <c r="D1322" i="19" s="1"/>
  <c r="C476" i="50"/>
  <c r="C1322" i="19" s="1"/>
  <c r="B476" i="50"/>
  <c r="B1322" i="19" s="1"/>
  <c r="D475" i="50"/>
  <c r="D1321" i="19" s="1"/>
  <c r="C475" i="50"/>
  <c r="C1321" i="19" s="1"/>
  <c r="B475" i="50"/>
  <c r="B1321" i="19" s="1"/>
  <c r="D474" i="50"/>
  <c r="D1320" i="19" s="1"/>
  <c r="C474" i="50"/>
  <c r="C1320" i="19" s="1"/>
  <c r="B474" i="50"/>
  <c r="B1320" i="19" s="1"/>
  <c r="E473" i="50"/>
  <c r="E1319" i="19" s="1"/>
  <c r="D473" i="50"/>
  <c r="D1319" i="19" s="1"/>
  <c r="C473" i="50"/>
  <c r="C1319" i="19" s="1"/>
  <c r="B473" i="50"/>
  <c r="B1319" i="19" s="1"/>
  <c r="D472" i="50"/>
  <c r="D1318" i="19" s="1"/>
  <c r="C472" i="50"/>
  <c r="C1318" i="19" s="1"/>
  <c r="B472" i="50"/>
  <c r="B1318" i="19" s="1"/>
  <c r="D471" i="50"/>
  <c r="D1317" i="19" s="1"/>
  <c r="C471" i="50"/>
  <c r="C1317" i="19" s="1"/>
  <c r="B471" i="50"/>
  <c r="B1317" i="19" s="1"/>
  <c r="D470" i="50"/>
  <c r="D1316" i="19" s="1"/>
  <c r="C470" i="50"/>
  <c r="C1316" i="19" s="1"/>
  <c r="B470" i="50"/>
  <c r="B1316" i="19" s="1"/>
  <c r="E469" i="50"/>
  <c r="E1315" i="19" s="1"/>
  <c r="D469" i="50"/>
  <c r="D1315" i="19" s="1"/>
  <c r="C469" i="50"/>
  <c r="C1315" i="19" s="1"/>
  <c r="B469" i="50"/>
  <c r="B1315" i="19" s="1"/>
  <c r="D468" i="50"/>
  <c r="D1314" i="19" s="1"/>
  <c r="C468" i="50"/>
  <c r="C1314" i="19" s="1"/>
  <c r="B468" i="50"/>
  <c r="B1314" i="19" s="1"/>
  <c r="D467" i="50"/>
  <c r="D1313" i="19" s="1"/>
  <c r="C467" i="50"/>
  <c r="C1313" i="19" s="1"/>
  <c r="B467" i="50"/>
  <c r="B1313" i="19" s="1"/>
  <c r="D466" i="50"/>
  <c r="D1312" i="19" s="1"/>
  <c r="C466" i="50"/>
  <c r="C1312" i="19" s="1"/>
  <c r="B466" i="50"/>
  <c r="B1312" i="19" s="1"/>
  <c r="E465" i="50"/>
  <c r="E1311" i="19" s="1"/>
  <c r="D465" i="50"/>
  <c r="D1311" i="19" s="1"/>
  <c r="C465" i="50"/>
  <c r="C1311" i="19" s="1"/>
  <c r="B465" i="50"/>
  <c r="B1311" i="19" s="1"/>
  <c r="D464" i="50"/>
  <c r="D1310" i="19" s="1"/>
  <c r="C464" i="50"/>
  <c r="C1310" i="19" s="1"/>
  <c r="B464" i="50"/>
  <c r="B1310" i="19" s="1"/>
  <c r="D463" i="50"/>
  <c r="D1309" i="19" s="1"/>
  <c r="C463" i="50"/>
  <c r="C1309" i="19" s="1"/>
  <c r="B463" i="50"/>
  <c r="B1309" i="19" s="1"/>
  <c r="E461" i="50"/>
  <c r="E1307" i="19" s="1"/>
  <c r="D462" i="50"/>
  <c r="D1308" i="19" s="1"/>
  <c r="D461" i="50"/>
  <c r="D1307" i="19" s="1"/>
  <c r="C462" i="50"/>
  <c r="C1308" i="19" s="1"/>
  <c r="C461" i="50"/>
  <c r="C1307" i="19" s="1"/>
  <c r="B462" i="50"/>
  <c r="B1308" i="19" s="1"/>
  <c r="B461" i="50"/>
  <c r="B1307" i="19" s="1"/>
  <c r="D459" i="50"/>
  <c r="D1305" i="19" s="1"/>
  <c r="D460" i="50"/>
  <c r="D1306" i="19" s="1"/>
  <c r="C460" i="50"/>
  <c r="C1306" i="19" s="1"/>
  <c r="B460" i="50"/>
  <c r="B1306" i="19" s="1"/>
  <c r="C459" i="50"/>
  <c r="C1305" i="19" s="1"/>
  <c r="B459" i="50"/>
  <c r="B1305" i="19" s="1"/>
  <c r="A460" i="50"/>
  <c r="A1306" i="19" s="1"/>
  <c r="A461" i="50"/>
  <c r="A1307" i="19" s="1"/>
  <c r="A462" i="50"/>
  <c r="A1308" i="19" s="1"/>
  <c r="A459" i="50"/>
  <c r="A1305" i="19" s="1"/>
  <c r="G454" i="50"/>
  <c r="G476" i="50" s="1"/>
  <c r="G1322" i="19" s="1"/>
  <c r="G453" i="50"/>
  <c r="G471" i="50" s="1"/>
  <c r="G1317" i="19" s="1"/>
  <c r="G456" i="50"/>
  <c r="G478" i="50" s="1"/>
  <c r="G1324" i="19" s="1"/>
  <c r="G450" i="50"/>
  <c r="G448" i="50"/>
  <c r="G446" i="50"/>
  <c r="G447" i="50"/>
  <c r="E437" i="50"/>
  <c r="E456" i="50" s="1"/>
  <c r="E470" i="50" s="1"/>
  <c r="E1316" i="19" s="1"/>
  <c r="E445" i="50"/>
  <c r="E515" i="50" s="1"/>
  <c r="E1361" i="19" s="1"/>
  <c r="E453" i="50"/>
  <c r="E475" i="50" s="1"/>
  <c r="E1321" i="19" s="1"/>
  <c r="N1285" i="19" l="1"/>
  <c r="N1303" i="19"/>
  <c r="N1294" i="19"/>
  <c r="N1251" i="19"/>
  <c r="N1248" i="19"/>
  <c r="N1283" i="19"/>
  <c r="N1276" i="19"/>
  <c r="N1274" i="19"/>
  <c r="N1267" i="19"/>
  <c r="N1265" i="19"/>
  <c r="N1263" i="19"/>
  <c r="N1260" i="19"/>
  <c r="N1257" i="19"/>
  <c r="N1254" i="19"/>
  <c r="O1298" i="19"/>
  <c r="O1289" i="19"/>
  <c r="O1280" i="19"/>
  <c r="O1278" i="19"/>
  <c r="O1271" i="19"/>
  <c r="O1269" i="19"/>
  <c r="O1261" i="19"/>
  <c r="O1258" i="19"/>
  <c r="O1255" i="19"/>
  <c r="O1252" i="19"/>
  <c r="O1249" i="19"/>
  <c r="O1247" i="19"/>
  <c r="O1304" i="19"/>
  <c r="O1303" i="19"/>
  <c r="O1302" i="19"/>
  <c r="O1301" i="19"/>
  <c r="O1300" i="19"/>
  <c r="O1299" i="19"/>
  <c r="O1297" i="19"/>
  <c r="O1296" i="19"/>
  <c r="O1295" i="19"/>
  <c r="O1294" i="19"/>
  <c r="O1293" i="19"/>
  <c r="O1292" i="19"/>
  <c r="O1291" i="19"/>
  <c r="O1290" i="19"/>
  <c r="O1288" i="19"/>
  <c r="O1287" i="19"/>
  <c r="O1286" i="19"/>
  <c r="O1285" i="19"/>
  <c r="O1284" i="19"/>
  <c r="O1283" i="19"/>
  <c r="O1282" i="19"/>
  <c r="O1281" i="19"/>
  <c r="O1279" i="19"/>
  <c r="O1277" i="19"/>
  <c r="O1276" i="19"/>
  <c r="O1275" i="19"/>
  <c r="O1274" i="19"/>
  <c r="O1273" i="19"/>
  <c r="O1272" i="19"/>
  <c r="O1270" i="19"/>
  <c r="O1268" i="19"/>
  <c r="O1267" i="19"/>
  <c r="O1266" i="19"/>
  <c r="O1265" i="19"/>
  <c r="O1264" i="19"/>
  <c r="O1263" i="19"/>
  <c r="O1262" i="19"/>
  <c r="O1260" i="19"/>
  <c r="O1259" i="19"/>
  <c r="O1257" i="19"/>
  <c r="O1256" i="19"/>
  <c r="O1254" i="19"/>
  <c r="O1253" i="19"/>
  <c r="O1251" i="19"/>
  <c r="O1250" i="19"/>
  <c r="O1248" i="19"/>
  <c r="N1247" i="19"/>
  <c r="N1304" i="19"/>
  <c r="N1302" i="19"/>
  <c r="N1301" i="19"/>
  <c r="N1300" i="19"/>
  <c r="N1299" i="19"/>
  <c r="N1298" i="19"/>
  <c r="N1297" i="19"/>
  <c r="N1296" i="19"/>
  <c r="N1295" i="19"/>
  <c r="N1293" i="19"/>
  <c r="N1292" i="19"/>
  <c r="N1291" i="19"/>
  <c r="N1290" i="19"/>
  <c r="N1289" i="19"/>
  <c r="N1288" i="19"/>
  <c r="N1287" i="19"/>
  <c r="N1286" i="19"/>
  <c r="N1284" i="19"/>
  <c r="N1282" i="19"/>
  <c r="N1281" i="19"/>
  <c r="N1280" i="19"/>
  <c r="N1279" i="19"/>
  <c r="N1278" i="19"/>
  <c r="N1277" i="19"/>
  <c r="N1275" i="19"/>
  <c r="N1273" i="19"/>
  <c r="N1272" i="19"/>
  <c r="N1271" i="19"/>
  <c r="N1270" i="19"/>
  <c r="N1269" i="19"/>
  <c r="N1268" i="19"/>
  <c r="N1266" i="19"/>
  <c r="N1264" i="19"/>
  <c r="N1262" i="19"/>
  <c r="N1261" i="19"/>
  <c r="N1259" i="19"/>
  <c r="N1258" i="19"/>
  <c r="N1256" i="19"/>
  <c r="N1255" i="19"/>
  <c r="N1253" i="19"/>
  <c r="N1252" i="19"/>
  <c r="N1250" i="19"/>
  <c r="N1249" i="19"/>
  <c r="E491" i="50"/>
  <c r="E1337" i="19" s="1"/>
  <c r="E509" i="50"/>
  <c r="E1355" i="19" s="1"/>
  <c r="E429" i="50"/>
  <c r="E447" i="50" s="1"/>
  <c r="E517" i="50" s="1"/>
  <c r="E1363" i="19" s="1"/>
  <c r="E485" i="50"/>
  <c r="E1331" i="19" s="1"/>
  <c r="E503" i="50"/>
  <c r="E1349" i="19" s="1"/>
  <c r="E521" i="50"/>
  <c r="E1367" i="19" s="1"/>
  <c r="E479" i="50"/>
  <c r="E1325" i="19" s="1"/>
  <c r="E497" i="50"/>
  <c r="E1343" i="19" s="1"/>
  <c r="E428" i="50"/>
  <c r="E446" i="50" s="1"/>
  <c r="G462" i="50"/>
  <c r="G1308" i="19" s="1"/>
  <c r="G474" i="50"/>
  <c r="G1320" i="19" s="1"/>
  <c r="E462" i="50"/>
  <c r="E1308" i="19" s="1"/>
  <c r="G472" i="50"/>
  <c r="G1318" i="19" s="1"/>
  <c r="G460" i="50"/>
  <c r="G1306" i="19" s="1"/>
  <c r="E466" i="50"/>
  <c r="E1312" i="19" s="1"/>
  <c r="E478" i="50"/>
  <c r="E1324" i="19" s="1"/>
  <c r="E471" i="50"/>
  <c r="E1317" i="19" s="1"/>
  <c r="G463" i="50"/>
  <c r="G1309" i="19" s="1"/>
  <c r="E467" i="50"/>
  <c r="E1313" i="19" s="1"/>
  <c r="G468" i="50"/>
  <c r="G1314" i="19" s="1"/>
  <c r="G470" i="50"/>
  <c r="G1316" i="19" s="1"/>
  <c r="E474" i="50"/>
  <c r="E1320" i="19" s="1"/>
  <c r="G475" i="50"/>
  <c r="G1321" i="19" s="1"/>
  <c r="E459" i="50"/>
  <c r="E1305" i="19" s="1"/>
  <c r="G467" i="50"/>
  <c r="G1313" i="19" s="1"/>
  <c r="G459" i="50"/>
  <c r="G1305" i="19" s="1"/>
  <c r="E463" i="50"/>
  <c r="E1309" i="19" s="1"/>
  <c r="G464" i="50"/>
  <c r="G1310" i="19" s="1"/>
  <c r="G466" i="50"/>
  <c r="G1312" i="19" s="1"/>
  <c r="E454" i="50"/>
  <c r="E523" i="50" l="1"/>
  <c r="E1369" i="19" s="1"/>
  <c r="E487" i="50"/>
  <c r="E1333" i="19" s="1"/>
  <c r="E505" i="50"/>
  <c r="E1351" i="19" s="1"/>
  <c r="E493" i="50"/>
  <c r="E1339" i="19" s="1"/>
  <c r="E511" i="50"/>
  <c r="E1357" i="19" s="1"/>
  <c r="E481" i="50"/>
  <c r="E1327" i="19" s="1"/>
  <c r="E499" i="50"/>
  <c r="E1345" i="19" s="1"/>
  <c r="E522" i="50"/>
  <c r="E1368" i="19" s="1"/>
  <c r="E516" i="50"/>
  <c r="E1362" i="19" s="1"/>
  <c r="E510" i="50"/>
  <c r="E1356" i="19" s="1"/>
  <c r="E504" i="50"/>
  <c r="E1350" i="19" s="1"/>
  <c r="E498" i="50"/>
  <c r="E1344" i="19" s="1"/>
  <c r="E492" i="50"/>
  <c r="E1338" i="19" s="1"/>
  <c r="E486" i="50"/>
  <c r="E1332" i="19" s="1"/>
  <c r="E480" i="50"/>
  <c r="E1326" i="19" s="1"/>
  <c r="E435" i="50"/>
  <c r="E436" i="50" s="1"/>
  <c r="E450" i="50" s="1"/>
  <c r="E468" i="50"/>
  <c r="E1314" i="19" s="1"/>
  <c r="E460" i="50"/>
  <c r="E1306" i="19" s="1"/>
  <c r="E464" i="50"/>
  <c r="E1310" i="19" s="1"/>
  <c r="E472" i="50"/>
  <c r="E1318" i="19" s="1"/>
  <c r="E476" i="50"/>
  <c r="E1322" i="19" s="1"/>
  <c r="E526" i="50" l="1"/>
  <c r="E1372" i="19" s="1"/>
  <c r="E520" i="50"/>
  <c r="E1366" i="19" s="1"/>
  <c r="E514" i="50"/>
  <c r="E1360" i="19" s="1"/>
  <c r="E508" i="50"/>
  <c r="E1354" i="19" s="1"/>
  <c r="E502" i="50"/>
  <c r="E1348" i="19" s="1"/>
  <c r="E496" i="50"/>
  <c r="E1342" i="19" s="1"/>
  <c r="E490" i="50"/>
  <c r="E1336" i="19" s="1"/>
  <c r="E484" i="50"/>
  <c r="E1330" i="19" s="1"/>
  <c r="E448" i="50"/>
  <c r="E482" i="50" l="1"/>
  <c r="E1328" i="19" s="1"/>
  <c r="E524" i="50"/>
  <c r="E1370" i="19" s="1"/>
  <c r="E518" i="50"/>
  <c r="E1364" i="19" s="1"/>
  <c r="E512" i="50"/>
  <c r="E1358" i="19" s="1"/>
  <c r="E506" i="50"/>
  <c r="E1352" i="19" s="1"/>
  <c r="E500" i="50"/>
  <c r="E1346" i="19" s="1"/>
  <c r="E494" i="50"/>
  <c r="E1340" i="19" s="1"/>
  <c r="E488" i="50"/>
  <c r="E1334" i="19" s="1"/>
  <c r="A1190" i="19" l="1"/>
  <c r="B1190" i="19"/>
  <c r="C1190" i="19"/>
  <c r="D1190" i="19"/>
  <c r="E1190" i="19"/>
  <c r="F1190" i="19"/>
  <c r="G1190" i="19"/>
  <c r="H1190" i="19"/>
  <c r="I1190" i="19"/>
  <c r="J1190" i="19"/>
  <c r="K1190" i="19"/>
  <c r="L1190" i="19"/>
  <c r="M1190" i="19"/>
  <c r="A1191" i="19"/>
  <c r="B1191" i="19"/>
  <c r="C1191" i="19"/>
  <c r="D1191" i="19"/>
  <c r="E1191" i="19"/>
  <c r="F1191" i="19"/>
  <c r="G1191" i="19"/>
  <c r="H1191" i="19"/>
  <c r="I1191" i="19"/>
  <c r="J1191" i="19"/>
  <c r="K1191" i="19"/>
  <c r="L1191" i="19"/>
  <c r="M1191" i="19"/>
  <c r="A1192" i="19"/>
  <c r="B1192" i="19"/>
  <c r="C1192" i="19"/>
  <c r="D1192" i="19"/>
  <c r="E1192" i="19"/>
  <c r="F1192" i="19"/>
  <c r="G1192" i="19"/>
  <c r="H1192" i="19"/>
  <c r="I1192" i="19"/>
  <c r="J1192" i="19"/>
  <c r="K1192" i="19"/>
  <c r="L1192" i="19"/>
  <c r="M1192" i="19"/>
  <c r="A1193" i="19"/>
  <c r="B1193" i="19"/>
  <c r="C1193" i="19"/>
  <c r="D1193" i="19"/>
  <c r="E1193" i="19"/>
  <c r="F1193" i="19"/>
  <c r="G1193" i="19"/>
  <c r="H1193" i="19"/>
  <c r="I1193" i="19"/>
  <c r="J1193" i="19"/>
  <c r="K1193" i="19"/>
  <c r="L1193" i="19"/>
  <c r="M1193" i="19"/>
  <c r="A1194" i="19"/>
  <c r="B1194" i="19"/>
  <c r="C1194" i="19"/>
  <c r="D1194" i="19"/>
  <c r="E1194" i="19"/>
  <c r="F1194" i="19"/>
  <c r="G1194" i="19"/>
  <c r="H1194" i="19"/>
  <c r="I1194" i="19"/>
  <c r="J1194" i="19"/>
  <c r="K1194" i="19"/>
  <c r="L1194" i="19"/>
  <c r="M1194" i="19"/>
  <c r="A1195" i="19"/>
  <c r="B1195" i="19"/>
  <c r="C1195" i="19"/>
  <c r="D1195" i="19"/>
  <c r="E1195" i="19"/>
  <c r="F1195" i="19"/>
  <c r="G1195" i="19"/>
  <c r="H1195" i="19"/>
  <c r="I1195" i="19"/>
  <c r="J1195" i="19"/>
  <c r="K1195" i="19"/>
  <c r="L1195" i="19"/>
  <c r="M1195" i="19"/>
  <c r="A1196" i="19"/>
  <c r="B1196" i="19"/>
  <c r="C1196" i="19"/>
  <c r="D1196" i="19"/>
  <c r="E1196" i="19"/>
  <c r="F1196" i="19"/>
  <c r="G1196" i="19"/>
  <c r="H1196" i="19"/>
  <c r="I1196" i="19"/>
  <c r="J1196" i="19"/>
  <c r="K1196" i="19"/>
  <c r="L1196" i="19"/>
  <c r="M1196" i="19"/>
  <c r="A1197" i="19"/>
  <c r="B1197" i="19"/>
  <c r="C1197" i="19"/>
  <c r="D1197" i="19"/>
  <c r="E1197" i="19"/>
  <c r="F1197" i="19"/>
  <c r="G1197" i="19"/>
  <c r="H1197" i="19"/>
  <c r="I1197" i="19"/>
  <c r="J1197" i="19"/>
  <c r="K1197" i="19"/>
  <c r="L1197" i="19"/>
  <c r="M1197" i="19"/>
  <c r="A1198" i="19"/>
  <c r="B1198" i="19"/>
  <c r="C1198" i="19"/>
  <c r="D1198" i="19"/>
  <c r="E1198" i="19"/>
  <c r="F1198" i="19"/>
  <c r="G1198" i="19"/>
  <c r="H1198" i="19"/>
  <c r="I1198" i="19"/>
  <c r="J1198" i="19"/>
  <c r="K1198" i="19"/>
  <c r="L1198" i="19"/>
  <c r="M1198" i="19"/>
  <c r="A1199" i="19"/>
  <c r="B1199" i="19"/>
  <c r="C1199" i="19"/>
  <c r="D1199" i="19"/>
  <c r="E1199" i="19"/>
  <c r="F1199" i="19"/>
  <c r="G1199" i="19"/>
  <c r="H1199" i="19"/>
  <c r="I1199" i="19"/>
  <c r="J1199" i="19"/>
  <c r="K1199" i="19"/>
  <c r="L1199" i="19"/>
  <c r="M1199" i="19"/>
  <c r="A1200" i="19"/>
  <c r="B1200" i="19"/>
  <c r="C1200" i="19"/>
  <c r="D1200" i="19"/>
  <c r="E1200" i="19"/>
  <c r="F1200" i="19"/>
  <c r="G1200" i="19"/>
  <c r="H1200" i="19"/>
  <c r="I1200" i="19"/>
  <c r="J1200" i="19"/>
  <c r="K1200" i="19"/>
  <c r="L1200" i="19"/>
  <c r="M1200" i="19"/>
  <c r="A1201" i="19"/>
  <c r="B1201" i="19"/>
  <c r="C1201" i="19"/>
  <c r="D1201" i="19"/>
  <c r="E1201" i="19"/>
  <c r="F1201" i="19"/>
  <c r="G1201" i="19"/>
  <c r="H1201" i="19"/>
  <c r="I1201" i="19"/>
  <c r="J1201" i="19"/>
  <c r="K1201" i="19"/>
  <c r="L1201" i="19"/>
  <c r="M1201" i="19"/>
  <c r="A1202" i="19"/>
  <c r="B1202" i="19"/>
  <c r="C1202" i="19"/>
  <c r="D1202" i="19"/>
  <c r="E1202" i="19"/>
  <c r="F1202" i="19"/>
  <c r="G1202" i="19"/>
  <c r="H1202" i="19"/>
  <c r="I1202" i="19"/>
  <c r="J1202" i="19"/>
  <c r="K1202" i="19"/>
  <c r="L1202" i="19"/>
  <c r="M1202" i="19"/>
  <c r="A1203" i="19"/>
  <c r="B1203" i="19"/>
  <c r="C1203" i="19"/>
  <c r="D1203" i="19"/>
  <c r="E1203" i="19"/>
  <c r="F1203" i="19"/>
  <c r="G1203" i="19"/>
  <c r="H1203" i="19"/>
  <c r="I1203" i="19"/>
  <c r="J1203" i="19"/>
  <c r="K1203" i="19"/>
  <c r="L1203" i="19"/>
  <c r="M1203" i="19"/>
  <c r="A1204" i="19"/>
  <c r="B1204" i="19"/>
  <c r="C1204" i="19"/>
  <c r="D1204" i="19"/>
  <c r="E1204" i="19"/>
  <c r="F1204" i="19"/>
  <c r="G1204" i="19"/>
  <c r="H1204" i="19"/>
  <c r="I1204" i="19"/>
  <c r="J1204" i="19"/>
  <c r="K1204" i="19"/>
  <c r="L1204" i="19"/>
  <c r="M1204" i="19"/>
  <c r="A1205" i="19"/>
  <c r="B1205" i="19"/>
  <c r="C1205" i="19"/>
  <c r="D1205" i="19"/>
  <c r="E1205" i="19"/>
  <c r="F1205" i="19"/>
  <c r="G1205" i="19"/>
  <c r="H1205" i="19"/>
  <c r="I1205" i="19"/>
  <c r="J1205" i="19"/>
  <c r="K1205" i="19"/>
  <c r="L1205" i="19"/>
  <c r="M1205" i="19"/>
  <c r="A1206" i="19"/>
  <c r="B1206" i="19"/>
  <c r="C1206" i="19"/>
  <c r="D1206" i="19"/>
  <c r="E1206" i="19"/>
  <c r="F1206" i="19"/>
  <c r="G1206" i="19"/>
  <c r="H1206" i="19"/>
  <c r="I1206" i="19"/>
  <c r="J1206" i="19"/>
  <c r="K1206" i="19"/>
  <c r="L1206" i="19"/>
  <c r="M1206" i="19"/>
  <c r="A1207" i="19"/>
  <c r="B1207" i="19"/>
  <c r="C1207" i="19"/>
  <c r="D1207" i="19"/>
  <c r="E1207" i="19"/>
  <c r="F1207" i="19"/>
  <c r="G1207" i="19"/>
  <c r="H1207" i="19"/>
  <c r="I1207" i="19"/>
  <c r="J1207" i="19"/>
  <c r="K1207" i="19"/>
  <c r="L1207" i="19"/>
  <c r="M1207" i="19"/>
  <c r="A1208" i="19"/>
  <c r="B1208" i="19"/>
  <c r="C1208" i="19"/>
  <c r="D1208" i="19"/>
  <c r="E1208" i="19"/>
  <c r="F1208" i="19"/>
  <c r="G1208" i="19"/>
  <c r="H1208" i="19"/>
  <c r="I1208" i="19"/>
  <c r="J1208" i="19"/>
  <c r="K1208" i="19"/>
  <c r="L1208" i="19"/>
  <c r="M1208" i="19"/>
  <c r="A1209" i="19"/>
  <c r="B1209" i="19"/>
  <c r="C1209" i="19"/>
  <c r="D1209" i="19"/>
  <c r="E1209" i="19"/>
  <c r="F1209" i="19"/>
  <c r="G1209" i="19"/>
  <c r="H1209" i="19"/>
  <c r="I1209" i="19"/>
  <c r="J1209" i="19"/>
  <c r="K1209" i="19"/>
  <c r="L1209" i="19"/>
  <c r="M1209" i="19"/>
  <c r="A1210" i="19"/>
  <c r="B1210" i="19"/>
  <c r="C1210" i="19"/>
  <c r="D1210" i="19"/>
  <c r="E1210" i="19"/>
  <c r="F1210" i="19"/>
  <c r="G1210" i="19"/>
  <c r="H1210" i="19"/>
  <c r="I1210" i="19"/>
  <c r="J1210" i="19"/>
  <c r="K1210" i="19"/>
  <c r="L1210" i="19"/>
  <c r="M1210" i="19"/>
  <c r="A1211" i="19"/>
  <c r="B1211" i="19"/>
  <c r="C1211" i="19"/>
  <c r="D1211" i="19"/>
  <c r="E1211" i="19"/>
  <c r="F1211" i="19"/>
  <c r="G1211" i="19"/>
  <c r="H1211" i="19"/>
  <c r="I1211" i="19"/>
  <c r="J1211" i="19"/>
  <c r="K1211" i="19"/>
  <c r="L1211" i="19"/>
  <c r="M1211" i="19"/>
  <c r="A1212" i="19"/>
  <c r="B1212" i="19"/>
  <c r="C1212" i="19"/>
  <c r="D1212" i="19"/>
  <c r="E1212" i="19"/>
  <c r="F1212" i="19"/>
  <c r="G1212" i="19"/>
  <c r="H1212" i="19"/>
  <c r="I1212" i="19"/>
  <c r="J1212" i="19"/>
  <c r="K1212" i="19"/>
  <c r="L1212" i="19"/>
  <c r="M1212" i="19"/>
  <c r="A1213" i="19"/>
  <c r="B1213" i="19"/>
  <c r="C1213" i="19"/>
  <c r="D1213" i="19"/>
  <c r="E1213" i="19"/>
  <c r="F1213" i="19"/>
  <c r="G1213" i="19"/>
  <c r="H1213" i="19"/>
  <c r="I1213" i="19"/>
  <c r="J1213" i="19"/>
  <c r="K1213" i="19"/>
  <c r="L1213" i="19"/>
  <c r="M1213" i="19"/>
  <c r="A1214" i="19"/>
  <c r="B1214" i="19"/>
  <c r="C1214" i="19"/>
  <c r="D1214" i="19"/>
  <c r="E1214" i="19"/>
  <c r="F1214" i="19"/>
  <c r="G1214" i="19"/>
  <c r="H1214" i="19"/>
  <c r="I1214" i="19"/>
  <c r="J1214" i="19"/>
  <c r="K1214" i="19"/>
  <c r="L1214" i="19"/>
  <c r="M1214" i="19"/>
  <c r="A1215" i="19"/>
  <c r="B1215" i="19"/>
  <c r="C1215" i="19"/>
  <c r="D1215" i="19"/>
  <c r="E1215" i="19"/>
  <c r="F1215" i="19"/>
  <c r="G1215" i="19"/>
  <c r="H1215" i="19"/>
  <c r="I1215" i="19"/>
  <c r="J1215" i="19"/>
  <c r="K1215" i="19"/>
  <c r="L1215" i="19"/>
  <c r="M1215" i="19"/>
  <c r="A1216" i="19"/>
  <c r="B1216" i="19"/>
  <c r="C1216" i="19"/>
  <c r="D1216" i="19"/>
  <c r="E1216" i="19"/>
  <c r="F1216" i="19"/>
  <c r="G1216" i="19"/>
  <c r="H1216" i="19"/>
  <c r="I1216" i="19"/>
  <c r="J1216" i="19"/>
  <c r="K1216" i="19"/>
  <c r="L1216" i="19"/>
  <c r="M1216" i="19"/>
  <c r="A1217" i="19"/>
  <c r="B1217" i="19"/>
  <c r="C1217" i="19"/>
  <c r="D1217" i="19"/>
  <c r="E1217" i="19"/>
  <c r="F1217" i="19"/>
  <c r="G1217" i="19"/>
  <c r="H1217" i="19"/>
  <c r="I1217" i="19"/>
  <c r="J1217" i="19"/>
  <c r="K1217" i="19"/>
  <c r="L1217" i="19"/>
  <c r="M1217" i="19"/>
  <c r="A1218" i="19"/>
  <c r="B1218" i="19"/>
  <c r="C1218" i="19"/>
  <c r="D1218" i="19"/>
  <c r="E1218" i="19"/>
  <c r="F1218" i="19"/>
  <c r="G1218" i="19"/>
  <c r="H1218" i="19"/>
  <c r="I1218" i="19"/>
  <c r="J1218" i="19"/>
  <c r="K1218" i="19"/>
  <c r="L1218" i="19"/>
  <c r="M1218" i="19"/>
  <c r="A1219" i="19"/>
  <c r="B1219" i="19"/>
  <c r="C1219" i="19"/>
  <c r="D1219" i="19"/>
  <c r="E1219" i="19"/>
  <c r="F1219" i="19"/>
  <c r="G1219" i="19"/>
  <c r="H1219" i="19"/>
  <c r="I1219" i="19"/>
  <c r="J1219" i="19"/>
  <c r="K1219" i="19"/>
  <c r="L1219" i="19"/>
  <c r="M1219" i="19"/>
  <c r="A1220" i="19"/>
  <c r="B1220" i="19"/>
  <c r="C1220" i="19"/>
  <c r="D1220" i="19"/>
  <c r="E1220" i="19"/>
  <c r="F1220" i="19"/>
  <c r="G1220" i="19"/>
  <c r="H1220" i="19"/>
  <c r="I1220" i="19"/>
  <c r="J1220" i="19"/>
  <c r="K1220" i="19"/>
  <c r="L1220" i="19"/>
  <c r="M1220" i="19"/>
  <c r="A1221" i="19"/>
  <c r="B1221" i="19"/>
  <c r="C1221" i="19"/>
  <c r="D1221" i="19"/>
  <c r="E1221" i="19"/>
  <c r="F1221" i="19"/>
  <c r="G1221" i="19"/>
  <c r="H1221" i="19"/>
  <c r="I1221" i="19"/>
  <c r="J1221" i="19"/>
  <c r="K1221" i="19"/>
  <c r="L1221" i="19"/>
  <c r="M1221" i="19"/>
  <c r="A1222" i="19"/>
  <c r="B1222" i="19"/>
  <c r="C1222" i="19"/>
  <c r="D1222" i="19"/>
  <c r="E1222" i="19"/>
  <c r="F1222" i="19"/>
  <c r="G1222" i="19"/>
  <c r="H1222" i="19"/>
  <c r="I1222" i="19"/>
  <c r="J1222" i="19"/>
  <c r="K1222" i="19"/>
  <c r="L1222" i="19"/>
  <c r="M1222" i="19"/>
  <c r="A1223" i="19"/>
  <c r="B1223" i="19"/>
  <c r="C1223" i="19"/>
  <c r="D1223" i="19"/>
  <c r="E1223" i="19"/>
  <c r="F1223" i="19"/>
  <c r="G1223" i="19"/>
  <c r="H1223" i="19"/>
  <c r="I1223" i="19"/>
  <c r="J1223" i="19"/>
  <c r="K1223" i="19"/>
  <c r="L1223" i="19"/>
  <c r="M1223" i="19"/>
  <c r="A1224" i="19"/>
  <c r="B1224" i="19"/>
  <c r="C1224" i="19"/>
  <c r="D1224" i="19"/>
  <c r="E1224" i="19"/>
  <c r="F1224" i="19"/>
  <c r="G1224" i="19"/>
  <c r="H1224" i="19"/>
  <c r="I1224" i="19"/>
  <c r="J1224" i="19"/>
  <c r="K1224" i="19"/>
  <c r="L1224" i="19"/>
  <c r="M1224" i="19"/>
  <c r="A1225" i="19"/>
  <c r="B1225" i="19"/>
  <c r="C1225" i="19"/>
  <c r="D1225" i="19"/>
  <c r="E1225" i="19"/>
  <c r="F1225" i="19"/>
  <c r="G1225" i="19"/>
  <c r="H1225" i="19"/>
  <c r="I1225" i="19"/>
  <c r="J1225" i="19"/>
  <c r="K1225" i="19"/>
  <c r="L1225" i="19"/>
  <c r="M1225" i="19"/>
  <c r="A1226" i="19"/>
  <c r="B1226" i="19"/>
  <c r="C1226" i="19"/>
  <c r="D1226" i="19"/>
  <c r="E1226" i="19"/>
  <c r="F1226" i="19"/>
  <c r="G1226" i="19"/>
  <c r="H1226" i="19"/>
  <c r="I1226" i="19"/>
  <c r="J1226" i="19"/>
  <c r="K1226" i="19"/>
  <c r="L1226" i="19"/>
  <c r="M1226" i="19"/>
  <c r="A1227" i="19"/>
  <c r="B1227" i="19"/>
  <c r="C1227" i="19"/>
  <c r="D1227" i="19"/>
  <c r="E1227" i="19"/>
  <c r="F1227" i="19"/>
  <c r="G1227" i="19"/>
  <c r="H1227" i="19"/>
  <c r="I1227" i="19"/>
  <c r="J1227" i="19"/>
  <c r="K1227" i="19"/>
  <c r="L1227" i="19"/>
  <c r="M1227" i="19"/>
  <c r="A1228" i="19"/>
  <c r="B1228" i="19"/>
  <c r="C1228" i="19"/>
  <c r="D1228" i="19"/>
  <c r="E1228" i="19"/>
  <c r="F1228" i="19"/>
  <c r="G1228" i="19"/>
  <c r="H1228" i="19"/>
  <c r="I1228" i="19"/>
  <c r="J1228" i="19"/>
  <c r="K1228" i="19"/>
  <c r="L1228" i="19"/>
  <c r="M1228" i="19"/>
  <c r="A1229" i="19"/>
  <c r="B1229" i="19"/>
  <c r="C1229" i="19"/>
  <c r="D1229" i="19"/>
  <c r="E1229" i="19"/>
  <c r="F1229" i="19"/>
  <c r="G1229" i="19"/>
  <c r="H1229" i="19"/>
  <c r="I1229" i="19"/>
  <c r="J1229" i="19"/>
  <c r="K1229" i="19"/>
  <c r="L1229" i="19"/>
  <c r="M1229" i="19"/>
  <c r="A1230" i="19"/>
  <c r="B1230" i="19"/>
  <c r="C1230" i="19"/>
  <c r="D1230" i="19"/>
  <c r="E1230" i="19"/>
  <c r="F1230" i="19"/>
  <c r="G1230" i="19"/>
  <c r="H1230" i="19"/>
  <c r="I1230" i="19"/>
  <c r="J1230" i="19"/>
  <c r="K1230" i="19"/>
  <c r="L1230" i="19"/>
  <c r="M1230" i="19"/>
  <c r="A1231" i="19"/>
  <c r="B1231" i="19"/>
  <c r="C1231" i="19"/>
  <c r="D1231" i="19"/>
  <c r="E1231" i="19"/>
  <c r="F1231" i="19"/>
  <c r="G1231" i="19"/>
  <c r="H1231" i="19"/>
  <c r="I1231" i="19"/>
  <c r="J1231" i="19"/>
  <c r="K1231" i="19"/>
  <c r="L1231" i="19"/>
  <c r="M1231" i="19"/>
  <c r="A1232" i="19"/>
  <c r="B1232" i="19"/>
  <c r="C1232" i="19"/>
  <c r="D1232" i="19"/>
  <c r="E1232" i="19"/>
  <c r="F1232" i="19"/>
  <c r="G1232" i="19"/>
  <c r="H1232" i="19"/>
  <c r="I1232" i="19"/>
  <c r="J1232" i="19"/>
  <c r="K1232" i="19"/>
  <c r="L1232" i="19"/>
  <c r="M1232" i="19"/>
  <c r="A1233" i="19"/>
  <c r="B1233" i="19"/>
  <c r="C1233" i="19"/>
  <c r="D1233" i="19"/>
  <c r="E1233" i="19"/>
  <c r="F1233" i="19"/>
  <c r="G1233" i="19"/>
  <c r="H1233" i="19"/>
  <c r="I1233" i="19"/>
  <c r="J1233" i="19"/>
  <c r="K1233" i="19"/>
  <c r="L1233" i="19"/>
  <c r="M1233" i="19"/>
  <c r="A1234" i="19"/>
  <c r="B1234" i="19"/>
  <c r="C1234" i="19"/>
  <c r="D1234" i="19"/>
  <c r="E1234" i="19"/>
  <c r="F1234" i="19"/>
  <c r="G1234" i="19"/>
  <c r="H1234" i="19"/>
  <c r="I1234" i="19"/>
  <c r="J1234" i="19"/>
  <c r="K1234" i="19"/>
  <c r="L1234" i="19"/>
  <c r="M1234" i="19"/>
  <c r="A1235" i="19"/>
  <c r="B1235" i="19"/>
  <c r="C1235" i="19"/>
  <c r="D1235" i="19"/>
  <c r="E1235" i="19"/>
  <c r="F1235" i="19"/>
  <c r="G1235" i="19"/>
  <c r="H1235" i="19"/>
  <c r="I1235" i="19"/>
  <c r="J1235" i="19"/>
  <c r="K1235" i="19"/>
  <c r="L1235" i="19"/>
  <c r="M1235" i="19"/>
  <c r="A1236" i="19"/>
  <c r="B1236" i="19"/>
  <c r="C1236" i="19"/>
  <c r="D1236" i="19"/>
  <c r="E1236" i="19"/>
  <c r="F1236" i="19"/>
  <c r="G1236" i="19"/>
  <c r="H1236" i="19"/>
  <c r="I1236" i="19"/>
  <c r="J1236" i="19"/>
  <c r="K1236" i="19"/>
  <c r="L1236" i="19"/>
  <c r="M1236" i="19"/>
  <c r="A1237" i="19"/>
  <c r="B1237" i="19"/>
  <c r="C1237" i="19"/>
  <c r="D1237" i="19"/>
  <c r="E1237" i="19"/>
  <c r="F1237" i="19"/>
  <c r="G1237" i="19"/>
  <c r="H1237" i="19"/>
  <c r="I1237" i="19"/>
  <c r="J1237" i="19"/>
  <c r="K1237" i="19"/>
  <c r="L1237" i="19"/>
  <c r="M1237" i="19"/>
  <c r="A1238" i="19"/>
  <c r="B1238" i="19"/>
  <c r="C1238" i="19"/>
  <c r="D1238" i="19"/>
  <c r="E1238" i="19"/>
  <c r="F1238" i="19"/>
  <c r="G1238" i="19"/>
  <c r="H1238" i="19"/>
  <c r="I1238" i="19"/>
  <c r="J1238" i="19"/>
  <c r="K1238" i="19"/>
  <c r="L1238" i="19"/>
  <c r="M1238" i="19"/>
  <c r="A1239" i="19"/>
  <c r="B1239" i="19"/>
  <c r="C1239" i="19"/>
  <c r="D1239" i="19"/>
  <c r="E1239" i="19"/>
  <c r="F1239" i="19"/>
  <c r="G1239" i="19"/>
  <c r="H1239" i="19"/>
  <c r="I1239" i="19"/>
  <c r="J1239" i="19"/>
  <c r="K1239" i="19"/>
  <c r="L1239" i="19"/>
  <c r="M1239" i="19"/>
  <c r="A1240" i="19"/>
  <c r="B1240" i="19"/>
  <c r="C1240" i="19"/>
  <c r="D1240" i="19"/>
  <c r="E1240" i="19"/>
  <c r="F1240" i="19"/>
  <c r="G1240" i="19"/>
  <c r="H1240" i="19"/>
  <c r="I1240" i="19"/>
  <c r="J1240" i="19"/>
  <c r="K1240" i="19"/>
  <c r="L1240" i="19"/>
  <c r="M1240" i="19"/>
  <c r="A1241" i="19"/>
  <c r="B1241" i="19"/>
  <c r="C1241" i="19"/>
  <c r="D1241" i="19"/>
  <c r="E1241" i="19"/>
  <c r="F1241" i="19"/>
  <c r="G1241" i="19"/>
  <c r="H1241" i="19"/>
  <c r="I1241" i="19"/>
  <c r="J1241" i="19"/>
  <c r="K1241" i="19"/>
  <c r="L1241" i="19"/>
  <c r="M1241" i="19"/>
  <c r="A1242" i="19"/>
  <c r="B1242" i="19"/>
  <c r="C1242" i="19"/>
  <c r="D1242" i="19"/>
  <c r="E1242" i="19"/>
  <c r="F1242" i="19"/>
  <c r="G1242" i="19"/>
  <c r="H1242" i="19"/>
  <c r="I1242" i="19"/>
  <c r="J1242" i="19"/>
  <c r="K1242" i="19"/>
  <c r="L1242" i="19"/>
  <c r="M1242" i="19"/>
  <c r="A1243" i="19"/>
  <c r="B1243" i="19"/>
  <c r="C1243" i="19"/>
  <c r="D1243" i="19"/>
  <c r="E1243" i="19"/>
  <c r="F1243" i="19"/>
  <c r="G1243" i="19"/>
  <c r="H1243" i="19"/>
  <c r="I1243" i="19"/>
  <c r="J1243" i="19"/>
  <c r="K1243" i="19"/>
  <c r="L1243" i="19"/>
  <c r="M1243" i="19"/>
  <c r="A1244" i="19"/>
  <c r="B1244" i="19"/>
  <c r="C1244" i="19"/>
  <c r="D1244" i="19"/>
  <c r="E1244" i="19"/>
  <c r="F1244" i="19"/>
  <c r="G1244" i="19"/>
  <c r="H1244" i="19"/>
  <c r="I1244" i="19"/>
  <c r="J1244" i="19"/>
  <c r="K1244" i="19"/>
  <c r="L1244" i="19"/>
  <c r="M1244" i="19"/>
  <c r="A1245" i="19"/>
  <c r="B1245" i="19"/>
  <c r="C1245" i="19"/>
  <c r="D1245" i="19"/>
  <c r="E1245" i="19"/>
  <c r="F1245" i="19"/>
  <c r="G1245" i="19"/>
  <c r="H1245" i="19"/>
  <c r="I1245" i="19"/>
  <c r="J1245" i="19"/>
  <c r="K1245" i="19"/>
  <c r="L1245" i="19"/>
  <c r="M1245" i="19"/>
  <c r="A1246" i="19"/>
  <c r="B1246" i="19"/>
  <c r="C1246" i="19"/>
  <c r="D1246" i="19"/>
  <c r="E1246" i="19"/>
  <c r="F1246" i="19"/>
  <c r="G1246" i="19"/>
  <c r="H1246" i="19"/>
  <c r="I1246" i="19"/>
  <c r="J1246" i="19"/>
  <c r="K1246" i="19"/>
  <c r="L1246" i="19"/>
  <c r="M1246" i="19"/>
  <c r="I1189" i="19"/>
  <c r="J1189" i="19"/>
  <c r="K1189" i="19"/>
  <c r="L1189" i="19"/>
  <c r="M1189" i="19"/>
  <c r="H1189" i="19"/>
  <c r="G1189" i="19"/>
  <c r="F1189" i="19"/>
  <c r="E1189" i="19"/>
  <c r="D1189" i="19"/>
  <c r="C1189" i="19"/>
  <c r="B1189" i="19"/>
  <c r="A1189" i="19"/>
  <c r="B7" i="50"/>
  <c r="B6" i="50"/>
  <c r="B1134" i="20"/>
  <c r="C1134" i="20"/>
  <c r="B1135" i="20"/>
  <c r="C1135" i="20"/>
  <c r="B1136" i="20"/>
  <c r="C1136" i="20"/>
  <c r="B1137" i="20"/>
  <c r="C1137" i="20"/>
  <c r="B1138" i="20"/>
  <c r="C1138" i="20"/>
  <c r="B1139" i="20"/>
  <c r="C1139" i="20"/>
  <c r="B1140" i="20"/>
  <c r="C1140" i="20"/>
  <c r="B1141" i="20"/>
  <c r="C1141" i="20"/>
  <c r="B1142" i="20"/>
  <c r="C1142" i="20"/>
  <c r="B1143" i="20"/>
  <c r="C1143" i="20"/>
  <c r="B1144" i="20"/>
  <c r="C1144" i="20"/>
  <c r="B1145" i="20"/>
  <c r="C1145" i="20"/>
  <c r="B1146" i="20"/>
  <c r="C1146" i="20"/>
  <c r="B1147" i="20"/>
  <c r="C1147" i="20"/>
  <c r="B1065" i="20"/>
  <c r="C1065" i="20"/>
  <c r="B1066" i="20"/>
  <c r="C1066" i="20"/>
  <c r="B1067" i="20"/>
  <c r="C1067" i="20"/>
  <c r="B1068" i="20"/>
  <c r="C1068" i="20"/>
  <c r="B1069" i="20"/>
  <c r="C1069" i="20"/>
  <c r="B1070" i="20"/>
  <c r="C1070" i="20"/>
  <c r="B1071" i="20"/>
  <c r="C1071" i="20"/>
  <c r="B1072" i="20"/>
  <c r="C1072" i="20"/>
  <c r="B1073" i="20"/>
  <c r="C1073" i="20"/>
  <c r="B1074" i="20"/>
  <c r="C1074" i="20"/>
  <c r="B1075" i="20"/>
  <c r="C1075" i="20"/>
  <c r="B1076" i="20"/>
  <c r="C1076" i="20"/>
  <c r="B1077" i="20"/>
  <c r="C1077" i="20"/>
  <c r="B1078" i="20"/>
  <c r="C1078" i="20"/>
  <c r="B1079" i="20"/>
  <c r="C1079" i="20"/>
  <c r="B1080" i="20"/>
  <c r="C1080" i="20"/>
  <c r="B1081" i="20"/>
  <c r="C1081" i="20"/>
  <c r="B1082" i="20"/>
  <c r="C1082" i="20"/>
  <c r="B1083" i="20"/>
  <c r="C1083" i="20"/>
  <c r="B1084" i="20"/>
  <c r="C1084" i="20"/>
  <c r="B1085" i="20"/>
  <c r="C1085" i="20"/>
  <c r="B1086" i="20"/>
  <c r="C1086" i="20"/>
  <c r="B1087" i="20"/>
  <c r="C1087" i="20"/>
  <c r="B1088" i="20"/>
  <c r="C1088" i="20"/>
  <c r="B1089" i="20"/>
  <c r="C1089" i="20"/>
  <c r="B1090" i="20"/>
  <c r="C1090" i="20"/>
  <c r="B1091" i="20"/>
  <c r="C1091" i="20"/>
  <c r="B1092" i="20"/>
  <c r="C1092" i="20"/>
  <c r="B1093" i="20"/>
  <c r="C1093" i="20"/>
  <c r="B1094" i="20"/>
  <c r="C1094" i="20"/>
  <c r="B1095" i="20"/>
  <c r="C1095" i="20"/>
  <c r="B1096" i="20"/>
  <c r="C1096" i="20"/>
  <c r="B1097" i="20"/>
  <c r="C1097" i="20"/>
  <c r="B1098" i="20"/>
  <c r="C1098" i="20"/>
  <c r="B1099" i="20"/>
  <c r="C1099" i="20"/>
  <c r="B1100" i="20"/>
  <c r="C1100" i="20"/>
  <c r="B1101" i="20"/>
  <c r="C1101" i="20"/>
  <c r="B1102" i="20"/>
  <c r="C1102" i="20"/>
  <c r="B1103" i="20"/>
  <c r="C1103" i="20"/>
  <c r="B1104" i="20"/>
  <c r="C1104" i="20"/>
  <c r="B1105" i="20"/>
  <c r="C1105" i="20"/>
  <c r="B1106" i="20"/>
  <c r="C1106" i="20"/>
  <c r="B1107" i="20"/>
  <c r="C1107" i="20"/>
  <c r="B1108" i="20"/>
  <c r="C1108" i="20"/>
  <c r="B1109" i="20"/>
  <c r="C1109" i="20"/>
  <c r="B1110" i="20"/>
  <c r="C1110" i="20"/>
  <c r="B1111" i="20"/>
  <c r="C1111" i="20"/>
  <c r="B1112" i="20"/>
  <c r="C1112" i="20"/>
  <c r="B1113" i="20"/>
  <c r="C1113" i="20"/>
  <c r="B1114" i="20"/>
  <c r="C1114" i="20"/>
  <c r="B1115" i="20"/>
  <c r="C1115" i="20"/>
  <c r="B1116" i="20"/>
  <c r="C1116" i="20"/>
  <c r="B1117" i="20"/>
  <c r="C1117" i="20"/>
  <c r="B1118" i="20"/>
  <c r="C1118" i="20"/>
  <c r="B1119" i="20"/>
  <c r="C1119" i="20"/>
  <c r="B1120" i="20"/>
  <c r="C1120" i="20"/>
  <c r="B1121" i="20"/>
  <c r="C1121" i="20"/>
  <c r="B1122" i="20"/>
  <c r="C1122" i="20"/>
  <c r="B1123" i="20"/>
  <c r="C1123" i="20"/>
  <c r="B1124" i="20"/>
  <c r="C1124" i="20"/>
  <c r="B1125" i="20"/>
  <c r="C1125" i="20"/>
  <c r="B1126" i="20"/>
  <c r="C1126" i="20"/>
  <c r="B1127" i="20"/>
  <c r="C1127" i="20"/>
  <c r="B1128" i="20"/>
  <c r="C1128" i="20"/>
  <c r="B1129" i="20"/>
  <c r="C1129" i="20"/>
  <c r="B1130" i="20"/>
  <c r="C1130" i="20"/>
  <c r="B1131" i="20"/>
  <c r="C1131" i="20"/>
  <c r="B1132" i="20"/>
  <c r="C1132" i="20"/>
  <c r="B1133" i="20"/>
  <c r="C1133" i="20"/>
  <c r="C1064" i="20"/>
  <c r="B1064" i="20"/>
  <c r="B981" i="20"/>
  <c r="C981" i="20"/>
  <c r="B982" i="20"/>
  <c r="C982" i="20"/>
  <c r="B983" i="20"/>
  <c r="C983" i="20"/>
  <c r="B984" i="20"/>
  <c r="C984" i="20"/>
  <c r="B985" i="20"/>
  <c r="C985" i="20"/>
  <c r="B986" i="20"/>
  <c r="C986" i="20"/>
  <c r="B987" i="20"/>
  <c r="C987" i="20"/>
  <c r="B988" i="20"/>
  <c r="C988" i="20"/>
  <c r="B989" i="20"/>
  <c r="C989" i="20"/>
  <c r="B990" i="20"/>
  <c r="C990" i="20"/>
  <c r="B991" i="20"/>
  <c r="C991" i="20"/>
  <c r="B992" i="20"/>
  <c r="C992" i="20"/>
  <c r="B993" i="20"/>
  <c r="C993" i="20"/>
  <c r="B994" i="20"/>
  <c r="C994" i="20"/>
  <c r="B995" i="20"/>
  <c r="C995" i="20"/>
  <c r="B996" i="20"/>
  <c r="C996" i="20"/>
  <c r="B997" i="20"/>
  <c r="C997" i="20"/>
  <c r="B998" i="20"/>
  <c r="C998" i="20"/>
  <c r="B999" i="20"/>
  <c r="C999" i="20"/>
  <c r="B1000" i="20"/>
  <c r="C1000" i="20"/>
  <c r="B1001" i="20"/>
  <c r="C1001" i="20"/>
  <c r="B1002" i="20"/>
  <c r="C1002" i="20"/>
  <c r="B1003" i="20"/>
  <c r="C1003" i="20"/>
  <c r="B1004" i="20"/>
  <c r="C1004" i="20"/>
  <c r="B1005" i="20"/>
  <c r="C1005" i="20"/>
  <c r="B1006" i="20"/>
  <c r="C1006" i="20"/>
  <c r="B1007" i="20"/>
  <c r="C1007" i="20"/>
  <c r="B1008" i="20"/>
  <c r="C1008" i="20"/>
  <c r="B1009" i="20"/>
  <c r="C1009" i="20"/>
  <c r="B1010" i="20"/>
  <c r="C1010" i="20"/>
  <c r="B1011" i="20"/>
  <c r="C1011" i="20"/>
  <c r="B1012" i="20"/>
  <c r="C1012" i="20"/>
  <c r="B1013" i="20"/>
  <c r="C1013" i="20"/>
  <c r="B1014" i="20"/>
  <c r="C1014" i="20"/>
  <c r="B1015" i="20"/>
  <c r="C1015" i="20"/>
  <c r="B1016" i="20"/>
  <c r="C1016" i="20"/>
  <c r="B1017" i="20"/>
  <c r="C1017" i="20"/>
  <c r="B1018" i="20"/>
  <c r="C1018" i="20"/>
  <c r="B1019" i="20"/>
  <c r="C1019" i="20"/>
  <c r="B1020" i="20"/>
  <c r="C1020" i="20"/>
  <c r="B1021" i="20"/>
  <c r="C1021" i="20"/>
  <c r="B1022" i="20"/>
  <c r="C1022" i="20"/>
  <c r="B1023" i="20"/>
  <c r="C1023" i="20"/>
  <c r="B1024" i="20"/>
  <c r="C1024" i="20"/>
  <c r="B1025" i="20"/>
  <c r="C1025" i="20"/>
  <c r="B1026" i="20"/>
  <c r="C1026" i="20"/>
  <c r="B1027" i="20"/>
  <c r="C1027" i="20"/>
  <c r="B1028" i="20"/>
  <c r="C1028" i="20"/>
  <c r="B1029" i="20"/>
  <c r="C1029" i="20"/>
  <c r="B1030" i="20"/>
  <c r="C1030" i="20"/>
  <c r="B1031" i="20"/>
  <c r="C1031" i="20"/>
  <c r="B1032" i="20"/>
  <c r="C1032" i="20"/>
  <c r="B1033" i="20"/>
  <c r="C1033" i="20"/>
  <c r="B1034" i="20"/>
  <c r="C1034" i="20"/>
  <c r="B1035" i="20"/>
  <c r="C1035" i="20"/>
  <c r="B1036" i="20"/>
  <c r="C1036" i="20"/>
  <c r="B1037" i="20"/>
  <c r="C1037" i="20"/>
  <c r="B1038" i="20"/>
  <c r="C1038" i="20"/>
  <c r="B1039" i="20"/>
  <c r="C1039" i="20"/>
  <c r="B1040" i="20"/>
  <c r="C1040" i="20"/>
  <c r="B1041" i="20"/>
  <c r="C1041" i="20"/>
  <c r="B1042" i="20"/>
  <c r="C1042" i="20"/>
  <c r="B1043" i="20"/>
  <c r="C1043" i="20"/>
  <c r="B1044" i="20"/>
  <c r="C1044" i="20"/>
  <c r="B1045" i="20"/>
  <c r="C1045" i="20"/>
  <c r="B1046" i="20"/>
  <c r="C1046" i="20"/>
  <c r="B1047" i="20"/>
  <c r="C1047" i="20"/>
  <c r="B1048" i="20"/>
  <c r="C1048" i="20"/>
  <c r="B1049" i="20"/>
  <c r="C1049" i="20"/>
  <c r="B1050" i="20"/>
  <c r="C1050" i="20"/>
  <c r="B1051" i="20"/>
  <c r="C1051" i="20"/>
  <c r="B1052" i="20"/>
  <c r="C1052" i="20"/>
  <c r="B1053" i="20"/>
  <c r="C1053" i="20"/>
  <c r="B1054" i="20"/>
  <c r="C1054" i="20"/>
  <c r="B1055" i="20"/>
  <c r="C1055" i="20"/>
  <c r="B1056" i="20"/>
  <c r="C1056" i="20"/>
  <c r="B1057" i="20"/>
  <c r="C1057" i="20"/>
  <c r="B1058" i="20"/>
  <c r="C1058" i="20"/>
  <c r="B1059" i="20"/>
  <c r="C1059" i="20"/>
  <c r="B1060" i="20"/>
  <c r="C1060" i="20"/>
  <c r="B1061" i="20"/>
  <c r="C1061" i="20"/>
  <c r="B1062" i="20"/>
  <c r="C1062" i="20"/>
  <c r="B1063" i="20"/>
  <c r="C1063" i="20"/>
  <c r="C980" i="20"/>
  <c r="B980" i="20"/>
  <c r="B897" i="20"/>
  <c r="C897" i="20"/>
  <c r="B898" i="20"/>
  <c r="C898" i="20"/>
  <c r="B899" i="20"/>
  <c r="C899" i="20"/>
  <c r="B900" i="20"/>
  <c r="C900" i="20"/>
  <c r="B901" i="20"/>
  <c r="C901" i="20"/>
  <c r="B902" i="20"/>
  <c r="C902" i="20"/>
  <c r="B903" i="20"/>
  <c r="C903" i="20"/>
  <c r="B904" i="20"/>
  <c r="C904" i="20"/>
  <c r="B905" i="20"/>
  <c r="C905" i="20"/>
  <c r="B906" i="20"/>
  <c r="C906" i="20"/>
  <c r="B907" i="20"/>
  <c r="C907" i="20"/>
  <c r="B908" i="20"/>
  <c r="C908" i="20"/>
  <c r="B909" i="20"/>
  <c r="C909" i="20"/>
  <c r="B910" i="20"/>
  <c r="C910" i="20"/>
  <c r="B911" i="20"/>
  <c r="C911" i="20"/>
  <c r="B912" i="20"/>
  <c r="C912" i="20"/>
  <c r="B913" i="20"/>
  <c r="C913" i="20"/>
  <c r="B914" i="20"/>
  <c r="C914" i="20"/>
  <c r="B915" i="20"/>
  <c r="C915" i="20"/>
  <c r="B916" i="20"/>
  <c r="C916" i="20"/>
  <c r="B917" i="20"/>
  <c r="C917" i="20"/>
  <c r="B918" i="20"/>
  <c r="C918" i="20"/>
  <c r="B919" i="20"/>
  <c r="C919" i="20"/>
  <c r="B920" i="20"/>
  <c r="C920" i="20"/>
  <c r="B921" i="20"/>
  <c r="C921" i="20"/>
  <c r="B922" i="20"/>
  <c r="C922" i="20"/>
  <c r="B923" i="20"/>
  <c r="C923" i="20"/>
  <c r="B924" i="20"/>
  <c r="C924" i="20"/>
  <c r="B925" i="20"/>
  <c r="C925" i="20"/>
  <c r="B926" i="20"/>
  <c r="C926" i="20"/>
  <c r="B927" i="20"/>
  <c r="C927" i="20"/>
  <c r="B928" i="20"/>
  <c r="C928" i="20"/>
  <c r="B929" i="20"/>
  <c r="C929" i="20"/>
  <c r="B930" i="20"/>
  <c r="C930" i="20"/>
  <c r="B931" i="20"/>
  <c r="C931" i="20"/>
  <c r="B932" i="20"/>
  <c r="C932" i="20"/>
  <c r="B933" i="20"/>
  <c r="C933" i="20"/>
  <c r="B934" i="20"/>
  <c r="C934" i="20"/>
  <c r="B935" i="20"/>
  <c r="C935" i="20"/>
  <c r="B936" i="20"/>
  <c r="C936" i="20"/>
  <c r="B937" i="20"/>
  <c r="C937" i="20"/>
  <c r="B938" i="20"/>
  <c r="C938" i="20"/>
  <c r="B939" i="20"/>
  <c r="C939" i="20"/>
  <c r="B940" i="20"/>
  <c r="C940" i="20"/>
  <c r="B941" i="20"/>
  <c r="C941" i="20"/>
  <c r="B942" i="20"/>
  <c r="C942" i="20"/>
  <c r="B943" i="20"/>
  <c r="C943" i="20"/>
  <c r="B944" i="20"/>
  <c r="C944" i="20"/>
  <c r="B945" i="20"/>
  <c r="C945" i="20"/>
  <c r="B946" i="20"/>
  <c r="C946" i="20"/>
  <c r="B947" i="20"/>
  <c r="C947" i="20"/>
  <c r="B948" i="20"/>
  <c r="C948" i="20"/>
  <c r="B949" i="20"/>
  <c r="C949" i="20"/>
  <c r="B950" i="20"/>
  <c r="C950" i="20"/>
  <c r="B951" i="20"/>
  <c r="C951" i="20"/>
  <c r="B952" i="20"/>
  <c r="C952" i="20"/>
  <c r="B953" i="20"/>
  <c r="C953" i="20"/>
  <c r="B954" i="20"/>
  <c r="C954" i="20"/>
  <c r="B955" i="20"/>
  <c r="C955" i="20"/>
  <c r="B956" i="20"/>
  <c r="C956" i="20"/>
  <c r="B957" i="20"/>
  <c r="C957" i="20"/>
  <c r="B958" i="20"/>
  <c r="C958" i="20"/>
  <c r="B959" i="20"/>
  <c r="C959" i="20"/>
  <c r="B960" i="20"/>
  <c r="C960" i="20"/>
  <c r="B961" i="20"/>
  <c r="C961" i="20"/>
  <c r="B962" i="20"/>
  <c r="C962" i="20"/>
  <c r="B963" i="20"/>
  <c r="C963" i="20"/>
  <c r="B964" i="20"/>
  <c r="C964" i="20"/>
  <c r="B965" i="20"/>
  <c r="C965" i="20"/>
  <c r="B966" i="20"/>
  <c r="C966" i="20"/>
  <c r="B967" i="20"/>
  <c r="C967" i="20"/>
  <c r="B968" i="20"/>
  <c r="C968" i="20"/>
  <c r="B969" i="20"/>
  <c r="C969" i="20"/>
  <c r="B970" i="20"/>
  <c r="C970" i="20"/>
  <c r="B971" i="20"/>
  <c r="C971" i="20"/>
  <c r="B972" i="20"/>
  <c r="C972" i="20"/>
  <c r="B973" i="20"/>
  <c r="C973" i="20"/>
  <c r="B974" i="20"/>
  <c r="C974" i="20"/>
  <c r="B975" i="20"/>
  <c r="C975" i="20"/>
  <c r="B976" i="20"/>
  <c r="C976" i="20"/>
  <c r="B977" i="20"/>
  <c r="C977" i="20"/>
  <c r="B978" i="20"/>
  <c r="C978" i="20"/>
  <c r="B979" i="20"/>
  <c r="C979" i="20"/>
  <c r="C896" i="20"/>
  <c r="B896" i="20"/>
  <c r="B812" i="20"/>
  <c r="C812" i="20"/>
  <c r="F812" i="20"/>
  <c r="G812" i="20"/>
  <c r="H812" i="20"/>
  <c r="I812" i="20"/>
  <c r="J812" i="20"/>
  <c r="B813" i="20"/>
  <c r="C813" i="20"/>
  <c r="B814" i="20"/>
  <c r="C814" i="20"/>
  <c r="B815" i="20"/>
  <c r="C815" i="20"/>
  <c r="B816" i="20"/>
  <c r="C816" i="20"/>
  <c r="B817" i="20"/>
  <c r="C817" i="20"/>
  <c r="B818" i="20"/>
  <c r="C818" i="20"/>
  <c r="B819" i="20"/>
  <c r="C819" i="20"/>
  <c r="B820" i="20"/>
  <c r="C820" i="20"/>
  <c r="B821" i="20"/>
  <c r="C821" i="20"/>
  <c r="B822" i="20"/>
  <c r="C822" i="20"/>
  <c r="B823" i="20"/>
  <c r="C823" i="20"/>
  <c r="B824" i="20"/>
  <c r="C824" i="20"/>
  <c r="B825" i="20"/>
  <c r="C825" i="20"/>
  <c r="B826" i="20"/>
  <c r="C826" i="20"/>
  <c r="B827" i="20"/>
  <c r="C827" i="20"/>
  <c r="B828" i="20"/>
  <c r="C828" i="20"/>
  <c r="B829" i="20"/>
  <c r="C829" i="20"/>
  <c r="B830" i="20"/>
  <c r="C830" i="20"/>
  <c r="B831" i="20"/>
  <c r="C831" i="20"/>
  <c r="B832" i="20"/>
  <c r="C832" i="20"/>
  <c r="B833" i="20"/>
  <c r="C833" i="20"/>
  <c r="B834" i="20"/>
  <c r="C834" i="20"/>
  <c r="B835" i="20"/>
  <c r="C835" i="20"/>
  <c r="B836" i="20"/>
  <c r="C836" i="20"/>
  <c r="B837" i="20"/>
  <c r="C837" i="20"/>
  <c r="B838" i="20"/>
  <c r="C838" i="20"/>
  <c r="B839" i="20"/>
  <c r="C839" i="20"/>
  <c r="B840" i="20"/>
  <c r="C840" i="20"/>
  <c r="B841" i="20"/>
  <c r="C841" i="20"/>
  <c r="B842" i="20"/>
  <c r="C842" i="20"/>
  <c r="B843" i="20"/>
  <c r="C843" i="20"/>
  <c r="B844" i="20"/>
  <c r="C844" i="20"/>
  <c r="B845" i="20"/>
  <c r="C845" i="20"/>
  <c r="B846" i="20"/>
  <c r="C846" i="20"/>
  <c r="B847" i="20"/>
  <c r="C847" i="20"/>
  <c r="B848" i="20"/>
  <c r="C848" i="20"/>
  <c r="B849" i="20"/>
  <c r="C849" i="20"/>
  <c r="B850" i="20"/>
  <c r="C850" i="20"/>
  <c r="B851" i="20"/>
  <c r="C851" i="20"/>
  <c r="B852" i="20"/>
  <c r="C852" i="20"/>
  <c r="B853" i="20"/>
  <c r="C853" i="20"/>
  <c r="B854" i="20"/>
  <c r="C854" i="20"/>
  <c r="B855" i="20"/>
  <c r="C855" i="20"/>
  <c r="B856" i="20"/>
  <c r="C856" i="20"/>
  <c r="B857" i="20"/>
  <c r="C857" i="20"/>
  <c r="B858" i="20"/>
  <c r="C858" i="20"/>
  <c r="B859" i="20"/>
  <c r="C859" i="20"/>
  <c r="B860" i="20"/>
  <c r="C860" i="20"/>
  <c r="B861" i="20"/>
  <c r="C861" i="20"/>
  <c r="B862" i="20"/>
  <c r="C862" i="20"/>
  <c r="B863" i="20"/>
  <c r="C863" i="20"/>
  <c r="B864" i="20"/>
  <c r="C864" i="20"/>
  <c r="B865" i="20"/>
  <c r="C865" i="20"/>
  <c r="B866" i="20"/>
  <c r="C866" i="20"/>
  <c r="B867" i="20"/>
  <c r="C867" i="20"/>
  <c r="B868" i="20"/>
  <c r="C868" i="20"/>
  <c r="B869" i="20"/>
  <c r="C869" i="20"/>
  <c r="B870" i="20"/>
  <c r="C870" i="20"/>
  <c r="B871" i="20"/>
  <c r="C871" i="20"/>
  <c r="B872" i="20"/>
  <c r="C872" i="20"/>
  <c r="B873" i="20"/>
  <c r="C873" i="20"/>
  <c r="B874" i="20"/>
  <c r="C874" i="20"/>
  <c r="B875" i="20"/>
  <c r="C875" i="20"/>
  <c r="B876" i="20"/>
  <c r="C876" i="20"/>
  <c r="B877" i="20"/>
  <c r="C877" i="20"/>
  <c r="B878" i="20"/>
  <c r="C878" i="20"/>
  <c r="B879" i="20"/>
  <c r="C879" i="20"/>
  <c r="B880" i="20"/>
  <c r="C880" i="20"/>
  <c r="B881" i="20"/>
  <c r="C881" i="20"/>
  <c r="B882" i="20"/>
  <c r="C882" i="20"/>
  <c r="B883" i="20"/>
  <c r="C883" i="20"/>
  <c r="B884" i="20"/>
  <c r="C884" i="20"/>
  <c r="B885" i="20"/>
  <c r="C885" i="20"/>
  <c r="B886" i="20"/>
  <c r="C886" i="20"/>
  <c r="B887" i="20"/>
  <c r="C887" i="20"/>
  <c r="B888" i="20"/>
  <c r="C888" i="20"/>
  <c r="B889" i="20"/>
  <c r="C889" i="20"/>
  <c r="B890" i="20"/>
  <c r="C890" i="20"/>
  <c r="B891" i="20"/>
  <c r="C891" i="20"/>
  <c r="B892" i="20"/>
  <c r="C892" i="20"/>
  <c r="B893" i="20"/>
  <c r="C893" i="20"/>
  <c r="B894" i="20"/>
  <c r="C894" i="20"/>
  <c r="B895" i="20"/>
  <c r="C895" i="20"/>
  <c r="G110" i="50"/>
  <c r="G111" i="50"/>
  <c r="I111" i="50" s="1"/>
  <c r="K111" i="50" s="1"/>
  <c r="G112" i="50"/>
  <c r="I112" i="50" s="1"/>
  <c r="L112" i="50" s="1"/>
  <c r="G113" i="50"/>
  <c r="G114" i="50"/>
  <c r="I114" i="50" s="1"/>
  <c r="K114" i="50" s="1"/>
  <c r="G115" i="50"/>
  <c r="I115" i="50" s="1"/>
  <c r="K115" i="50" s="1"/>
  <c r="G116" i="50"/>
  <c r="G117" i="50"/>
  <c r="I117" i="50" s="1"/>
  <c r="K117" i="50" s="1"/>
  <c r="G118" i="50"/>
  <c r="I118" i="50" s="1"/>
  <c r="L118" i="50" s="1"/>
  <c r="G119" i="50"/>
  <c r="G120" i="50"/>
  <c r="I120" i="50" s="1"/>
  <c r="K120" i="50" s="1"/>
  <c r="G121" i="50"/>
  <c r="I121" i="50" s="1"/>
  <c r="L121" i="50" s="1"/>
  <c r="G122" i="50"/>
  <c r="G123" i="50"/>
  <c r="I123" i="50" s="1"/>
  <c r="K123" i="50" s="1"/>
  <c r="G124" i="50"/>
  <c r="I124" i="50" s="1"/>
  <c r="K124" i="50" s="1"/>
  <c r="G125" i="50"/>
  <c r="G126" i="50"/>
  <c r="I126" i="50" s="1"/>
  <c r="K126" i="50" s="1"/>
  <c r="G127" i="50"/>
  <c r="I127" i="50" s="1"/>
  <c r="L127" i="50" s="1"/>
  <c r="G128" i="50"/>
  <c r="G129" i="50"/>
  <c r="I129" i="50" s="1"/>
  <c r="K129" i="50" s="1"/>
  <c r="G130" i="50"/>
  <c r="I130" i="50" s="1"/>
  <c r="L130" i="50" s="1"/>
  <c r="G131" i="50"/>
  <c r="G132" i="50"/>
  <c r="I132" i="50" s="1"/>
  <c r="L132" i="50" s="1"/>
  <c r="G133" i="50"/>
  <c r="H133" i="50" s="1"/>
  <c r="J133" i="50" s="1"/>
  <c r="G134" i="50"/>
  <c r="G135" i="50"/>
  <c r="I135" i="50" s="1"/>
  <c r="K135" i="50" s="1"/>
  <c r="G136" i="50"/>
  <c r="I136" i="50" s="1"/>
  <c r="L136" i="50" s="1"/>
  <c r="G137" i="50"/>
  <c r="G138" i="50"/>
  <c r="I138" i="50" s="1"/>
  <c r="K138" i="50" s="1"/>
  <c r="G139" i="50"/>
  <c r="I139" i="50" s="1"/>
  <c r="L139" i="50" s="1"/>
  <c r="G140" i="50"/>
  <c r="G141" i="50"/>
  <c r="I141" i="50" s="1"/>
  <c r="K141" i="50" s="1"/>
  <c r="G142" i="50"/>
  <c r="H142" i="50" s="1"/>
  <c r="J142" i="50" s="1"/>
  <c r="G143" i="50"/>
  <c r="G144" i="50"/>
  <c r="I144" i="50" s="1"/>
  <c r="K144" i="50" s="1"/>
  <c r="G145" i="50"/>
  <c r="I145" i="50" s="1"/>
  <c r="L145" i="50" s="1"/>
  <c r="G146" i="50"/>
  <c r="G147" i="50"/>
  <c r="I147" i="50" s="1"/>
  <c r="K147" i="50" s="1"/>
  <c r="G148" i="50"/>
  <c r="I148" i="50" s="1"/>
  <c r="L148" i="50" s="1"/>
  <c r="G149" i="50"/>
  <c r="G150" i="50"/>
  <c r="I150" i="50" s="1"/>
  <c r="K150" i="50" s="1"/>
  <c r="G151" i="50"/>
  <c r="H151" i="50" s="1"/>
  <c r="J151" i="50" s="1"/>
  <c r="G152" i="50"/>
  <c r="G153" i="50"/>
  <c r="I153" i="50" s="1"/>
  <c r="K153" i="50" s="1"/>
  <c r="G154" i="50"/>
  <c r="I154" i="50" s="1"/>
  <c r="L154" i="50" s="1"/>
  <c r="G155" i="50"/>
  <c r="G156" i="50"/>
  <c r="I156" i="50" s="1"/>
  <c r="K156" i="50" s="1"/>
  <c r="G157" i="50"/>
  <c r="I157" i="50" s="1"/>
  <c r="L157" i="50" s="1"/>
  <c r="G158" i="50"/>
  <c r="G159" i="50"/>
  <c r="I159" i="50" s="1"/>
  <c r="L159" i="50" s="1"/>
  <c r="G160" i="50"/>
  <c r="H160" i="50" s="1"/>
  <c r="J160" i="50" s="1"/>
  <c r="G161" i="50"/>
  <c r="G162" i="50"/>
  <c r="I162" i="50" s="1"/>
  <c r="K162" i="50" s="1"/>
  <c r="G163" i="50"/>
  <c r="I163" i="50" s="1"/>
  <c r="L163" i="50" s="1"/>
  <c r="G164" i="50"/>
  <c r="G165" i="50"/>
  <c r="I165" i="50" s="1"/>
  <c r="K165" i="50" s="1"/>
  <c r="G166" i="50"/>
  <c r="I166" i="50" s="1"/>
  <c r="L166" i="50" s="1"/>
  <c r="G167" i="50"/>
  <c r="G168" i="50"/>
  <c r="I168" i="50" s="1"/>
  <c r="K168" i="50" s="1"/>
  <c r="G169" i="50"/>
  <c r="H169" i="50" s="1"/>
  <c r="J169" i="50" s="1"/>
  <c r="G170" i="50"/>
  <c r="G171" i="50"/>
  <c r="I171" i="50" s="1"/>
  <c r="K171" i="50" s="1"/>
  <c r="G172" i="50"/>
  <c r="I172" i="50" s="1"/>
  <c r="L172" i="50" s="1"/>
  <c r="G173" i="50"/>
  <c r="G174" i="50"/>
  <c r="I174" i="50" s="1"/>
  <c r="K174" i="50" s="1"/>
  <c r="G175" i="50"/>
  <c r="I175" i="50" s="1"/>
  <c r="L175" i="50" s="1"/>
  <c r="G176" i="50"/>
  <c r="G177" i="50"/>
  <c r="I177" i="50" s="1"/>
  <c r="K177" i="50" s="1"/>
  <c r="G178" i="50"/>
  <c r="H178" i="50" s="1"/>
  <c r="J178" i="50" s="1"/>
  <c r="G179" i="50"/>
  <c r="G180" i="50"/>
  <c r="I180" i="50" s="1"/>
  <c r="K180" i="50" s="1"/>
  <c r="G181" i="50"/>
  <c r="I181" i="50" s="1"/>
  <c r="L181" i="50" s="1"/>
  <c r="G182" i="50"/>
  <c r="G183" i="50"/>
  <c r="I183" i="50" s="1"/>
  <c r="K183" i="50" s="1"/>
  <c r="G184" i="50"/>
  <c r="I184" i="50" s="1"/>
  <c r="L184" i="50" s="1"/>
  <c r="G185" i="50"/>
  <c r="G186" i="50"/>
  <c r="I186" i="50" s="1"/>
  <c r="L186" i="50" s="1"/>
  <c r="G187" i="50"/>
  <c r="H187" i="50" s="1"/>
  <c r="J187" i="50" s="1"/>
  <c r="G188" i="50"/>
  <c r="G189" i="50"/>
  <c r="I189" i="50" s="1"/>
  <c r="K189" i="50" s="1"/>
  <c r="G190" i="50"/>
  <c r="I190" i="50" s="1"/>
  <c r="L190" i="50" s="1"/>
  <c r="G191" i="50"/>
  <c r="G192" i="50"/>
  <c r="I192" i="50" s="1"/>
  <c r="K192" i="50" s="1"/>
  <c r="G109" i="50"/>
  <c r="H109" i="50" s="1"/>
  <c r="J109" i="50" s="1"/>
  <c r="G21" i="50"/>
  <c r="I21" i="50" s="1"/>
  <c r="L21" i="50" s="1"/>
  <c r="D897" i="20" s="1"/>
  <c r="G22" i="50"/>
  <c r="H22" i="50" s="1"/>
  <c r="J22" i="50" s="1"/>
  <c r="N22" i="50" s="1"/>
  <c r="D1066" i="20" s="1"/>
  <c r="G23" i="50"/>
  <c r="G24" i="50"/>
  <c r="I24" i="50" s="1"/>
  <c r="K24" i="50" s="1"/>
  <c r="D816" i="20" s="1"/>
  <c r="G25" i="50"/>
  <c r="I25" i="50" s="1"/>
  <c r="L25" i="50" s="1"/>
  <c r="D901" i="20" s="1"/>
  <c r="G26" i="50"/>
  <c r="H26" i="50" s="1"/>
  <c r="J26" i="50" s="1"/>
  <c r="M26" i="50" s="1"/>
  <c r="D986" i="20" s="1"/>
  <c r="G27" i="50"/>
  <c r="I27" i="50" s="1"/>
  <c r="K27" i="50" s="1"/>
  <c r="D819" i="20" s="1"/>
  <c r="G28" i="50"/>
  <c r="I28" i="50" s="1"/>
  <c r="L28" i="50" s="1"/>
  <c r="D904" i="20" s="1"/>
  <c r="G29" i="50"/>
  <c r="I29" i="50" s="1"/>
  <c r="G30" i="50"/>
  <c r="I30" i="50" s="1"/>
  <c r="L30" i="50" s="1"/>
  <c r="D906" i="20" s="1"/>
  <c r="G31" i="50"/>
  <c r="H31" i="50" s="1"/>
  <c r="J31" i="50" s="1"/>
  <c r="N31" i="50" s="1"/>
  <c r="D1075" i="20" s="1"/>
  <c r="G32" i="50"/>
  <c r="H32" i="50" s="1"/>
  <c r="J32" i="50" s="1"/>
  <c r="G33" i="50"/>
  <c r="I33" i="50" s="1"/>
  <c r="K33" i="50" s="1"/>
  <c r="D825" i="20" s="1"/>
  <c r="G34" i="50"/>
  <c r="I34" i="50" s="1"/>
  <c r="L34" i="50" s="1"/>
  <c r="D910" i="20" s="1"/>
  <c r="G35" i="50"/>
  <c r="H35" i="50" s="1"/>
  <c r="J35" i="50" s="1"/>
  <c r="M35" i="50" s="1"/>
  <c r="D995" i="20" s="1"/>
  <c r="G36" i="50"/>
  <c r="I36" i="50" s="1"/>
  <c r="K36" i="50" s="1"/>
  <c r="D828" i="20" s="1"/>
  <c r="G37" i="50"/>
  <c r="I37" i="50" s="1"/>
  <c r="L37" i="50" s="1"/>
  <c r="D913" i="20" s="1"/>
  <c r="G38" i="50"/>
  <c r="I38" i="50" s="1"/>
  <c r="G39" i="50"/>
  <c r="I39" i="50" s="1"/>
  <c r="L39" i="50" s="1"/>
  <c r="D915" i="20" s="1"/>
  <c r="G40" i="50"/>
  <c r="H40" i="50" s="1"/>
  <c r="J40" i="50" s="1"/>
  <c r="G41" i="50"/>
  <c r="H41" i="50" s="1"/>
  <c r="J41" i="50" s="1"/>
  <c r="N41" i="50" s="1"/>
  <c r="D1085" i="20" s="1"/>
  <c r="G42" i="50"/>
  <c r="I42" i="50" s="1"/>
  <c r="K42" i="50" s="1"/>
  <c r="D834" i="20" s="1"/>
  <c r="G43" i="50"/>
  <c r="I43" i="50" s="1"/>
  <c r="L43" i="50" s="1"/>
  <c r="D919" i="20" s="1"/>
  <c r="G44" i="50"/>
  <c r="H44" i="50" s="1"/>
  <c r="J44" i="50" s="1"/>
  <c r="N44" i="50" s="1"/>
  <c r="D1088" i="20" s="1"/>
  <c r="G45" i="50"/>
  <c r="I45" i="50" s="1"/>
  <c r="K45" i="50" s="1"/>
  <c r="D837" i="20" s="1"/>
  <c r="G46" i="50"/>
  <c r="I46" i="50" s="1"/>
  <c r="K46" i="50" s="1"/>
  <c r="D838" i="20" s="1"/>
  <c r="G47" i="50"/>
  <c r="I47" i="50" s="1"/>
  <c r="G48" i="50"/>
  <c r="I48" i="50" s="1"/>
  <c r="L48" i="50" s="1"/>
  <c r="D924" i="20" s="1"/>
  <c r="G49" i="50"/>
  <c r="H49" i="50" s="1"/>
  <c r="J49" i="50" s="1"/>
  <c r="G50" i="50"/>
  <c r="H50" i="50" s="1"/>
  <c r="J50" i="50" s="1"/>
  <c r="N50" i="50" s="1"/>
  <c r="D1094" i="20" s="1"/>
  <c r="G51" i="50"/>
  <c r="I51" i="50" s="1"/>
  <c r="K51" i="50" s="1"/>
  <c r="D843" i="20" s="1"/>
  <c r="G52" i="50"/>
  <c r="I52" i="50" s="1"/>
  <c r="L52" i="50" s="1"/>
  <c r="D928" i="20" s="1"/>
  <c r="G53" i="50"/>
  <c r="H53" i="50" s="1"/>
  <c r="J53" i="50" s="1"/>
  <c r="N53" i="50" s="1"/>
  <c r="D1097" i="20" s="1"/>
  <c r="G54" i="50"/>
  <c r="I54" i="50" s="1"/>
  <c r="K54" i="50" s="1"/>
  <c r="D846" i="20" s="1"/>
  <c r="G55" i="50"/>
  <c r="I55" i="50" s="1"/>
  <c r="L55" i="50" s="1"/>
  <c r="D931" i="20" s="1"/>
  <c r="G56" i="50"/>
  <c r="I56" i="50" s="1"/>
  <c r="G57" i="50"/>
  <c r="I57" i="50" s="1"/>
  <c r="L57" i="50" s="1"/>
  <c r="D933" i="20" s="1"/>
  <c r="G58" i="50"/>
  <c r="H58" i="50" s="1"/>
  <c r="J58" i="50" s="1"/>
  <c r="G59" i="50"/>
  <c r="H59" i="50" s="1"/>
  <c r="J59" i="50" s="1"/>
  <c r="N59" i="50" s="1"/>
  <c r="D1103" i="20" s="1"/>
  <c r="G60" i="50"/>
  <c r="I60" i="50" s="1"/>
  <c r="K60" i="50" s="1"/>
  <c r="D852" i="20" s="1"/>
  <c r="G61" i="50"/>
  <c r="I61" i="50" s="1"/>
  <c r="L61" i="50" s="1"/>
  <c r="D937" i="20" s="1"/>
  <c r="G62" i="50"/>
  <c r="H62" i="50" s="1"/>
  <c r="J62" i="50" s="1"/>
  <c r="N62" i="50" s="1"/>
  <c r="D1106" i="20" s="1"/>
  <c r="G63" i="50"/>
  <c r="I63" i="50" s="1"/>
  <c r="K63" i="50" s="1"/>
  <c r="D855" i="20" s="1"/>
  <c r="G64" i="50"/>
  <c r="I64" i="50" s="1"/>
  <c r="L64" i="50" s="1"/>
  <c r="D940" i="20" s="1"/>
  <c r="G65" i="50"/>
  <c r="I65" i="50" s="1"/>
  <c r="G66" i="50"/>
  <c r="I66" i="50" s="1"/>
  <c r="L66" i="50" s="1"/>
  <c r="D942" i="20" s="1"/>
  <c r="G67" i="50"/>
  <c r="H67" i="50" s="1"/>
  <c r="J67" i="50" s="1"/>
  <c r="G68" i="50"/>
  <c r="H68" i="50" s="1"/>
  <c r="J68" i="50" s="1"/>
  <c r="N68" i="50" s="1"/>
  <c r="D1112" i="20" s="1"/>
  <c r="G69" i="50"/>
  <c r="I69" i="50" s="1"/>
  <c r="K69" i="50" s="1"/>
  <c r="D861" i="20" s="1"/>
  <c r="G70" i="50"/>
  <c r="I70" i="50" s="1"/>
  <c r="L70" i="50" s="1"/>
  <c r="D946" i="20" s="1"/>
  <c r="G71" i="50"/>
  <c r="H71" i="50" s="1"/>
  <c r="J71" i="50" s="1"/>
  <c r="N71" i="50" s="1"/>
  <c r="D1115" i="20" s="1"/>
  <c r="G72" i="50"/>
  <c r="I72" i="50" s="1"/>
  <c r="K72" i="50" s="1"/>
  <c r="D864" i="20" s="1"/>
  <c r="G73" i="50"/>
  <c r="I73" i="50" s="1"/>
  <c r="K73" i="50" s="1"/>
  <c r="D865" i="20" s="1"/>
  <c r="G74" i="50"/>
  <c r="I74" i="50" s="1"/>
  <c r="G75" i="50"/>
  <c r="I75" i="50" s="1"/>
  <c r="L75" i="50" s="1"/>
  <c r="D951" i="20" s="1"/>
  <c r="G76" i="50"/>
  <c r="H76" i="50" s="1"/>
  <c r="J76" i="50" s="1"/>
  <c r="G77" i="50"/>
  <c r="H77" i="50" s="1"/>
  <c r="J77" i="50" s="1"/>
  <c r="N77" i="50" s="1"/>
  <c r="D1121" i="20" s="1"/>
  <c r="G78" i="50"/>
  <c r="I78" i="50" s="1"/>
  <c r="K78" i="50" s="1"/>
  <c r="D870" i="20" s="1"/>
  <c r="G79" i="50"/>
  <c r="I79" i="50" s="1"/>
  <c r="L79" i="50" s="1"/>
  <c r="D955" i="20" s="1"/>
  <c r="G80" i="50"/>
  <c r="H80" i="50" s="1"/>
  <c r="J80" i="50" s="1"/>
  <c r="N80" i="50" s="1"/>
  <c r="D1124" i="20" s="1"/>
  <c r="G81" i="50"/>
  <c r="I81" i="50" s="1"/>
  <c r="K81" i="50" s="1"/>
  <c r="D873" i="20" s="1"/>
  <c r="G82" i="50"/>
  <c r="I82" i="50" s="1"/>
  <c r="K82" i="50" s="1"/>
  <c r="D874" i="20" s="1"/>
  <c r="G83" i="50"/>
  <c r="I83" i="50" s="1"/>
  <c r="G84" i="50"/>
  <c r="I84" i="50" s="1"/>
  <c r="L84" i="50" s="1"/>
  <c r="D960" i="20" s="1"/>
  <c r="G85" i="50"/>
  <c r="H85" i="50" s="1"/>
  <c r="J85" i="50" s="1"/>
  <c r="G86" i="50"/>
  <c r="H86" i="50" s="1"/>
  <c r="J86" i="50" s="1"/>
  <c r="N86" i="50" s="1"/>
  <c r="D1130" i="20" s="1"/>
  <c r="G87" i="50"/>
  <c r="I87" i="50" s="1"/>
  <c r="K87" i="50" s="1"/>
  <c r="D879" i="20" s="1"/>
  <c r="G88" i="50"/>
  <c r="I88" i="50" s="1"/>
  <c r="L88" i="50" s="1"/>
  <c r="D964" i="20" s="1"/>
  <c r="G89" i="50"/>
  <c r="H89" i="50" s="1"/>
  <c r="J89" i="50" s="1"/>
  <c r="N89" i="50" s="1"/>
  <c r="D1133" i="20" s="1"/>
  <c r="G90" i="50"/>
  <c r="I90" i="50" s="1"/>
  <c r="K90" i="50" s="1"/>
  <c r="D882" i="20" s="1"/>
  <c r="G91" i="50"/>
  <c r="I91" i="50" s="1"/>
  <c r="L91" i="50" s="1"/>
  <c r="D967" i="20" s="1"/>
  <c r="G92" i="50"/>
  <c r="I92" i="50" s="1"/>
  <c r="G93" i="50"/>
  <c r="I93" i="50" s="1"/>
  <c r="L93" i="50" s="1"/>
  <c r="D969" i="20" s="1"/>
  <c r="G94" i="50"/>
  <c r="H94" i="50" s="1"/>
  <c r="J94" i="50" s="1"/>
  <c r="M94" i="50" s="1"/>
  <c r="D1054" i="20" s="1"/>
  <c r="G95" i="50"/>
  <c r="H95" i="50" s="1"/>
  <c r="J95" i="50" s="1"/>
  <c r="N95" i="50" s="1"/>
  <c r="D1139" i="20" s="1"/>
  <c r="G96" i="50"/>
  <c r="I96" i="50" s="1"/>
  <c r="K96" i="50" s="1"/>
  <c r="D888" i="20" s="1"/>
  <c r="G97" i="50"/>
  <c r="I97" i="50" s="1"/>
  <c r="L97" i="50" s="1"/>
  <c r="D973" i="20" s="1"/>
  <c r="G98" i="50"/>
  <c r="H98" i="50" s="1"/>
  <c r="J98" i="50" s="1"/>
  <c r="N98" i="50" s="1"/>
  <c r="D1142" i="20" s="1"/>
  <c r="G99" i="50"/>
  <c r="I99" i="50" s="1"/>
  <c r="K99" i="50" s="1"/>
  <c r="D891" i="20" s="1"/>
  <c r="G100" i="50"/>
  <c r="I100" i="50" s="1"/>
  <c r="L100" i="50" s="1"/>
  <c r="D976" i="20" s="1"/>
  <c r="G101" i="50"/>
  <c r="I101" i="50" s="1"/>
  <c r="G102" i="50"/>
  <c r="I102" i="50" s="1"/>
  <c r="L102" i="50" s="1"/>
  <c r="D978" i="20" s="1"/>
  <c r="G103" i="50"/>
  <c r="H103" i="50" s="1"/>
  <c r="J103" i="50" s="1"/>
  <c r="M103" i="50" s="1"/>
  <c r="D1063" i="20" s="1"/>
  <c r="H20" i="50"/>
  <c r="J20" i="50" s="1"/>
  <c r="M20" i="50" s="1"/>
  <c r="D980" i="20" s="1"/>
  <c r="O86" i="44"/>
  <c r="O87" i="44"/>
  <c r="O82" i="44"/>
  <c r="D158" i="22"/>
  <c r="K812" i="20" l="1"/>
  <c r="O1189" i="19"/>
  <c r="N1246" i="19"/>
  <c r="O1245" i="19"/>
  <c r="N1243" i="19"/>
  <c r="O1242" i="19"/>
  <c r="N1240" i="19"/>
  <c r="O1239" i="19"/>
  <c r="N1237" i="19"/>
  <c r="O1236" i="19"/>
  <c r="N1234" i="19"/>
  <c r="O1233" i="19"/>
  <c r="N1231" i="19"/>
  <c r="O1230" i="19"/>
  <c r="N1228" i="19"/>
  <c r="O1227" i="19"/>
  <c r="N1225" i="19"/>
  <c r="O1224" i="19"/>
  <c r="N1222" i="19"/>
  <c r="O1221" i="19"/>
  <c r="N1219" i="19"/>
  <c r="O1218" i="19"/>
  <c r="N1216" i="19"/>
  <c r="O1215" i="19"/>
  <c r="N1213" i="19"/>
  <c r="O1212" i="19"/>
  <c r="N1210" i="19"/>
  <c r="O1209" i="19"/>
  <c r="N1207" i="19"/>
  <c r="O1206" i="19"/>
  <c r="N1204" i="19"/>
  <c r="O1203" i="19"/>
  <c r="N1201" i="19"/>
  <c r="O1200" i="19"/>
  <c r="N1198" i="19"/>
  <c r="O1197" i="19"/>
  <c r="N1195" i="19"/>
  <c r="O1194" i="19"/>
  <c r="N1192" i="19"/>
  <c r="O1191" i="19"/>
  <c r="N1189" i="19"/>
  <c r="N1245" i="19"/>
  <c r="O1244" i="19"/>
  <c r="N1242" i="19"/>
  <c r="O1241" i="19"/>
  <c r="N1239" i="19"/>
  <c r="O1238" i="19"/>
  <c r="N1236" i="19"/>
  <c r="O1235" i="19"/>
  <c r="N1233" i="19"/>
  <c r="O1232" i="19"/>
  <c r="N1230" i="19"/>
  <c r="O1229" i="19"/>
  <c r="N1227" i="19"/>
  <c r="O1226" i="19"/>
  <c r="N1224" i="19"/>
  <c r="O1223" i="19"/>
  <c r="N1221" i="19"/>
  <c r="O1220" i="19"/>
  <c r="N1218" i="19"/>
  <c r="O1217" i="19"/>
  <c r="N1215" i="19"/>
  <c r="O1214" i="19"/>
  <c r="N1212" i="19"/>
  <c r="O1211" i="19"/>
  <c r="N1209" i="19"/>
  <c r="O1208" i="19"/>
  <c r="N1206" i="19"/>
  <c r="O1205" i="19"/>
  <c r="N1203" i="19"/>
  <c r="O1202" i="19"/>
  <c r="N1200" i="19"/>
  <c r="O1199" i="19"/>
  <c r="N1197" i="19"/>
  <c r="O1196" i="19"/>
  <c r="N1194" i="19"/>
  <c r="O1193" i="19"/>
  <c r="N1191" i="19"/>
  <c r="O1190" i="19"/>
  <c r="O1246" i="19"/>
  <c r="N1244" i="19"/>
  <c r="O1243" i="19"/>
  <c r="N1241" i="19"/>
  <c r="O1240" i="19"/>
  <c r="N1238" i="19"/>
  <c r="O1237" i="19"/>
  <c r="N1235" i="19"/>
  <c r="O1234" i="19"/>
  <c r="N1232" i="19"/>
  <c r="O1231" i="19"/>
  <c r="N1229" i="19"/>
  <c r="O1228" i="19"/>
  <c r="N1226" i="19"/>
  <c r="O1225" i="19"/>
  <c r="N1223" i="19"/>
  <c r="O1222" i="19"/>
  <c r="N1220" i="19"/>
  <c r="O1219" i="19"/>
  <c r="N1217" i="19"/>
  <c r="O1216" i="19"/>
  <c r="N1214" i="19"/>
  <c r="O1213" i="19"/>
  <c r="N1211" i="19"/>
  <c r="O1210" i="19"/>
  <c r="N1208" i="19"/>
  <c r="O1207" i="19"/>
  <c r="N1205" i="19"/>
  <c r="O1204" i="19"/>
  <c r="N1202" i="19"/>
  <c r="O1201" i="19"/>
  <c r="N1199" i="19"/>
  <c r="O1198" i="19"/>
  <c r="N1196" i="19"/>
  <c r="O1195" i="19"/>
  <c r="N1193" i="19"/>
  <c r="O1192" i="19"/>
  <c r="N1190" i="19"/>
  <c r="L189" i="50"/>
  <c r="L162" i="50"/>
  <c r="L135" i="50"/>
  <c r="K186" i="50"/>
  <c r="L171" i="50"/>
  <c r="L144" i="50"/>
  <c r="L117" i="50"/>
  <c r="K132" i="50"/>
  <c r="L180" i="50"/>
  <c r="L153" i="50"/>
  <c r="L126" i="50"/>
  <c r="K159" i="50"/>
  <c r="L177" i="50"/>
  <c r="L168" i="50"/>
  <c r="L150" i="50"/>
  <c r="L141" i="50"/>
  <c r="L123" i="50"/>
  <c r="L114" i="50"/>
  <c r="L192" i="50"/>
  <c r="L183" i="50"/>
  <c r="L174" i="50"/>
  <c r="L165" i="50"/>
  <c r="L156" i="50"/>
  <c r="L147" i="50"/>
  <c r="L138" i="50"/>
  <c r="L129" i="50"/>
  <c r="L120" i="50"/>
  <c r="L111" i="50"/>
  <c r="N109" i="50"/>
  <c r="D233" i="50" s="1"/>
  <c r="D799" i="18" s="1"/>
  <c r="M109" i="50"/>
  <c r="D221" i="50" s="1"/>
  <c r="D787" i="18" s="1"/>
  <c r="N187" i="50"/>
  <c r="M187" i="50"/>
  <c r="N178" i="50"/>
  <c r="D218" i="50" s="1"/>
  <c r="D784" i="18" s="1"/>
  <c r="M178" i="50"/>
  <c r="D206" i="50" s="1"/>
  <c r="D772" i="18" s="1"/>
  <c r="N160" i="50"/>
  <c r="M160" i="50"/>
  <c r="N151" i="50"/>
  <c r="D239" i="50" s="1"/>
  <c r="D805" i="18" s="1"/>
  <c r="M151" i="50"/>
  <c r="D227" i="50" s="1"/>
  <c r="D793" i="18" s="1"/>
  <c r="N142" i="50"/>
  <c r="M142" i="50"/>
  <c r="K190" i="50"/>
  <c r="K181" i="50"/>
  <c r="K172" i="50"/>
  <c r="K163" i="50"/>
  <c r="K154" i="50"/>
  <c r="K145" i="50"/>
  <c r="K136" i="50"/>
  <c r="K127" i="50"/>
  <c r="K121" i="50"/>
  <c r="K112" i="50"/>
  <c r="N169" i="50"/>
  <c r="M169" i="50"/>
  <c r="M68" i="50"/>
  <c r="D1028" i="20" s="1"/>
  <c r="K184" i="50"/>
  <c r="K175" i="50"/>
  <c r="K166" i="50"/>
  <c r="K157" i="50"/>
  <c r="K148" i="50"/>
  <c r="K139" i="50"/>
  <c r="K130" i="50"/>
  <c r="K118" i="50"/>
  <c r="N133" i="50"/>
  <c r="M133" i="50"/>
  <c r="L124" i="50"/>
  <c r="L115" i="50"/>
  <c r="M41" i="50"/>
  <c r="D1001" i="20" s="1"/>
  <c r="M95" i="50"/>
  <c r="D1055" i="20" s="1"/>
  <c r="K57" i="50"/>
  <c r="D849" i="20" s="1"/>
  <c r="L87" i="50"/>
  <c r="D963" i="20" s="1"/>
  <c r="L33" i="50"/>
  <c r="D909" i="20" s="1"/>
  <c r="K102" i="50"/>
  <c r="D894" i="20" s="1"/>
  <c r="K75" i="50"/>
  <c r="D867" i="20" s="1"/>
  <c r="K48" i="50"/>
  <c r="D840" i="20" s="1"/>
  <c r="K21" i="50"/>
  <c r="D813" i="20" s="1"/>
  <c r="L78" i="50"/>
  <c r="D954" i="20" s="1"/>
  <c r="L51" i="50"/>
  <c r="D927" i="20" s="1"/>
  <c r="L24" i="50"/>
  <c r="D900" i="20" s="1"/>
  <c r="M86" i="50"/>
  <c r="D1046" i="20" s="1"/>
  <c r="M59" i="50"/>
  <c r="D1019" i="20" s="1"/>
  <c r="N35" i="50"/>
  <c r="D1079" i="20" s="1"/>
  <c r="K84" i="50"/>
  <c r="D876" i="20" s="1"/>
  <c r="K30" i="50"/>
  <c r="D822" i="20" s="1"/>
  <c r="L60" i="50"/>
  <c r="D936" i="20" s="1"/>
  <c r="K93" i="50"/>
  <c r="D885" i="20" s="1"/>
  <c r="K66" i="50"/>
  <c r="D858" i="20" s="1"/>
  <c r="K39" i="50"/>
  <c r="D831" i="20" s="1"/>
  <c r="L96" i="50"/>
  <c r="D972" i="20" s="1"/>
  <c r="L69" i="50"/>
  <c r="D945" i="20" s="1"/>
  <c r="L42" i="50"/>
  <c r="D918" i="20" s="1"/>
  <c r="N20" i="50"/>
  <c r="D1064" i="20" s="1"/>
  <c r="M77" i="50"/>
  <c r="D1037" i="20" s="1"/>
  <c r="M50" i="50"/>
  <c r="D1010" i="20" s="1"/>
  <c r="N26" i="50"/>
  <c r="D1070" i="20" s="1"/>
  <c r="M76" i="50"/>
  <c r="D1036" i="20" s="1"/>
  <c r="N76" i="50"/>
  <c r="D1120" i="20" s="1"/>
  <c r="M58" i="50"/>
  <c r="D1018" i="20" s="1"/>
  <c r="N58" i="50"/>
  <c r="D1102" i="20" s="1"/>
  <c r="M40" i="50"/>
  <c r="D1000" i="20" s="1"/>
  <c r="N40" i="50"/>
  <c r="D1084" i="20" s="1"/>
  <c r="K79" i="50"/>
  <c r="D871" i="20" s="1"/>
  <c r="K70" i="50"/>
  <c r="D862" i="20" s="1"/>
  <c r="K43" i="50"/>
  <c r="D835" i="20" s="1"/>
  <c r="K34" i="50"/>
  <c r="D826" i="20" s="1"/>
  <c r="L82" i="50"/>
  <c r="D958" i="20" s="1"/>
  <c r="L73" i="50"/>
  <c r="D949" i="20" s="1"/>
  <c r="L46" i="50"/>
  <c r="D922" i="20" s="1"/>
  <c r="M22" i="50"/>
  <c r="D982" i="20" s="1"/>
  <c r="K100" i="50"/>
  <c r="D892" i="20" s="1"/>
  <c r="K91" i="50"/>
  <c r="D883" i="20" s="1"/>
  <c r="K64" i="50"/>
  <c r="D856" i="20" s="1"/>
  <c r="K55" i="50"/>
  <c r="D847" i="20" s="1"/>
  <c r="K37" i="50"/>
  <c r="D829" i="20" s="1"/>
  <c r="K28" i="50"/>
  <c r="D820" i="20" s="1"/>
  <c r="L99" i="50"/>
  <c r="D975" i="20" s="1"/>
  <c r="L90" i="50"/>
  <c r="D966" i="20" s="1"/>
  <c r="L81" i="50"/>
  <c r="D957" i="20" s="1"/>
  <c r="L72" i="50"/>
  <c r="D948" i="20" s="1"/>
  <c r="L63" i="50"/>
  <c r="D939" i="20" s="1"/>
  <c r="L54" i="50"/>
  <c r="D930" i="20" s="1"/>
  <c r="L45" i="50"/>
  <c r="D921" i="20" s="1"/>
  <c r="L36" i="50"/>
  <c r="D912" i="20" s="1"/>
  <c r="L27" i="50"/>
  <c r="D903" i="20" s="1"/>
  <c r="N103" i="50"/>
  <c r="D1147" i="20" s="1"/>
  <c r="N94" i="50"/>
  <c r="D1138" i="20" s="1"/>
  <c r="M80" i="50"/>
  <c r="D1040" i="20" s="1"/>
  <c r="M71" i="50"/>
  <c r="D1031" i="20" s="1"/>
  <c r="M62" i="50"/>
  <c r="D1022" i="20" s="1"/>
  <c r="M53" i="50"/>
  <c r="D1013" i="20" s="1"/>
  <c r="M44" i="50"/>
  <c r="D1004" i="20" s="1"/>
  <c r="M85" i="50"/>
  <c r="D1045" i="20" s="1"/>
  <c r="N85" i="50"/>
  <c r="D1129" i="20" s="1"/>
  <c r="M67" i="50"/>
  <c r="D1027" i="20" s="1"/>
  <c r="N67" i="50"/>
  <c r="D1111" i="20" s="1"/>
  <c r="M49" i="50"/>
  <c r="D1009" i="20" s="1"/>
  <c r="N49" i="50"/>
  <c r="D1093" i="20" s="1"/>
  <c r="K97" i="50"/>
  <c r="D889" i="20" s="1"/>
  <c r="K88" i="50"/>
  <c r="D880" i="20" s="1"/>
  <c r="K61" i="50"/>
  <c r="D853" i="20" s="1"/>
  <c r="K52" i="50"/>
  <c r="D844" i="20" s="1"/>
  <c r="K25" i="50"/>
  <c r="D817" i="20" s="1"/>
  <c r="L101" i="50"/>
  <c r="D977" i="20" s="1"/>
  <c r="K101" i="50"/>
  <c r="D893" i="20" s="1"/>
  <c r="L92" i="50"/>
  <c r="D968" i="20" s="1"/>
  <c r="K92" i="50"/>
  <c r="D884" i="20" s="1"/>
  <c r="L83" i="50"/>
  <c r="D959" i="20" s="1"/>
  <c r="K83" i="50"/>
  <c r="D875" i="20" s="1"/>
  <c r="L74" i="50"/>
  <c r="D950" i="20" s="1"/>
  <c r="K74" i="50"/>
  <c r="D866" i="20" s="1"/>
  <c r="L65" i="50"/>
  <c r="D941" i="20" s="1"/>
  <c r="K65" i="50"/>
  <c r="D857" i="20" s="1"/>
  <c r="L56" i="50"/>
  <c r="D932" i="20" s="1"/>
  <c r="K56" i="50"/>
  <c r="D848" i="20" s="1"/>
  <c r="L47" i="50"/>
  <c r="D923" i="20" s="1"/>
  <c r="K47" i="50"/>
  <c r="D839" i="20" s="1"/>
  <c r="L38" i="50"/>
  <c r="D914" i="20" s="1"/>
  <c r="K38" i="50"/>
  <c r="D830" i="20" s="1"/>
  <c r="M32" i="50"/>
  <c r="D992" i="20" s="1"/>
  <c r="N32" i="50"/>
  <c r="D1076" i="20" s="1"/>
  <c r="L29" i="50"/>
  <c r="D905" i="20" s="1"/>
  <c r="K29" i="50"/>
  <c r="D821" i="20" s="1"/>
  <c r="M98" i="50"/>
  <c r="D1058" i="20" s="1"/>
  <c r="M89" i="50"/>
  <c r="D1049" i="20" s="1"/>
  <c r="M31" i="50"/>
  <c r="D991" i="20" s="1"/>
  <c r="H184" i="50"/>
  <c r="J184" i="50" s="1"/>
  <c r="H157" i="50"/>
  <c r="J157" i="50" s="1"/>
  <c r="H130" i="50"/>
  <c r="J130" i="50" s="1"/>
  <c r="H118" i="50"/>
  <c r="J118" i="50" s="1"/>
  <c r="I187" i="50"/>
  <c r="I160" i="50"/>
  <c r="I133" i="50"/>
  <c r="H175" i="50"/>
  <c r="J175" i="50" s="1"/>
  <c r="H148" i="50"/>
  <c r="J148" i="50" s="1"/>
  <c r="H124" i="50"/>
  <c r="J124" i="50" s="1"/>
  <c r="H115" i="50"/>
  <c r="J115" i="50" s="1"/>
  <c r="I178" i="50"/>
  <c r="I151" i="50"/>
  <c r="I22" i="50"/>
  <c r="H166" i="50"/>
  <c r="J166" i="50" s="1"/>
  <c r="H139" i="50"/>
  <c r="J139" i="50" s="1"/>
  <c r="H121" i="50"/>
  <c r="J121" i="50" s="1"/>
  <c r="H112" i="50"/>
  <c r="J112" i="50" s="1"/>
  <c r="I169" i="50"/>
  <c r="I142" i="50"/>
  <c r="H23" i="50"/>
  <c r="J23" i="50" s="1"/>
  <c r="I23" i="50"/>
  <c r="H101" i="50"/>
  <c r="J101" i="50" s="1"/>
  <c r="H92" i="50"/>
  <c r="J92" i="50" s="1"/>
  <c r="H83" i="50"/>
  <c r="J83" i="50" s="1"/>
  <c r="H74" i="50"/>
  <c r="J74" i="50" s="1"/>
  <c r="H65" i="50"/>
  <c r="J65" i="50" s="1"/>
  <c r="H56" i="50"/>
  <c r="J56" i="50" s="1"/>
  <c r="H47" i="50"/>
  <c r="J47" i="50" s="1"/>
  <c r="H38" i="50"/>
  <c r="J38" i="50" s="1"/>
  <c r="H29" i="50"/>
  <c r="J29" i="50" s="1"/>
  <c r="I95" i="50"/>
  <c r="I86" i="50"/>
  <c r="I77" i="50"/>
  <c r="I68" i="50"/>
  <c r="I59" i="50"/>
  <c r="I50" i="50"/>
  <c r="I41" i="50"/>
  <c r="I32" i="50"/>
  <c r="I191" i="50"/>
  <c r="H191" i="50"/>
  <c r="J191" i="50" s="1"/>
  <c r="I188" i="50"/>
  <c r="H188" i="50"/>
  <c r="J188" i="50" s="1"/>
  <c r="I185" i="50"/>
  <c r="H185" i="50"/>
  <c r="J185" i="50" s="1"/>
  <c r="I182" i="50"/>
  <c r="H182" i="50"/>
  <c r="J182" i="50" s="1"/>
  <c r="I179" i="50"/>
  <c r="H179" i="50"/>
  <c r="J179" i="50" s="1"/>
  <c r="I176" i="50"/>
  <c r="H176" i="50"/>
  <c r="J176" i="50" s="1"/>
  <c r="I173" i="50"/>
  <c r="H173" i="50"/>
  <c r="J173" i="50" s="1"/>
  <c r="I170" i="50"/>
  <c r="H170" i="50"/>
  <c r="J170" i="50" s="1"/>
  <c r="I167" i="50"/>
  <c r="H167" i="50"/>
  <c r="J167" i="50" s="1"/>
  <c r="I164" i="50"/>
  <c r="H164" i="50"/>
  <c r="J164" i="50" s="1"/>
  <c r="I161" i="50"/>
  <c r="H161" i="50"/>
  <c r="J161" i="50" s="1"/>
  <c r="I158" i="50"/>
  <c r="H158" i="50"/>
  <c r="J158" i="50" s="1"/>
  <c r="I155" i="50"/>
  <c r="H155" i="50"/>
  <c r="J155" i="50" s="1"/>
  <c r="I152" i="50"/>
  <c r="H152" i="50"/>
  <c r="J152" i="50" s="1"/>
  <c r="I149" i="50"/>
  <c r="H149" i="50"/>
  <c r="J149" i="50" s="1"/>
  <c r="I146" i="50"/>
  <c r="H146" i="50"/>
  <c r="J146" i="50" s="1"/>
  <c r="I143" i="50"/>
  <c r="H143" i="50"/>
  <c r="J143" i="50" s="1"/>
  <c r="I140" i="50"/>
  <c r="H140" i="50"/>
  <c r="J140" i="50" s="1"/>
  <c r="I137" i="50"/>
  <c r="H137" i="50"/>
  <c r="J137" i="50" s="1"/>
  <c r="I134" i="50"/>
  <c r="H134" i="50"/>
  <c r="J134" i="50" s="1"/>
  <c r="I131" i="50"/>
  <c r="H131" i="50"/>
  <c r="J131" i="50" s="1"/>
  <c r="I128" i="50"/>
  <c r="H128" i="50"/>
  <c r="J128" i="50" s="1"/>
  <c r="I125" i="50"/>
  <c r="H125" i="50"/>
  <c r="J125" i="50" s="1"/>
  <c r="I122" i="50"/>
  <c r="H122" i="50"/>
  <c r="J122" i="50" s="1"/>
  <c r="I119" i="50"/>
  <c r="H119" i="50"/>
  <c r="J119" i="50" s="1"/>
  <c r="I116" i="50"/>
  <c r="H116" i="50"/>
  <c r="J116" i="50" s="1"/>
  <c r="I113" i="50"/>
  <c r="H113" i="50"/>
  <c r="J113" i="50" s="1"/>
  <c r="I110" i="50"/>
  <c r="H110" i="50"/>
  <c r="J110" i="50" s="1"/>
  <c r="H100" i="50"/>
  <c r="J100" i="50" s="1"/>
  <c r="H91" i="50"/>
  <c r="J91" i="50" s="1"/>
  <c r="H82" i="50"/>
  <c r="J82" i="50" s="1"/>
  <c r="H73" i="50"/>
  <c r="J73" i="50" s="1"/>
  <c r="H64" i="50"/>
  <c r="J64" i="50" s="1"/>
  <c r="H55" i="50"/>
  <c r="J55" i="50" s="1"/>
  <c r="H46" i="50"/>
  <c r="J46" i="50" s="1"/>
  <c r="H37" i="50"/>
  <c r="J37" i="50" s="1"/>
  <c r="H28" i="50"/>
  <c r="J28" i="50" s="1"/>
  <c r="I103" i="50"/>
  <c r="I94" i="50"/>
  <c r="I85" i="50"/>
  <c r="I76" i="50"/>
  <c r="I67" i="50"/>
  <c r="I58" i="50"/>
  <c r="I49" i="50"/>
  <c r="I40" i="50"/>
  <c r="I31" i="50"/>
  <c r="H190" i="50"/>
  <c r="J190" i="50" s="1"/>
  <c r="H181" i="50"/>
  <c r="J181" i="50" s="1"/>
  <c r="H172" i="50"/>
  <c r="J172" i="50" s="1"/>
  <c r="H163" i="50"/>
  <c r="J163" i="50" s="1"/>
  <c r="H154" i="50"/>
  <c r="J154" i="50" s="1"/>
  <c r="H145" i="50"/>
  <c r="J145" i="50" s="1"/>
  <c r="H136" i="50"/>
  <c r="J136" i="50" s="1"/>
  <c r="H127" i="50"/>
  <c r="J127" i="50" s="1"/>
  <c r="I109" i="50"/>
  <c r="H97" i="50"/>
  <c r="J97" i="50" s="1"/>
  <c r="H88" i="50"/>
  <c r="J88" i="50" s="1"/>
  <c r="H79" i="50"/>
  <c r="J79" i="50" s="1"/>
  <c r="H70" i="50"/>
  <c r="J70" i="50" s="1"/>
  <c r="H61" i="50"/>
  <c r="J61" i="50" s="1"/>
  <c r="H52" i="50"/>
  <c r="J52" i="50" s="1"/>
  <c r="H43" i="50"/>
  <c r="J43" i="50" s="1"/>
  <c r="H34" i="50"/>
  <c r="J34" i="50" s="1"/>
  <c r="H25" i="50"/>
  <c r="J25" i="50" s="1"/>
  <c r="H192" i="50"/>
  <c r="J192" i="50" s="1"/>
  <c r="H189" i="50"/>
  <c r="J189" i="50" s="1"/>
  <c r="H186" i="50"/>
  <c r="J186" i="50" s="1"/>
  <c r="H183" i="50"/>
  <c r="J183" i="50" s="1"/>
  <c r="H180" i="50"/>
  <c r="J180" i="50" s="1"/>
  <c r="H177" i="50"/>
  <c r="J177" i="50" s="1"/>
  <c r="H174" i="50"/>
  <c r="J174" i="50" s="1"/>
  <c r="H171" i="50"/>
  <c r="J171" i="50" s="1"/>
  <c r="H168" i="50"/>
  <c r="J168" i="50" s="1"/>
  <c r="H165" i="50"/>
  <c r="J165" i="50" s="1"/>
  <c r="H162" i="50"/>
  <c r="J162" i="50" s="1"/>
  <c r="H159" i="50"/>
  <c r="J159" i="50" s="1"/>
  <c r="H156" i="50"/>
  <c r="J156" i="50" s="1"/>
  <c r="H153" i="50"/>
  <c r="J153" i="50" s="1"/>
  <c r="H150" i="50"/>
  <c r="J150" i="50" s="1"/>
  <c r="H147" i="50"/>
  <c r="J147" i="50" s="1"/>
  <c r="H144" i="50"/>
  <c r="J144" i="50" s="1"/>
  <c r="H141" i="50"/>
  <c r="J141" i="50" s="1"/>
  <c r="H138" i="50"/>
  <c r="J138" i="50" s="1"/>
  <c r="H135" i="50"/>
  <c r="J135" i="50" s="1"/>
  <c r="H132" i="50"/>
  <c r="J132" i="50" s="1"/>
  <c r="H129" i="50"/>
  <c r="J129" i="50" s="1"/>
  <c r="H126" i="50"/>
  <c r="J126" i="50" s="1"/>
  <c r="H123" i="50"/>
  <c r="J123" i="50" s="1"/>
  <c r="H120" i="50"/>
  <c r="J120" i="50" s="1"/>
  <c r="H117" i="50"/>
  <c r="J117" i="50" s="1"/>
  <c r="H114" i="50"/>
  <c r="J114" i="50" s="1"/>
  <c r="H111" i="50"/>
  <c r="J111" i="50" s="1"/>
  <c r="I98" i="50"/>
  <c r="I89" i="50"/>
  <c r="I80" i="50"/>
  <c r="I71" i="50"/>
  <c r="I62" i="50"/>
  <c r="I53" i="50"/>
  <c r="I44" i="50"/>
  <c r="I35" i="50"/>
  <c r="I26" i="50"/>
  <c r="H102" i="50"/>
  <c r="J102" i="50" s="1"/>
  <c r="H99" i="50"/>
  <c r="J99" i="50" s="1"/>
  <c r="H96" i="50"/>
  <c r="J96" i="50" s="1"/>
  <c r="H93" i="50"/>
  <c r="J93" i="50" s="1"/>
  <c r="H90" i="50"/>
  <c r="J90" i="50" s="1"/>
  <c r="H87" i="50"/>
  <c r="J87" i="50" s="1"/>
  <c r="H84" i="50"/>
  <c r="J84" i="50" s="1"/>
  <c r="H81" i="50"/>
  <c r="J81" i="50" s="1"/>
  <c r="H78" i="50"/>
  <c r="J78" i="50" s="1"/>
  <c r="H75" i="50"/>
  <c r="J75" i="50" s="1"/>
  <c r="H72" i="50"/>
  <c r="J72" i="50" s="1"/>
  <c r="H69" i="50"/>
  <c r="J69" i="50" s="1"/>
  <c r="H66" i="50"/>
  <c r="J66" i="50" s="1"/>
  <c r="H63" i="50"/>
  <c r="J63" i="50" s="1"/>
  <c r="H60" i="50"/>
  <c r="J60" i="50" s="1"/>
  <c r="H57" i="50"/>
  <c r="J57" i="50" s="1"/>
  <c r="H54" i="50"/>
  <c r="J54" i="50" s="1"/>
  <c r="H51" i="50"/>
  <c r="J51" i="50" s="1"/>
  <c r="H48" i="50"/>
  <c r="J48" i="50" s="1"/>
  <c r="H45" i="50"/>
  <c r="J45" i="50" s="1"/>
  <c r="H42" i="50"/>
  <c r="J42" i="50" s="1"/>
  <c r="H39" i="50"/>
  <c r="J39" i="50" s="1"/>
  <c r="H36" i="50"/>
  <c r="J36" i="50" s="1"/>
  <c r="H33" i="50"/>
  <c r="J33" i="50" s="1"/>
  <c r="H30" i="50"/>
  <c r="J30" i="50" s="1"/>
  <c r="H27" i="50"/>
  <c r="J27" i="50" s="1"/>
  <c r="H24" i="50"/>
  <c r="J24" i="50" s="1"/>
  <c r="H21" i="50"/>
  <c r="J21" i="50" s="1"/>
  <c r="E914" i="19"/>
  <c r="E912" i="19"/>
  <c r="E397" i="46"/>
  <c r="E399" i="46"/>
  <c r="O993" i="19"/>
  <c r="N993" i="19"/>
  <c r="O974" i="19"/>
  <c r="N974" i="19"/>
  <c r="O955" i="19"/>
  <c r="N955" i="19"/>
  <c r="N923" i="19"/>
  <c r="O923" i="19"/>
  <c r="O924" i="19"/>
  <c r="N925" i="19"/>
  <c r="O925" i="19"/>
  <c r="N926" i="19"/>
  <c r="O926" i="19"/>
  <c r="N927" i="19"/>
  <c r="O927" i="19"/>
  <c r="N928" i="19"/>
  <c r="O928" i="19"/>
  <c r="N929" i="19"/>
  <c r="O929" i="19"/>
  <c r="N930" i="19"/>
  <c r="O930" i="19"/>
  <c r="N931" i="19"/>
  <c r="O931" i="19"/>
  <c r="N932" i="19"/>
  <c r="O932" i="19"/>
  <c r="N933" i="19"/>
  <c r="O933" i="19"/>
  <c r="N934" i="19"/>
  <c r="O934" i="19"/>
  <c r="N935" i="19"/>
  <c r="O935" i="19"/>
  <c r="N936" i="19"/>
  <c r="O936" i="19"/>
  <c r="N937" i="19"/>
  <c r="O937" i="19"/>
  <c r="N938" i="19"/>
  <c r="O938" i="19"/>
  <c r="N939" i="19"/>
  <c r="O939" i="19"/>
  <c r="N940" i="19"/>
  <c r="O940" i="19"/>
  <c r="N941" i="19"/>
  <c r="O941" i="19"/>
  <c r="N942" i="19"/>
  <c r="O942" i="19"/>
  <c r="N943" i="19"/>
  <c r="O943" i="19"/>
  <c r="N944" i="19"/>
  <c r="O944" i="19"/>
  <c r="N945" i="19"/>
  <c r="O945" i="19"/>
  <c r="N946" i="19"/>
  <c r="O946" i="19"/>
  <c r="E947" i="19"/>
  <c r="N947" i="19"/>
  <c r="O947" i="19"/>
  <c r="E948" i="19"/>
  <c r="N948" i="19"/>
  <c r="O948" i="19"/>
  <c r="N949" i="19"/>
  <c r="O949" i="19"/>
  <c r="N950" i="19"/>
  <c r="O950" i="19"/>
  <c r="N951" i="19"/>
  <c r="O951" i="19"/>
  <c r="N952" i="19"/>
  <c r="O952" i="19"/>
  <c r="N953" i="19"/>
  <c r="O953" i="19"/>
  <c r="N954" i="19"/>
  <c r="O954" i="19"/>
  <c r="E956" i="19"/>
  <c r="N956" i="19"/>
  <c r="O956" i="19"/>
  <c r="N957" i="19"/>
  <c r="O957" i="19"/>
  <c r="N958" i="19"/>
  <c r="O958" i="19"/>
  <c r="N959" i="19"/>
  <c r="O959" i="19"/>
  <c r="N960" i="19"/>
  <c r="O960" i="19"/>
  <c r="N961" i="19"/>
  <c r="O961" i="19"/>
  <c r="N962" i="19"/>
  <c r="O962" i="19"/>
  <c r="N963" i="19"/>
  <c r="O963" i="19"/>
  <c r="N964" i="19"/>
  <c r="O964" i="19"/>
  <c r="N965" i="19"/>
  <c r="O965" i="19"/>
  <c r="E966" i="19"/>
  <c r="N966" i="19"/>
  <c r="O966" i="19"/>
  <c r="E967" i="19"/>
  <c r="N967" i="19"/>
  <c r="O967" i="19"/>
  <c r="N968" i="19"/>
  <c r="O968" i="19"/>
  <c r="N969" i="19"/>
  <c r="O969" i="19"/>
  <c r="N970" i="19"/>
  <c r="O970" i="19"/>
  <c r="N971" i="19"/>
  <c r="O971" i="19"/>
  <c r="N972" i="19"/>
  <c r="O972" i="19"/>
  <c r="N973" i="19"/>
  <c r="O973" i="19"/>
  <c r="E975" i="19"/>
  <c r="N975" i="19"/>
  <c r="O975" i="19"/>
  <c r="N976" i="19"/>
  <c r="O976" i="19"/>
  <c r="N977" i="19"/>
  <c r="O977" i="19"/>
  <c r="N978" i="19"/>
  <c r="O978" i="19"/>
  <c r="N979" i="19"/>
  <c r="O979" i="19"/>
  <c r="N980" i="19"/>
  <c r="O980" i="19"/>
  <c r="N981" i="19"/>
  <c r="O981" i="19"/>
  <c r="N982" i="19"/>
  <c r="O982" i="19"/>
  <c r="N983" i="19"/>
  <c r="O983" i="19"/>
  <c r="N984" i="19"/>
  <c r="O984" i="19"/>
  <c r="E985" i="19"/>
  <c r="N985" i="19"/>
  <c r="O985" i="19"/>
  <c r="E986" i="19"/>
  <c r="N986" i="19"/>
  <c r="O986" i="19"/>
  <c r="N987" i="19"/>
  <c r="O987" i="19"/>
  <c r="N988" i="19"/>
  <c r="O988" i="19"/>
  <c r="N989" i="19"/>
  <c r="O989" i="19"/>
  <c r="N990" i="19"/>
  <c r="O990" i="19"/>
  <c r="N991" i="19"/>
  <c r="O991" i="19"/>
  <c r="N992" i="19"/>
  <c r="O992" i="19"/>
  <c r="E994" i="19"/>
  <c r="N994" i="19"/>
  <c r="O994" i="19"/>
  <c r="N995" i="19"/>
  <c r="O995" i="19"/>
  <c r="N996" i="19"/>
  <c r="O996" i="19"/>
  <c r="N997" i="19"/>
  <c r="O997" i="19"/>
  <c r="N998" i="19"/>
  <c r="O998" i="19"/>
  <c r="N999" i="19"/>
  <c r="O999" i="19"/>
  <c r="N1000" i="19"/>
  <c r="O1000" i="19"/>
  <c r="N1001" i="19"/>
  <c r="O1001" i="19"/>
  <c r="N1002" i="19"/>
  <c r="O1002" i="19"/>
  <c r="N1003" i="19"/>
  <c r="O1003" i="19"/>
  <c r="E1004" i="19"/>
  <c r="N1004" i="19"/>
  <c r="O1004" i="19"/>
  <c r="E1005" i="19"/>
  <c r="N1005" i="19"/>
  <c r="O1005" i="19"/>
  <c r="N1006" i="19"/>
  <c r="O1006" i="19"/>
  <c r="N1007" i="19"/>
  <c r="O1007" i="19"/>
  <c r="N1008" i="19"/>
  <c r="O1008" i="19"/>
  <c r="N1009" i="19"/>
  <c r="O1009" i="19"/>
  <c r="N1010" i="19"/>
  <c r="O1010" i="19"/>
  <c r="N1011" i="19"/>
  <c r="O1011" i="19"/>
  <c r="E1013" i="19"/>
  <c r="N1013" i="19"/>
  <c r="O1013" i="19"/>
  <c r="N1014" i="19"/>
  <c r="O1014" i="19"/>
  <c r="N1015" i="19"/>
  <c r="O1015" i="19"/>
  <c r="N1016" i="19"/>
  <c r="O1016" i="19"/>
  <c r="N1017" i="19"/>
  <c r="O1017" i="19"/>
  <c r="N1018" i="19"/>
  <c r="O1018" i="19"/>
  <c r="N1019" i="19"/>
  <c r="O1019" i="19"/>
  <c r="N1020" i="19"/>
  <c r="O1020" i="19"/>
  <c r="N1021" i="19"/>
  <c r="O1021" i="19"/>
  <c r="N1022" i="19"/>
  <c r="O1022" i="19"/>
  <c r="E1023" i="19"/>
  <c r="N1023" i="19"/>
  <c r="O1023" i="19"/>
  <c r="E1024" i="19"/>
  <c r="N1024" i="19"/>
  <c r="O1024" i="19"/>
  <c r="N1025" i="19"/>
  <c r="O1025" i="19"/>
  <c r="N1026" i="19"/>
  <c r="O1026" i="19"/>
  <c r="N1027" i="19"/>
  <c r="O1027" i="19"/>
  <c r="N1028" i="19"/>
  <c r="O1028" i="19"/>
  <c r="N1029" i="19"/>
  <c r="O1029" i="19"/>
  <c r="N1030" i="19"/>
  <c r="O1030" i="19"/>
  <c r="E1032" i="19"/>
  <c r="N1032" i="19"/>
  <c r="O1032" i="19"/>
  <c r="N1033" i="19"/>
  <c r="O1033" i="19"/>
  <c r="N1034" i="19"/>
  <c r="O1034" i="19"/>
  <c r="N1035" i="19"/>
  <c r="O1035" i="19"/>
  <c r="N1036" i="19"/>
  <c r="O1036" i="19"/>
  <c r="N1037" i="19"/>
  <c r="O1037" i="19"/>
  <c r="N1038" i="19"/>
  <c r="O1038" i="19"/>
  <c r="N1039" i="19"/>
  <c r="O1039" i="19"/>
  <c r="N1040" i="19"/>
  <c r="O1040" i="19"/>
  <c r="N1041" i="19"/>
  <c r="O1041" i="19"/>
  <c r="E1042" i="19"/>
  <c r="N1042" i="19"/>
  <c r="O1042" i="19"/>
  <c r="E1043" i="19"/>
  <c r="N1043" i="19"/>
  <c r="O1043" i="19"/>
  <c r="N1044" i="19"/>
  <c r="O1044" i="19"/>
  <c r="N1045" i="19"/>
  <c r="O1045" i="19"/>
  <c r="N1046" i="19"/>
  <c r="O1046" i="19"/>
  <c r="N1047" i="19"/>
  <c r="O1047" i="19"/>
  <c r="N1048" i="19"/>
  <c r="O1048" i="19"/>
  <c r="N1049" i="19"/>
  <c r="O1049" i="19"/>
  <c r="E1051" i="19"/>
  <c r="N1051" i="19"/>
  <c r="O1051" i="19"/>
  <c r="N1052" i="19"/>
  <c r="O1052" i="19"/>
  <c r="N1053" i="19"/>
  <c r="O1053" i="19"/>
  <c r="N1054" i="19"/>
  <c r="O1054" i="19"/>
  <c r="N1055" i="19"/>
  <c r="O1055" i="19"/>
  <c r="N1056" i="19"/>
  <c r="O1056" i="19"/>
  <c r="N1057" i="19"/>
  <c r="O1057" i="19"/>
  <c r="N1058" i="19"/>
  <c r="O1058" i="19"/>
  <c r="N1059" i="19"/>
  <c r="O1059" i="19"/>
  <c r="N1060" i="19"/>
  <c r="O1060" i="19"/>
  <c r="E1061" i="19"/>
  <c r="N1061" i="19"/>
  <c r="O1061" i="19"/>
  <c r="E1062" i="19"/>
  <c r="N1062" i="19"/>
  <c r="O1062" i="19"/>
  <c r="N1063" i="19"/>
  <c r="O1063" i="19"/>
  <c r="N1064" i="19"/>
  <c r="O1064" i="19"/>
  <c r="N1065" i="19"/>
  <c r="O1065" i="19"/>
  <c r="N1066" i="19"/>
  <c r="O1066" i="19"/>
  <c r="N1067" i="19"/>
  <c r="O1067" i="19"/>
  <c r="N1068" i="19"/>
  <c r="O1068" i="19"/>
  <c r="E1070" i="19"/>
  <c r="N1070" i="19"/>
  <c r="O1070" i="19"/>
  <c r="N1071" i="19"/>
  <c r="O1071" i="19"/>
  <c r="N1072" i="19"/>
  <c r="O1072" i="19"/>
  <c r="N1073" i="19"/>
  <c r="O1073" i="19"/>
  <c r="N1074" i="19"/>
  <c r="O1074" i="19"/>
  <c r="N1075" i="19"/>
  <c r="O1075" i="19"/>
  <c r="N1076" i="19"/>
  <c r="O1076" i="19"/>
  <c r="N1077" i="19"/>
  <c r="O1077" i="19"/>
  <c r="N1078" i="19"/>
  <c r="O1078" i="19"/>
  <c r="N1079" i="19"/>
  <c r="O1079" i="19"/>
  <c r="E1080" i="19"/>
  <c r="N1080" i="19"/>
  <c r="O1080" i="19"/>
  <c r="E1081" i="19"/>
  <c r="N1081" i="19"/>
  <c r="O1081" i="19"/>
  <c r="N1082" i="19"/>
  <c r="O1082" i="19"/>
  <c r="N1083" i="19"/>
  <c r="O1083" i="19"/>
  <c r="N1084" i="19"/>
  <c r="O1084" i="19"/>
  <c r="N1085" i="19"/>
  <c r="O1085" i="19"/>
  <c r="N1086" i="19"/>
  <c r="O1086" i="19"/>
  <c r="N1087" i="19"/>
  <c r="O1087" i="19"/>
  <c r="E1089" i="19"/>
  <c r="N1089" i="19"/>
  <c r="O1089" i="19"/>
  <c r="N1090" i="19"/>
  <c r="O1090" i="19"/>
  <c r="N1091" i="19"/>
  <c r="O1091" i="19"/>
  <c r="N1092" i="19"/>
  <c r="O1092" i="19"/>
  <c r="N1093" i="19"/>
  <c r="O1093" i="19"/>
  <c r="N1094" i="19"/>
  <c r="O1094" i="19"/>
  <c r="N1095" i="19"/>
  <c r="O1095" i="19"/>
  <c r="N1096" i="19"/>
  <c r="O1096" i="19"/>
  <c r="N1097" i="19"/>
  <c r="O1097" i="19"/>
  <c r="N1098" i="19"/>
  <c r="O1098" i="19"/>
  <c r="E1099" i="19"/>
  <c r="N1099" i="19"/>
  <c r="O1099" i="19"/>
  <c r="E1100" i="19"/>
  <c r="N1100" i="19"/>
  <c r="O1100" i="19"/>
  <c r="N1101" i="19"/>
  <c r="O1101" i="19"/>
  <c r="N1102" i="19"/>
  <c r="O1102" i="19"/>
  <c r="N1103" i="19"/>
  <c r="O1103" i="19"/>
  <c r="N1104" i="19"/>
  <c r="O1104" i="19"/>
  <c r="N1105" i="19"/>
  <c r="O1105" i="19"/>
  <c r="N1106" i="19"/>
  <c r="O1106" i="19"/>
  <c r="E1108" i="19"/>
  <c r="N1108" i="19"/>
  <c r="O1108" i="19"/>
  <c r="N1109" i="19"/>
  <c r="O1109" i="19"/>
  <c r="N1110" i="19"/>
  <c r="O1110" i="19"/>
  <c r="N1111" i="19"/>
  <c r="O1111" i="19"/>
  <c r="N1112" i="19"/>
  <c r="O1112" i="19"/>
  <c r="N1113" i="19"/>
  <c r="O1113" i="19"/>
  <c r="N1114" i="19"/>
  <c r="O1114" i="19"/>
  <c r="N1115" i="19"/>
  <c r="O1115" i="19"/>
  <c r="N1116" i="19"/>
  <c r="O1116" i="19"/>
  <c r="N1117" i="19"/>
  <c r="O1117" i="19"/>
  <c r="N1118" i="19"/>
  <c r="O1118" i="19"/>
  <c r="N1119" i="19"/>
  <c r="O1119" i="19"/>
  <c r="N1120" i="19"/>
  <c r="O1120" i="19"/>
  <c r="N1121" i="19"/>
  <c r="O1121" i="19"/>
  <c r="N1122" i="19"/>
  <c r="O1122" i="19"/>
  <c r="N1123" i="19"/>
  <c r="O1123" i="19"/>
  <c r="N1124" i="19"/>
  <c r="O1124" i="19"/>
  <c r="N1125" i="19"/>
  <c r="O1125" i="19"/>
  <c r="N1127" i="19"/>
  <c r="O1127" i="19"/>
  <c r="E1128" i="19"/>
  <c r="N1128" i="19"/>
  <c r="O1128" i="19"/>
  <c r="E1129" i="19"/>
  <c r="N1129" i="19"/>
  <c r="O1129" i="19"/>
  <c r="N1130" i="19"/>
  <c r="O1130" i="19"/>
  <c r="N1131" i="19"/>
  <c r="O1131" i="19"/>
  <c r="N1132" i="19"/>
  <c r="O1132" i="19"/>
  <c r="N1133" i="19"/>
  <c r="O1133" i="19"/>
  <c r="N1134" i="19"/>
  <c r="O1134" i="19"/>
  <c r="N1135" i="19"/>
  <c r="O1135" i="19"/>
  <c r="N1136" i="19"/>
  <c r="O1136" i="19"/>
  <c r="N1137" i="19"/>
  <c r="O1137" i="19"/>
  <c r="N1138" i="19"/>
  <c r="O1138" i="19"/>
  <c r="N1139" i="19"/>
  <c r="O1139" i="19"/>
  <c r="N1140" i="19"/>
  <c r="O1140" i="19"/>
  <c r="N1141" i="19"/>
  <c r="O1141" i="19"/>
  <c r="N1142" i="19"/>
  <c r="O1142" i="19"/>
  <c r="N1143" i="19"/>
  <c r="O1143" i="19"/>
  <c r="N1144" i="19"/>
  <c r="O1144" i="19"/>
  <c r="N1145" i="19"/>
  <c r="O1145" i="19"/>
  <c r="N1146" i="19"/>
  <c r="O1146" i="19"/>
  <c r="N1147" i="19"/>
  <c r="O1147" i="19"/>
  <c r="E1149" i="19"/>
  <c r="N1149" i="19"/>
  <c r="O1149" i="19"/>
  <c r="N1150" i="19"/>
  <c r="O1150" i="19"/>
  <c r="N1151" i="19"/>
  <c r="O1151" i="19"/>
  <c r="N1152" i="19"/>
  <c r="O1152" i="19"/>
  <c r="N1153" i="19"/>
  <c r="O1153" i="19"/>
  <c r="N1154" i="19"/>
  <c r="O1154" i="19"/>
  <c r="N1155" i="19"/>
  <c r="O1155" i="19"/>
  <c r="N1156" i="19"/>
  <c r="O1156" i="19"/>
  <c r="N1157" i="19"/>
  <c r="O1157" i="19"/>
  <c r="N1158" i="19"/>
  <c r="O1158" i="19"/>
  <c r="N1159" i="19"/>
  <c r="O1159" i="19"/>
  <c r="N1160" i="19"/>
  <c r="O1160" i="19"/>
  <c r="N1161" i="19"/>
  <c r="O1161" i="19"/>
  <c r="N1162" i="19"/>
  <c r="O1162" i="19"/>
  <c r="N1163" i="19"/>
  <c r="O1163" i="19"/>
  <c r="N1164" i="19"/>
  <c r="O1164" i="19"/>
  <c r="N1165" i="19"/>
  <c r="O1165" i="19"/>
  <c r="N1166" i="19"/>
  <c r="O1166" i="19"/>
  <c r="E1168" i="19"/>
  <c r="N1168" i="19"/>
  <c r="O1168" i="19"/>
  <c r="N1169" i="19"/>
  <c r="O1169" i="19"/>
  <c r="N1170" i="19"/>
  <c r="O1170" i="19"/>
  <c r="N1171" i="19"/>
  <c r="O1171" i="19"/>
  <c r="N1172" i="19"/>
  <c r="O1172" i="19"/>
  <c r="N1173" i="19"/>
  <c r="O1173" i="19"/>
  <c r="N1174" i="19"/>
  <c r="O1174" i="19"/>
  <c r="N1175" i="19"/>
  <c r="O1175" i="19"/>
  <c r="N1176" i="19"/>
  <c r="O1176" i="19"/>
  <c r="N1177" i="19"/>
  <c r="O1177" i="19"/>
  <c r="E760" i="19"/>
  <c r="E730" i="19"/>
  <c r="E726" i="19"/>
  <c r="E727" i="19"/>
  <c r="E281" i="19"/>
  <c r="E282" i="19"/>
  <c r="E278" i="19"/>
  <c r="E279" i="19"/>
  <c r="E905" i="19"/>
  <c r="E906" i="19"/>
  <c r="E907" i="19"/>
  <c r="E908" i="19"/>
  <c r="E909" i="19"/>
  <c r="E910" i="19"/>
  <c r="E10" i="37"/>
  <c r="E11" i="37"/>
  <c r="E12" i="37"/>
  <c r="E13" i="37"/>
  <c r="E8" i="37"/>
  <c r="E9" i="37"/>
  <c r="E15" i="37"/>
  <c r="E16" i="37"/>
  <c r="E17" i="37"/>
  <c r="E18" i="37"/>
  <c r="E6" i="37"/>
  <c r="E5" i="37"/>
  <c r="E4" i="37"/>
  <c r="E3" i="37"/>
  <c r="N20" i="37"/>
  <c r="O20" i="37"/>
  <c r="N21" i="37"/>
  <c r="O21" i="37"/>
  <c r="N911" i="19"/>
  <c r="O911" i="19"/>
  <c r="N912" i="19"/>
  <c r="O912" i="19"/>
  <c r="N913" i="19"/>
  <c r="O913" i="19"/>
  <c r="N914" i="19"/>
  <c r="O914" i="19"/>
  <c r="N915" i="19"/>
  <c r="O915" i="19"/>
  <c r="N916" i="19"/>
  <c r="O916" i="19"/>
  <c r="N917" i="19"/>
  <c r="O917" i="19"/>
  <c r="N918" i="19"/>
  <c r="O918" i="19"/>
  <c r="N919" i="19"/>
  <c r="O919" i="19"/>
  <c r="N920" i="19"/>
  <c r="O920" i="19"/>
  <c r="N921" i="19"/>
  <c r="O921" i="19"/>
  <c r="N922" i="19"/>
  <c r="O922" i="19"/>
  <c r="N398" i="46"/>
  <c r="N399" i="46"/>
  <c r="N400" i="46"/>
  <c r="N401" i="46"/>
  <c r="N402" i="46"/>
  <c r="N403" i="46"/>
  <c r="N404" i="46"/>
  <c r="N405" i="46"/>
  <c r="N406" i="46"/>
  <c r="N407" i="46"/>
  <c r="O398" i="46"/>
  <c r="O399" i="46"/>
  <c r="O400" i="46"/>
  <c r="O401" i="46"/>
  <c r="O402" i="46"/>
  <c r="O403" i="46"/>
  <c r="O404" i="46"/>
  <c r="O405" i="46"/>
  <c r="O406" i="46"/>
  <c r="O407" i="46"/>
  <c r="N396" i="46"/>
  <c r="O396" i="46"/>
  <c r="N397" i="46"/>
  <c r="O397" i="46"/>
  <c r="N312" i="39"/>
  <c r="O312" i="39"/>
  <c r="N293" i="39"/>
  <c r="O293" i="39"/>
  <c r="N274" i="39"/>
  <c r="O274" i="39"/>
  <c r="N252" i="39"/>
  <c r="O252" i="39"/>
  <c r="N233" i="39"/>
  <c r="O233" i="39"/>
  <c r="N214" i="39"/>
  <c r="O214" i="39"/>
  <c r="N195" i="39"/>
  <c r="O195" i="39"/>
  <c r="N176" i="39"/>
  <c r="O176" i="39"/>
  <c r="N157" i="39"/>
  <c r="O157" i="39"/>
  <c r="N138" i="39"/>
  <c r="O138" i="39"/>
  <c r="N119" i="39"/>
  <c r="O119" i="39"/>
  <c r="N99" i="39"/>
  <c r="O99" i="39"/>
  <c r="N100" i="39"/>
  <c r="O100" i="39"/>
  <c r="O92" i="39"/>
  <c r="N92" i="39"/>
  <c r="N905" i="19"/>
  <c r="N906" i="19"/>
  <c r="N907" i="19"/>
  <c r="N908" i="19"/>
  <c r="N909" i="19"/>
  <c r="N910" i="19"/>
  <c r="N904" i="19"/>
  <c r="O904" i="19"/>
  <c r="N13" i="37"/>
  <c r="N12" i="37"/>
  <c r="E140" i="38"/>
  <c r="N15" i="37"/>
  <c r="N16" i="37"/>
  <c r="N17" i="37"/>
  <c r="N18" i="37"/>
  <c r="N8" i="37"/>
  <c r="N9" i="37"/>
  <c r="N10" i="37"/>
  <c r="N11" i="37"/>
  <c r="E137" i="38"/>
  <c r="E138" i="38"/>
  <c r="E141" i="38"/>
  <c r="N3" i="37"/>
  <c r="N4" i="37"/>
  <c r="N5" i="37"/>
  <c r="N6" i="37"/>
  <c r="N189" i="50" l="1"/>
  <c r="M189" i="50"/>
  <c r="N114" i="50"/>
  <c r="M114" i="50"/>
  <c r="N123" i="50"/>
  <c r="D235" i="50" s="1"/>
  <c r="D801" i="18" s="1"/>
  <c r="M123" i="50"/>
  <c r="D223" i="50" s="1"/>
  <c r="D789" i="18" s="1"/>
  <c r="N132" i="50"/>
  <c r="M132" i="50"/>
  <c r="N141" i="50"/>
  <c r="M141" i="50"/>
  <c r="N150" i="50"/>
  <c r="D214" i="50" s="1"/>
  <c r="D780" i="18" s="1"/>
  <c r="M150" i="50"/>
  <c r="D202" i="50" s="1"/>
  <c r="D768" i="18" s="1"/>
  <c r="N159" i="50"/>
  <c r="M159" i="50"/>
  <c r="N168" i="50"/>
  <c r="M168" i="50"/>
  <c r="N177" i="50"/>
  <c r="M177" i="50"/>
  <c r="N186" i="50"/>
  <c r="D244" i="50" s="1"/>
  <c r="D810" i="18" s="1"/>
  <c r="M186" i="50"/>
  <c r="D232" i="50" s="1"/>
  <c r="D798" i="18" s="1"/>
  <c r="K109" i="50"/>
  <c r="L109" i="50"/>
  <c r="N145" i="50"/>
  <c r="M145" i="50"/>
  <c r="N172" i="50"/>
  <c r="D242" i="50" s="1"/>
  <c r="D808" i="18" s="1"/>
  <c r="M172" i="50"/>
  <c r="D230" i="50" s="1"/>
  <c r="D796" i="18" s="1"/>
  <c r="M110" i="50"/>
  <c r="N110" i="50"/>
  <c r="K113" i="50"/>
  <c r="L113" i="50"/>
  <c r="M119" i="50"/>
  <c r="N119" i="50"/>
  <c r="K122" i="50"/>
  <c r="L122" i="50"/>
  <c r="M128" i="50"/>
  <c r="N128" i="50"/>
  <c r="K131" i="50"/>
  <c r="L131" i="50"/>
  <c r="M137" i="50"/>
  <c r="D225" i="50" s="1"/>
  <c r="D791" i="18" s="1"/>
  <c r="N137" i="50"/>
  <c r="D237" i="50" s="1"/>
  <c r="D803" i="18" s="1"/>
  <c r="K140" i="50"/>
  <c r="L140" i="50"/>
  <c r="M146" i="50"/>
  <c r="N146" i="50"/>
  <c r="K149" i="50"/>
  <c r="L149" i="50"/>
  <c r="M155" i="50"/>
  <c r="N155" i="50"/>
  <c r="K158" i="50"/>
  <c r="L158" i="50"/>
  <c r="M164" i="50"/>
  <c r="D204" i="50" s="1"/>
  <c r="D770" i="18" s="1"/>
  <c r="N164" i="50"/>
  <c r="D216" i="50" s="1"/>
  <c r="D782" i="18" s="1"/>
  <c r="K167" i="50"/>
  <c r="L167" i="50"/>
  <c r="M173" i="50"/>
  <c r="N173" i="50"/>
  <c r="K176" i="50"/>
  <c r="L176" i="50"/>
  <c r="M182" i="50"/>
  <c r="E251" i="50" s="1"/>
  <c r="E1412" i="19" s="1"/>
  <c r="N182" i="50"/>
  <c r="E256" i="50" s="1"/>
  <c r="E1417" i="19" s="1"/>
  <c r="K185" i="50"/>
  <c r="L185" i="50"/>
  <c r="M191" i="50"/>
  <c r="N191" i="50"/>
  <c r="N112" i="50"/>
  <c r="M112" i="50"/>
  <c r="N166" i="50"/>
  <c r="M166" i="50"/>
  <c r="K178" i="50"/>
  <c r="L178" i="50"/>
  <c r="N148" i="50"/>
  <c r="M148" i="50"/>
  <c r="K160" i="50"/>
  <c r="L160" i="50"/>
  <c r="N130" i="50"/>
  <c r="D236" i="50" s="1"/>
  <c r="D802" i="18" s="1"/>
  <c r="M130" i="50"/>
  <c r="D224" i="50" s="1"/>
  <c r="D790" i="18" s="1"/>
  <c r="N126" i="50"/>
  <c r="M126" i="50"/>
  <c r="N153" i="50"/>
  <c r="M153" i="50"/>
  <c r="N171" i="50"/>
  <c r="D217" i="50" s="1"/>
  <c r="D783" i="18" s="1"/>
  <c r="M171" i="50"/>
  <c r="D205" i="50" s="1"/>
  <c r="D771" i="18" s="1"/>
  <c r="N180" i="50"/>
  <c r="E254" i="50" s="1"/>
  <c r="E1415" i="19" s="1"/>
  <c r="M180" i="50"/>
  <c r="E249" i="50" s="1"/>
  <c r="E1410" i="19" s="1"/>
  <c r="N127" i="50"/>
  <c r="M127" i="50"/>
  <c r="N154" i="50"/>
  <c r="M154" i="50"/>
  <c r="N181" i="50"/>
  <c r="E255" i="50" s="1"/>
  <c r="E1416" i="19" s="1"/>
  <c r="M181" i="50"/>
  <c r="E250" i="50" s="1"/>
  <c r="E1411" i="19" s="1"/>
  <c r="K110" i="50"/>
  <c r="L110" i="50"/>
  <c r="N116" i="50"/>
  <c r="D234" i="50" s="1"/>
  <c r="D800" i="18" s="1"/>
  <c r="M116" i="50"/>
  <c r="D222" i="50" s="1"/>
  <c r="D788" i="18" s="1"/>
  <c r="K119" i="50"/>
  <c r="L119" i="50"/>
  <c r="N125" i="50"/>
  <c r="M125" i="50"/>
  <c r="K128" i="50"/>
  <c r="L128" i="50"/>
  <c r="N134" i="50"/>
  <c r="M134" i="50"/>
  <c r="K137" i="50"/>
  <c r="L137" i="50"/>
  <c r="N143" i="50"/>
  <c r="D213" i="50" s="1"/>
  <c r="D779" i="18" s="1"/>
  <c r="M143" i="50"/>
  <c r="D201" i="50" s="1"/>
  <c r="D767" i="18" s="1"/>
  <c r="K146" i="50"/>
  <c r="L146" i="50"/>
  <c r="N152" i="50"/>
  <c r="M152" i="50"/>
  <c r="K155" i="50"/>
  <c r="L155" i="50"/>
  <c r="N161" i="50"/>
  <c r="M161" i="50"/>
  <c r="K164" i="50"/>
  <c r="L164" i="50"/>
  <c r="N170" i="50"/>
  <c r="M170" i="50"/>
  <c r="K173" i="50"/>
  <c r="L173" i="50"/>
  <c r="N179" i="50"/>
  <c r="D243" i="50" s="1"/>
  <c r="D809" i="18" s="1"/>
  <c r="M179" i="50"/>
  <c r="D231" i="50" s="1"/>
  <c r="D797" i="18" s="1"/>
  <c r="K182" i="50"/>
  <c r="L182" i="50"/>
  <c r="N188" i="50"/>
  <c r="M188" i="50"/>
  <c r="K191" i="50"/>
  <c r="L191" i="50"/>
  <c r="K142" i="50"/>
  <c r="L142" i="50"/>
  <c r="N121" i="50"/>
  <c r="M121" i="50"/>
  <c r="N115" i="50"/>
  <c r="D209" i="50" s="1"/>
  <c r="D775" i="18" s="1"/>
  <c r="M115" i="50"/>
  <c r="D197" i="50" s="1"/>
  <c r="D763" i="18" s="1"/>
  <c r="N175" i="50"/>
  <c r="M175" i="50"/>
  <c r="K187" i="50"/>
  <c r="L187" i="50"/>
  <c r="N157" i="50"/>
  <c r="D215" i="50" s="1"/>
  <c r="D781" i="18" s="1"/>
  <c r="M157" i="50"/>
  <c r="D203" i="50" s="1"/>
  <c r="D769" i="18" s="1"/>
  <c r="N117" i="50"/>
  <c r="M117" i="50"/>
  <c r="N135" i="50"/>
  <c r="M135" i="50"/>
  <c r="N144" i="50"/>
  <c r="D238" i="50" s="1"/>
  <c r="D804" i="18" s="1"/>
  <c r="M144" i="50"/>
  <c r="D226" i="50" s="1"/>
  <c r="D792" i="18" s="1"/>
  <c r="N162" i="50"/>
  <c r="M162" i="50"/>
  <c r="N111" i="50"/>
  <c r="M111" i="50"/>
  <c r="N120" i="50"/>
  <c r="M120" i="50"/>
  <c r="N129" i="50"/>
  <c r="D211" i="50" s="1"/>
  <c r="D777" i="18" s="1"/>
  <c r="M129" i="50"/>
  <c r="D199" i="50" s="1"/>
  <c r="D765" i="18" s="1"/>
  <c r="N138" i="50"/>
  <c r="M138" i="50"/>
  <c r="N147" i="50"/>
  <c r="M147" i="50"/>
  <c r="N156" i="50"/>
  <c r="M156" i="50"/>
  <c r="N165" i="50"/>
  <c r="D241" i="50" s="1"/>
  <c r="D807" i="18" s="1"/>
  <c r="M165" i="50"/>
  <c r="D229" i="50" s="1"/>
  <c r="D795" i="18" s="1"/>
  <c r="N174" i="50"/>
  <c r="M174" i="50"/>
  <c r="N183" i="50"/>
  <c r="E257" i="50" s="1"/>
  <c r="E1418" i="19" s="1"/>
  <c r="M183" i="50"/>
  <c r="E252" i="50" s="1"/>
  <c r="E1413" i="19" s="1"/>
  <c r="N192" i="50"/>
  <c r="D220" i="50" s="1"/>
  <c r="D786" i="18" s="1"/>
  <c r="M192" i="50"/>
  <c r="D208" i="50" s="1"/>
  <c r="D774" i="18" s="1"/>
  <c r="N136" i="50"/>
  <c r="D212" i="50" s="1"/>
  <c r="D778" i="18" s="1"/>
  <c r="M136" i="50"/>
  <c r="D200" i="50" s="1"/>
  <c r="D766" i="18" s="1"/>
  <c r="N163" i="50"/>
  <c r="M163" i="50"/>
  <c r="N190" i="50"/>
  <c r="M190" i="50"/>
  <c r="N113" i="50"/>
  <c r="M113" i="50"/>
  <c r="K116" i="50"/>
  <c r="L116" i="50"/>
  <c r="N122" i="50"/>
  <c r="D210" i="50" s="1"/>
  <c r="D776" i="18" s="1"/>
  <c r="M122" i="50"/>
  <c r="D198" i="50" s="1"/>
  <c r="D764" i="18" s="1"/>
  <c r="K125" i="50"/>
  <c r="L125" i="50"/>
  <c r="N131" i="50"/>
  <c r="M131" i="50"/>
  <c r="K134" i="50"/>
  <c r="L134" i="50"/>
  <c r="N140" i="50"/>
  <c r="M140" i="50"/>
  <c r="K143" i="50"/>
  <c r="L143" i="50"/>
  <c r="N149" i="50"/>
  <c r="M149" i="50"/>
  <c r="K152" i="50"/>
  <c r="L152" i="50"/>
  <c r="N158" i="50"/>
  <c r="D240" i="50" s="1"/>
  <c r="D806" i="18" s="1"/>
  <c r="M158" i="50"/>
  <c r="D228" i="50" s="1"/>
  <c r="D794" i="18" s="1"/>
  <c r="K161" i="50"/>
  <c r="L161" i="50"/>
  <c r="N167" i="50"/>
  <c r="M167" i="50"/>
  <c r="K170" i="50"/>
  <c r="L170" i="50"/>
  <c r="N176" i="50"/>
  <c r="M176" i="50"/>
  <c r="K179" i="50"/>
  <c r="L179" i="50"/>
  <c r="N185" i="50"/>
  <c r="D219" i="50" s="1"/>
  <c r="D785" i="18" s="1"/>
  <c r="M185" i="50"/>
  <c r="D207" i="50" s="1"/>
  <c r="D773" i="18" s="1"/>
  <c r="K188" i="50"/>
  <c r="L188" i="50"/>
  <c r="K169" i="50"/>
  <c r="L169" i="50"/>
  <c r="N139" i="50"/>
  <c r="M139" i="50"/>
  <c r="K151" i="50"/>
  <c r="L151" i="50"/>
  <c r="N124" i="50"/>
  <c r="M124" i="50"/>
  <c r="K133" i="50"/>
  <c r="L133" i="50"/>
  <c r="N118" i="50"/>
  <c r="M118" i="50"/>
  <c r="N184" i="50"/>
  <c r="E258" i="50" s="1"/>
  <c r="E1419" i="19" s="1"/>
  <c r="M184" i="50"/>
  <c r="E253" i="50" s="1"/>
  <c r="E1414" i="19" s="1"/>
  <c r="N24" i="50"/>
  <c r="D1068" i="20" s="1"/>
  <c r="M24" i="50"/>
  <c r="D984" i="20" s="1"/>
  <c r="N33" i="50"/>
  <c r="D1077" i="20" s="1"/>
  <c r="M33" i="50"/>
  <c r="D993" i="20" s="1"/>
  <c r="M42" i="50"/>
  <c r="D1002" i="20" s="1"/>
  <c r="N42" i="50"/>
  <c r="D1086" i="20" s="1"/>
  <c r="M51" i="50"/>
  <c r="D1011" i="20" s="1"/>
  <c r="N51" i="50"/>
  <c r="D1095" i="20" s="1"/>
  <c r="M60" i="50"/>
  <c r="D1020" i="20" s="1"/>
  <c r="N60" i="50"/>
  <c r="D1104" i="20" s="1"/>
  <c r="M69" i="50"/>
  <c r="D1029" i="20" s="1"/>
  <c r="N69" i="50"/>
  <c r="D1113" i="20" s="1"/>
  <c r="M78" i="50"/>
  <c r="D1038" i="20" s="1"/>
  <c r="N78" i="50"/>
  <c r="D1122" i="20" s="1"/>
  <c r="M87" i="50"/>
  <c r="D1047" i="20" s="1"/>
  <c r="N87" i="50"/>
  <c r="D1131" i="20" s="1"/>
  <c r="M96" i="50"/>
  <c r="D1056" i="20" s="1"/>
  <c r="N96" i="50"/>
  <c r="D1140" i="20" s="1"/>
  <c r="L26" i="50"/>
  <c r="D902" i="20" s="1"/>
  <c r="K26" i="50"/>
  <c r="D818" i="20" s="1"/>
  <c r="L53" i="50"/>
  <c r="D929" i="20" s="1"/>
  <c r="K53" i="50"/>
  <c r="D845" i="20" s="1"/>
  <c r="L80" i="50"/>
  <c r="D956" i="20" s="1"/>
  <c r="K80" i="50"/>
  <c r="D872" i="20" s="1"/>
  <c r="M43" i="50"/>
  <c r="D1003" i="20" s="1"/>
  <c r="N43" i="50"/>
  <c r="D1087" i="20" s="1"/>
  <c r="M70" i="50"/>
  <c r="D1030" i="20" s="1"/>
  <c r="N70" i="50"/>
  <c r="D1114" i="20" s="1"/>
  <c r="M97" i="50"/>
  <c r="D1057" i="20" s="1"/>
  <c r="N97" i="50"/>
  <c r="D1141" i="20" s="1"/>
  <c r="K49" i="50"/>
  <c r="D841" i="20" s="1"/>
  <c r="L49" i="50"/>
  <c r="D925" i="20" s="1"/>
  <c r="K76" i="50"/>
  <c r="D868" i="20" s="1"/>
  <c r="L76" i="50"/>
  <c r="D952" i="20" s="1"/>
  <c r="K103" i="50"/>
  <c r="D895" i="20" s="1"/>
  <c r="L103" i="50"/>
  <c r="D979" i="20" s="1"/>
  <c r="M46" i="50"/>
  <c r="D1006" i="20" s="1"/>
  <c r="N46" i="50"/>
  <c r="D1090" i="20" s="1"/>
  <c r="M73" i="50"/>
  <c r="D1033" i="20" s="1"/>
  <c r="N73" i="50"/>
  <c r="D1117" i="20" s="1"/>
  <c r="M100" i="50"/>
  <c r="D1060" i="20" s="1"/>
  <c r="N100" i="50"/>
  <c r="D1144" i="20" s="1"/>
  <c r="L32" i="50"/>
  <c r="D908" i="20" s="1"/>
  <c r="K32" i="50"/>
  <c r="D824" i="20" s="1"/>
  <c r="L59" i="50"/>
  <c r="D935" i="20" s="1"/>
  <c r="K59" i="50"/>
  <c r="D851" i="20" s="1"/>
  <c r="L86" i="50"/>
  <c r="D962" i="20" s="1"/>
  <c r="K86" i="50"/>
  <c r="D878" i="20" s="1"/>
  <c r="M29" i="50"/>
  <c r="D989" i="20" s="1"/>
  <c r="N29" i="50"/>
  <c r="D1073" i="20" s="1"/>
  <c r="N56" i="50"/>
  <c r="D1100" i="20" s="1"/>
  <c r="M56" i="50"/>
  <c r="D1016" i="20" s="1"/>
  <c r="N83" i="50"/>
  <c r="D1127" i="20" s="1"/>
  <c r="M83" i="50"/>
  <c r="D1043" i="20" s="1"/>
  <c r="L23" i="50"/>
  <c r="D899" i="20" s="1"/>
  <c r="K23" i="50"/>
  <c r="D815" i="20" s="1"/>
  <c r="N27" i="50"/>
  <c r="D1071" i="20" s="1"/>
  <c r="M27" i="50"/>
  <c r="D987" i="20" s="1"/>
  <c r="N36" i="50"/>
  <c r="D1080" i="20" s="1"/>
  <c r="M36" i="50"/>
  <c r="D996" i="20" s="1"/>
  <c r="M45" i="50"/>
  <c r="D1005" i="20" s="1"/>
  <c r="N45" i="50"/>
  <c r="D1089" i="20" s="1"/>
  <c r="M54" i="50"/>
  <c r="D1014" i="20" s="1"/>
  <c r="N54" i="50"/>
  <c r="D1098" i="20" s="1"/>
  <c r="M63" i="50"/>
  <c r="D1023" i="20" s="1"/>
  <c r="N63" i="50"/>
  <c r="D1107" i="20" s="1"/>
  <c r="M72" i="50"/>
  <c r="D1032" i="20" s="1"/>
  <c r="N72" i="50"/>
  <c r="D1116" i="20" s="1"/>
  <c r="M81" i="50"/>
  <c r="D1041" i="20" s="1"/>
  <c r="N81" i="50"/>
  <c r="D1125" i="20" s="1"/>
  <c r="M90" i="50"/>
  <c r="D1050" i="20" s="1"/>
  <c r="N90" i="50"/>
  <c r="D1134" i="20" s="1"/>
  <c r="M99" i="50"/>
  <c r="D1059" i="20" s="1"/>
  <c r="N99" i="50"/>
  <c r="D1143" i="20" s="1"/>
  <c r="L35" i="50"/>
  <c r="D911" i="20" s="1"/>
  <c r="K35" i="50"/>
  <c r="D827" i="20" s="1"/>
  <c r="L62" i="50"/>
  <c r="D938" i="20" s="1"/>
  <c r="K62" i="50"/>
  <c r="D854" i="20" s="1"/>
  <c r="L89" i="50"/>
  <c r="D965" i="20" s="1"/>
  <c r="K89" i="50"/>
  <c r="D881" i="20" s="1"/>
  <c r="M25" i="50"/>
  <c r="D985" i="20" s="1"/>
  <c r="N25" i="50"/>
  <c r="D1069" i="20" s="1"/>
  <c r="M52" i="50"/>
  <c r="D1012" i="20" s="1"/>
  <c r="N52" i="50"/>
  <c r="D1096" i="20" s="1"/>
  <c r="M79" i="50"/>
  <c r="D1039" i="20" s="1"/>
  <c r="N79" i="50"/>
  <c r="D1123" i="20" s="1"/>
  <c r="K31" i="50"/>
  <c r="D823" i="20" s="1"/>
  <c r="L31" i="50"/>
  <c r="D907" i="20" s="1"/>
  <c r="K58" i="50"/>
  <c r="D850" i="20" s="1"/>
  <c r="L58" i="50"/>
  <c r="D934" i="20" s="1"/>
  <c r="K85" i="50"/>
  <c r="D877" i="20" s="1"/>
  <c r="L85" i="50"/>
  <c r="D961" i="20" s="1"/>
  <c r="M28" i="50"/>
  <c r="D988" i="20" s="1"/>
  <c r="N28" i="50"/>
  <c r="D1072" i="20" s="1"/>
  <c r="M55" i="50"/>
  <c r="D1015" i="20" s="1"/>
  <c r="N55" i="50"/>
  <c r="D1099" i="20" s="1"/>
  <c r="M82" i="50"/>
  <c r="D1042" i="20" s="1"/>
  <c r="N82" i="50"/>
  <c r="D1126" i="20" s="1"/>
  <c r="L41" i="50"/>
  <c r="D917" i="20" s="1"/>
  <c r="K41" i="50"/>
  <c r="D833" i="20" s="1"/>
  <c r="L68" i="50"/>
  <c r="D944" i="20" s="1"/>
  <c r="K68" i="50"/>
  <c r="D860" i="20" s="1"/>
  <c r="L95" i="50"/>
  <c r="D971" i="20" s="1"/>
  <c r="K95" i="50"/>
  <c r="D887" i="20" s="1"/>
  <c r="M38" i="50"/>
  <c r="D998" i="20" s="1"/>
  <c r="N38" i="50"/>
  <c r="D1082" i="20" s="1"/>
  <c r="N65" i="50"/>
  <c r="D1109" i="20" s="1"/>
  <c r="M65" i="50"/>
  <c r="D1025" i="20" s="1"/>
  <c r="N92" i="50"/>
  <c r="D1136" i="20" s="1"/>
  <c r="M92" i="50"/>
  <c r="D1052" i="20" s="1"/>
  <c r="M23" i="50"/>
  <c r="D983" i="20" s="1"/>
  <c r="N23" i="50"/>
  <c r="D1067" i="20" s="1"/>
  <c r="N21" i="50"/>
  <c r="D1065" i="20" s="1"/>
  <c r="M21" i="50"/>
  <c r="D981" i="20" s="1"/>
  <c r="N30" i="50"/>
  <c r="D1074" i="20" s="1"/>
  <c r="M30" i="50"/>
  <c r="D990" i="20" s="1"/>
  <c r="M39" i="50"/>
  <c r="D999" i="20" s="1"/>
  <c r="N39" i="50"/>
  <c r="D1083" i="20" s="1"/>
  <c r="M48" i="50"/>
  <c r="D1008" i="20" s="1"/>
  <c r="N48" i="50"/>
  <c r="D1092" i="20" s="1"/>
  <c r="M57" i="50"/>
  <c r="D1017" i="20" s="1"/>
  <c r="N57" i="50"/>
  <c r="D1101" i="20" s="1"/>
  <c r="M66" i="50"/>
  <c r="D1026" i="20" s="1"/>
  <c r="N66" i="50"/>
  <c r="D1110" i="20" s="1"/>
  <c r="M75" i="50"/>
  <c r="D1035" i="20" s="1"/>
  <c r="N75" i="50"/>
  <c r="D1119" i="20" s="1"/>
  <c r="M84" i="50"/>
  <c r="D1044" i="20" s="1"/>
  <c r="N84" i="50"/>
  <c r="D1128" i="20" s="1"/>
  <c r="N93" i="50"/>
  <c r="D1137" i="20" s="1"/>
  <c r="M93" i="50"/>
  <c r="D1053" i="20" s="1"/>
  <c r="N102" i="50"/>
  <c r="D1146" i="20" s="1"/>
  <c r="M102" i="50"/>
  <c r="D1062" i="20" s="1"/>
  <c r="L44" i="50"/>
  <c r="D920" i="20" s="1"/>
  <c r="K44" i="50"/>
  <c r="D836" i="20" s="1"/>
  <c r="L71" i="50"/>
  <c r="D947" i="20" s="1"/>
  <c r="K71" i="50"/>
  <c r="D863" i="20" s="1"/>
  <c r="L98" i="50"/>
  <c r="D974" i="20" s="1"/>
  <c r="K98" i="50"/>
  <c r="D890" i="20" s="1"/>
  <c r="M34" i="50"/>
  <c r="D994" i="20" s="1"/>
  <c r="N34" i="50"/>
  <c r="D1078" i="20" s="1"/>
  <c r="M61" i="50"/>
  <c r="D1021" i="20" s="1"/>
  <c r="N61" i="50"/>
  <c r="D1105" i="20" s="1"/>
  <c r="M88" i="50"/>
  <c r="D1048" i="20" s="1"/>
  <c r="N88" i="50"/>
  <c r="D1132" i="20" s="1"/>
  <c r="K40" i="50"/>
  <c r="D832" i="20" s="1"/>
  <c r="L40" i="50"/>
  <c r="D916" i="20" s="1"/>
  <c r="K67" i="50"/>
  <c r="D859" i="20" s="1"/>
  <c r="L67" i="50"/>
  <c r="D943" i="20" s="1"/>
  <c r="K94" i="50"/>
  <c r="D886" i="20" s="1"/>
  <c r="L94" i="50"/>
  <c r="D970" i="20" s="1"/>
  <c r="M37" i="50"/>
  <c r="D997" i="20" s="1"/>
  <c r="N37" i="50"/>
  <c r="D1081" i="20" s="1"/>
  <c r="M64" i="50"/>
  <c r="D1024" i="20" s="1"/>
  <c r="N64" i="50"/>
  <c r="D1108" i="20" s="1"/>
  <c r="M91" i="50"/>
  <c r="D1051" i="20" s="1"/>
  <c r="N91" i="50"/>
  <c r="D1135" i="20" s="1"/>
  <c r="L50" i="50"/>
  <c r="D926" i="20" s="1"/>
  <c r="K50" i="50"/>
  <c r="D842" i="20" s="1"/>
  <c r="L77" i="50"/>
  <c r="D953" i="20" s="1"/>
  <c r="K77" i="50"/>
  <c r="D869" i="20" s="1"/>
  <c r="L20" i="50"/>
  <c r="D896" i="20" s="1"/>
  <c r="D812" i="20"/>
  <c r="N47" i="50"/>
  <c r="D1091" i="20" s="1"/>
  <c r="M47" i="50"/>
  <c r="D1007" i="20" s="1"/>
  <c r="N74" i="50"/>
  <c r="D1118" i="20" s="1"/>
  <c r="M74" i="50"/>
  <c r="D1034" i="20" s="1"/>
  <c r="N101" i="50"/>
  <c r="D1145" i="20" s="1"/>
  <c r="M101" i="50"/>
  <c r="D1061" i="20" s="1"/>
  <c r="K22" i="50"/>
  <c r="D814" i="20" s="1"/>
  <c r="L22" i="50"/>
  <c r="D898" i="20" s="1"/>
  <c r="S372" i="46"/>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O871" i="19"/>
  <c r="N871" i="19"/>
  <c r="O694" i="19"/>
  <c r="N694" i="19"/>
  <c r="N298" i="19"/>
  <c r="O298" i="19"/>
  <c r="N299" i="19"/>
  <c r="O299" i="19"/>
  <c r="N300" i="19"/>
  <c r="O300" i="19"/>
  <c r="N301" i="19"/>
  <c r="O301" i="19"/>
  <c r="N302" i="19"/>
  <c r="O302" i="19"/>
  <c r="N303" i="19"/>
  <c r="O303" i="19"/>
  <c r="N304" i="19"/>
  <c r="O304" i="19"/>
  <c r="N410" i="19"/>
  <c r="O410" i="19"/>
  <c r="N691" i="19"/>
  <c r="O691" i="19"/>
  <c r="N692" i="19"/>
  <c r="O692" i="19"/>
  <c r="N693" i="19"/>
  <c r="O693" i="19"/>
  <c r="N695" i="19"/>
  <c r="O695" i="19"/>
  <c r="N710" i="19"/>
  <c r="O710" i="19"/>
  <c r="N724" i="19"/>
  <c r="O724" i="19"/>
  <c r="N728" i="19"/>
  <c r="O728" i="19"/>
  <c r="N759" i="19"/>
  <c r="O759" i="19"/>
  <c r="N815" i="19"/>
  <c r="O815" i="19"/>
  <c r="N816" i="19"/>
  <c r="O816" i="19"/>
  <c r="N819" i="19"/>
  <c r="O819" i="19"/>
  <c r="N820" i="19"/>
  <c r="O820" i="19"/>
  <c r="N823" i="19"/>
  <c r="O823" i="19"/>
  <c r="N824" i="19"/>
  <c r="O824" i="19"/>
  <c r="N870" i="19"/>
  <c r="O870" i="19"/>
  <c r="N872" i="19"/>
  <c r="O872" i="19"/>
  <c r="N892" i="19"/>
  <c r="O892" i="19"/>
  <c r="K268" i="18"/>
  <c r="K175" i="18"/>
  <c r="K205" i="18"/>
  <c r="K83" i="18"/>
  <c r="K52" i="18"/>
  <c r="K189" i="18"/>
  <c r="K122" i="18"/>
  <c r="K15" i="18"/>
  <c r="K47" i="18"/>
  <c r="K149" i="18"/>
  <c r="K96" i="18"/>
  <c r="K147" i="18"/>
  <c r="K241" i="18"/>
  <c r="K228" i="18"/>
  <c r="K170" i="18"/>
  <c r="K206" i="18"/>
  <c r="K65" i="18"/>
  <c r="K48" i="18"/>
  <c r="K193" i="18"/>
  <c r="K124" i="18"/>
  <c r="K25" i="18"/>
  <c r="K37" i="18"/>
  <c r="K139" i="18"/>
  <c r="K88" i="18"/>
  <c r="K148" i="18"/>
  <c r="K232" i="18"/>
  <c r="K229" i="18"/>
  <c r="K169" i="18"/>
  <c r="K208" i="18"/>
  <c r="K67" i="18"/>
  <c r="K39" i="18"/>
  <c r="K190" i="18"/>
  <c r="K163" i="18"/>
  <c r="K23" i="18"/>
  <c r="K40" i="18"/>
  <c r="K156" i="18"/>
  <c r="K106" i="18"/>
  <c r="K153" i="18"/>
  <c r="K251" i="18"/>
  <c r="K230" i="18"/>
  <c r="K165" i="18"/>
  <c r="K216" i="18"/>
  <c r="K97" i="18"/>
  <c r="K44" i="18"/>
  <c r="K188" i="18"/>
  <c r="K138" i="18"/>
  <c r="K26" i="18"/>
  <c r="K36" i="18"/>
  <c r="K151" i="18"/>
  <c r="K112" i="18"/>
  <c r="K154" i="18"/>
  <c r="K258" i="18"/>
  <c r="K257" i="18"/>
  <c r="K182" i="18"/>
  <c r="K221" i="18"/>
  <c r="K85" i="18"/>
  <c r="K55" i="18"/>
  <c r="K184" i="18"/>
  <c r="K129" i="18"/>
  <c r="K32" i="18"/>
  <c r="K51" i="18"/>
  <c r="K159" i="18"/>
  <c r="K123" i="18"/>
  <c r="K120" i="18"/>
  <c r="K256" i="18"/>
  <c r="K237" i="18"/>
  <c r="K167" i="18"/>
  <c r="K217" i="18"/>
  <c r="K73" i="18"/>
  <c r="K53" i="18"/>
  <c r="K173" i="18"/>
  <c r="K143" i="18"/>
  <c r="K30" i="18"/>
  <c r="K50" i="18"/>
  <c r="K162" i="18"/>
  <c r="K116" i="18"/>
  <c r="K128" i="18"/>
  <c r="K254" i="18"/>
  <c r="K222" i="18"/>
  <c r="K164" i="18"/>
  <c r="K215" i="18"/>
  <c r="K69" i="18"/>
  <c r="K66" i="18"/>
  <c r="K180" i="18"/>
  <c r="K137" i="18"/>
  <c r="K22" i="18"/>
  <c r="K49" i="18"/>
  <c r="K155" i="18"/>
  <c r="K93" i="18"/>
  <c r="K105" i="18"/>
  <c r="K255" i="18"/>
  <c r="K223" i="18"/>
  <c r="K166" i="18"/>
  <c r="K207" i="18"/>
  <c r="K59" i="18"/>
  <c r="K64" i="18"/>
  <c r="K174" i="18"/>
  <c r="K142" i="18"/>
  <c r="K21" i="18"/>
  <c r="K45" i="18"/>
  <c r="K152" i="18"/>
  <c r="K121" i="18"/>
  <c r="K91" i="18"/>
  <c r="K250" i="18"/>
  <c r="K231" i="18"/>
  <c r="K172" i="18"/>
  <c r="K219" i="18"/>
  <c r="K71" i="18"/>
  <c r="K56" i="18"/>
  <c r="K183" i="18"/>
  <c r="K140" i="18"/>
  <c r="K28" i="18"/>
  <c r="K54" i="18"/>
  <c r="K160" i="18"/>
  <c r="K103" i="18"/>
  <c r="K92" i="18"/>
  <c r="K252" i="18"/>
  <c r="K246" i="18"/>
  <c r="K186" i="18"/>
  <c r="K212" i="18"/>
  <c r="K79" i="18"/>
  <c r="K80" i="18"/>
  <c r="K202" i="18"/>
  <c r="K107" i="18"/>
  <c r="K16" i="18"/>
  <c r="K31" i="18"/>
  <c r="K118" i="18"/>
  <c r="K82" i="18"/>
  <c r="K158" i="18"/>
  <c r="K244" i="18"/>
  <c r="K233" i="18"/>
  <c r="K187" i="18"/>
  <c r="K214" i="18"/>
  <c r="K70" i="18"/>
  <c r="K81" i="18"/>
  <c r="K192" i="18"/>
  <c r="K108" i="18"/>
  <c r="K13" i="18"/>
  <c r="K29" i="18"/>
  <c r="K98" i="18"/>
  <c r="K77" i="18"/>
  <c r="K104" i="18"/>
  <c r="K220" i="18"/>
  <c r="K227" i="18"/>
  <c r="K181" i="18"/>
  <c r="K204" i="18"/>
  <c r="K68" i="18"/>
  <c r="K89" i="18"/>
  <c r="K198" i="18"/>
  <c r="K126" i="18"/>
  <c r="K27" i="18"/>
  <c r="K34" i="18"/>
  <c r="K150" i="18"/>
  <c r="K115" i="18"/>
  <c r="K141" i="18"/>
  <c r="K240" i="18"/>
  <c r="K225" i="18"/>
  <c r="K171" i="18"/>
  <c r="K201" i="18"/>
  <c r="K58" i="18"/>
  <c r="K63" i="18"/>
  <c r="K197" i="18"/>
  <c r="K133" i="18"/>
  <c r="K12" i="18"/>
  <c r="K33" i="18"/>
  <c r="K99" i="18"/>
  <c r="K113" i="18"/>
  <c r="K110" i="18"/>
  <c r="K239" i="18"/>
  <c r="K224" i="18"/>
  <c r="K168" i="18"/>
  <c r="K203" i="18"/>
  <c r="K72" i="18"/>
  <c r="K57" i="18"/>
  <c r="K176" i="18"/>
  <c r="K127" i="18"/>
  <c r="K14" i="18"/>
  <c r="K38" i="18"/>
  <c r="K86" i="18"/>
  <c r="K109" i="18"/>
  <c r="K111" i="18"/>
  <c r="K238" i="18"/>
  <c r="K234" i="18"/>
  <c r="K177" i="18"/>
  <c r="K209" i="18"/>
  <c r="K74" i="18"/>
  <c r="K60" i="18"/>
  <c r="K194" i="18"/>
  <c r="K134" i="18"/>
  <c r="K18" i="18"/>
  <c r="K41" i="18"/>
  <c r="K144" i="18"/>
  <c r="K100" i="18"/>
  <c r="K130" i="18"/>
  <c r="K247" i="18"/>
  <c r="K235" i="18"/>
  <c r="K178" i="18"/>
  <c r="K210" i="18"/>
  <c r="K75" i="18"/>
  <c r="K61" i="18"/>
  <c r="K195" i="18"/>
  <c r="K135" i="18"/>
  <c r="K19" i="18"/>
  <c r="K42" i="18"/>
  <c r="K145" i="18"/>
  <c r="K101" i="18"/>
  <c r="K131" i="18"/>
  <c r="K248" i="18"/>
  <c r="K236" i="18"/>
  <c r="K179" i="18"/>
  <c r="K211" i="18"/>
  <c r="K76" i="18"/>
  <c r="K62" i="18"/>
  <c r="K196" i="18"/>
  <c r="K136" i="18"/>
  <c r="K20" i="18"/>
  <c r="K43" i="18"/>
  <c r="K146" i="18"/>
  <c r="K102" i="18"/>
  <c r="K132" i="18"/>
  <c r="K249" i="18"/>
  <c r="K242" i="18"/>
  <c r="K185" i="18"/>
  <c r="K218" i="18"/>
  <c r="K87" i="18"/>
  <c r="K78" i="18"/>
  <c r="K200" i="18"/>
  <c r="K117" i="18"/>
  <c r="K17" i="18"/>
  <c r="K35" i="18"/>
  <c r="K114" i="18"/>
  <c r="K94" i="18"/>
  <c r="K161" i="18"/>
  <c r="K245" i="18"/>
  <c r="K243" i="18"/>
  <c r="K191" i="18"/>
  <c r="K213" i="18"/>
  <c r="K90" i="18"/>
  <c r="K84" i="18"/>
  <c r="K199" i="18"/>
  <c r="K125" i="18"/>
  <c r="K24" i="18"/>
  <c r="K46" i="18"/>
  <c r="K119" i="18"/>
  <c r="K95" i="18"/>
  <c r="K157" i="18"/>
  <c r="K253" i="18"/>
  <c r="K226" i="18"/>
  <c r="K728" i="20"/>
  <c r="K727" i="20"/>
  <c r="K726" i="20"/>
  <c r="K725" i="20"/>
  <c r="K724" i="20"/>
  <c r="K723" i="20"/>
  <c r="K722" i="20"/>
  <c r="K721" i="20"/>
  <c r="K720" i="20"/>
  <c r="K719" i="20"/>
  <c r="K718" i="20"/>
  <c r="K717" i="20"/>
  <c r="K716" i="20"/>
  <c r="K715" i="20"/>
  <c r="K714" i="20"/>
  <c r="K713" i="20"/>
  <c r="K712" i="20"/>
  <c r="K711" i="20"/>
  <c r="K710" i="20"/>
  <c r="K709" i="20"/>
  <c r="K708" i="20"/>
  <c r="K707" i="20"/>
  <c r="K706" i="20"/>
  <c r="K705" i="20"/>
  <c r="K704" i="20"/>
  <c r="K703" i="20"/>
  <c r="K702" i="20"/>
  <c r="K701" i="20"/>
  <c r="K700" i="20"/>
  <c r="K699" i="20"/>
  <c r="K698" i="20"/>
  <c r="K697" i="20"/>
  <c r="K696" i="20"/>
  <c r="K695" i="20"/>
  <c r="K694" i="20"/>
  <c r="K693" i="20"/>
  <c r="K692" i="20"/>
  <c r="K691" i="20"/>
  <c r="K690" i="20"/>
  <c r="K689" i="20"/>
  <c r="K688" i="20"/>
  <c r="K687" i="20"/>
  <c r="K686" i="20"/>
  <c r="K685" i="20"/>
  <c r="K684" i="20"/>
  <c r="K683" i="20"/>
  <c r="K682" i="20"/>
  <c r="K681" i="20"/>
  <c r="K680" i="20"/>
  <c r="K679" i="20"/>
  <c r="K678" i="20"/>
  <c r="K677" i="20"/>
  <c r="K676" i="20"/>
  <c r="K675" i="20"/>
  <c r="K674" i="20"/>
  <c r="K673" i="20"/>
  <c r="K672" i="20"/>
  <c r="K671" i="20"/>
  <c r="K670" i="20"/>
  <c r="K669" i="20"/>
  <c r="K668" i="20"/>
  <c r="K667" i="20"/>
  <c r="K666" i="20"/>
  <c r="K665" i="20"/>
  <c r="K664" i="20"/>
  <c r="K663" i="20"/>
  <c r="K662" i="20"/>
  <c r="K661" i="20"/>
  <c r="K660" i="20"/>
  <c r="K659" i="20"/>
  <c r="K658" i="20"/>
  <c r="K657" i="20"/>
  <c r="K656" i="20"/>
  <c r="K655" i="20"/>
  <c r="K654" i="20"/>
  <c r="K653" i="20"/>
  <c r="K652" i="20"/>
  <c r="K651" i="20"/>
  <c r="K650" i="20"/>
  <c r="K649" i="20"/>
  <c r="K648" i="20"/>
  <c r="K647" i="20"/>
  <c r="K646" i="20"/>
  <c r="K645" i="20"/>
  <c r="K644" i="20"/>
  <c r="K643" i="20"/>
  <c r="K642" i="20"/>
  <c r="K641" i="20"/>
  <c r="K640" i="20"/>
  <c r="K639" i="20"/>
  <c r="K638" i="20"/>
  <c r="K637" i="20"/>
  <c r="K636" i="20"/>
  <c r="K635" i="20"/>
  <c r="K634" i="20"/>
  <c r="K633" i="20"/>
  <c r="K632" i="20"/>
  <c r="K631" i="20"/>
  <c r="K630" i="20"/>
  <c r="K629" i="20"/>
  <c r="K628" i="20"/>
  <c r="K627" i="20"/>
  <c r="K626" i="20"/>
  <c r="K625" i="20"/>
  <c r="K624" i="20"/>
  <c r="K623" i="20"/>
  <c r="K622" i="20"/>
  <c r="K621" i="20"/>
  <c r="K620" i="20"/>
  <c r="K619" i="20"/>
  <c r="K618" i="20"/>
  <c r="K617" i="20"/>
  <c r="K616" i="20"/>
  <c r="K615" i="20"/>
  <c r="K614" i="20"/>
  <c r="K613" i="20"/>
  <c r="K612" i="20"/>
  <c r="K611" i="20"/>
  <c r="K610" i="20"/>
  <c r="K609" i="20"/>
  <c r="K608" i="20"/>
  <c r="K607" i="20"/>
  <c r="K606" i="20"/>
  <c r="K605" i="20"/>
  <c r="K604" i="20"/>
  <c r="K603" i="20"/>
  <c r="K602" i="20"/>
  <c r="K601" i="20"/>
  <c r="K600" i="20"/>
  <c r="K599" i="20"/>
  <c r="K598" i="20"/>
  <c r="K597" i="20"/>
  <c r="K596" i="20"/>
  <c r="K595" i="20"/>
  <c r="K594" i="20"/>
  <c r="K593" i="20"/>
  <c r="K592" i="20"/>
  <c r="K591" i="20"/>
  <c r="K590" i="20"/>
  <c r="K589" i="20"/>
  <c r="K588" i="20"/>
  <c r="K587" i="20"/>
  <c r="K586" i="20"/>
  <c r="K585" i="20"/>
  <c r="K584" i="20"/>
  <c r="K583" i="20"/>
  <c r="K582" i="20"/>
  <c r="K581" i="20"/>
  <c r="K580" i="20"/>
  <c r="K579" i="20"/>
  <c r="K578" i="20"/>
  <c r="K577" i="20"/>
  <c r="K576" i="20"/>
  <c r="K575" i="20"/>
  <c r="K574" i="20"/>
  <c r="K573" i="20"/>
  <c r="K572" i="20"/>
  <c r="K571" i="20"/>
  <c r="K570" i="20"/>
  <c r="K569" i="20"/>
  <c r="K568" i="20"/>
  <c r="K567" i="20"/>
  <c r="K566" i="20"/>
  <c r="K565" i="20"/>
  <c r="K564" i="20"/>
  <c r="K563" i="20"/>
  <c r="K562" i="20"/>
  <c r="K561" i="20"/>
  <c r="K560" i="20"/>
  <c r="K559" i="20"/>
  <c r="K558" i="20"/>
  <c r="K557" i="20"/>
  <c r="K556" i="20"/>
  <c r="K555" i="20"/>
  <c r="K554" i="20"/>
  <c r="K553" i="20"/>
  <c r="K552" i="20"/>
  <c r="K551" i="20"/>
  <c r="K550" i="20"/>
  <c r="K549" i="20"/>
  <c r="K548" i="20"/>
  <c r="K547" i="20"/>
  <c r="K546" i="20"/>
  <c r="K545" i="20"/>
  <c r="K544" i="20"/>
  <c r="K543" i="20"/>
  <c r="K542" i="20"/>
  <c r="K541" i="20"/>
  <c r="K540" i="20"/>
  <c r="K539" i="20"/>
  <c r="K538" i="20"/>
  <c r="K537" i="20"/>
  <c r="K536" i="20"/>
  <c r="K535" i="20"/>
  <c r="K534" i="20"/>
  <c r="K533" i="20"/>
  <c r="K532" i="20"/>
  <c r="K531" i="20"/>
  <c r="K530" i="20"/>
  <c r="K529" i="20"/>
  <c r="K528" i="20"/>
  <c r="K527" i="20"/>
  <c r="K526" i="20"/>
  <c r="K525" i="20"/>
  <c r="K524" i="20"/>
  <c r="K523" i="20"/>
  <c r="K522" i="20"/>
  <c r="K521" i="20"/>
  <c r="K520" i="20"/>
  <c r="K519" i="20"/>
  <c r="K518" i="20"/>
  <c r="K517" i="20"/>
  <c r="K516" i="20"/>
  <c r="K515" i="20"/>
  <c r="K514" i="20"/>
  <c r="K513" i="20"/>
  <c r="K512" i="20"/>
  <c r="K511" i="20"/>
  <c r="K510" i="20"/>
  <c r="K509" i="20"/>
  <c r="K508" i="20"/>
  <c r="K507" i="20"/>
  <c r="K506" i="20"/>
  <c r="K505" i="20"/>
  <c r="K504" i="20"/>
  <c r="K503" i="20"/>
  <c r="K502" i="20"/>
  <c r="K501" i="20"/>
  <c r="K500" i="20"/>
  <c r="K499" i="20"/>
  <c r="K498" i="20"/>
  <c r="K497" i="20"/>
  <c r="K496" i="20"/>
  <c r="K495" i="20"/>
  <c r="K494" i="20"/>
  <c r="K493" i="20"/>
  <c r="K492" i="20"/>
  <c r="K491" i="20"/>
  <c r="K490" i="20"/>
  <c r="K489" i="20"/>
  <c r="K488" i="20"/>
  <c r="K487" i="20"/>
  <c r="K486" i="20"/>
  <c r="K485" i="20"/>
  <c r="K484" i="20"/>
  <c r="K483" i="20"/>
  <c r="K482" i="20"/>
  <c r="K481" i="20"/>
  <c r="K480" i="20"/>
  <c r="K479" i="20"/>
  <c r="K478" i="20"/>
  <c r="K477" i="20"/>
  <c r="K476" i="20"/>
  <c r="K475" i="20"/>
  <c r="K474" i="20"/>
  <c r="K473" i="20"/>
  <c r="K472" i="20"/>
  <c r="K471" i="20"/>
  <c r="K470" i="20"/>
  <c r="K469" i="20"/>
  <c r="K468" i="20"/>
  <c r="K467" i="20"/>
  <c r="K466" i="20"/>
  <c r="K465" i="20"/>
  <c r="K464" i="20"/>
  <c r="K463" i="20"/>
  <c r="K462" i="20"/>
  <c r="K461" i="20"/>
  <c r="K460" i="20"/>
  <c r="K459" i="20"/>
  <c r="K458" i="20"/>
  <c r="K457" i="20"/>
  <c r="K456" i="20"/>
  <c r="K455" i="20"/>
  <c r="K454" i="20"/>
  <c r="K453" i="20"/>
  <c r="K452" i="20"/>
  <c r="K451" i="20"/>
  <c r="K450" i="20"/>
  <c r="K449" i="20"/>
  <c r="K448" i="20"/>
  <c r="K447" i="20"/>
  <c r="K446" i="20"/>
  <c r="K445" i="20"/>
  <c r="K444" i="20"/>
  <c r="K443" i="20"/>
  <c r="K442" i="20"/>
  <c r="K441" i="20"/>
  <c r="K440" i="20"/>
  <c r="K439" i="20"/>
  <c r="K438" i="20"/>
  <c r="K437" i="20"/>
  <c r="K436" i="20"/>
  <c r="K435" i="20"/>
  <c r="K434" i="20"/>
  <c r="K433" i="20"/>
  <c r="K432" i="20"/>
  <c r="K431" i="20"/>
  <c r="K430" i="20"/>
  <c r="K429" i="20"/>
  <c r="K428" i="20"/>
  <c r="K427" i="20"/>
  <c r="K426" i="20"/>
  <c r="K425"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400" i="20"/>
  <c r="K399" i="20"/>
  <c r="K398" i="20"/>
  <c r="K397" i="20"/>
  <c r="K396" i="20"/>
  <c r="K395" i="20"/>
  <c r="K394" i="20"/>
  <c r="K393" i="20"/>
  <c r="K392" i="20"/>
  <c r="K391" i="20"/>
  <c r="K390" i="20"/>
  <c r="K389" i="20"/>
  <c r="K388" i="20"/>
  <c r="K387" i="20"/>
  <c r="K386" i="20"/>
  <c r="K385" i="20"/>
  <c r="K384" i="20"/>
  <c r="K383" i="20"/>
  <c r="K382" i="20"/>
  <c r="K381" i="20"/>
  <c r="K380" i="20"/>
  <c r="K379" i="20"/>
  <c r="K378"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23" i="20"/>
  <c r="K24" i="20"/>
  <c r="K25" i="20"/>
  <c r="K26" i="20"/>
  <c r="K27" i="20"/>
  <c r="K28" i="20"/>
  <c r="K29" i="20"/>
  <c r="K30" i="20"/>
  <c r="K31" i="20"/>
  <c r="K32" i="20"/>
  <c r="K33" i="20"/>
  <c r="K34" i="20"/>
  <c r="K35" i="20"/>
  <c r="K22" i="20"/>
  <c r="F505" i="46"/>
  <c r="F504" i="46"/>
  <c r="F503" i="46"/>
  <c r="F502" i="46"/>
  <c r="F501" i="46"/>
  <c r="F500" i="46"/>
  <c r="F499" i="46"/>
  <c r="F498" i="46"/>
  <c r="F497" i="46"/>
  <c r="F496" i="46"/>
  <c r="F495" i="46"/>
  <c r="F494" i="46"/>
  <c r="F493" i="46"/>
  <c r="F492" i="46"/>
  <c r="F491" i="46"/>
  <c r="F490" i="46"/>
  <c r="F489" i="46"/>
  <c r="F488" i="46"/>
  <c r="F487" i="46"/>
  <c r="F486" i="46"/>
  <c r="F485" i="46"/>
  <c r="F484" i="46"/>
  <c r="F483" i="46"/>
  <c r="F482" i="46"/>
  <c r="F481" i="46"/>
  <c r="F480" i="46"/>
  <c r="F479" i="46"/>
  <c r="F478" i="46"/>
  <c r="F477" i="46"/>
  <c r="F476" i="46"/>
  <c r="F475" i="46"/>
  <c r="F474" i="46"/>
  <c r="F473" i="46"/>
  <c r="F472" i="46"/>
  <c r="F471" i="46"/>
  <c r="F470" i="46"/>
  <c r="F469" i="46"/>
  <c r="F468" i="46"/>
  <c r="F467" i="46"/>
  <c r="F466" i="46"/>
  <c r="F465" i="46"/>
  <c r="F464" i="46"/>
  <c r="F463" i="46"/>
  <c r="F462" i="46"/>
  <c r="F461" i="46"/>
  <c r="F460" i="46"/>
  <c r="F459" i="46"/>
  <c r="F458" i="46"/>
  <c r="N392" i="46"/>
  <c r="N380" i="46"/>
  <c r="N367" i="46"/>
  <c r="O367" i="46"/>
  <c r="N368" i="46"/>
  <c r="N369" i="46"/>
  <c r="N370" i="46"/>
  <c r="N371" i="46"/>
  <c r="N372" i="46"/>
  <c r="N373" i="46"/>
  <c r="N374" i="46"/>
  <c r="N375" i="46"/>
  <c r="N376" i="46"/>
  <c r="N377" i="46"/>
  <c r="N378" i="46"/>
  <c r="N379" i="46"/>
  <c r="N381" i="46"/>
  <c r="N382" i="46"/>
  <c r="N383" i="46"/>
  <c r="N384" i="46"/>
  <c r="N385" i="46"/>
  <c r="N386" i="46"/>
  <c r="N387" i="46"/>
  <c r="N388" i="46"/>
  <c r="N389" i="46"/>
  <c r="N390" i="46"/>
  <c r="N391" i="46"/>
  <c r="N393" i="46"/>
  <c r="O7" i="46"/>
  <c r="O8" i="46"/>
  <c r="O9" i="46"/>
  <c r="O10" i="46"/>
  <c r="O11" i="46"/>
  <c r="O12" i="46"/>
  <c r="O13" i="46"/>
  <c r="O14" i="46"/>
  <c r="O15" i="46"/>
  <c r="O16" i="46"/>
  <c r="O17" i="46"/>
  <c r="O18" i="46"/>
  <c r="O19" i="46"/>
  <c r="O20" i="46"/>
  <c r="O21" i="46"/>
  <c r="O22" i="46"/>
  <c r="O23" i="46"/>
  <c r="O24" i="46"/>
  <c r="O25" i="46"/>
  <c r="O26" i="46"/>
  <c r="O27" i="46"/>
  <c r="O28" i="46"/>
  <c r="O29" i="46"/>
  <c r="O30" i="46"/>
  <c r="O31" i="46"/>
  <c r="O32" i="46"/>
  <c r="O33" i="46"/>
  <c r="O34" i="46"/>
  <c r="O35" i="46"/>
  <c r="O36" i="46"/>
  <c r="O37" i="46"/>
  <c r="O38" i="46"/>
  <c r="O39" i="46"/>
  <c r="O40" i="46"/>
  <c r="O41" i="46"/>
  <c r="O42" i="46"/>
  <c r="O43" i="46"/>
  <c r="O44" i="46"/>
  <c r="O45" i="46"/>
  <c r="O46" i="46"/>
  <c r="O47" i="46"/>
  <c r="O48" i="46"/>
  <c r="O49" i="46"/>
  <c r="O50" i="46"/>
  <c r="O51" i="46"/>
  <c r="O52" i="46"/>
  <c r="O53" i="46"/>
  <c r="O54" i="46"/>
  <c r="O55" i="46"/>
  <c r="O56" i="46"/>
  <c r="O57" i="46"/>
  <c r="O58" i="46"/>
  <c r="O59" i="46"/>
  <c r="O60" i="46"/>
  <c r="O61" i="46"/>
  <c r="O62" i="46"/>
  <c r="O63" i="46"/>
  <c r="O64" i="46"/>
  <c r="O65" i="46"/>
  <c r="O66" i="46"/>
  <c r="O67" i="46"/>
  <c r="O68" i="46"/>
  <c r="O69" i="46"/>
  <c r="O70" i="46"/>
  <c r="O71" i="46"/>
  <c r="O72" i="46"/>
  <c r="O73" i="46"/>
  <c r="O74" i="46"/>
  <c r="O75" i="46"/>
  <c r="O76" i="46"/>
  <c r="O77" i="46"/>
  <c r="O78" i="46"/>
  <c r="O79" i="46"/>
  <c r="O80" i="46"/>
  <c r="O81" i="46"/>
  <c r="O82" i="46"/>
  <c r="O83" i="46"/>
  <c r="O84" i="46"/>
  <c r="O85" i="46"/>
  <c r="O86" i="46"/>
  <c r="O87" i="46"/>
  <c r="O88" i="46"/>
  <c r="O89" i="46"/>
  <c r="O90" i="46"/>
  <c r="O91" i="46"/>
  <c r="O92" i="46"/>
  <c r="O93" i="46"/>
  <c r="O94" i="46"/>
  <c r="O95" i="46"/>
  <c r="O96" i="46"/>
  <c r="O97" i="46"/>
  <c r="O98" i="46"/>
  <c r="O99" i="46"/>
  <c r="O100" i="46"/>
  <c r="O101" i="46"/>
  <c r="O102" i="46"/>
  <c r="O103" i="46"/>
  <c r="O104" i="46"/>
  <c r="O105" i="46"/>
  <c r="O106" i="46"/>
  <c r="O107" i="46"/>
  <c r="O108" i="46"/>
  <c r="O109" i="46"/>
  <c r="O110" i="46"/>
  <c r="O111" i="46"/>
  <c r="O112" i="46"/>
  <c r="O113" i="46"/>
  <c r="O114" i="46"/>
  <c r="O115" i="46"/>
  <c r="O116" i="46"/>
  <c r="O117" i="46"/>
  <c r="O118" i="46"/>
  <c r="O119" i="46"/>
  <c r="O120" i="46"/>
  <c r="O121" i="46"/>
  <c r="O122" i="46"/>
  <c r="O123" i="46"/>
  <c r="O124" i="46"/>
  <c r="O125" i="46"/>
  <c r="O126" i="46"/>
  <c r="O127" i="46"/>
  <c r="O128" i="46"/>
  <c r="O129" i="46"/>
  <c r="O130" i="46"/>
  <c r="O131" i="46"/>
  <c r="O132" i="46"/>
  <c r="O133" i="46"/>
  <c r="O134" i="46"/>
  <c r="O135" i="46"/>
  <c r="O136" i="46"/>
  <c r="O137" i="46"/>
  <c r="O138" i="46"/>
  <c r="O139" i="46"/>
  <c r="O140" i="46"/>
  <c r="O141" i="46"/>
  <c r="O142" i="46"/>
  <c r="O143" i="46"/>
  <c r="O144" i="46"/>
  <c r="O145" i="46"/>
  <c r="O146" i="46"/>
  <c r="O147" i="46"/>
  <c r="O148" i="46"/>
  <c r="O149" i="46"/>
  <c r="O150" i="46"/>
  <c r="O151" i="46"/>
  <c r="O152" i="46"/>
  <c r="O153" i="46"/>
  <c r="O154" i="46"/>
  <c r="O155" i="46"/>
  <c r="O156" i="46"/>
  <c r="O157" i="46"/>
  <c r="O158" i="46"/>
  <c r="O159" i="46"/>
  <c r="O160" i="46"/>
  <c r="O161" i="46"/>
  <c r="O162" i="46"/>
  <c r="O163" i="46"/>
  <c r="O164" i="46"/>
  <c r="O165" i="46"/>
  <c r="O166" i="46"/>
  <c r="O167" i="46"/>
  <c r="O168" i="46"/>
  <c r="O169" i="46"/>
  <c r="O170" i="46"/>
  <c r="O171" i="46"/>
  <c r="O172" i="46"/>
  <c r="O173" i="46"/>
  <c r="O174" i="46"/>
  <c r="O175" i="46"/>
  <c r="O176" i="46"/>
  <c r="O177" i="46"/>
  <c r="O178" i="46"/>
  <c r="O179" i="46"/>
  <c r="O180" i="46"/>
  <c r="O181" i="46"/>
  <c r="O182" i="46"/>
  <c r="O183" i="46"/>
  <c r="O184" i="46"/>
  <c r="O185" i="46"/>
  <c r="O186" i="46"/>
  <c r="O187" i="46"/>
  <c r="O188" i="46"/>
  <c r="O189" i="46"/>
  <c r="O190" i="46"/>
  <c r="O191" i="46"/>
  <c r="O192" i="46"/>
  <c r="O193" i="46"/>
  <c r="O194" i="46"/>
  <c r="O195" i="46"/>
  <c r="O196" i="46"/>
  <c r="O197" i="46"/>
  <c r="O198" i="46"/>
  <c r="O199" i="46"/>
  <c r="O200" i="46"/>
  <c r="O201" i="46"/>
  <c r="O202" i="46"/>
  <c r="O203" i="46"/>
  <c r="O204" i="46"/>
  <c r="O205" i="46"/>
  <c r="O206" i="46"/>
  <c r="O207" i="46"/>
  <c r="O208" i="46"/>
  <c r="O209" i="46"/>
  <c r="O210" i="46"/>
  <c r="O211" i="46"/>
  <c r="O212" i="46"/>
  <c r="O213" i="46"/>
  <c r="O214" i="46"/>
  <c r="O215" i="46"/>
  <c r="O216" i="46"/>
  <c r="O217" i="46"/>
  <c r="O218" i="46"/>
  <c r="O219" i="46"/>
  <c r="O220" i="46"/>
  <c r="O221" i="46"/>
  <c r="O222" i="46"/>
  <c r="O223" i="46"/>
  <c r="O224" i="46"/>
  <c r="O225" i="46"/>
  <c r="O226" i="46"/>
  <c r="O227" i="46"/>
  <c r="O228" i="46"/>
  <c r="O229" i="46"/>
  <c r="O230" i="46"/>
  <c r="O231" i="46"/>
  <c r="O232" i="46"/>
  <c r="O233" i="46"/>
  <c r="O234" i="46"/>
  <c r="O235" i="46"/>
  <c r="O236" i="46"/>
  <c r="O237" i="46"/>
  <c r="O238" i="46"/>
  <c r="O239" i="46"/>
  <c r="O240" i="46"/>
  <c r="O241" i="46"/>
  <c r="O242" i="46"/>
  <c r="O243" i="46"/>
  <c r="O244" i="46"/>
  <c r="O245" i="46"/>
  <c r="O246" i="46"/>
  <c r="O247" i="46"/>
  <c r="O248" i="46"/>
  <c r="O249" i="46"/>
  <c r="O250" i="46"/>
  <c r="O251" i="46"/>
  <c r="O252" i="46"/>
  <c r="O253" i="46"/>
  <c r="O254" i="46"/>
  <c r="O255" i="46"/>
  <c r="O256" i="46"/>
  <c r="O257" i="46"/>
  <c r="O258" i="46"/>
  <c r="O259" i="46"/>
  <c r="O260" i="46"/>
  <c r="O261" i="46"/>
  <c r="O262" i="46"/>
  <c r="O263" i="46"/>
  <c r="O264" i="46"/>
  <c r="O265" i="46"/>
  <c r="O266" i="46"/>
  <c r="O267" i="46"/>
  <c r="O268" i="46"/>
  <c r="O269" i="46"/>
  <c r="O270" i="46"/>
  <c r="O271" i="46"/>
  <c r="O272" i="46"/>
  <c r="O273" i="46"/>
  <c r="O274" i="46"/>
  <c r="O275" i="46"/>
  <c r="O276" i="46"/>
  <c r="O277" i="46"/>
  <c r="O278" i="46"/>
  <c r="O279" i="46"/>
  <c r="O280" i="46"/>
  <c r="O281" i="46"/>
  <c r="O282" i="46"/>
  <c r="O283" i="46"/>
  <c r="O284" i="46"/>
  <c r="O285" i="46"/>
  <c r="O286" i="46"/>
  <c r="O287" i="46"/>
  <c r="O288" i="46"/>
  <c r="O289" i="46"/>
  <c r="O290" i="46"/>
  <c r="O291" i="46"/>
  <c r="O292" i="46"/>
  <c r="O293" i="46"/>
  <c r="O294" i="46"/>
  <c r="O295" i="46"/>
  <c r="O296" i="46"/>
  <c r="O297" i="46"/>
  <c r="O298" i="46"/>
  <c r="O299" i="46"/>
  <c r="O300" i="46"/>
  <c r="O301" i="46"/>
  <c r="O302" i="46"/>
  <c r="O303" i="46"/>
  <c r="O304" i="46"/>
  <c r="O305" i="46"/>
  <c r="O306" i="46"/>
  <c r="O307" i="46"/>
  <c r="O308" i="46"/>
  <c r="O309" i="46"/>
  <c r="O310" i="46"/>
  <c r="O311" i="46"/>
  <c r="O312" i="46"/>
  <c r="O313" i="46"/>
  <c r="O314" i="46"/>
  <c r="O315" i="46"/>
  <c r="O316" i="46"/>
  <c r="O317" i="46"/>
  <c r="O318" i="46"/>
  <c r="O319" i="46"/>
  <c r="O320" i="46"/>
  <c r="O321" i="46"/>
  <c r="O322" i="46"/>
  <c r="O323" i="46"/>
  <c r="O324" i="46"/>
  <c r="O325" i="46"/>
  <c r="O326" i="46"/>
  <c r="O327" i="46"/>
  <c r="O328" i="46"/>
  <c r="O329" i="46"/>
  <c r="O330" i="46"/>
  <c r="O331" i="46"/>
  <c r="O332" i="46"/>
  <c r="O333" i="46"/>
  <c r="O334" i="46"/>
  <c r="O335" i="46"/>
  <c r="O336" i="46"/>
  <c r="O337" i="46"/>
  <c r="O338" i="46"/>
  <c r="O339" i="46"/>
  <c r="O340" i="46"/>
  <c r="O341" i="46"/>
  <c r="O342" i="46"/>
  <c r="O343" i="46"/>
  <c r="O344" i="46"/>
  <c r="O345" i="46"/>
  <c r="O346" i="46"/>
  <c r="O347" i="46"/>
  <c r="O348" i="46"/>
  <c r="O349" i="46"/>
  <c r="O350" i="46"/>
  <c r="O351" i="46"/>
  <c r="O352" i="46"/>
  <c r="O353" i="46"/>
  <c r="O354" i="46"/>
  <c r="O355" i="46"/>
  <c r="O356" i="46"/>
  <c r="O6" i="46"/>
  <c r="N62" i="39" l="1"/>
  <c r="O62" i="39"/>
  <c r="N63" i="39"/>
  <c r="O63" i="39"/>
  <c r="N64" i="39"/>
  <c r="O64" i="39"/>
  <c r="N65" i="39"/>
  <c r="O65" i="39"/>
  <c r="N66" i="39"/>
  <c r="O66" i="39"/>
  <c r="N67" i="39"/>
  <c r="O67" i="39"/>
  <c r="N68" i="39"/>
  <c r="O68" i="39"/>
  <c r="N69" i="39"/>
  <c r="O69" i="39"/>
  <c r="N70" i="39"/>
  <c r="O70" i="39"/>
  <c r="N71" i="39"/>
  <c r="O71" i="39"/>
  <c r="N72" i="39"/>
  <c r="O72" i="39"/>
  <c r="N73" i="39"/>
  <c r="O73" i="39"/>
  <c r="N74" i="39"/>
  <c r="O74" i="39"/>
  <c r="N75" i="39"/>
  <c r="O75" i="39"/>
  <c r="N76" i="39"/>
  <c r="O76" i="39"/>
  <c r="N77" i="39"/>
  <c r="O77" i="39"/>
  <c r="N78" i="39"/>
  <c r="O78" i="39"/>
  <c r="N79" i="39"/>
  <c r="O79" i="39"/>
  <c r="N80" i="39"/>
  <c r="O80" i="39"/>
  <c r="N81" i="39"/>
  <c r="O81" i="39"/>
  <c r="N82" i="39"/>
  <c r="O82" i="39"/>
  <c r="N83" i="39"/>
  <c r="O83" i="39"/>
  <c r="N84" i="39"/>
  <c r="O84" i="39"/>
  <c r="N85" i="39"/>
  <c r="O85" i="39"/>
  <c r="N86" i="39"/>
  <c r="O86" i="39"/>
  <c r="N87" i="39"/>
  <c r="O87" i="39"/>
  <c r="N88" i="39"/>
  <c r="O88" i="39"/>
  <c r="N89" i="39"/>
  <c r="O89" i="39"/>
  <c r="N91" i="39"/>
  <c r="O91" i="39"/>
  <c r="N90" i="39"/>
  <c r="O90" i="39"/>
  <c r="N94" i="39"/>
  <c r="O94" i="39"/>
  <c r="N95" i="39"/>
  <c r="O95" i="39"/>
  <c r="N96" i="39"/>
  <c r="O96" i="39"/>
  <c r="N97" i="39"/>
  <c r="O97" i="39"/>
  <c r="N98" i="39"/>
  <c r="O98" i="39"/>
  <c r="N101" i="39"/>
  <c r="O101" i="39"/>
  <c r="N102" i="39"/>
  <c r="O102" i="39"/>
  <c r="N103" i="39"/>
  <c r="O103" i="39"/>
  <c r="N104" i="39"/>
  <c r="O104" i="39"/>
  <c r="N105" i="39"/>
  <c r="O105" i="39"/>
  <c r="N106" i="39"/>
  <c r="O106" i="39"/>
  <c r="N107" i="39"/>
  <c r="O107" i="39"/>
  <c r="N108" i="39"/>
  <c r="O108" i="39"/>
  <c r="N109" i="39"/>
  <c r="O109" i="39"/>
  <c r="N110" i="39"/>
  <c r="O110" i="39"/>
  <c r="N111" i="39"/>
  <c r="O111" i="39"/>
  <c r="N113" i="39"/>
  <c r="O113" i="39"/>
  <c r="N114" i="39"/>
  <c r="O114" i="39"/>
  <c r="N115" i="39"/>
  <c r="O115" i="39"/>
  <c r="N116" i="39"/>
  <c r="O116" i="39"/>
  <c r="N117" i="39"/>
  <c r="O117" i="39"/>
  <c r="N118" i="39"/>
  <c r="O118" i="39"/>
  <c r="N120" i="39"/>
  <c r="O120" i="39"/>
  <c r="N121" i="39"/>
  <c r="O121" i="39"/>
  <c r="N122" i="39"/>
  <c r="O122" i="39"/>
  <c r="N123" i="39"/>
  <c r="O123" i="39"/>
  <c r="N124" i="39"/>
  <c r="O124" i="39"/>
  <c r="N125" i="39"/>
  <c r="O125" i="39"/>
  <c r="N126" i="39"/>
  <c r="O126" i="39"/>
  <c r="N127" i="39"/>
  <c r="O127" i="39"/>
  <c r="N128" i="39"/>
  <c r="O128" i="39"/>
  <c r="N129" i="39"/>
  <c r="O129" i="39"/>
  <c r="N130" i="39"/>
  <c r="O130" i="39"/>
  <c r="N132" i="39"/>
  <c r="O132" i="39"/>
  <c r="N133" i="39"/>
  <c r="O133" i="39"/>
  <c r="N134" i="39"/>
  <c r="O134" i="39"/>
  <c r="N135" i="39"/>
  <c r="O135" i="39"/>
  <c r="N136" i="39"/>
  <c r="O136" i="39"/>
  <c r="N137" i="39"/>
  <c r="O137" i="39"/>
  <c r="N139" i="39"/>
  <c r="O139" i="39"/>
  <c r="N140" i="39"/>
  <c r="O140" i="39"/>
  <c r="N141" i="39"/>
  <c r="O141" i="39"/>
  <c r="N142" i="39"/>
  <c r="O142" i="39"/>
  <c r="N143" i="39"/>
  <c r="O143" i="39"/>
  <c r="N144" i="39"/>
  <c r="O144" i="39"/>
  <c r="N145" i="39"/>
  <c r="O145" i="39"/>
  <c r="N146" i="39"/>
  <c r="O146" i="39"/>
  <c r="N147" i="39"/>
  <c r="O147" i="39"/>
  <c r="N148" i="39"/>
  <c r="O148" i="39"/>
  <c r="N149" i="39"/>
  <c r="O149" i="39"/>
  <c r="N151" i="39"/>
  <c r="O151" i="39"/>
  <c r="N152" i="39"/>
  <c r="O152" i="39"/>
  <c r="N153" i="39"/>
  <c r="O153" i="39"/>
  <c r="N154" i="39"/>
  <c r="O154" i="39"/>
  <c r="N155" i="39"/>
  <c r="O155" i="39"/>
  <c r="N156" i="39"/>
  <c r="O156" i="39"/>
  <c r="N158" i="39"/>
  <c r="O158" i="39"/>
  <c r="N159" i="39"/>
  <c r="O159" i="39"/>
  <c r="N160" i="39"/>
  <c r="O160" i="39"/>
  <c r="N161" i="39"/>
  <c r="O161" i="39"/>
  <c r="N162" i="39"/>
  <c r="O162" i="39"/>
  <c r="N163" i="39"/>
  <c r="O163" i="39"/>
  <c r="N164" i="39"/>
  <c r="O164" i="39"/>
  <c r="N165" i="39"/>
  <c r="O165" i="39"/>
  <c r="N166" i="39"/>
  <c r="O166" i="39"/>
  <c r="N167" i="39"/>
  <c r="O167" i="39"/>
  <c r="N168" i="39"/>
  <c r="O168" i="39"/>
  <c r="N170" i="39"/>
  <c r="O170" i="39"/>
  <c r="N171" i="39"/>
  <c r="O171" i="39"/>
  <c r="N172" i="39"/>
  <c r="O172" i="39"/>
  <c r="N173" i="39"/>
  <c r="O173" i="39"/>
  <c r="N174" i="39"/>
  <c r="O174" i="39"/>
  <c r="N175" i="39"/>
  <c r="O175" i="39"/>
  <c r="N177" i="39"/>
  <c r="O177" i="39"/>
  <c r="N178" i="39"/>
  <c r="O178" i="39"/>
  <c r="N179" i="39"/>
  <c r="O179" i="39"/>
  <c r="N180" i="39"/>
  <c r="O180" i="39"/>
  <c r="N181" i="39"/>
  <c r="O181" i="39"/>
  <c r="N182" i="39"/>
  <c r="O182" i="39"/>
  <c r="N183" i="39"/>
  <c r="O183" i="39"/>
  <c r="N184" i="39"/>
  <c r="O184" i="39"/>
  <c r="N185" i="39"/>
  <c r="O185" i="39"/>
  <c r="N186" i="39"/>
  <c r="O186" i="39"/>
  <c r="N187" i="39"/>
  <c r="O187" i="39"/>
  <c r="N189" i="39"/>
  <c r="O189" i="39"/>
  <c r="N190" i="39"/>
  <c r="O190" i="39"/>
  <c r="N191" i="39"/>
  <c r="O191" i="39"/>
  <c r="N192" i="39"/>
  <c r="O192" i="39"/>
  <c r="N193" i="39"/>
  <c r="O193" i="39"/>
  <c r="N194" i="39"/>
  <c r="O194" i="39"/>
  <c r="N196" i="39"/>
  <c r="O196" i="39"/>
  <c r="N197" i="39"/>
  <c r="O197" i="39"/>
  <c r="N198" i="39"/>
  <c r="O198" i="39"/>
  <c r="N199" i="39"/>
  <c r="O199" i="39"/>
  <c r="N200" i="39"/>
  <c r="O200" i="39"/>
  <c r="N201" i="39"/>
  <c r="O201" i="39"/>
  <c r="N202" i="39"/>
  <c r="O202" i="39"/>
  <c r="N203" i="39"/>
  <c r="O203" i="39"/>
  <c r="N204" i="39"/>
  <c r="O204" i="39"/>
  <c r="N205" i="39"/>
  <c r="O205" i="39"/>
  <c r="N206" i="39"/>
  <c r="O206" i="39"/>
  <c r="N208" i="39"/>
  <c r="O208" i="39"/>
  <c r="N209" i="39"/>
  <c r="O209" i="39"/>
  <c r="N210" i="39"/>
  <c r="O210" i="39"/>
  <c r="N211" i="39"/>
  <c r="O211" i="39"/>
  <c r="N212" i="39"/>
  <c r="O212" i="39"/>
  <c r="N213" i="39"/>
  <c r="O213" i="39"/>
  <c r="N215" i="39"/>
  <c r="O215" i="39"/>
  <c r="N216" i="39"/>
  <c r="O216" i="39"/>
  <c r="N217" i="39"/>
  <c r="O217" i="39"/>
  <c r="N218" i="39"/>
  <c r="O218" i="39"/>
  <c r="N219" i="39"/>
  <c r="O219" i="39"/>
  <c r="N220" i="39"/>
  <c r="O220" i="39"/>
  <c r="N221" i="39"/>
  <c r="O221" i="39"/>
  <c r="N222" i="39"/>
  <c r="O222" i="39"/>
  <c r="N223" i="39"/>
  <c r="O223" i="39"/>
  <c r="N224" i="39"/>
  <c r="O224" i="39"/>
  <c r="N225" i="39"/>
  <c r="O225" i="39"/>
  <c r="N227" i="39"/>
  <c r="O227" i="39"/>
  <c r="N228" i="39"/>
  <c r="O228" i="39"/>
  <c r="N229" i="39"/>
  <c r="O229" i="39"/>
  <c r="N230" i="39"/>
  <c r="O230" i="39"/>
  <c r="N231" i="39"/>
  <c r="O231" i="39"/>
  <c r="N232" i="39"/>
  <c r="O232" i="39"/>
  <c r="N234" i="39"/>
  <c r="O234" i="39"/>
  <c r="N235" i="39"/>
  <c r="O235" i="39"/>
  <c r="N236" i="39"/>
  <c r="O236" i="39"/>
  <c r="N237" i="39"/>
  <c r="O237" i="39"/>
  <c r="N238" i="39"/>
  <c r="O238" i="39"/>
  <c r="N239" i="39"/>
  <c r="O239" i="39"/>
  <c r="N240" i="39"/>
  <c r="O240" i="39"/>
  <c r="N241" i="39"/>
  <c r="O241" i="39"/>
  <c r="N242" i="39"/>
  <c r="O242" i="39"/>
  <c r="N243" i="39"/>
  <c r="O243" i="39"/>
  <c r="N244" i="39"/>
  <c r="O244" i="39"/>
  <c r="N246" i="39"/>
  <c r="O246" i="39"/>
  <c r="N247" i="39"/>
  <c r="O247" i="39"/>
  <c r="N248" i="39"/>
  <c r="O248" i="39"/>
  <c r="N249" i="39"/>
  <c r="O249" i="39"/>
  <c r="N250" i="39"/>
  <c r="O250" i="39"/>
  <c r="N251" i="39"/>
  <c r="O251" i="39"/>
  <c r="N253" i="39"/>
  <c r="O253" i="39"/>
  <c r="N254" i="39"/>
  <c r="O254" i="39"/>
  <c r="N255" i="39"/>
  <c r="O255" i="39"/>
  <c r="N256" i="39"/>
  <c r="O256" i="39"/>
  <c r="N257" i="39"/>
  <c r="O257" i="39"/>
  <c r="N258" i="39"/>
  <c r="O258" i="39"/>
  <c r="N259" i="39"/>
  <c r="O259" i="39"/>
  <c r="N260" i="39"/>
  <c r="O260" i="39"/>
  <c r="N261" i="39"/>
  <c r="O261" i="39"/>
  <c r="N262" i="39"/>
  <c r="O262" i="39"/>
  <c r="N263" i="39"/>
  <c r="O263" i="39"/>
  <c r="N265" i="39"/>
  <c r="O265" i="39"/>
  <c r="N266" i="39"/>
  <c r="O266" i="39"/>
  <c r="N267" i="39"/>
  <c r="O267" i="39"/>
  <c r="N268" i="39"/>
  <c r="O268" i="39"/>
  <c r="N269" i="39"/>
  <c r="O269" i="39"/>
  <c r="N270" i="39"/>
  <c r="O270" i="39"/>
  <c r="N271" i="39"/>
  <c r="O271" i="39"/>
  <c r="N272" i="39"/>
  <c r="O272" i="39"/>
  <c r="N273" i="39"/>
  <c r="O273" i="39"/>
  <c r="N275" i="39"/>
  <c r="O275" i="39"/>
  <c r="N276" i="39"/>
  <c r="O276" i="39"/>
  <c r="N277" i="39"/>
  <c r="O277" i="39"/>
  <c r="N278" i="39"/>
  <c r="O278" i="39"/>
  <c r="N279" i="39"/>
  <c r="O279" i="39"/>
  <c r="N280" i="39"/>
  <c r="O280" i="39"/>
  <c r="N281" i="39"/>
  <c r="O281" i="39"/>
  <c r="N282" i="39"/>
  <c r="O282" i="39"/>
  <c r="N283" i="39"/>
  <c r="O283" i="39"/>
  <c r="N284" i="39"/>
  <c r="O284" i="39"/>
  <c r="N285" i="39"/>
  <c r="O285" i="39"/>
  <c r="N287" i="39"/>
  <c r="O287" i="39"/>
  <c r="N288" i="39"/>
  <c r="O288" i="39"/>
  <c r="N289" i="39"/>
  <c r="O289" i="39"/>
  <c r="N290" i="39"/>
  <c r="O290" i="39"/>
  <c r="N291" i="39"/>
  <c r="O291" i="39"/>
  <c r="N292" i="39"/>
  <c r="O292" i="39"/>
  <c r="N294" i="39"/>
  <c r="O294" i="39"/>
  <c r="N295" i="39"/>
  <c r="O295" i="39"/>
  <c r="N296" i="39"/>
  <c r="O296" i="39"/>
  <c r="N297" i="39"/>
  <c r="O297" i="39"/>
  <c r="N298" i="39"/>
  <c r="O298" i="39"/>
  <c r="N299" i="39"/>
  <c r="O299" i="39"/>
  <c r="N300" i="39"/>
  <c r="O300" i="39"/>
  <c r="N301" i="39"/>
  <c r="O301" i="39"/>
  <c r="N302" i="39"/>
  <c r="O302" i="39"/>
  <c r="N303" i="39"/>
  <c r="O303" i="39"/>
  <c r="N304" i="39"/>
  <c r="O304" i="39"/>
  <c r="N306" i="39"/>
  <c r="O306" i="39"/>
  <c r="N307" i="39"/>
  <c r="O307" i="39"/>
  <c r="N308" i="39"/>
  <c r="O308" i="39"/>
  <c r="N309" i="39"/>
  <c r="O309" i="39"/>
  <c r="N310" i="39"/>
  <c r="O310" i="39"/>
  <c r="N311" i="39"/>
  <c r="O311" i="39"/>
  <c r="N313" i="39"/>
  <c r="O313" i="39"/>
  <c r="N314" i="39"/>
  <c r="O314" i="39"/>
  <c r="N315" i="39"/>
  <c r="O315" i="39"/>
  <c r="O132" i="19"/>
  <c r="N132" i="19"/>
  <c r="O133" i="19"/>
  <c r="N133" i="19"/>
  <c r="N810" i="19"/>
  <c r="O810" i="19"/>
  <c r="N243" i="26"/>
  <c r="N242" i="26"/>
  <c r="N241" i="26"/>
  <c r="AQ4" i="13"/>
  <c r="AQ5" i="13"/>
  <c r="AQ6" i="13"/>
  <c r="AQ7" i="13"/>
  <c r="AQ8" i="13"/>
  <c r="AQ9" i="13"/>
  <c r="AQ10" i="13"/>
  <c r="AQ11" i="13"/>
  <c r="AQ12" i="13"/>
  <c r="AQ13" i="13"/>
  <c r="AQ14" i="13"/>
  <c r="AQ15" i="13"/>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46" i="13"/>
  <c r="AQ47" i="13"/>
  <c r="AQ48" i="13"/>
  <c r="AQ49" i="13"/>
  <c r="AQ50" i="13"/>
  <c r="AQ51" i="13"/>
  <c r="AQ52" i="13"/>
  <c r="AQ53" i="13"/>
  <c r="AQ54" i="13"/>
  <c r="AQ55" i="13"/>
  <c r="AQ56" i="13"/>
  <c r="AQ57" i="13"/>
  <c r="AQ58" i="13"/>
  <c r="AQ59" i="13"/>
  <c r="AQ60" i="13"/>
  <c r="AQ61" i="13"/>
  <c r="AQ62" i="13"/>
  <c r="AQ63" i="13"/>
  <c r="AQ64" i="13"/>
  <c r="AQ65" i="13"/>
  <c r="AQ66" i="13"/>
  <c r="AQ67" i="13"/>
  <c r="AQ68" i="13"/>
  <c r="AQ69" i="13"/>
  <c r="AQ70" i="13"/>
  <c r="AQ71" i="13"/>
  <c r="AQ72" i="13"/>
  <c r="AQ73" i="13"/>
  <c r="AQ74" i="13"/>
  <c r="AQ75" i="13"/>
  <c r="AQ76" i="13"/>
  <c r="AQ77" i="13"/>
  <c r="AQ78" i="13"/>
  <c r="AQ79" i="13"/>
  <c r="AQ80" i="13"/>
  <c r="AQ81" i="13"/>
  <c r="AQ82" i="13"/>
  <c r="AQ83" i="13"/>
  <c r="AQ84" i="13"/>
  <c r="AQ85" i="13"/>
  <c r="AQ86" i="13"/>
  <c r="AQ87" i="13"/>
  <c r="AQ88" i="13"/>
  <c r="AQ89" i="13"/>
  <c r="AQ90" i="13"/>
  <c r="AQ91" i="13"/>
  <c r="AQ92" i="13"/>
  <c r="AQ93" i="13"/>
  <c r="AQ94" i="13"/>
  <c r="AQ95" i="13"/>
  <c r="AQ96" i="13"/>
  <c r="AQ97" i="13"/>
  <c r="AQ98" i="13"/>
  <c r="AQ99" i="13"/>
  <c r="AQ100" i="13"/>
  <c r="AQ101" i="13"/>
  <c r="AQ102" i="13"/>
  <c r="AQ103" i="13"/>
  <c r="AQ104" i="13"/>
  <c r="AQ105" i="13"/>
  <c r="AQ106" i="13"/>
  <c r="AQ107" i="13"/>
  <c r="AQ108" i="13"/>
  <c r="AQ109" i="13"/>
  <c r="AQ110" i="13"/>
  <c r="AQ111" i="13"/>
  <c r="AQ112" i="13"/>
  <c r="AQ113" i="13"/>
  <c r="AQ114" i="13"/>
  <c r="AQ115" i="13"/>
  <c r="AQ116" i="13"/>
  <c r="AQ117" i="13"/>
  <c r="AQ118" i="13"/>
  <c r="AQ119" i="13"/>
  <c r="AQ120" i="13"/>
  <c r="AQ121" i="13"/>
  <c r="AQ122" i="13"/>
  <c r="AQ123" i="13"/>
  <c r="AQ124" i="13"/>
  <c r="AQ125" i="13"/>
  <c r="AQ126" i="13"/>
  <c r="AQ127" i="13"/>
  <c r="AQ128" i="13"/>
  <c r="AQ129" i="13"/>
  <c r="AQ130" i="13"/>
  <c r="AQ131" i="13"/>
  <c r="AQ132" i="13"/>
  <c r="AQ133" i="13"/>
  <c r="AQ134" i="13"/>
  <c r="AQ135" i="13"/>
  <c r="AQ136" i="13"/>
  <c r="AQ137" i="13"/>
  <c r="AQ138" i="13"/>
  <c r="AQ139" i="13"/>
  <c r="AQ140" i="13"/>
  <c r="AQ141" i="13"/>
  <c r="AQ3" i="13"/>
  <c r="AQ2" i="13"/>
  <c r="O642" i="19" l="1"/>
  <c r="N642" i="19"/>
  <c r="O641" i="19"/>
  <c r="N641" i="19"/>
  <c r="O79" i="44"/>
  <c r="O75" i="44"/>
  <c r="O501" i="19" l="1"/>
  <c r="N501" i="19"/>
  <c r="P61" i="30"/>
  <c r="P62" i="30"/>
  <c r="P63" i="30"/>
  <c r="P64" i="30"/>
  <c r="P65" i="30"/>
  <c r="P66" i="30"/>
  <c r="P67" i="30"/>
  <c r="P68" i="30"/>
  <c r="P69" i="30"/>
  <c r="P70" i="30"/>
  <c r="P71" i="30"/>
  <c r="P72" i="30"/>
  <c r="P73" i="30"/>
  <c r="P74" i="30"/>
  <c r="P75" i="30"/>
  <c r="P76" i="30"/>
  <c r="P77" i="30"/>
  <c r="P78" i="30"/>
  <c r="P79" i="30"/>
  <c r="P80" i="30"/>
  <c r="P81" i="30"/>
  <c r="P82" i="30"/>
  <c r="P83" i="30"/>
  <c r="P84" i="30"/>
  <c r="P85" i="30"/>
  <c r="P86" i="30"/>
  <c r="P87" i="30"/>
  <c r="P88" i="30"/>
  <c r="P89" i="30"/>
  <c r="P90" i="30"/>
  <c r="P91" i="30"/>
  <c r="P92" i="30"/>
  <c r="P93" i="30"/>
  <c r="P94" i="30"/>
  <c r="P95" i="30"/>
  <c r="P96" i="30"/>
  <c r="P97" i="30"/>
  <c r="P98" i="30"/>
  <c r="P99" i="30"/>
  <c r="P100" i="30"/>
  <c r="P101" i="30"/>
  <c r="P102" i="30"/>
  <c r="P103" i="30"/>
  <c r="P104" i="30"/>
  <c r="P105" i="30"/>
  <c r="P106" i="30"/>
  <c r="P107" i="30"/>
  <c r="P108" i="30"/>
  <c r="P109" i="30"/>
  <c r="P110" i="30"/>
  <c r="P111" i="30"/>
  <c r="P112" i="30"/>
  <c r="P113" i="30"/>
  <c r="P114" i="30"/>
  <c r="P115" i="30"/>
  <c r="P116" i="30"/>
  <c r="P117" i="30"/>
  <c r="P118" i="30"/>
  <c r="P119" i="30"/>
  <c r="P120" i="30"/>
  <c r="P121" i="30"/>
  <c r="P122" i="30"/>
  <c r="P123" i="30"/>
  <c r="P124" i="30"/>
  <c r="P125" i="30"/>
  <c r="P126" i="30"/>
  <c r="P127" i="30"/>
  <c r="P128" i="30"/>
  <c r="P129" i="30"/>
  <c r="P130" i="30"/>
  <c r="P131" i="30"/>
  <c r="P132" i="30"/>
  <c r="P133" i="30"/>
  <c r="P134" i="30"/>
  <c r="P135" i="30"/>
  <c r="P136" i="30"/>
  <c r="P137" i="30"/>
  <c r="P138" i="30"/>
  <c r="P139" i="30"/>
  <c r="P140" i="30"/>
  <c r="P141" i="30"/>
  <c r="P142" i="30"/>
  <c r="P143" i="30"/>
  <c r="P144" i="30"/>
  <c r="P145" i="30"/>
  <c r="P146" i="30"/>
  <c r="P147" i="30"/>
  <c r="P148" i="30"/>
  <c r="P149" i="30"/>
  <c r="P150" i="30"/>
  <c r="O61" i="30"/>
  <c r="O62" i="30"/>
  <c r="O63" i="30"/>
  <c r="O64" i="30"/>
  <c r="O65" i="30"/>
  <c r="O66" i="30"/>
  <c r="O67" i="30"/>
  <c r="O68" i="30"/>
  <c r="O69" i="30"/>
  <c r="O70" i="30"/>
  <c r="O71" i="30"/>
  <c r="O72" i="30"/>
  <c r="O73" i="30"/>
  <c r="O74" i="30"/>
  <c r="O75" i="30"/>
  <c r="O76" i="30"/>
  <c r="O77" i="30"/>
  <c r="O78" i="30"/>
  <c r="O79" i="30"/>
  <c r="O80" i="30"/>
  <c r="O81" i="30"/>
  <c r="O82" i="30"/>
  <c r="O83" i="30"/>
  <c r="O84" i="30"/>
  <c r="O85" i="30"/>
  <c r="O86" i="30"/>
  <c r="O87" i="30"/>
  <c r="O88" i="30"/>
  <c r="O89" i="30"/>
  <c r="O90" i="30"/>
  <c r="O91" i="30"/>
  <c r="O92" i="30"/>
  <c r="O93" i="30"/>
  <c r="O94" i="30"/>
  <c r="O95" i="30"/>
  <c r="O96" i="30"/>
  <c r="O97" i="30"/>
  <c r="O98" i="30"/>
  <c r="O99" i="30"/>
  <c r="O100" i="30"/>
  <c r="O101" i="30"/>
  <c r="O102" i="30"/>
  <c r="O103" i="30"/>
  <c r="O104" i="30"/>
  <c r="O105" i="30"/>
  <c r="O106" i="30"/>
  <c r="O107" i="30"/>
  <c r="O108" i="30"/>
  <c r="O109" i="30"/>
  <c r="O110" i="30"/>
  <c r="O111" i="30"/>
  <c r="O112" i="30"/>
  <c r="O113" i="30"/>
  <c r="O114" i="30"/>
  <c r="O115" i="30"/>
  <c r="O116" i="30"/>
  <c r="O117" i="30"/>
  <c r="O118" i="30"/>
  <c r="O119" i="30"/>
  <c r="O120" i="30"/>
  <c r="O121" i="30"/>
  <c r="O122" i="30"/>
  <c r="O123" i="30"/>
  <c r="O124" i="30"/>
  <c r="O125" i="30"/>
  <c r="O126" i="30"/>
  <c r="O127" i="30"/>
  <c r="O128" i="30"/>
  <c r="O129" i="30"/>
  <c r="O130" i="30"/>
  <c r="O131" i="30"/>
  <c r="O132" i="30"/>
  <c r="O133" i="30"/>
  <c r="O134" i="30"/>
  <c r="O135" i="30"/>
  <c r="O136" i="30"/>
  <c r="O137" i="30"/>
  <c r="O138" i="30"/>
  <c r="O139" i="30"/>
  <c r="O140" i="30"/>
  <c r="O141" i="30"/>
  <c r="O142" i="30"/>
  <c r="O143" i="30"/>
  <c r="O144" i="30"/>
  <c r="O145" i="30"/>
  <c r="O146" i="30"/>
  <c r="O147" i="30"/>
  <c r="O148" i="30"/>
  <c r="O149" i="30"/>
  <c r="O150" i="30"/>
  <c r="G97" i="25"/>
  <c r="G98" i="25"/>
  <c r="G99" i="25"/>
  <c r="A587" i="18" l="1"/>
  <c r="B587" i="18"/>
  <c r="C587" i="18"/>
  <c r="E587" i="18"/>
  <c r="F587" i="18"/>
  <c r="G587" i="18"/>
  <c r="H587" i="18"/>
  <c r="I587" i="18"/>
  <c r="J587" i="18"/>
  <c r="A588" i="18"/>
  <c r="B588" i="18"/>
  <c r="C588" i="18"/>
  <c r="E588" i="18"/>
  <c r="F588" i="18"/>
  <c r="G588" i="18"/>
  <c r="H588" i="18"/>
  <c r="I588" i="18"/>
  <c r="J588" i="18"/>
  <c r="A590" i="18"/>
  <c r="B590" i="18"/>
  <c r="C590" i="18"/>
  <c r="E590" i="18"/>
  <c r="F590" i="18"/>
  <c r="G590" i="18"/>
  <c r="H590" i="18"/>
  <c r="I590" i="18"/>
  <c r="J590" i="18"/>
  <c r="A591" i="18"/>
  <c r="B591" i="18"/>
  <c r="C591" i="18"/>
  <c r="E591" i="18"/>
  <c r="F591" i="18"/>
  <c r="G591" i="18"/>
  <c r="H591" i="18"/>
  <c r="I591" i="18"/>
  <c r="J591" i="18"/>
  <c r="A593" i="18"/>
  <c r="B593" i="18"/>
  <c r="C593" i="18"/>
  <c r="E593" i="18"/>
  <c r="F593" i="18"/>
  <c r="G593" i="18"/>
  <c r="H593" i="18"/>
  <c r="I593" i="18"/>
  <c r="J593" i="18"/>
  <c r="A592" i="18"/>
  <c r="B592" i="18"/>
  <c r="C592" i="18"/>
  <c r="E592" i="18"/>
  <c r="F592" i="18"/>
  <c r="G592" i="18"/>
  <c r="H592" i="18"/>
  <c r="I592" i="18"/>
  <c r="J592" i="18"/>
  <c r="A594" i="18"/>
  <c r="B594" i="18"/>
  <c r="C594" i="18"/>
  <c r="E594" i="18"/>
  <c r="F594" i="18"/>
  <c r="G594" i="18"/>
  <c r="H594" i="18"/>
  <c r="I594" i="18"/>
  <c r="J594" i="18"/>
  <c r="A589" i="18"/>
  <c r="B589" i="18"/>
  <c r="C589" i="18"/>
  <c r="E589" i="18"/>
  <c r="F589" i="18"/>
  <c r="G589" i="18"/>
  <c r="H589" i="18"/>
  <c r="I589" i="18"/>
  <c r="J589" i="18"/>
  <c r="A579" i="18"/>
  <c r="B579" i="18"/>
  <c r="C579" i="18"/>
  <c r="E579" i="18"/>
  <c r="F579" i="18"/>
  <c r="G579" i="18"/>
  <c r="H579" i="18"/>
  <c r="I579" i="18"/>
  <c r="J579" i="18"/>
  <c r="A580" i="18"/>
  <c r="B580" i="18"/>
  <c r="C580" i="18"/>
  <c r="E580" i="18"/>
  <c r="F580" i="18"/>
  <c r="G580" i="18"/>
  <c r="H580" i="18"/>
  <c r="I580" i="18"/>
  <c r="J580" i="18"/>
  <c r="A582" i="18"/>
  <c r="B582" i="18"/>
  <c r="C582" i="18"/>
  <c r="E582" i="18"/>
  <c r="F582" i="18"/>
  <c r="G582" i="18"/>
  <c r="H582" i="18"/>
  <c r="I582" i="18"/>
  <c r="J582" i="18"/>
  <c r="A583" i="18"/>
  <c r="B583" i="18"/>
  <c r="C583" i="18"/>
  <c r="E583" i="18"/>
  <c r="F583" i="18"/>
  <c r="G583" i="18"/>
  <c r="H583" i="18"/>
  <c r="I583" i="18"/>
  <c r="J583" i="18"/>
  <c r="A585" i="18"/>
  <c r="B585" i="18"/>
  <c r="C585" i="18"/>
  <c r="E585" i="18"/>
  <c r="F585" i="18"/>
  <c r="G585" i="18"/>
  <c r="H585" i="18"/>
  <c r="I585" i="18"/>
  <c r="J585" i="18"/>
  <c r="A584" i="18"/>
  <c r="B584" i="18"/>
  <c r="C584" i="18"/>
  <c r="E584" i="18"/>
  <c r="F584" i="18"/>
  <c r="G584" i="18"/>
  <c r="H584" i="18"/>
  <c r="I584" i="18"/>
  <c r="J584" i="18"/>
  <c r="A586" i="18"/>
  <c r="B586" i="18"/>
  <c r="C586" i="18"/>
  <c r="E586" i="18"/>
  <c r="F586" i="18"/>
  <c r="G586" i="18"/>
  <c r="H586" i="18"/>
  <c r="I586" i="18"/>
  <c r="J586" i="18"/>
  <c r="A581" i="18"/>
  <c r="B581" i="18"/>
  <c r="C581" i="18"/>
  <c r="E581" i="18"/>
  <c r="F581" i="18"/>
  <c r="G581" i="18"/>
  <c r="H581" i="18"/>
  <c r="I581" i="18"/>
  <c r="J581" i="18"/>
  <c r="A804" i="20"/>
  <c r="B804" i="20"/>
  <c r="C804" i="20"/>
  <c r="D804" i="20"/>
  <c r="E804" i="20"/>
  <c r="F804" i="20"/>
  <c r="K804" i="20" s="1"/>
  <c r="G804" i="20"/>
  <c r="H804" i="20"/>
  <c r="I804" i="20"/>
  <c r="J804" i="20"/>
  <c r="A805" i="20"/>
  <c r="B805" i="20"/>
  <c r="C805" i="20"/>
  <c r="D805" i="20"/>
  <c r="E805" i="20"/>
  <c r="F805" i="20"/>
  <c r="G805" i="20"/>
  <c r="H805" i="20"/>
  <c r="I805" i="20"/>
  <c r="J805" i="20"/>
  <c r="A806" i="20"/>
  <c r="B806" i="20"/>
  <c r="C806" i="20"/>
  <c r="D806" i="20"/>
  <c r="E806" i="20"/>
  <c r="F806" i="20"/>
  <c r="G806" i="20"/>
  <c r="H806" i="20"/>
  <c r="I806" i="20"/>
  <c r="J806" i="20"/>
  <c r="A807" i="20"/>
  <c r="B807" i="20"/>
  <c r="C807" i="20"/>
  <c r="D807" i="20"/>
  <c r="E807" i="20"/>
  <c r="F807" i="20"/>
  <c r="G807" i="20"/>
  <c r="H807" i="20"/>
  <c r="I807" i="20"/>
  <c r="J807" i="20"/>
  <c r="A808" i="20"/>
  <c r="B808" i="20"/>
  <c r="C808" i="20"/>
  <c r="D808" i="20"/>
  <c r="E808" i="20"/>
  <c r="F808" i="20"/>
  <c r="G808" i="20"/>
  <c r="H808" i="20"/>
  <c r="I808" i="20"/>
  <c r="J808" i="20"/>
  <c r="A809" i="20"/>
  <c r="B809" i="20"/>
  <c r="C809" i="20"/>
  <c r="D809" i="20"/>
  <c r="E809" i="20"/>
  <c r="F809" i="20"/>
  <c r="G809" i="20"/>
  <c r="H809" i="20"/>
  <c r="I809" i="20"/>
  <c r="J809" i="20"/>
  <c r="A810" i="20"/>
  <c r="B810" i="20"/>
  <c r="C810" i="20"/>
  <c r="D810" i="20"/>
  <c r="E810" i="20"/>
  <c r="F810" i="20"/>
  <c r="K810" i="20" s="1"/>
  <c r="G810" i="20"/>
  <c r="H810" i="20"/>
  <c r="I810" i="20"/>
  <c r="J810" i="20"/>
  <c r="A811" i="20"/>
  <c r="B811" i="20"/>
  <c r="C811" i="20"/>
  <c r="D811" i="20"/>
  <c r="E811" i="20"/>
  <c r="F811" i="20"/>
  <c r="G811" i="20"/>
  <c r="H811" i="20"/>
  <c r="I811" i="20"/>
  <c r="J811" i="20"/>
  <c r="A796" i="20"/>
  <c r="B796" i="20"/>
  <c r="C796" i="20"/>
  <c r="D796" i="20"/>
  <c r="E796" i="20"/>
  <c r="F796" i="20"/>
  <c r="G796" i="20"/>
  <c r="H796" i="20"/>
  <c r="I796" i="20"/>
  <c r="J796" i="20"/>
  <c r="A797" i="20"/>
  <c r="B797" i="20"/>
  <c r="C797" i="20"/>
  <c r="D797" i="20"/>
  <c r="E797" i="20"/>
  <c r="F797" i="20"/>
  <c r="G797" i="20"/>
  <c r="H797" i="20"/>
  <c r="I797" i="20"/>
  <c r="J797" i="20"/>
  <c r="A798" i="20"/>
  <c r="B798" i="20"/>
  <c r="C798" i="20"/>
  <c r="D798" i="20"/>
  <c r="E798" i="20"/>
  <c r="F798" i="20"/>
  <c r="G798" i="20"/>
  <c r="H798" i="20"/>
  <c r="I798" i="20"/>
  <c r="J798" i="20"/>
  <c r="A799" i="20"/>
  <c r="B799" i="20"/>
  <c r="C799" i="20"/>
  <c r="D799" i="20"/>
  <c r="E799" i="20"/>
  <c r="F799" i="20"/>
  <c r="G799" i="20"/>
  <c r="H799" i="20"/>
  <c r="I799" i="20"/>
  <c r="J799" i="20"/>
  <c r="A800" i="20"/>
  <c r="B800" i="20"/>
  <c r="C800" i="20"/>
  <c r="D800" i="20"/>
  <c r="E800" i="20"/>
  <c r="F800" i="20"/>
  <c r="K800" i="20" s="1"/>
  <c r="G800" i="20"/>
  <c r="H800" i="20"/>
  <c r="I800" i="20"/>
  <c r="J800" i="20"/>
  <c r="A801" i="20"/>
  <c r="B801" i="20"/>
  <c r="C801" i="20"/>
  <c r="D801" i="20"/>
  <c r="E801" i="20"/>
  <c r="F801" i="20"/>
  <c r="G801" i="20"/>
  <c r="H801" i="20"/>
  <c r="I801" i="20"/>
  <c r="J801" i="20"/>
  <c r="A802" i="20"/>
  <c r="B802" i="20"/>
  <c r="C802" i="20"/>
  <c r="D802" i="20"/>
  <c r="E802" i="20"/>
  <c r="F802" i="20"/>
  <c r="G802" i="20"/>
  <c r="H802" i="20"/>
  <c r="I802" i="20"/>
  <c r="J802" i="20"/>
  <c r="A803" i="20"/>
  <c r="B803" i="20"/>
  <c r="C803" i="20"/>
  <c r="D803" i="20"/>
  <c r="E803" i="20"/>
  <c r="F803" i="20"/>
  <c r="G803" i="20"/>
  <c r="H803" i="20"/>
  <c r="I803" i="20"/>
  <c r="J803" i="20"/>
  <c r="K802" i="20" l="1"/>
  <c r="K799" i="20"/>
  <c r="K796" i="20"/>
  <c r="K809" i="20"/>
  <c r="K806" i="20"/>
  <c r="K803" i="20"/>
  <c r="K797" i="20"/>
  <c r="K807" i="20"/>
  <c r="K801" i="20"/>
  <c r="K798" i="20"/>
  <c r="K811" i="20"/>
  <c r="K808" i="20"/>
  <c r="K805" i="20"/>
  <c r="E56" i="44"/>
  <c r="D588" i="18" s="1"/>
  <c r="E57" i="44"/>
  <c r="D590" i="18" s="1"/>
  <c r="E58" i="44"/>
  <c r="D591" i="18" s="1"/>
  <c r="E59" i="44"/>
  <c r="D593" i="18" s="1"/>
  <c r="E60" i="44"/>
  <c r="D592" i="18" s="1"/>
  <c r="E61" i="44"/>
  <c r="D594" i="18" s="1"/>
  <c r="E62" i="44"/>
  <c r="D589" i="18" s="1"/>
  <c r="E55" i="44"/>
  <c r="D587" i="18" s="1"/>
  <c r="E47" i="44"/>
  <c r="D580" i="18" s="1"/>
  <c r="E48" i="44"/>
  <c r="D582" i="18" s="1"/>
  <c r="E49" i="44"/>
  <c r="D583" i="18" s="1"/>
  <c r="E50" i="44"/>
  <c r="D585" i="18" s="1"/>
  <c r="E51" i="44"/>
  <c r="D584" i="18" s="1"/>
  <c r="E52" i="44"/>
  <c r="D586" i="18" s="1"/>
  <c r="E53" i="44"/>
  <c r="D581" i="18" s="1"/>
  <c r="E46" i="44"/>
  <c r="D579" i="18" s="1"/>
  <c r="L55" i="44"/>
  <c r="L56" i="44"/>
  <c r="L57" i="44"/>
  <c r="L58" i="44"/>
  <c r="L59" i="44"/>
  <c r="L60" i="44"/>
  <c r="L61" i="44"/>
  <c r="L62" i="44"/>
  <c r="L46" i="44"/>
  <c r="K579" i="18" s="1"/>
  <c r="L47" i="44"/>
  <c r="K580" i="18" s="1"/>
  <c r="L48" i="44"/>
  <c r="K582" i="18" s="1"/>
  <c r="L49" i="44"/>
  <c r="K583" i="18" s="1"/>
  <c r="L50" i="44"/>
  <c r="K585" i="18" s="1"/>
  <c r="L51" i="44"/>
  <c r="K584" i="18" s="1"/>
  <c r="L52" i="44"/>
  <c r="K586" i="18" s="1"/>
  <c r="L53" i="44"/>
  <c r="K581" i="18" s="1"/>
  <c r="L24" i="44"/>
  <c r="L25" i="44"/>
  <c r="L26" i="44"/>
  <c r="L27" i="44"/>
  <c r="L28" i="44"/>
  <c r="L29" i="44"/>
  <c r="L30" i="44"/>
  <c r="L31" i="44"/>
  <c r="L15" i="44"/>
  <c r="L16" i="44"/>
  <c r="L17" i="44"/>
  <c r="L18" i="44"/>
  <c r="L19" i="44"/>
  <c r="L20" i="44"/>
  <c r="L21" i="44"/>
  <c r="L22" i="44"/>
  <c r="K53" i="39"/>
  <c r="E266" i="39"/>
  <c r="E267" i="39"/>
  <c r="E306" i="39"/>
  <c r="E287" i="39"/>
  <c r="E132" i="39"/>
  <c r="E151" i="39"/>
  <c r="E170" i="39"/>
  <c r="E189" i="39"/>
  <c r="E208" i="39"/>
  <c r="E227" i="39"/>
  <c r="E246" i="39"/>
  <c r="E238" i="39"/>
  <c r="E237" i="39"/>
  <c r="E219" i="39"/>
  <c r="E218" i="39"/>
  <c r="E200" i="39"/>
  <c r="E199" i="39"/>
  <c r="E181" i="39"/>
  <c r="E180" i="39"/>
  <c r="E162" i="39"/>
  <c r="E161" i="39"/>
  <c r="E143" i="39"/>
  <c r="E142" i="39"/>
  <c r="E124" i="39"/>
  <c r="E123" i="39"/>
  <c r="E113" i="39"/>
  <c r="E105" i="39"/>
  <c r="E104" i="39"/>
  <c r="E94" i="39"/>
  <c r="E86" i="39"/>
  <c r="E85" i="39"/>
  <c r="O61" i="39"/>
  <c r="N61" i="39"/>
  <c r="F196" i="36"/>
  <c r="F195" i="36"/>
  <c r="F194" i="36"/>
  <c r="F193" i="36"/>
  <c r="F192" i="36"/>
  <c r="F191" i="36"/>
  <c r="F190" i="36"/>
  <c r="F189" i="36"/>
  <c r="F188" i="36"/>
  <c r="F187" i="36"/>
  <c r="F186" i="36"/>
  <c r="F185" i="36"/>
  <c r="F184" i="36"/>
  <c r="F183" i="36"/>
  <c r="F182" i="36"/>
  <c r="F181" i="36"/>
  <c r="F180" i="36"/>
  <c r="F179" i="36"/>
  <c r="F178" i="36"/>
  <c r="F177" i="36"/>
  <c r="F176" i="36"/>
  <c r="F175" i="36"/>
  <c r="F174" i="36"/>
  <c r="F173" i="36"/>
  <c r="F172" i="36"/>
  <c r="F171" i="36"/>
  <c r="F170" i="36"/>
  <c r="F169" i="36"/>
  <c r="F168" i="36"/>
  <c r="F167" i="36"/>
  <c r="F166" i="36"/>
  <c r="F165" i="36"/>
  <c r="F164" i="36"/>
  <c r="F163" i="36"/>
  <c r="F162" i="36"/>
  <c r="F161" i="36"/>
  <c r="F160" i="36"/>
  <c r="F159" i="36"/>
  <c r="F158" i="36"/>
  <c r="F157" i="36"/>
  <c r="F156" i="36"/>
  <c r="F155" i="36"/>
  <c r="F154" i="36"/>
  <c r="F153" i="36"/>
  <c r="F152" i="36"/>
  <c r="F151" i="36"/>
  <c r="F150" i="36"/>
  <c r="F149" i="36"/>
  <c r="F148" i="36"/>
  <c r="F147" i="36"/>
  <c r="F146" i="36"/>
  <c r="F145" i="36"/>
  <c r="F144" i="36"/>
  <c r="F143" i="36"/>
  <c r="F142" i="36"/>
  <c r="F141" i="36"/>
  <c r="F140" i="36"/>
  <c r="F139" i="36"/>
  <c r="F138" i="36"/>
  <c r="F137" i="36"/>
  <c r="F136" i="36"/>
  <c r="F135" i="36"/>
  <c r="F134" i="36"/>
  <c r="F133" i="36"/>
  <c r="F132" i="36"/>
  <c r="F131" i="36"/>
  <c r="F130" i="36"/>
  <c r="F129" i="36"/>
  <c r="F128" i="36"/>
  <c r="F127" i="36"/>
  <c r="F126" i="36"/>
  <c r="F125" i="36"/>
  <c r="F124" i="36"/>
  <c r="F123" i="36"/>
  <c r="F122" i="36"/>
  <c r="F121" i="36"/>
  <c r="F120" i="36"/>
  <c r="F119" i="36"/>
  <c r="F118" i="36"/>
  <c r="F117" i="36"/>
  <c r="F116" i="36"/>
  <c r="F115" i="36"/>
  <c r="F114" i="36"/>
  <c r="F113" i="36"/>
  <c r="F112" i="36"/>
  <c r="F111" i="36"/>
  <c r="F110" i="36"/>
  <c r="F109" i="36"/>
  <c r="F108" i="36"/>
  <c r="F107" i="36"/>
  <c r="F106" i="36"/>
  <c r="F105" i="36"/>
  <c r="F104" i="36"/>
  <c r="F103" i="36"/>
  <c r="F102" i="36"/>
  <c r="F101" i="36"/>
  <c r="F100" i="36"/>
  <c r="F99" i="36"/>
  <c r="F98" i="36"/>
  <c r="F97" i="36"/>
  <c r="F96" i="36"/>
  <c r="F95" i="36"/>
  <c r="O101" i="44"/>
  <c r="O401" i="19"/>
  <c r="O444" i="19"/>
  <c r="O449" i="19"/>
  <c r="O448" i="19"/>
  <c r="O180" i="19"/>
  <c r="O245" i="19"/>
  <c r="O469" i="19"/>
  <c r="O468" i="19"/>
  <c r="N401" i="19"/>
  <c r="N444" i="19"/>
  <c r="N449" i="19"/>
  <c r="N448" i="19"/>
  <c r="N180" i="19"/>
  <c r="N245" i="19"/>
  <c r="N469" i="19"/>
  <c r="N468" i="19"/>
  <c r="E454" i="19"/>
  <c r="N717" i="19"/>
  <c r="O717" i="19"/>
  <c r="K450" i="19"/>
  <c r="O450" i="19" s="1"/>
  <c r="N454" i="19"/>
  <c r="O454" i="19"/>
  <c r="K473" i="19"/>
  <c r="O473" i="19" s="1"/>
  <c r="O714" i="19"/>
  <c r="N714" i="19"/>
  <c r="O452" i="19"/>
  <c r="N452" i="19"/>
  <c r="O5" i="30"/>
  <c r="O6" i="30"/>
  <c r="O7" i="30"/>
  <c r="O8" i="30"/>
  <c r="O9" i="30"/>
  <c r="O10" i="30"/>
  <c r="O11" i="30"/>
  <c r="O12" i="30"/>
  <c r="O13" i="30"/>
  <c r="O14" i="30"/>
  <c r="O15" i="30"/>
  <c r="O16" i="30"/>
  <c r="O17" i="30"/>
  <c r="O18" i="30"/>
  <c r="O19" i="30"/>
  <c r="O20" i="30"/>
  <c r="O21" i="30"/>
  <c r="O22" i="30"/>
  <c r="O23" i="30"/>
  <c r="O24" i="30"/>
  <c r="O25" i="30"/>
  <c r="O26" i="30"/>
  <c r="O27" i="30"/>
  <c r="O28" i="30"/>
  <c r="O29" i="30"/>
  <c r="O30" i="30"/>
  <c r="O31" i="30"/>
  <c r="O32" i="30"/>
  <c r="O33" i="30"/>
  <c r="O34" i="30"/>
  <c r="O35" i="30"/>
  <c r="O36" i="30"/>
  <c r="O37" i="30"/>
  <c r="O38" i="30"/>
  <c r="O39" i="30"/>
  <c r="O40" i="30"/>
  <c r="O41" i="30"/>
  <c r="O42" i="30"/>
  <c r="O43" i="30"/>
  <c r="O44" i="30"/>
  <c r="O45" i="30"/>
  <c r="O46" i="30"/>
  <c r="O47" i="30"/>
  <c r="O48" i="30"/>
  <c r="O49" i="30"/>
  <c r="O50" i="30"/>
  <c r="O51" i="30"/>
  <c r="O52" i="30"/>
  <c r="O53" i="30"/>
  <c r="O54" i="30"/>
  <c r="O55" i="30"/>
  <c r="O56" i="30"/>
  <c r="O57" i="30"/>
  <c r="O58" i="30"/>
  <c r="O59" i="30"/>
  <c r="O60" i="30"/>
  <c r="P5" i="30"/>
  <c r="P6" i="30"/>
  <c r="P8" i="30"/>
  <c r="P9" i="30"/>
  <c r="P10" i="30"/>
  <c r="P11" i="30"/>
  <c r="P12" i="30"/>
  <c r="P13" i="30"/>
  <c r="P14" i="30"/>
  <c r="P17" i="30"/>
  <c r="P18" i="30"/>
  <c r="P19" i="30"/>
  <c r="P20" i="30"/>
  <c r="P21" i="30"/>
  <c r="P22" i="30"/>
  <c r="P23" i="30"/>
  <c r="P24" i="30"/>
  <c r="P25" i="30"/>
  <c r="P26" i="30"/>
  <c r="P28" i="30"/>
  <c r="P29" i="30"/>
  <c r="P30" i="30"/>
  <c r="P31" i="30"/>
  <c r="P32" i="30"/>
  <c r="P33" i="30"/>
  <c r="P34" i="30"/>
  <c r="P35" i="30"/>
  <c r="P36" i="30"/>
  <c r="P37" i="30"/>
  <c r="P38" i="30"/>
  <c r="P41" i="30"/>
  <c r="P42" i="30"/>
  <c r="P43" i="30"/>
  <c r="P44" i="30"/>
  <c r="P45" i="30"/>
  <c r="P46" i="30"/>
  <c r="P47" i="30"/>
  <c r="P48" i="30"/>
  <c r="P49" i="30"/>
  <c r="P50" i="30"/>
  <c r="P51" i="30"/>
  <c r="P52" i="30"/>
  <c r="P54" i="30"/>
  <c r="P55" i="30"/>
  <c r="P56" i="30"/>
  <c r="P57" i="30"/>
  <c r="P58" i="30"/>
  <c r="P59" i="30"/>
  <c r="P60" i="30"/>
  <c r="N450" i="19" l="1"/>
  <c r="N473" i="19"/>
  <c r="Q210" i="30" l="1"/>
  <c r="Q209" i="30"/>
  <c r="Q208" i="30"/>
  <c r="Q207" i="30"/>
  <c r="Q206" i="30"/>
  <c r="Q205" i="30"/>
  <c r="Q204" i="30"/>
  <c r="Q203" i="30"/>
  <c r="Q202" i="30"/>
  <c r="Q201" i="30"/>
  <c r="Q200" i="30"/>
  <c r="Q199" i="30"/>
  <c r="Q198" i="30"/>
  <c r="Q197" i="30"/>
  <c r="Q196" i="30"/>
  <c r="Q195" i="30"/>
  <c r="Q194" i="30"/>
  <c r="Q193" i="30"/>
  <c r="Q192"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72" i="30"/>
  <c r="Q71" i="30"/>
  <c r="Q70" i="30"/>
  <c r="Q69" i="30"/>
  <c r="Q68" i="30"/>
  <c r="Q67" i="30"/>
  <c r="Q66" i="30"/>
  <c r="Q65" i="30"/>
  <c r="Q64" i="30"/>
  <c r="Q63"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7" i="30"/>
  <c r="Q36" i="30"/>
  <c r="Q35" i="30"/>
  <c r="Q34" i="30"/>
  <c r="Q33" i="30"/>
  <c r="Q32" i="30"/>
  <c r="Q31" i="30"/>
  <c r="Q30" i="30"/>
  <c r="Q29" i="30"/>
  <c r="Q28" i="30"/>
  <c r="Q27" i="30"/>
  <c r="Q26" i="30"/>
  <c r="Q25" i="30"/>
  <c r="Q24" i="30"/>
  <c r="Q23" i="30"/>
  <c r="Q22" i="30"/>
  <c r="Q21" i="30"/>
  <c r="Q20" i="30"/>
  <c r="Q19" i="30"/>
  <c r="Q18" i="30"/>
  <c r="Q17" i="30"/>
  <c r="Q16" i="30"/>
  <c r="Q15" i="30"/>
  <c r="Q14" i="30"/>
  <c r="Q13" i="30"/>
  <c r="Q12" i="30"/>
  <c r="Q11" i="30"/>
  <c r="Q10" i="30"/>
  <c r="Q9" i="30"/>
  <c r="Q8" i="30"/>
  <c r="Q7" i="30"/>
  <c r="Q6" i="30"/>
  <c r="Q5" i="30"/>
  <c r="Q4" i="30"/>
  <c r="K729" i="20"/>
  <c r="K731" i="20"/>
  <c r="K732" i="20"/>
  <c r="O528" i="19"/>
  <c r="N528" i="19"/>
  <c r="O527" i="19"/>
  <c r="N527" i="19"/>
  <c r="O725" i="19"/>
  <c r="N725" i="19"/>
  <c r="O882" i="19"/>
  <c r="N882" i="19"/>
  <c r="O428" i="19"/>
  <c r="N428" i="19"/>
  <c r="O427" i="19"/>
  <c r="N427" i="19"/>
  <c r="N149" i="22"/>
  <c r="N150" i="22"/>
  <c r="O149" i="22"/>
  <c r="O150" i="22"/>
  <c r="K474" i="19"/>
  <c r="N474" i="19" s="1"/>
  <c r="O719" i="19"/>
  <c r="N719" i="19"/>
  <c r="N720" i="19"/>
  <c r="O720" i="19"/>
  <c r="D25" i="25"/>
  <c r="P16" i="30" s="1"/>
  <c r="E156" i="22"/>
  <c r="O474" i="19" l="1"/>
  <c r="E154" i="22" l="1"/>
  <c r="O146" i="22"/>
  <c r="N146" i="22"/>
  <c r="O145" i="22"/>
  <c r="N145" i="22"/>
  <c r="O148" i="22"/>
  <c r="N148" i="22"/>
  <c r="O147" i="22"/>
  <c r="N147" i="22"/>
  <c r="F4" i="23"/>
  <c r="F3" i="23"/>
  <c r="E91" i="26"/>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26" i="36"/>
  <c r="F94" i="36"/>
  <c r="F93" i="36"/>
  <c r="F92" i="36"/>
  <c r="F91" i="36"/>
  <c r="F90" i="36"/>
  <c r="F89" i="36"/>
  <c r="F88" i="36"/>
  <c r="F87" i="36"/>
  <c r="F86" i="36"/>
  <c r="F85" i="36"/>
  <c r="F84" i="36"/>
  <c r="F83" i="36"/>
  <c r="F82" i="36"/>
  <c r="F81" i="36"/>
  <c r="F80" i="36"/>
  <c r="F79" i="36"/>
  <c r="F78" i="36"/>
  <c r="F77" i="36"/>
  <c r="F76" i="36"/>
  <c r="F75" i="36"/>
  <c r="F74" i="36"/>
  <c r="F73" i="36"/>
  <c r="F72" i="36"/>
  <c r="F71" i="36"/>
  <c r="F70" i="36"/>
  <c r="F69" i="36"/>
  <c r="F68" i="36"/>
  <c r="F67" i="36"/>
  <c r="F66" i="36"/>
  <c r="F65" i="36"/>
  <c r="F64" i="36"/>
  <c r="F63" i="36"/>
  <c r="F62" i="36"/>
  <c r="F61" i="36"/>
  <c r="F60" i="36"/>
  <c r="F59" i="36"/>
  <c r="F58" i="36"/>
  <c r="F57" i="36"/>
  <c r="F56" i="36"/>
  <c r="F55" i="36"/>
  <c r="F54" i="36"/>
  <c r="F53" i="36"/>
  <c r="F52" i="36"/>
  <c r="F51" i="36"/>
  <c r="F50" i="36"/>
  <c r="F49" i="36"/>
  <c r="F48" i="36"/>
  <c r="F47" i="36"/>
  <c r="F46" i="36"/>
  <c r="F45" i="36"/>
  <c r="F44" i="36"/>
  <c r="F43" i="36"/>
  <c r="F42" i="36"/>
  <c r="F41" i="36"/>
  <c r="F40" i="36"/>
  <c r="F39" i="36"/>
  <c r="F38" i="36"/>
  <c r="F37" i="36"/>
  <c r="F36" i="36"/>
  <c r="F35" i="36"/>
  <c r="F34" i="36"/>
  <c r="F33" i="36"/>
  <c r="F32" i="36"/>
  <c r="F31" i="36"/>
  <c r="F30" i="36"/>
  <c r="F29" i="36"/>
  <c r="F28" i="36"/>
  <c r="F27" i="36"/>
  <c r="F25" i="36"/>
  <c r="F24" i="36"/>
  <c r="F23" i="36"/>
  <c r="F22" i="36"/>
  <c r="F21" i="36"/>
  <c r="F20" i="36"/>
  <c r="F19" i="36"/>
  <c r="F18" i="36"/>
  <c r="F17" i="36"/>
  <c r="F16" i="36"/>
  <c r="F15" i="36"/>
  <c r="F14" i="36"/>
  <c r="F13" i="36"/>
  <c r="F12" i="36"/>
  <c r="F11" i="36"/>
  <c r="F10" i="36"/>
  <c r="F9" i="36"/>
  <c r="F8" i="36"/>
  <c r="F7" i="36"/>
  <c r="F6" i="36"/>
  <c r="F5" i="36"/>
  <c r="F4" i="36"/>
  <c r="F3" i="36"/>
  <c r="D93" i="25"/>
  <c r="D92" i="25"/>
  <c r="D91" i="25"/>
  <c r="D90" i="25"/>
  <c r="D89" i="25"/>
  <c r="D88" i="25"/>
  <c r="D87" i="25"/>
  <c r="D86" i="25"/>
  <c r="D85" i="25"/>
  <c r="D84" i="25"/>
  <c r="D83" i="25"/>
  <c r="D82" i="25"/>
  <c r="D81" i="25"/>
  <c r="D80" i="25"/>
  <c r="D79" i="25"/>
  <c r="D78" i="25"/>
  <c r="D77" i="25"/>
  <c r="D76" i="25"/>
  <c r="D75" i="25"/>
  <c r="D74" i="25"/>
  <c r="D73" i="25"/>
  <c r="D72" i="25"/>
  <c r="D71" i="25"/>
  <c r="D70" i="25"/>
  <c r="D69" i="25"/>
  <c r="D68" i="25"/>
  <c r="D67" i="25"/>
  <c r="D66" i="25"/>
  <c r="D65" i="25"/>
  <c r="D64"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D35" i="25"/>
  <c r="D34" i="25"/>
  <c r="P40" i="30" s="1"/>
  <c r="D33" i="25"/>
  <c r="D32" i="25"/>
  <c r="D31" i="25"/>
  <c r="P39" i="30" s="1"/>
  <c r="D30" i="25"/>
  <c r="D29" i="25"/>
  <c r="D28" i="25"/>
  <c r="D27" i="25"/>
  <c r="P27" i="30" s="1"/>
  <c r="D26" i="25"/>
  <c r="D24" i="25"/>
  <c r="D23" i="25"/>
  <c r="D22" i="25"/>
  <c r="D21" i="25"/>
  <c r="D20" i="25"/>
  <c r="D19" i="25"/>
  <c r="D18" i="25"/>
  <c r="D17" i="25"/>
  <c r="D16" i="25"/>
  <c r="D15" i="25"/>
  <c r="D14" i="25"/>
  <c r="D13" i="25"/>
  <c r="D12" i="25"/>
  <c r="D11" i="25"/>
  <c r="D10" i="25"/>
  <c r="D9" i="25"/>
  <c r="D8" i="25"/>
  <c r="D7" i="25"/>
  <c r="D6" i="25"/>
  <c r="D5" i="25"/>
  <c r="P7" i="30" s="1"/>
  <c r="D4" i="25"/>
  <c r="D3" i="25"/>
  <c r="D2" i="25"/>
  <c r="C89" i="25" l="1"/>
  <c r="C92" i="25"/>
  <c r="C95" i="25"/>
  <c r="C90" i="25"/>
  <c r="C93" i="25"/>
  <c r="C96" i="25"/>
  <c r="C88" i="25"/>
  <c r="C91" i="25"/>
  <c r="C94" i="25"/>
  <c r="D197" i="36"/>
  <c r="D200" i="36"/>
  <c r="D203" i="36"/>
  <c r="D206" i="36"/>
  <c r="D209" i="36"/>
  <c r="D212" i="36"/>
  <c r="D215" i="36"/>
  <c r="D218" i="36"/>
  <c r="D221" i="36"/>
  <c r="D224" i="36"/>
  <c r="D227" i="36"/>
  <c r="D202" i="36"/>
  <c r="D208" i="36"/>
  <c r="D214" i="36"/>
  <c r="D220" i="36"/>
  <c r="D226" i="36"/>
  <c r="D198" i="36"/>
  <c r="D201" i="36"/>
  <c r="D204" i="36"/>
  <c r="D207" i="36"/>
  <c r="D210" i="36"/>
  <c r="D213" i="36"/>
  <c r="D216" i="36"/>
  <c r="D219" i="36"/>
  <c r="D222" i="36"/>
  <c r="D225" i="36"/>
  <c r="D228" i="36"/>
  <c r="D199" i="36"/>
  <c r="D205" i="36"/>
  <c r="D211" i="36"/>
  <c r="D217" i="36"/>
  <c r="D223" i="36"/>
  <c r="C87" i="25"/>
  <c r="P15" i="30"/>
  <c r="C86" i="25"/>
  <c r="P53" i="30"/>
  <c r="C83" i="25"/>
  <c r="C2" i="25"/>
  <c r="C79" i="25"/>
  <c r="C76" i="25"/>
  <c r="C78" i="25"/>
  <c r="C77" i="25"/>
  <c r="C80" i="25"/>
  <c r="C74" i="25"/>
  <c r="C72" i="25"/>
  <c r="C75" i="25"/>
  <c r="C73" i="25"/>
  <c r="C82" i="25"/>
  <c r="C81" i="25"/>
  <c r="C84" i="25"/>
  <c r="C85" i="25"/>
  <c r="D193" i="36"/>
  <c r="D8" i="36"/>
  <c r="D104" i="36"/>
  <c r="D190" i="36"/>
  <c r="D40" i="36"/>
  <c r="D64" i="36"/>
  <c r="D96" i="36"/>
  <c r="D194" i="36"/>
  <c r="D16" i="36"/>
  <c r="D112" i="36"/>
  <c r="D191" i="36"/>
  <c r="D136" i="36"/>
  <c r="D176" i="36"/>
  <c r="D182" i="36"/>
  <c r="D195" i="36"/>
  <c r="D24" i="36"/>
  <c r="D120" i="36"/>
  <c r="D192" i="36"/>
  <c r="D72" i="36"/>
  <c r="D88" i="36"/>
  <c r="D196" i="36"/>
  <c r="D32" i="36"/>
  <c r="D128" i="36"/>
  <c r="D3" i="36"/>
  <c r="D152" i="36"/>
  <c r="D168" i="36"/>
  <c r="D48" i="36"/>
  <c r="D144" i="36"/>
  <c r="D56" i="36"/>
  <c r="D160" i="36"/>
  <c r="D80" i="36"/>
  <c r="D184" i="36"/>
  <c r="D9" i="36"/>
  <c r="D119" i="36"/>
  <c r="D23" i="36"/>
  <c r="D102" i="36"/>
  <c r="D6" i="36"/>
  <c r="D93" i="36"/>
  <c r="D180" i="36"/>
  <c r="D84" i="36"/>
  <c r="D179" i="36"/>
  <c r="D83" i="36"/>
  <c r="D186" i="36"/>
  <c r="D90" i="36"/>
  <c r="D177" i="36"/>
  <c r="D81" i="36"/>
  <c r="D15" i="36"/>
  <c r="D94" i="36"/>
  <c r="D181" i="36"/>
  <c r="D85" i="36"/>
  <c r="D76" i="36"/>
  <c r="D75" i="36"/>
  <c r="D82" i="36"/>
  <c r="D73" i="36"/>
  <c r="D189" i="36"/>
  <c r="D5" i="36"/>
  <c r="D111" i="36"/>
  <c r="D172" i="36"/>
  <c r="D171" i="36"/>
  <c r="D178" i="36"/>
  <c r="D169" i="36"/>
  <c r="D106" i="36"/>
  <c r="D188" i="36"/>
  <c r="D103" i="36"/>
  <c r="D7" i="36"/>
  <c r="D86" i="36"/>
  <c r="D173" i="36"/>
  <c r="D77" i="36"/>
  <c r="D164" i="36"/>
  <c r="D68" i="36"/>
  <c r="D163" i="36"/>
  <c r="D67" i="36"/>
  <c r="D170" i="36"/>
  <c r="D74" i="36"/>
  <c r="D161" i="36"/>
  <c r="D65" i="36"/>
  <c r="D30" i="36"/>
  <c r="D107" i="36"/>
  <c r="D105" i="36"/>
  <c r="D118" i="36"/>
  <c r="D13" i="36"/>
  <c r="D99" i="36"/>
  <c r="D127" i="36"/>
  <c r="D14" i="36"/>
  <c r="D187" i="36"/>
  <c r="D89" i="36"/>
  <c r="D95" i="36"/>
  <c r="D174" i="36"/>
  <c r="D78" i="36"/>
  <c r="D165" i="36"/>
  <c r="D69" i="36"/>
  <c r="D156" i="36"/>
  <c r="D60" i="36"/>
  <c r="D155" i="36"/>
  <c r="D59" i="36"/>
  <c r="D162" i="36"/>
  <c r="D66" i="36"/>
  <c r="D153" i="36"/>
  <c r="D57" i="36"/>
  <c r="D26" i="36"/>
  <c r="D17" i="36"/>
  <c r="D108" i="36"/>
  <c r="D18" i="36"/>
  <c r="D39" i="36"/>
  <c r="D109" i="36"/>
  <c r="D4" i="36"/>
  <c r="D10" i="36"/>
  <c r="D31" i="36"/>
  <c r="D101" i="36"/>
  <c r="D91" i="36"/>
  <c r="D185" i="36"/>
  <c r="D183" i="36"/>
  <c r="D87" i="36"/>
  <c r="D166" i="36"/>
  <c r="D70" i="36"/>
  <c r="D157" i="36"/>
  <c r="D61" i="36"/>
  <c r="D148" i="36"/>
  <c r="D52" i="36"/>
  <c r="D147" i="36"/>
  <c r="D51" i="36"/>
  <c r="D154" i="36"/>
  <c r="D58" i="36"/>
  <c r="D145" i="36"/>
  <c r="D49" i="36"/>
  <c r="D124" i="36"/>
  <c r="D130" i="36"/>
  <c r="D121" i="36"/>
  <c r="D122" i="36"/>
  <c r="D143" i="36"/>
  <c r="D126" i="36"/>
  <c r="D21" i="36"/>
  <c r="D11" i="36"/>
  <c r="D175" i="36"/>
  <c r="D79" i="36"/>
  <c r="D158" i="36"/>
  <c r="D62" i="36"/>
  <c r="D149" i="36"/>
  <c r="D53" i="36"/>
  <c r="D140" i="36"/>
  <c r="D44" i="36"/>
  <c r="D139" i="36"/>
  <c r="D43" i="36"/>
  <c r="D146" i="36"/>
  <c r="D50" i="36"/>
  <c r="D137" i="36"/>
  <c r="D41" i="36"/>
  <c r="D167" i="36"/>
  <c r="D71" i="36"/>
  <c r="D150" i="36"/>
  <c r="D54" i="36"/>
  <c r="D141" i="36"/>
  <c r="D45" i="36"/>
  <c r="D132" i="36"/>
  <c r="D36" i="36"/>
  <c r="D131" i="36"/>
  <c r="D35" i="36"/>
  <c r="D138" i="36"/>
  <c r="D42" i="36"/>
  <c r="D129" i="36"/>
  <c r="D33" i="36"/>
  <c r="D159" i="36"/>
  <c r="D63" i="36"/>
  <c r="D142" i="36"/>
  <c r="D46" i="36"/>
  <c r="D133" i="36"/>
  <c r="D37" i="36"/>
  <c r="D28" i="36"/>
  <c r="D123" i="36"/>
  <c r="D27" i="36"/>
  <c r="D34" i="36"/>
  <c r="D25" i="36"/>
  <c r="D151" i="36"/>
  <c r="D55" i="36"/>
  <c r="D134" i="36"/>
  <c r="D38" i="36"/>
  <c r="D125" i="36"/>
  <c r="D29" i="36"/>
  <c r="D116" i="36"/>
  <c r="D20" i="36"/>
  <c r="D115" i="36"/>
  <c r="D19" i="36"/>
  <c r="D113" i="36"/>
  <c r="D47" i="36"/>
  <c r="D117" i="36"/>
  <c r="D12" i="36"/>
  <c r="D114" i="36"/>
  <c r="D135" i="36"/>
  <c r="D22" i="36"/>
  <c r="D100" i="36"/>
  <c r="D97" i="36"/>
  <c r="D110" i="36"/>
  <c r="D92" i="36"/>
  <c r="D98" i="36"/>
  <c r="C3" i="25"/>
  <c r="C11" i="25"/>
  <c r="C19" i="25"/>
  <c r="C27" i="25"/>
  <c r="C35" i="25"/>
  <c r="C43" i="25"/>
  <c r="C51" i="25"/>
  <c r="C65" i="25"/>
  <c r="C4" i="25"/>
  <c r="C12" i="25"/>
  <c r="C20" i="25"/>
  <c r="C28" i="25"/>
  <c r="C36" i="25"/>
  <c r="C44" i="25"/>
  <c r="C52" i="25"/>
  <c r="C66" i="25"/>
  <c r="C64" i="25"/>
  <c r="C5" i="25"/>
  <c r="C13" i="25"/>
  <c r="C21" i="25"/>
  <c r="C29" i="25"/>
  <c r="C37" i="25"/>
  <c r="C45" i="25"/>
  <c r="C53" i="25"/>
  <c r="C59" i="25"/>
  <c r="C67" i="25"/>
  <c r="C23" i="25"/>
  <c r="C31" i="25"/>
  <c r="C47" i="25"/>
  <c r="C61" i="25"/>
  <c r="C16" i="25"/>
  <c r="C24" i="25"/>
  <c r="C40" i="25"/>
  <c r="C48" i="25"/>
  <c r="C62" i="25"/>
  <c r="C17" i="25"/>
  <c r="C25" i="25"/>
  <c r="C41" i="25"/>
  <c r="C63" i="25"/>
  <c r="C71" i="25"/>
  <c r="C10" i="25"/>
  <c r="C26" i="25"/>
  <c r="C42" i="25"/>
  <c r="C58" i="25"/>
  <c r="C6" i="25"/>
  <c r="C14" i="25"/>
  <c r="C22" i="25"/>
  <c r="C30" i="25"/>
  <c r="C38" i="25"/>
  <c r="C46" i="25"/>
  <c r="C54" i="25"/>
  <c r="C60" i="25"/>
  <c r="C68" i="25"/>
  <c r="C15" i="25"/>
  <c r="C39" i="25"/>
  <c r="C55" i="25"/>
  <c r="C69" i="25"/>
  <c r="C32" i="25"/>
  <c r="C56" i="25"/>
  <c r="C70" i="25"/>
  <c r="C9" i="25"/>
  <c r="C33" i="25"/>
  <c r="C49" i="25"/>
  <c r="C57" i="25"/>
  <c r="C18" i="25"/>
  <c r="C34" i="25"/>
  <c r="C50" i="25"/>
  <c r="C7" i="25"/>
  <c r="C8" i="25"/>
  <c r="W8" i="13" l="1"/>
  <c r="F2" i="13"/>
  <c r="AS2" i="13"/>
  <c r="AX2" i="13"/>
  <c r="AZ2" i="13"/>
  <c r="BB2" i="13"/>
  <c r="BD2" i="13"/>
  <c r="BF2" i="13"/>
  <c r="BH2" i="13"/>
  <c r="BJ2" i="13"/>
  <c r="BN2" i="13"/>
  <c r="BR2" i="13"/>
  <c r="BV2" i="13"/>
  <c r="BZ2" i="13"/>
  <c r="CB2" i="13"/>
  <c r="CN2" i="13"/>
  <c r="CT2" i="13"/>
  <c r="F3" i="13"/>
  <c r="AS3" i="13"/>
  <c r="AX3" i="13"/>
  <c r="AZ3" i="13"/>
  <c r="BB3" i="13"/>
  <c r="BD3" i="13"/>
  <c r="BF3" i="13"/>
  <c r="BH3" i="13"/>
  <c r="BJ3" i="13"/>
  <c r="BN3" i="13"/>
  <c r="BR3" i="13"/>
  <c r="BV3" i="13"/>
  <c r="BZ3" i="13"/>
  <c r="CB3" i="13"/>
  <c r="CN3" i="13"/>
  <c r="CT3" i="13"/>
  <c r="F4" i="13"/>
  <c r="AS4" i="13"/>
  <c r="AX4" i="13"/>
  <c r="AZ4" i="13"/>
  <c r="BB4" i="13"/>
  <c r="BD4" i="13"/>
  <c r="BF4" i="13"/>
  <c r="BH4" i="13"/>
  <c r="BJ4" i="13"/>
  <c r="BN4" i="13"/>
  <c r="BR4" i="13"/>
  <c r="BV4" i="13"/>
  <c r="BZ4" i="13"/>
  <c r="CB4" i="13"/>
  <c r="CN4" i="13"/>
  <c r="CT4" i="13"/>
  <c r="F5" i="13"/>
  <c r="AS5" i="13"/>
  <c r="AX5" i="13"/>
  <c r="AZ5" i="13"/>
  <c r="BB5" i="13"/>
  <c r="BF5" i="13"/>
  <c r="BH5" i="13"/>
  <c r="BJ5" i="13"/>
  <c r="BN5" i="13"/>
  <c r="BR5" i="13"/>
  <c r="BV5" i="13"/>
  <c r="BZ5" i="13"/>
  <c r="CB5" i="13"/>
  <c r="CN5" i="13"/>
  <c r="CT5" i="13"/>
  <c r="F6" i="13"/>
  <c r="AS6" i="13"/>
  <c r="AX6" i="13"/>
  <c r="AZ6" i="13"/>
  <c r="BB6" i="13"/>
  <c r="BF6" i="13"/>
  <c r="BH6" i="13"/>
  <c r="BJ6" i="13"/>
  <c r="BN6" i="13"/>
  <c r="BR6" i="13"/>
  <c r="BV6" i="13"/>
  <c r="BZ6" i="13"/>
  <c r="CB6" i="13"/>
  <c r="CN6" i="13"/>
  <c r="CT6" i="13"/>
  <c r="F7" i="13"/>
  <c r="AS7" i="13"/>
  <c r="AX7" i="13"/>
  <c r="AZ7" i="13"/>
  <c r="BB7" i="13"/>
  <c r="BF7" i="13"/>
  <c r="BH7" i="13"/>
  <c r="BJ7" i="13"/>
  <c r="BN7" i="13"/>
  <c r="BR7" i="13"/>
  <c r="BV7" i="13"/>
  <c r="BZ7" i="13"/>
  <c r="CB7" i="13"/>
  <c r="CN7" i="13"/>
  <c r="CT7" i="13"/>
  <c r="F8" i="13"/>
  <c r="AS8" i="13"/>
  <c r="AX8" i="13"/>
  <c r="AZ8" i="13"/>
  <c r="BF8" i="13"/>
  <c r="BH8" i="13"/>
  <c r="BJ8" i="13"/>
  <c r="BN8" i="13"/>
  <c r="BR8" i="13"/>
  <c r="BV8" i="13"/>
  <c r="BZ8" i="13"/>
  <c r="CB8" i="13"/>
  <c r="CN8" i="13"/>
  <c r="CT8" i="13"/>
  <c r="F9" i="13"/>
  <c r="AS9" i="13"/>
  <c r="AX9" i="13"/>
  <c r="AZ9" i="13"/>
  <c r="BF9" i="13"/>
  <c r="BH9" i="13"/>
  <c r="BR9" i="13"/>
  <c r="BV9" i="13"/>
  <c r="BZ9" i="13"/>
  <c r="CB9" i="13"/>
  <c r="CT9" i="13"/>
  <c r="F10" i="13"/>
  <c r="AS10" i="13"/>
  <c r="AX10" i="13"/>
  <c r="BF10" i="13"/>
  <c r="BR10" i="13"/>
  <c r="BV10" i="13"/>
  <c r="BZ10" i="13"/>
  <c r="CB10" i="13"/>
  <c r="F11" i="13"/>
  <c r="AS11" i="13"/>
  <c r="AX11" i="13"/>
  <c r="BF11" i="13"/>
  <c r="BR11" i="13"/>
  <c r="BV11" i="13"/>
  <c r="BZ11" i="13"/>
  <c r="CB11" i="13"/>
  <c r="F12" i="13"/>
  <c r="AS12" i="13"/>
  <c r="AX12" i="13"/>
  <c r="BF12" i="13"/>
  <c r="BR12" i="13"/>
  <c r="BV12" i="13"/>
  <c r="BZ12" i="13"/>
  <c r="CB12" i="13"/>
  <c r="F13" i="13"/>
  <c r="AS13" i="13"/>
  <c r="BF13" i="13"/>
  <c r="BR13" i="13"/>
  <c r="BV13" i="13"/>
  <c r="BZ13" i="13"/>
  <c r="CB13" i="13"/>
  <c r="F14" i="13"/>
  <c r="AS14" i="13"/>
  <c r="BF14" i="13"/>
  <c r="BR14" i="13"/>
  <c r="BV14" i="13"/>
  <c r="BZ14" i="13"/>
  <c r="CB14" i="13"/>
  <c r="F15" i="13"/>
  <c r="AS15" i="13"/>
  <c r="BF15" i="13"/>
  <c r="BR15" i="13"/>
  <c r="BV15" i="13"/>
  <c r="BZ15" i="13"/>
  <c r="CB15" i="13"/>
  <c r="F16" i="13"/>
  <c r="AS16" i="13"/>
  <c r="BF16" i="13"/>
  <c r="BR16" i="13"/>
  <c r="BV16" i="13"/>
  <c r="BZ16" i="13"/>
  <c r="CB16" i="13"/>
  <c r="F17" i="13"/>
  <c r="AS17" i="13"/>
  <c r="BF17" i="13"/>
  <c r="BZ17" i="13"/>
  <c r="F18" i="13"/>
  <c r="AS18" i="13"/>
  <c r="BZ18" i="13"/>
  <c r="F19" i="13"/>
  <c r="AS19" i="13"/>
  <c r="BZ19" i="13"/>
  <c r="F20" i="13"/>
  <c r="AS20" i="13"/>
  <c r="BZ20" i="13"/>
  <c r="F21" i="13"/>
  <c r="AS21" i="13"/>
  <c r="BZ21" i="13"/>
  <c r="F22" i="13"/>
  <c r="AS22" i="13"/>
  <c r="F23" i="13"/>
  <c r="AS23" i="13"/>
  <c r="F24" i="13"/>
  <c r="AS24" i="13"/>
  <c r="F25" i="13"/>
  <c r="AS25" i="13"/>
  <c r="F26" i="13"/>
  <c r="AS26" i="13"/>
  <c r="F27" i="13"/>
  <c r="AS27" i="13"/>
  <c r="F28" i="13"/>
  <c r="AS28" i="13"/>
  <c r="F29" i="13"/>
  <c r="AS29" i="13"/>
  <c r="F30" i="13"/>
  <c r="AS30" i="13"/>
  <c r="F31" i="13"/>
  <c r="AS31" i="13"/>
  <c r="F32" i="13"/>
  <c r="AS32" i="13"/>
  <c r="F33" i="13"/>
  <c r="AS33" i="13"/>
  <c r="F34" i="13"/>
  <c r="AS34" i="13"/>
  <c r="F35" i="13"/>
  <c r="AS35" i="13"/>
  <c r="F36" i="13"/>
  <c r="AS36" i="13"/>
  <c r="F37" i="13"/>
  <c r="AS37" i="13"/>
  <c r="F38" i="13"/>
  <c r="AS38" i="13"/>
  <c r="F39" i="13"/>
  <c r="AS39" i="13"/>
  <c r="F40" i="13"/>
  <c r="AS40" i="13"/>
  <c r="F41" i="13"/>
  <c r="AS41" i="13"/>
  <c r="F42" i="13"/>
  <c r="AS42" i="13"/>
  <c r="F43" i="13"/>
  <c r="AS43" i="13"/>
  <c r="F44" i="13"/>
  <c r="AS44" i="13"/>
  <c r="F45" i="13"/>
  <c r="AS45" i="13"/>
  <c r="F46" i="13"/>
  <c r="AS46" i="13"/>
  <c r="F47" i="13"/>
  <c r="AS47" i="13"/>
  <c r="F48" i="13"/>
  <c r="AS48" i="13"/>
  <c r="F49" i="13"/>
  <c r="AS49" i="13"/>
  <c r="F50" i="13"/>
  <c r="AS50" i="13"/>
  <c r="F51" i="13"/>
  <c r="AS51" i="13"/>
  <c r="F52" i="13"/>
  <c r="AS52" i="13"/>
  <c r="F53" i="13"/>
  <c r="AS53" i="13"/>
  <c r="F54" i="13"/>
  <c r="AS54" i="13"/>
  <c r="F55" i="13"/>
  <c r="AS55" i="13"/>
  <c r="F56" i="13"/>
  <c r="AS56" i="13"/>
  <c r="F57" i="13"/>
  <c r="AS57" i="13"/>
  <c r="F58" i="13"/>
  <c r="AS58" i="13"/>
  <c r="F59" i="13"/>
  <c r="AS59" i="13"/>
  <c r="F60" i="13"/>
  <c r="AS60" i="13"/>
  <c r="F61" i="13"/>
  <c r="AS61" i="13"/>
  <c r="F62" i="13"/>
  <c r="AS62" i="13"/>
  <c r="F63" i="13"/>
  <c r="AS63" i="13"/>
  <c r="F64" i="13"/>
  <c r="AS64" i="13"/>
  <c r="F65" i="13"/>
  <c r="AS65" i="13"/>
  <c r="F66" i="13"/>
  <c r="AS66" i="13"/>
  <c r="F67" i="13"/>
  <c r="AS67" i="13"/>
  <c r="F68" i="13"/>
  <c r="AS68" i="13"/>
  <c r="F69" i="13"/>
  <c r="AS69" i="13"/>
  <c r="F70" i="13"/>
  <c r="AS70" i="13"/>
  <c r="F71" i="13"/>
  <c r="AS71" i="13"/>
  <c r="F72" i="13"/>
  <c r="AS72" i="13"/>
  <c r="F73" i="13"/>
  <c r="AS73" i="13"/>
  <c r="F74" i="13"/>
  <c r="AS74" i="13"/>
  <c r="F75" i="13"/>
  <c r="AS75" i="13"/>
  <c r="F76" i="13"/>
  <c r="AS76" i="13"/>
  <c r="F77" i="13"/>
  <c r="AS77" i="13"/>
  <c r="F78" i="13"/>
  <c r="AS78" i="13"/>
  <c r="F79" i="13"/>
  <c r="AS79" i="13"/>
  <c r="F80" i="13"/>
  <c r="AS80" i="13"/>
  <c r="F81" i="13"/>
  <c r="AS81" i="13"/>
  <c r="D94" i="23" l="1"/>
  <c r="D126" i="23"/>
  <c r="D11" i="23"/>
  <c r="D61" i="23"/>
  <c r="D27" i="23"/>
  <c r="D127" i="23"/>
  <c r="D6" i="23"/>
  <c r="D42" i="23"/>
  <c r="D3" i="23"/>
  <c r="D120" i="23"/>
  <c r="D96" i="23"/>
  <c r="D87" i="23"/>
  <c r="D79" i="23"/>
  <c r="D71" i="23"/>
  <c r="D63" i="23"/>
  <c r="D54" i="23"/>
  <c r="D46" i="23"/>
  <c r="D37" i="23"/>
  <c r="D29" i="23"/>
  <c r="D21" i="23"/>
  <c r="D13" i="23"/>
  <c r="D136" i="23"/>
  <c r="D128" i="23"/>
  <c r="D119" i="23"/>
  <c r="D111" i="23"/>
  <c r="D103" i="23"/>
  <c r="D95" i="23"/>
  <c r="D86" i="23"/>
  <c r="D78" i="23"/>
  <c r="D70" i="23"/>
  <c r="D62" i="23"/>
  <c r="D53" i="23"/>
  <c r="D45" i="23"/>
  <c r="D36" i="23"/>
  <c r="D28" i="23"/>
  <c r="D20" i="23"/>
  <c r="D12" i="23"/>
  <c r="D60" i="23"/>
  <c r="D134" i="23"/>
  <c r="D125" i="23"/>
  <c r="D117" i="23"/>
  <c r="D109" i="23"/>
  <c r="D101" i="23"/>
  <c r="D92" i="23"/>
  <c r="D84" i="23"/>
  <c r="D76" i="23"/>
  <c r="D68" i="23"/>
  <c r="D59" i="23"/>
  <c r="D51" i="23"/>
  <c r="D43" i="23"/>
  <c r="D34" i="23"/>
  <c r="D26" i="23"/>
  <c r="D18" i="23"/>
  <c r="D10" i="23"/>
  <c r="D112" i="23"/>
  <c r="D110" i="23"/>
  <c r="D77" i="23"/>
  <c r="D44" i="23"/>
  <c r="D35" i="23"/>
  <c r="D133" i="23"/>
  <c r="D124" i="23"/>
  <c r="D116" i="23"/>
  <c r="D108" i="23"/>
  <c r="D100" i="23"/>
  <c r="D91" i="23"/>
  <c r="D83" i="23"/>
  <c r="D75" i="23"/>
  <c r="D67" i="23"/>
  <c r="D58" i="23"/>
  <c r="D50" i="23"/>
  <c r="D41" i="23"/>
  <c r="D33" i="23"/>
  <c r="D25" i="23"/>
  <c r="D17" i="23"/>
  <c r="D9" i="23"/>
  <c r="D129" i="23"/>
  <c r="D118" i="23"/>
  <c r="D93" i="23"/>
  <c r="D52" i="23"/>
  <c r="D19" i="23"/>
  <c r="D132" i="23"/>
  <c r="D123" i="23"/>
  <c r="D115" i="23"/>
  <c r="D107" i="23"/>
  <c r="D99" i="23"/>
  <c r="D90" i="23"/>
  <c r="D82" i="23"/>
  <c r="D74" i="23"/>
  <c r="D66" i="23"/>
  <c r="D57" i="23"/>
  <c r="D49" i="23"/>
  <c r="D40" i="23"/>
  <c r="D32" i="23"/>
  <c r="D24" i="23"/>
  <c r="D16" i="23"/>
  <c r="D8" i="23"/>
  <c r="D104" i="23"/>
  <c r="D135" i="23"/>
  <c r="D102" i="23"/>
  <c r="D85" i="23"/>
  <c r="D69" i="23"/>
  <c r="D5" i="23"/>
  <c r="D131" i="23"/>
  <c r="D122" i="23"/>
  <c r="D114" i="23"/>
  <c r="D106" i="23"/>
  <c r="D98" i="23"/>
  <c r="D89" i="23"/>
  <c r="D81" i="23"/>
  <c r="D73" i="23"/>
  <c r="D65" i="23"/>
  <c r="D56" i="23"/>
  <c r="D48" i="23"/>
  <c r="D39" i="23"/>
  <c r="D31" i="23"/>
  <c r="D23" i="23"/>
  <c r="D15" i="23"/>
  <c r="D7" i="23"/>
  <c r="D4" i="23"/>
  <c r="D130" i="23"/>
  <c r="D121" i="23"/>
  <c r="D113" i="23"/>
  <c r="D105" i="23"/>
  <c r="D97" i="23"/>
  <c r="D88" i="23"/>
  <c r="D80" i="23"/>
  <c r="D72" i="23"/>
  <c r="D64" i="23"/>
  <c r="D55" i="23"/>
  <c r="D47" i="23"/>
  <c r="D38" i="23"/>
  <c r="D30" i="23"/>
  <c r="D22" i="23"/>
  <c r="D14" i="23"/>
  <c r="N44" i="19"/>
  <c r="O44" i="19"/>
  <c r="N45" i="19"/>
  <c r="O45" i="19"/>
  <c r="N46" i="19"/>
  <c r="O46" i="19"/>
  <c r="N47" i="19"/>
  <c r="O47" i="19"/>
  <c r="N48" i="19"/>
  <c r="O48" i="19"/>
  <c r="N623" i="19"/>
  <c r="O623" i="19"/>
  <c r="N615" i="19"/>
  <c r="O615" i="19"/>
  <c r="N607" i="19"/>
  <c r="O607" i="19"/>
  <c r="N552" i="19"/>
  <c r="O552" i="19"/>
  <c r="N204" i="19"/>
  <c r="O204" i="19"/>
  <c r="N196" i="19"/>
  <c r="O196" i="19"/>
  <c r="N188" i="19"/>
  <c r="O188" i="19"/>
  <c r="N141" i="19"/>
  <c r="O141" i="19"/>
  <c r="N57" i="19"/>
  <c r="O57" i="19"/>
  <c r="N49" i="19"/>
  <c r="O49" i="19"/>
  <c r="N123" i="35"/>
  <c r="N124" i="35"/>
  <c r="N125" i="35"/>
  <c r="N126" i="35"/>
  <c r="N127" i="35"/>
  <c r="N128" i="35"/>
  <c r="N129" i="35"/>
  <c r="N130" i="35"/>
  <c r="N131" i="35"/>
  <c r="N122" i="35"/>
  <c r="D327" i="35"/>
  <c r="D324" i="35"/>
  <c r="C274" i="35"/>
  <c r="D328" i="35"/>
  <c r="D330" i="35"/>
  <c r="D326" i="35"/>
  <c r="O321" i="35"/>
  <c r="N321" i="35"/>
  <c r="O320" i="35"/>
  <c r="N320" i="35"/>
  <c r="O319" i="35"/>
  <c r="N319" i="35"/>
  <c r="O318" i="35"/>
  <c r="N318" i="35"/>
  <c r="O317" i="35"/>
  <c r="N317" i="35"/>
  <c r="O316" i="35"/>
  <c r="N316" i="35"/>
  <c r="O315" i="35"/>
  <c r="N315" i="35"/>
  <c r="O314" i="35"/>
  <c r="N314" i="35"/>
  <c r="O313" i="35"/>
  <c r="N313" i="35"/>
  <c r="O312" i="35"/>
  <c r="N312" i="35"/>
  <c r="O311" i="35"/>
  <c r="N311" i="35"/>
  <c r="O310" i="35"/>
  <c r="N310" i="35"/>
  <c r="O309" i="35"/>
  <c r="N309" i="35"/>
  <c r="O308" i="35"/>
  <c r="N308" i="35"/>
  <c r="O307" i="35"/>
  <c r="N307" i="35"/>
  <c r="O306" i="35"/>
  <c r="N306" i="35"/>
  <c r="O305" i="35"/>
  <c r="N305" i="35"/>
  <c r="O304" i="35"/>
  <c r="N304" i="35"/>
  <c r="O303" i="35"/>
  <c r="N303" i="35"/>
  <c r="O302" i="35"/>
  <c r="N302" i="35"/>
  <c r="O301" i="35"/>
  <c r="N301" i="35"/>
  <c r="O300" i="35"/>
  <c r="N300" i="35"/>
  <c r="O299" i="35"/>
  <c r="N299" i="35"/>
  <c r="O298" i="35"/>
  <c r="N298" i="35"/>
  <c r="O297" i="35"/>
  <c r="N297" i="35"/>
  <c r="O296" i="35"/>
  <c r="N296" i="35"/>
  <c r="O295" i="35"/>
  <c r="N295" i="35"/>
  <c r="O294" i="35"/>
  <c r="N294" i="35"/>
  <c r="O293" i="35"/>
  <c r="N293" i="35"/>
  <c r="O292" i="35"/>
  <c r="N292" i="35"/>
  <c r="O291" i="35"/>
  <c r="N291" i="35"/>
  <c r="O290" i="35"/>
  <c r="N290" i="35"/>
  <c r="O289" i="35"/>
  <c r="N289" i="35"/>
  <c r="O288" i="35"/>
  <c r="N288" i="35"/>
  <c r="O287" i="35"/>
  <c r="N287" i="35"/>
  <c r="O286" i="35"/>
  <c r="N286" i="35"/>
  <c r="O285" i="35"/>
  <c r="N285" i="35"/>
  <c r="O284" i="35"/>
  <c r="N284" i="35"/>
  <c r="O283" i="35"/>
  <c r="N283" i="35"/>
  <c r="O282" i="35"/>
  <c r="N282" i="35"/>
  <c r="O281" i="35"/>
  <c r="N281" i="35"/>
  <c r="O280" i="35"/>
  <c r="N280" i="35"/>
  <c r="O279" i="35"/>
  <c r="N279" i="35"/>
  <c r="O278" i="35"/>
  <c r="N278" i="35"/>
  <c r="O277" i="35"/>
  <c r="N277" i="35"/>
  <c r="D332" i="35" l="1"/>
  <c r="E324" i="35" s="1"/>
  <c r="G331" i="35" s="1"/>
  <c r="P4" i="30"/>
  <c r="O4" i="30"/>
  <c r="E327" i="35" l="1"/>
  <c r="G327" i="35" s="1"/>
  <c r="E331" i="35"/>
  <c r="G324" i="35" s="1"/>
  <c r="E323" i="35"/>
  <c r="E325" i="35"/>
  <c r="G330" i="35" s="1"/>
  <c r="E329" i="35"/>
  <c r="G326" i="35" s="1"/>
  <c r="E326" i="35"/>
  <c r="G329" i="35" s="1"/>
  <c r="E330" i="35"/>
  <c r="G323" i="35" s="1"/>
  <c r="E328" i="35"/>
  <c r="G325" i="35" s="1"/>
  <c r="R4" i="30"/>
  <c r="R9" i="30"/>
  <c r="R5" i="30"/>
  <c r="R13" i="30"/>
  <c r="R21" i="30"/>
  <c r="R29" i="30"/>
  <c r="R37" i="30"/>
  <c r="R45" i="30"/>
  <c r="R53" i="30"/>
  <c r="R61" i="30"/>
  <c r="R69" i="30"/>
  <c r="R77" i="30"/>
  <c r="R78" i="30"/>
  <c r="R46" i="30"/>
  <c r="R7" i="30"/>
  <c r="R15" i="30"/>
  <c r="R23" i="30"/>
  <c r="R31" i="30"/>
  <c r="R39" i="30"/>
  <c r="R47" i="30"/>
  <c r="R55" i="30"/>
  <c r="R63" i="30"/>
  <c r="R71" i="30"/>
  <c r="R79" i="30"/>
  <c r="R14" i="30"/>
  <c r="R70" i="30"/>
  <c r="R8" i="30"/>
  <c r="R16" i="30"/>
  <c r="R24" i="30"/>
  <c r="R32" i="30"/>
  <c r="R40" i="30"/>
  <c r="R48" i="30"/>
  <c r="R56" i="30"/>
  <c r="R64" i="30"/>
  <c r="R72" i="30"/>
  <c r="R80" i="30"/>
  <c r="R22" i="30"/>
  <c r="R62" i="30"/>
  <c r="R132" i="30"/>
  <c r="R17" i="30"/>
  <c r="R25" i="30"/>
  <c r="R33" i="30"/>
  <c r="R41" i="30"/>
  <c r="R49" i="30"/>
  <c r="R57" i="30"/>
  <c r="R65" i="30"/>
  <c r="R73" i="30"/>
  <c r="R6" i="30"/>
  <c r="R30" i="30"/>
  <c r="R38" i="30"/>
  <c r="R54" i="30"/>
  <c r="R85" i="30"/>
  <c r="R11" i="30"/>
  <c r="R19" i="30"/>
  <c r="R27" i="30"/>
  <c r="R35" i="30"/>
  <c r="R43" i="30"/>
  <c r="R51" i="30"/>
  <c r="R59" i="30"/>
  <c r="R67" i="30"/>
  <c r="R75" i="30"/>
  <c r="R204" i="30"/>
  <c r="R156" i="30"/>
  <c r="R148" i="30"/>
  <c r="R124" i="30"/>
  <c r="R100" i="30"/>
  <c r="R92" i="30"/>
  <c r="R84" i="30"/>
  <c r="R76" i="30"/>
  <c r="R68" i="30"/>
  <c r="R60" i="30"/>
  <c r="R52" i="30"/>
  <c r="R44" i="30"/>
  <c r="R36" i="30"/>
  <c r="R28" i="30"/>
  <c r="R20" i="30"/>
  <c r="R12" i="30"/>
  <c r="R235" i="30"/>
  <c r="R227" i="30"/>
  <c r="R219" i="30"/>
  <c r="R211" i="30"/>
  <c r="R203" i="30"/>
  <c r="R195" i="30"/>
  <c r="R187" i="30"/>
  <c r="R179" i="30"/>
  <c r="R171" i="30"/>
  <c r="R163" i="30"/>
  <c r="R155" i="30"/>
  <c r="R147" i="30"/>
  <c r="R139" i="30"/>
  <c r="R131" i="30"/>
  <c r="R123" i="30"/>
  <c r="R115" i="30"/>
  <c r="R107" i="30"/>
  <c r="R99" i="30"/>
  <c r="R91" i="30"/>
  <c r="R83" i="30"/>
  <c r="R196" i="30"/>
  <c r="R172" i="30"/>
  <c r="R140" i="30"/>
  <c r="R234" i="30"/>
  <c r="R202" i="30"/>
  <c r="R170" i="30"/>
  <c r="R138" i="30"/>
  <c r="R106" i="30"/>
  <c r="R74" i="30"/>
  <c r="R42" i="30"/>
  <c r="R10" i="30"/>
  <c r="R209" i="30"/>
  <c r="R177" i="30"/>
  <c r="R145" i="30"/>
  <c r="R129" i="30"/>
  <c r="R97" i="30"/>
  <c r="R232" i="30"/>
  <c r="R224" i="30"/>
  <c r="R216" i="30"/>
  <c r="R208" i="30"/>
  <c r="R200" i="30"/>
  <c r="R192" i="30"/>
  <c r="R184" i="30"/>
  <c r="R176" i="30"/>
  <c r="R168" i="30"/>
  <c r="R160" i="30"/>
  <c r="R152" i="30"/>
  <c r="R144" i="30"/>
  <c r="R136" i="30"/>
  <c r="R128" i="30"/>
  <c r="R120" i="30"/>
  <c r="R112" i="30"/>
  <c r="R104" i="30"/>
  <c r="R96" i="30"/>
  <c r="R88" i="30"/>
  <c r="R220" i="30"/>
  <c r="R164" i="30"/>
  <c r="R108" i="30"/>
  <c r="R226" i="30"/>
  <c r="R194" i="30"/>
  <c r="R162" i="30"/>
  <c r="R122" i="30"/>
  <c r="R82" i="30"/>
  <c r="R58" i="30"/>
  <c r="R26" i="30"/>
  <c r="R225" i="30"/>
  <c r="R193" i="30"/>
  <c r="R153" i="30"/>
  <c r="R113" i="30"/>
  <c r="R89" i="30"/>
  <c r="R231" i="30"/>
  <c r="R223" i="30"/>
  <c r="R215" i="30"/>
  <c r="R207" i="30"/>
  <c r="R199" i="30"/>
  <c r="R191" i="30"/>
  <c r="R183" i="30"/>
  <c r="R175" i="30"/>
  <c r="R167" i="30"/>
  <c r="R159" i="30"/>
  <c r="R151" i="30"/>
  <c r="R143" i="30"/>
  <c r="R135" i="30"/>
  <c r="R127" i="30"/>
  <c r="R119" i="30"/>
  <c r="R111" i="30"/>
  <c r="R103" i="30"/>
  <c r="R95" i="30"/>
  <c r="R87" i="30"/>
  <c r="R228" i="30"/>
  <c r="R180" i="30"/>
  <c r="R116" i="30"/>
  <c r="R218" i="30"/>
  <c r="R186" i="30"/>
  <c r="R154" i="30"/>
  <c r="R114" i="30"/>
  <c r="R90" i="30"/>
  <c r="R50" i="30"/>
  <c r="R18" i="30"/>
  <c r="R233" i="30"/>
  <c r="R201" i="30"/>
  <c r="R161" i="30"/>
  <c r="R121" i="30"/>
  <c r="R81" i="30"/>
  <c r="R230" i="30"/>
  <c r="R222" i="30"/>
  <c r="R214" i="30"/>
  <c r="R206" i="30"/>
  <c r="R198" i="30"/>
  <c r="R190" i="30"/>
  <c r="R182" i="30"/>
  <c r="R174" i="30"/>
  <c r="R166" i="30"/>
  <c r="R158" i="30"/>
  <c r="R150" i="30"/>
  <c r="R142" i="30"/>
  <c r="R134" i="30"/>
  <c r="R126" i="30"/>
  <c r="R118" i="30"/>
  <c r="R110" i="30"/>
  <c r="R102" i="30"/>
  <c r="R94" i="30"/>
  <c r="R86" i="30"/>
  <c r="R212" i="30"/>
  <c r="R188" i="30"/>
  <c r="R210" i="30"/>
  <c r="R178" i="30"/>
  <c r="R146" i="30"/>
  <c r="R130" i="30"/>
  <c r="R98" i="30"/>
  <c r="R66" i="30"/>
  <c r="R34" i="30"/>
  <c r="R217" i="30"/>
  <c r="R185" i="30"/>
  <c r="R169" i="30"/>
  <c r="R137" i="30"/>
  <c r="R105" i="30"/>
  <c r="R229" i="30"/>
  <c r="R221" i="30"/>
  <c r="R213" i="30"/>
  <c r="R205" i="30"/>
  <c r="R197" i="30"/>
  <c r="R189" i="30"/>
  <c r="R181" i="30"/>
  <c r="R173" i="30"/>
  <c r="R165" i="30"/>
  <c r="R157" i="30"/>
  <c r="R149" i="30"/>
  <c r="R141" i="30"/>
  <c r="R133" i="30"/>
  <c r="R125" i="30"/>
  <c r="R117" i="30"/>
  <c r="R109" i="30"/>
  <c r="R101" i="30"/>
  <c r="R93" i="30"/>
  <c r="G332" i="35" l="1"/>
  <c r="G333" i="35" s="1"/>
  <c r="E333" i="35"/>
  <c r="P103" i="19"/>
  <c r="P105" i="19"/>
  <c r="P96" i="19"/>
  <c r="P97" i="19"/>
  <c r="P162" i="19"/>
  <c r="P98" i="19"/>
  <c r="P99" i="19"/>
  <c r="P163" i="19"/>
  <c r="P243" i="19"/>
  <c r="P122" i="19"/>
  <c r="P81" i="19"/>
  <c r="A59" i="19"/>
  <c r="B59" i="19"/>
  <c r="C59" i="19"/>
  <c r="D59" i="19"/>
  <c r="F59" i="19"/>
  <c r="G59" i="19"/>
  <c r="A60" i="19"/>
  <c r="B60" i="19"/>
  <c r="C60" i="19"/>
  <c r="D60" i="19"/>
  <c r="F60" i="19"/>
  <c r="G60" i="19"/>
  <c r="A61" i="19"/>
  <c r="B61" i="19"/>
  <c r="C61" i="19"/>
  <c r="D61" i="19"/>
  <c r="F61" i="19"/>
  <c r="G61" i="19"/>
  <c r="A62" i="19"/>
  <c r="B62" i="19"/>
  <c r="C62" i="19"/>
  <c r="D62" i="19"/>
  <c r="F62" i="19"/>
  <c r="G62" i="19"/>
  <c r="A63" i="19"/>
  <c r="B63" i="19"/>
  <c r="C63" i="19"/>
  <c r="D63" i="19"/>
  <c r="F63" i="19"/>
  <c r="G63" i="19"/>
  <c r="A64" i="19"/>
  <c r="B64" i="19"/>
  <c r="C64" i="19"/>
  <c r="D64" i="19"/>
  <c r="F64" i="19"/>
  <c r="G64" i="19"/>
  <c r="A65" i="19"/>
  <c r="B65" i="19"/>
  <c r="C65" i="19"/>
  <c r="D65" i="19"/>
  <c r="F65" i="19"/>
  <c r="G65" i="19"/>
  <c r="A66" i="19"/>
  <c r="B66" i="19"/>
  <c r="C66" i="19"/>
  <c r="D66" i="19"/>
  <c r="F66" i="19"/>
  <c r="G66" i="19"/>
  <c r="A67" i="19"/>
  <c r="B67" i="19"/>
  <c r="C67" i="19"/>
  <c r="D67" i="19"/>
  <c r="F67" i="19"/>
  <c r="G67" i="19"/>
  <c r="A32" i="19"/>
  <c r="B32" i="19"/>
  <c r="C32" i="19"/>
  <c r="D32" i="19"/>
  <c r="F32" i="19"/>
  <c r="G32" i="19"/>
  <c r="A33" i="19"/>
  <c r="B33" i="19"/>
  <c r="C33" i="19"/>
  <c r="D33" i="19"/>
  <c r="F33" i="19"/>
  <c r="G33" i="19"/>
  <c r="A34" i="19"/>
  <c r="B34" i="19"/>
  <c r="C34" i="19"/>
  <c r="D34" i="19"/>
  <c r="F34" i="19"/>
  <c r="G34" i="19"/>
  <c r="A35" i="19"/>
  <c r="B35" i="19"/>
  <c r="C35" i="19"/>
  <c r="D35" i="19"/>
  <c r="F35" i="19"/>
  <c r="G35" i="19"/>
  <c r="A36" i="19"/>
  <c r="B36" i="19"/>
  <c r="C36" i="19"/>
  <c r="D36" i="19"/>
  <c r="F36" i="19"/>
  <c r="G36" i="19"/>
  <c r="A37" i="19"/>
  <c r="B37" i="19"/>
  <c r="C37" i="19"/>
  <c r="D37" i="19"/>
  <c r="F37" i="19"/>
  <c r="G37" i="19"/>
  <c r="A38" i="19"/>
  <c r="B38" i="19"/>
  <c r="C38" i="19"/>
  <c r="D38" i="19"/>
  <c r="F38" i="19"/>
  <c r="G38" i="19"/>
  <c r="A39" i="19"/>
  <c r="B39" i="19"/>
  <c r="C39" i="19"/>
  <c r="D39" i="19"/>
  <c r="F39" i="19"/>
  <c r="G39" i="19"/>
  <c r="A40" i="19"/>
  <c r="B40" i="19"/>
  <c r="C40" i="19"/>
  <c r="D40" i="19"/>
  <c r="F40" i="19"/>
  <c r="G40" i="19"/>
  <c r="A41" i="19"/>
  <c r="B41" i="19"/>
  <c r="C41" i="19"/>
  <c r="D41" i="19"/>
  <c r="F41" i="19"/>
  <c r="G41" i="19"/>
  <c r="A12" i="19"/>
  <c r="B12" i="19"/>
  <c r="C12" i="19"/>
  <c r="D12" i="19"/>
  <c r="F12" i="19"/>
  <c r="G12" i="19"/>
  <c r="A13" i="19"/>
  <c r="B13" i="19"/>
  <c r="C13" i="19"/>
  <c r="D13" i="19"/>
  <c r="F13" i="19"/>
  <c r="G13" i="19"/>
  <c r="A14" i="19"/>
  <c r="B14" i="19"/>
  <c r="C14" i="19"/>
  <c r="D14" i="19"/>
  <c r="F14" i="19"/>
  <c r="G14" i="19"/>
  <c r="A15" i="19"/>
  <c r="B15" i="19"/>
  <c r="C15" i="19"/>
  <c r="D15" i="19"/>
  <c r="F15" i="19"/>
  <c r="G15" i="19"/>
  <c r="A16" i="19"/>
  <c r="B16" i="19"/>
  <c r="C16" i="19"/>
  <c r="D16" i="19"/>
  <c r="F16" i="19"/>
  <c r="G16" i="19"/>
  <c r="A17" i="19"/>
  <c r="B17" i="19"/>
  <c r="C17" i="19"/>
  <c r="D17" i="19"/>
  <c r="F17" i="19"/>
  <c r="G17" i="19"/>
  <c r="A18" i="19"/>
  <c r="B18" i="19"/>
  <c r="C18" i="19"/>
  <c r="D18" i="19"/>
  <c r="F18" i="19"/>
  <c r="G18" i="19"/>
  <c r="A19" i="19"/>
  <c r="B19" i="19"/>
  <c r="C19" i="19"/>
  <c r="D19" i="19"/>
  <c r="F19" i="19"/>
  <c r="G19" i="19"/>
  <c r="A20" i="19"/>
  <c r="B20" i="19"/>
  <c r="C20" i="19"/>
  <c r="D20" i="19"/>
  <c r="F20" i="19"/>
  <c r="G20" i="19"/>
  <c r="A21" i="19"/>
  <c r="B21" i="19"/>
  <c r="C21" i="19"/>
  <c r="D21" i="19"/>
  <c r="F21" i="19"/>
  <c r="G21" i="19"/>
  <c r="A68" i="19"/>
  <c r="B68" i="19"/>
  <c r="C68" i="19"/>
  <c r="D68" i="19"/>
  <c r="F68" i="19"/>
  <c r="G68" i="19"/>
  <c r="A69" i="19"/>
  <c r="B69" i="19"/>
  <c r="C69" i="19"/>
  <c r="D69" i="19"/>
  <c r="F69" i="19"/>
  <c r="G69" i="19"/>
  <c r="A70" i="19"/>
  <c r="B70" i="19"/>
  <c r="C70" i="19"/>
  <c r="D70" i="19"/>
  <c r="F70" i="19"/>
  <c r="G70" i="19"/>
  <c r="A71" i="19"/>
  <c r="B71" i="19"/>
  <c r="C71" i="19"/>
  <c r="D71" i="19"/>
  <c r="F71" i="19"/>
  <c r="G71" i="19"/>
  <c r="A72" i="19"/>
  <c r="B72" i="19"/>
  <c r="C72" i="19"/>
  <c r="D72" i="19"/>
  <c r="F72" i="19"/>
  <c r="G72" i="19"/>
  <c r="A73" i="19"/>
  <c r="B73" i="19"/>
  <c r="C73" i="19"/>
  <c r="D73" i="19"/>
  <c r="F73" i="19"/>
  <c r="G73" i="19"/>
  <c r="A74" i="19"/>
  <c r="B74" i="19"/>
  <c r="C74" i="19"/>
  <c r="D74" i="19"/>
  <c r="F74" i="19"/>
  <c r="G74" i="19"/>
  <c r="A75" i="19"/>
  <c r="B75" i="19"/>
  <c r="C75" i="19"/>
  <c r="D75" i="19"/>
  <c r="F75" i="19"/>
  <c r="G75" i="19"/>
  <c r="A76" i="19"/>
  <c r="B76" i="19"/>
  <c r="C76" i="19"/>
  <c r="D76" i="19"/>
  <c r="F76" i="19"/>
  <c r="G76" i="19"/>
  <c r="A77" i="19"/>
  <c r="B77" i="19"/>
  <c r="C77" i="19"/>
  <c r="D77" i="19"/>
  <c r="F77" i="19"/>
  <c r="G77" i="19"/>
  <c r="A2" i="19"/>
  <c r="B2" i="19"/>
  <c r="C2" i="19"/>
  <c r="D2" i="19"/>
  <c r="F2" i="19"/>
  <c r="G2" i="19"/>
  <c r="A3" i="19"/>
  <c r="B3" i="19"/>
  <c r="C3" i="19"/>
  <c r="D3" i="19"/>
  <c r="F3" i="19"/>
  <c r="G3" i="19"/>
  <c r="A4" i="19"/>
  <c r="B4" i="19"/>
  <c r="C4" i="19"/>
  <c r="D4" i="19"/>
  <c r="F4" i="19"/>
  <c r="G4" i="19"/>
  <c r="A5" i="19"/>
  <c r="B5" i="19"/>
  <c r="C5" i="19"/>
  <c r="D5" i="19"/>
  <c r="F5" i="19"/>
  <c r="G5" i="19"/>
  <c r="A6" i="19"/>
  <c r="B6" i="19"/>
  <c r="C6" i="19"/>
  <c r="D6" i="19"/>
  <c r="F6" i="19"/>
  <c r="G6" i="19"/>
  <c r="A7" i="19"/>
  <c r="B7" i="19"/>
  <c r="C7" i="19"/>
  <c r="D7" i="19"/>
  <c r="F7" i="19"/>
  <c r="G7" i="19"/>
  <c r="A8" i="19"/>
  <c r="B8" i="19"/>
  <c r="C8" i="19"/>
  <c r="D8" i="19"/>
  <c r="F8" i="19"/>
  <c r="G8" i="19"/>
  <c r="A9" i="19"/>
  <c r="B9" i="19"/>
  <c r="C9" i="19"/>
  <c r="D9" i="19"/>
  <c r="F9" i="19"/>
  <c r="G9" i="19"/>
  <c r="A10" i="19"/>
  <c r="B10" i="19"/>
  <c r="C10" i="19"/>
  <c r="D10" i="19"/>
  <c r="F10" i="19"/>
  <c r="G10" i="19"/>
  <c r="A11" i="19"/>
  <c r="B11" i="19"/>
  <c r="C11" i="19"/>
  <c r="D11" i="19"/>
  <c r="F11" i="19"/>
  <c r="G11" i="19"/>
  <c r="A22" i="19"/>
  <c r="B22" i="19"/>
  <c r="C22" i="19"/>
  <c r="D22" i="19"/>
  <c r="F22" i="19"/>
  <c r="G22" i="19"/>
  <c r="A23" i="19"/>
  <c r="B23" i="19"/>
  <c r="C23" i="19"/>
  <c r="D23" i="19"/>
  <c r="F23" i="19"/>
  <c r="G23" i="19"/>
  <c r="A24" i="19"/>
  <c r="B24" i="19"/>
  <c r="C24" i="19"/>
  <c r="D24" i="19"/>
  <c r="F24" i="19"/>
  <c r="G24" i="19"/>
  <c r="A25" i="19"/>
  <c r="B25" i="19"/>
  <c r="C25" i="19"/>
  <c r="D25" i="19"/>
  <c r="F25" i="19"/>
  <c r="G25" i="19"/>
  <c r="A26" i="19"/>
  <c r="B26" i="19"/>
  <c r="C26" i="19"/>
  <c r="D26" i="19"/>
  <c r="F26" i="19"/>
  <c r="G26" i="19"/>
  <c r="A27" i="19"/>
  <c r="B27" i="19"/>
  <c r="C27" i="19"/>
  <c r="D27" i="19"/>
  <c r="F27" i="19"/>
  <c r="G27" i="19"/>
  <c r="A28" i="19"/>
  <c r="B28" i="19"/>
  <c r="C28" i="19"/>
  <c r="D28" i="19"/>
  <c r="F28" i="19"/>
  <c r="G28" i="19"/>
  <c r="A29" i="19"/>
  <c r="B29" i="19"/>
  <c r="C29" i="19"/>
  <c r="D29" i="19"/>
  <c r="F29" i="19"/>
  <c r="G29" i="19"/>
  <c r="A30" i="19"/>
  <c r="B30" i="19"/>
  <c r="C30" i="19"/>
  <c r="D30" i="19"/>
  <c r="F30" i="19"/>
  <c r="G30" i="19"/>
  <c r="A31" i="19"/>
  <c r="B31" i="19"/>
  <c r="C31" i="19"/>
  <c r="D31" i="19"/>
  <c r="F31" i="19"/>
  <c r="G31" i="19"/>
  <c r="A129" i="19"/>
  <c r="G129" i="19"/>
  <c r="A112" i="19"/>
  <c r="E112" i="19"/>
  <c r="G112" i="19"/>
  <c r="A103" i="19"/>
  <c r="A92" i="19"/>
  <c r="A93" i="19"/>
  <c r="A160" i="19"/>
  <c r="G147" i="19"/>
  <c r="G113" i="19"/>
  <c r="A105" i="19"/>
  <c r="E105" i="19"/>
  <c r="F105" i="19"/>
  <c r="A96" i="19"/>
  <c r="F96" i="19"/>
  <c r="A97" i="19"/>
  <c r="F97" i="19"/>
  <c r="A162" i="19"/>
  <c r="F162" i="19"/>
  <c r="A106" i="19"/>
  <c r="E106" i="19"/>
  <c r="F106" i="19"/>
  <c r="A98" i="19"/>
  <c r="A99" i="19"/>
  <c r="A163" i="19"/>
  <c r="A243" i="19"/>
  <c r="F243" i="19"/>
  <c r="G243" i="19"/>
  <c r="A114" i="19"/>
  <c r="E114" i="19"/>
  <c r="F114" i="19"/>
  <c r="G114" i="19"/>
  <c r="A122" i="19"/>
  <c r="F122" i="19"/>
  <c r="G122" i="19"/>
  <c r="A115" i="19"/>
  <c r="E115" i="19"/>
  <c r="F115" i="19"/>
  <c r="G115" i="19"/>
  <c r="A84" i="19"/>
  <c r="B84" i="19"/>
  <c r="C84" i="19"/>
  <c r="D84" i="19"/>
  <c r="E84" i="19"/>
  <c r="F84" i="19"/>
  <c r="G84" i="19"/>
  <c r="A83" i="19"/>
  <c r="B83" i="19"/>
  <c r="C83" i="19"/>
  <c r="D83" i="19"/>
  <c r="E83" i="19"/>
  <c r="F83" i="19"/>
  <c r="G83" i="19"/>
  <c r="A82" i="19"/>
  <c r="B82" i="19"/>
  <c r="C82" i="19"/>
  <c r="D82" i="19"/>
  <c r="E82" i="19"/>
  <c r="F82" i="19"/>
  <c r="G82" i="19"/>
  <c r="A78" i="19"/>
  <c r="B78" i="19"/>
  <c r="C78" i="19"/>
  <c r="D78" i="19"/>
  <c r="E78" i="19"/>
  <c r="F78" i="19"/>
  <c r="G78" i="19"/>
  <c r="A79" i="19"/>
  <c r="B79" i="19"/>
  <c r="C79" i="19"/>
  <c r="D79" i="19"/>
  <c r="E79" i="19"/>
  <c r="F79" i="19"/>
  <c r="G79" i="19"/>
  <c r="A80" i="19"/>
  <c r="B80" i="19"/>
  <c r="C80" i="19"/>
  <c r="D80" i="19"/>
  <c r="E80" i="19"/>
  <c r="F80" i="19"/>
  <c r="G80" i="19"/>
  <c r="A81" i="19"/>
  <c r="B81" i="19"/>
  <c r="C81" i="19"/>
  <c r="D81" i="19"/>
  <c r="E81" i="19"/>
  <c r="F81" i="19"/>
  <c r="G81" i="19"/>
  <c r="G58" i="19"/>
  <c r="F58" i="19"/>
  <c r="D58" i="19"/>
  <c r="C58" i="19"/>
  <c r="B58" i="19"/>
  <c r="A58" i="19"/>
  <c r="O142" i="19" l="1"/>
  <c r="N142" i="19"/>
  <c r="O131" i="19"/>
  <c r="N131" i="19"/>
  <c r="O537" i="19"/>
  <c r="N537" i="19"/>
  <c r="O525" i="19"/>
  <c r="N525" i="19"/>
  <c r="O879" i="19"/>
  <c r="N879" i="19"/>
  <c r="O878" i="19"/>
  <c r="N878" i="19"/>
  <c r="O523" i="19"/>
  <c r="N523" i="19"/>
  <c r="O524" i="19"/>
  <c r="N524" i="19"/>
  <c r="O869" i="19"/>
  <c r="N869" i="19"/>
  <c r="O891" i="19"/>
  <c r="N891" i="19"/>
  <c r="O544" i="19"/>
  <c r="N544" i="19"/>
  <c r="O543" i="19"/>
  <c r="N543" i="19"/>
  <c r="O733" i="19"/>
  <c r="N733" i="19"/>
  <c r="O732" i="19"/>
  <c r="N732" i="19"/>
  <c r="O802" i="19"/>
  <c r="N802" i="19"/>
  <c r="O801" i="19"/>
  <c r="N801" i="19"/>
  <c r="O647" i="19"/>
  <c r="N647" i="19"/>
  <c r="O646" i="19"/>
  <c r="N646" i="19"/>
  <c r="O863" i="19"/>
  <c r="N863" i="19"/>
  <c r="O865" i="19"/>
  <c r="N865" i="19"/>
  <c r="O864" i="19"/>
  <c r="N864" i="19"/>
  <c r="O146" i="19"/>
  <c r="N146" i="19"/>
  <c r="O251" i="19"/>
  <c r="N251" i="19"/>
  <c r="O150" i="19"/>
  <c r="N150" i="19"/>
  <c r="O149" i="19"/>
  <c r="N149" i="19"/>
  <c r="O148" i="19"/>
  <c r="N148" i="19"/>
  <c r="O143" i="19"/>
  <c r="N143" i="19"/>
  <c r="O145" i="19"/>
  <c r="N145" i="19"/>
  <c r="O144" i="19"/>
  <c r="N144" i="19"/>
  <c r="O244" i="19"/>
  <c r="N244" i="19"/>
  <c r="O121" i="19"/>
  <c r="N121" i="19"/>
  <c r="O116" i="19"/>
  <c r="N116" i="19"/>
  <c r="O123" i="19"/>
  <c r="N123" i="19"/>
  <c r="O124" i="19"/>
  <c r="N124" i="19"/>
  <c r="O91" i="19"/>
  <c r="N91" i="19"/>
  <c r="O109" i="19"/>
  <c r="N109" i="19"/>
  <c r="O128" i="19"/>
  <c r="N128" i="19"/>
  <c r="O246" i="19"/>
  <c r="N246" i="19"/>
  <c r="O130" i="19"/>
  <c r="N130" i="19"/>
  <c r="O125" i="19"/>
  <c r="N125" i="19"/>
  <c r="O127" i="19"/>
  <c r="N127" i="19"/>
  <c r="O126" i="19"/>
  <c r="N126" i="19"/>
  <c r="O267" i="19"/>
  <c r="N267" i="19"/>
  <c r="O538" i="19"/>
  <c r="N538" i="19"/>
  <c r="O539" i="19"/>
  <c r="N539" i="19"/>
  <c r="O540" i="19"/>
  <c r="N540" i="19"/>
  <c r="O536" i="19"/>
  <c r="N536" i="19"/>
  <c r="O535" i="19"/>
  <c r="N535" i="19"/>
  <c r="O856" i="19"/>
  <c r="N856" i="19"/>
  <c r="O855" i="19"/>
  <c r="N855" i="19"/>
  <c r="O854" i="19"/>
  <c r="N854" i="19"/>
  <c r="O851" i="19"/>
  <c r="N851" i="19"/>
  <c r="O850" i="19"/>
  <c r="N850" i="19"/>
  <c r="O849" i="19"/>
  <c r="N849" i="19"/>
  <c r="O848" i="19"/>
  <c r="N848" i="19"/>
  <c r="O847" i="19"/>
  <c r="N847" i="19"/>
  <c r="O846" i="19"/>
  <c r="N846" i="19"/>
  <c r="O845" i="19"/>
  <c r="N845" i="19"/>
  <c r="O844" i="19"/>
  <c r="N844" i="19"/>
  <c r="O843" i="19"/>
  <c r="N843" i="19"/>
  <c r="O842" i="19"/>
  <c r="N842" i="19"/>
  <c r="O841" i="19"/>
  <c r="N841" i="19"/>
  <c r="O840" i="19"/>
  <c r="N840" i="19"/>
  <c r="O839" i="19"/>
  <c r="N839" i="19"/>
  <c r="O838" i="19"/>
  <c r="N838" i="19"/>
  <c r="O837" i="19"/>
  <c r="N837" i="19"/>
  <c r="O836" i="19"/>
  <c r="N836" i="19"/>
  <c r="O835" i="19"/>
  <c r="N835" i="19"/>
  <c r="O834" i="19"/>
  <c r="N834" i="19"/>
  <c r="O833" i="19"/>
  <c r="N833" i="19"/>
  <c r="O832" i="19"/>
  <c r="N832" i="19"/>
  <c r="O831" i="19"/>
  <c r="N831" i="19"/>
  <c r="O758" i="19"/>
  <c r="N758" i="19"/>
  <c r="O757" i="19"/>
  <c r="N757" i="19"/>
  <c r="O756" i="19"/>
  <c r="N756" i="19"/>
  <c r="O903" i="19"/>
  <c r="N903" i="19"/>
  <c r="O902" i="19"/>
  <c r="N902" i="19"/>
  <c r="O901" i="19"/>
  <c r="N901" i="19"/>
  <c r="O900" i="19"/>
  <c r="N900" i="19"/>
  <c r="O899" i="19"/>
  <c r="N899" i="19"/>
  <c r="O898" i="19"/>
  <c r="N898" i="19"/>
  <c r="O897" i="19"/>
  <c r="N897" i="19"/>
  <c r="O896" i="19"/>
  <c r="N896" i="19"/>
  <c r="O895" i="19"/>
  <c r="N895" i="19"/>
  <c r="O755" i="19"/>
  <c r="N755" i="19"/>
  <c r="O754" i="19"/>
  <c r="N754" i="19"/>
  <c r="O753" i="19"/>
  <c r="N753" i="19"/>
  <c r="O752" i="19"/>
  <c r="N752" i="19"/>
  <c r="O751" i="19"/>
  <c r="N751" i="19"/>
  <c r="O750" i="19"/>
  <c r="N750" i="19"/>
  <c r="O718" i="19"/>
  <c r="N718" i="19"/>
  <c r="O676" i="19"/>
  <c r="N676" i="19"/>
  <c r="O675" i="19"/>
  <c r="N675" i="19"/>
  <c r="O631" i="19"/>
  <c r="N631" i="19"/>
  <c r="O630" i="19"/>
  <c r="N630" i="19"/>
  <c r="O629" i="19"/>
  <c r="N629" i="19"/>
  <c r="O628" i="19"/>
  <c r="N628" i="19"/>
  <c r="O627" i="19"/>
  <c r="N627" i="19"/>
  <c r="O626" i="19"/>
  <c r="N626" i="19"/>
  <c r="O625" i="19"/>
  <c r="N625" i="19"/>
  <c r="O624" i="19"/>
  <c r="N624" i="19"/>
  <c r="O541" i="19"/>
  <c r="N541" i="19"/>
  <c r="O674" i="19"/>
  <c r="N674" i="19"/>
  <c r="O673" i="19"/>
  <c r="N673" i="19"/>
  <c r="O672" i="19"/>
  <c r="N672" i="19"/>
  <c r="O671" i="19"/>
  <c r="N671" i="19"/>
  <c r="O670" i="19"/>
  <c r="N670" i="19"/>
  <c r="O669" i="19"/>
  <c r="N669" i="19"/>
  <c r="O668" i="19"/>
  <c r="N668" i="19"/>
  <c r="O645" i="19"/>
  <c r="N645" i="19"/>
  <c r="O632" i="19"/>
  <c r="N632" i="19"/>
  <c r="O889" i="19"/>
  <c r="N889" i="19"/>
  <c r="O868" i="19"/>
  <c r="N868" i="19"/>
  <c r="O867" i="19"/>
  <c r="N867" i="19"/>
  <c r="O862" i="19"/>
  <c r="N862" i="19"/>
  <c r="O861" i="19"/>
  <c r="N861" i="19"/>
  <c r="O860" i="19"/>
  <c r="N860" i="19"/>
  <c r="O859" i="19"/>
  <c r="N859" i="19"/>
  <c r="O858" i="19"/>
  <c r="N858" i="19"/>
  <c r="O857" i="19"/>
  <c r="N857" i="19"/>
  <c r="O266" i="19"/>
  <c r="N266" i="19"/>
  <c r="O522" i="19"/>
  <c r="N522" i="19"/>
  <c r="O877" i="19"/>
  <c r="N877" i="19"/>
  <c r="O265" i="19"/>
  <c r="N265" i="19"/>
  <c r="O521" i="19"/>
  <c r="N521" i="19"/>
  <c r="O876" i="19"/>
  <c r="N876" i="19"/>
  <c r="O260" i="19"/>
  <c r="N260" i="19"/>
  <c r="O520" i="19"/>
  <c r="N520" i="19"/>
  <c r="O875" i="19"/>
  <c r="N875" i="19"/>
  <c r="O874" i="19"/>
  <c r="N874" i="19"/>
  <c r="O259" i="19"/>
  <c r="N259" i="19"/>
  <c r="O533" i="19"/>
  <c r="N533" i="19"/>
  <c r="O518" i="19"/>
  <c r="N518" i="19"/>
  <c r="O519" i="19"/>
  <c r="N519" i="19"/>
  <c r="O516" i="19"/>
  <c r="N516" i="19"/>
  <c r="O250" i="19"/>
  <c r="N250" i="19"/>
  <c r="O517" i="19"/>
  <c r="N517" i="19"/>
  <c r="O890" i="19"/>
  <c r="N890" i="19"/>
  <c r="O252" i="19"/>
  <c r="N252" i="19"/>
  <c r="O178" i="19"/>
  <c r="N178" i="19"/>
  <c r="O179" i="19"/>
  <c r="N179" i="19"/>
  <c r="O236" i="19"/>
  <c r="N236" i="19"/>
  <c r="O235" i="19"/>
  <c r="N235" i="19"/>
  <c r="O234" i="19"/>
  <c r="N234" i="19"/>
  <c r="O233" i="19"/>
  <c r="N233" i="19"/>
  <c r="O151" i="19"/>
  <c r="N151" i="19"/>
  <c r="O153" i="19"/>
  <c r="N153" i="19"/>
  <c r="O152" i="19"/>
  <c r="N152" i="19"/>
  <c r="O262" i="19"/>
  <c r="N262" i="19"/>
  <c r="O261" i="19"/>
  <c r="N261" i="19"/>
  <c r="O257" i="19"/>
  <c r="N257" i="19"/>
  <c r="O255" i="19"/>
  <c r="N255" i="19"/>
  <c r="O241" i="19"/>
  <c r="N241" i="19"/>
  <c r="O240" i="19"/>
  <c r="N240" i="19"/>
  <c r="O239" i="19"/>
  <c r="N239" i="19"/>
  <c r="O238" i="19"/>
  <c r="N238" i="19"/>
  <c r="O237" i="19"/>
  <c r="N237" i="19"/>
  <c r="O336" i="19"/>
  <c r="N336" i="19"/>
  <c r="O335" i="19"/>
  <c r="N335" i="19"/>
  <c r="O334" i="19"/>
  <c r="N334" i="19"/>
  <c r="O333" i="19"/>
  <c r="N333" i="19"/>
  <c r="O285" i="19"/>
  <c r="N285" i="19"/>
  <c r="O284" i="19"/>
  <c r="N284" i="19"/>
  <c r="O269" i="19"/>
  <c r="N269" i="19"/>
  <c r="O264" i="19"/>
  <c r="N264" i="19"/>
  <c r="O263" i="19"/>
  <c r="N263" i="19"/>
  <c r="O352" i="19"/>
  <c r="N352" i="19"/>
  <c r="O344" i="19"/>
  <c r="N344" i="19"/>
  <c r="O343" i="19"/>
  <c r="N343" i="19"/>
  <c r="O342" i="19"/>
  <c r="N342" i="19"/>
  <c r="O341" i="19"/>
  <c r="N341" i="19"/>
  <c r="O340" i="19"/>
  <c r="N340" i="19"/>
  <c r="O339" i="19"/>
  <c r="N339" i="19"/>
  <c r="O338" i="19"/>
  <c r="N338" i="19"/>
  <c r="O337" i="19"/>
  <c r="N337" i="19"/>
  <c r="O361" i="19"/>
  <c r="N361" i="19"/>
  <c r="O360" i="19"/>
  <c r="N360" i="19"/>
  <c r="O359" i="19"/>
  <c r="N359" i="19"/>
  <c r="O358" i="19"/>
  <c r="N358" i="19"/>
  <c r="O357" i="19"/>
  <c r="N357" i="19"/>
  <c r="O356" i="19"/>
  <c r="N356" i="19"/>
  <c r="O355" i="19"/>
  <c r="N355" i="19"/>
  <c r="O354" i="19"/>
  <c r="N354" i="19"/>
  <c r="O353" i="19"/>
  <c r="N353" i="19"/>
  <c r="O456" i="19"/>
  <c r="N456" i="19"/>
  <c r="O455" i="19"/>
  <c r="N455" i="19"/>
  <c r="O406" i="19"/>
  <c r="N406" i="19"/>
  <c r="O405" i="19"/>
  <c r="N405" i="19"/>
  <c r="O404" i="19"/>
  <c r="N404" i="19"/>
  <c r="O403" i="19"/>
  <c r="N403" i="19"/>
  <c r="O402" i="19"/>
  <c r="N402" i="19"/>
  <c r="O363" i="19"/>
  <c r="N363" i="19"/>
  <c r="O362" i="19"/>
  <c r="N362" i="19"/>
  <c r="O485" i="19"/>
  <c r="N485" i="19"/>
  <c r="O484" i="19"/>
  <c r="N484" i="19"/>
  <c r="O483" i="19"/>
  <c r="N483" i="19"/>
  <c r="O482" i="19"/>
  <c r="N482" i="19"/>
  <c r="O481" i="19"/>
  <c r="N481" i="19"/>
  <c r="O480" i="19"/>
  <c r="N480" i="19"/>
  <c r="O479" i="19"/>
  <c r="N479" i="19"/>
  <c r="O478" i="19"/>
  <c r="N478" i="19"/>
  <c r="O477" i="19"/>
  <c r="N477" i="19"/>
  <c r="O721" i="19"/>
  <c r="N721" i="19"/>
  <c r="O723" i="19"/>
  <c r="N723" i="19"/>
  <c r="O731" i="19"/>
  <c r="N731" i="19"/>
  <c r="O762" i="19"/>
  <c r="N762" i="19"/>
  <c r="O809" i="19"/>
  <c r="N809" i="19"/>
  <c r="O866" i="19"/>
  <c r="N866" i="19"/>
  <c r="O82" i="19"/>
  <c r="N82" i="19"/>
  <c r="O83" i="19"/>
  <c r="N83" i="19"/>
  <c r="O115" i="19"/>
  <c r="N115" i="19"/>
  <c r="O114" i="19"/>
  <c r="N114" i="19"/>
  <c r="O98" i="19"/>
  <c r="N98" i="19"/>
  <c r="O96" i="19"/>
  <c r="N96" i="19"/>
  <c r="O94" i="19"/>
  <c r="N94" i="19"/>
  <c r="O113" i="19"/>
  <c r="O92" i="19"/>
  <c r="N92" i="19"/>
  <c r="O112" i="19"/>
  <c r="N112" i="19"/>
  <c r="O887" i="19"/>
  <c r="N887" i="19"/>
  <c r="O829" i="19"/>
  <c r="N829" i="19"/>
  <c r="O828" i="19"/>
  <c r="N828" i="19"/>
  <c r="O827" i="19"/>
  <c r="N827" i="19"/>
  <c r="O886" i="19"/>
  <c r="N886" i="19"/>
  <c r="O873" i="19"/>
  <c r="N873" i="19"/>
  <c r="O800" i="19"/>
  <c r="N800" i="19"/>
  <c r="O826" i="19"/>
  <c r="N826" i="19"/>
  <c r="O746" i="19"/>
  <c r="N746" i="19"/>
  <c r="O742" i="19"/>
  <c r="N742" i="19"/>
  <c r="O749" i="19"/>
  <c r="N749" i="19"/>
  <c r="O748" i="19"/>
  <c r="N748" i="19"/>
  <c r="O739" i="19"/>
  <c r="N739" i="19"/>
  <c r="E739" i="19"/>
  <c r="O741" i="19"/>
  <c r="N741" i="19"/>
  <c r="E741" i="19"/>
  <c r="O740" i="19"/>
  <c r="N740" i="19"/>
  <c r="O738" i="19"/>
  <c r="N738" i="19"/>
  <c r="O737" i="19"/>
  <c r="N737" i="19"/>
  <c r="O736" i="19"/>
  <c r="N736" i="19"/>
  <c r="O734" i="19"/>
  <c r="N734" i="19"/>
  <c r="O735" i="19"/>
  <c r="N735" i="19"/>
  <c r="O640" i="19"/>
  <c r="N640" i="19"/>
  <c r="O644" i="19"/>
  <c r="N644" i="19"/>
  <c r="O643" i="19"/>
  <c r="N643" i="19"/>
  <c r="O638" i="19"/>
  <c r="N638" i="19"/>
  <c r="O639" i="19"/>
  <c r="N639" i="19"/>
  <c r="O637" i="19"/>
  <c r="N637" i="19"/>
  <c r="O398" i="19"/>
  <c r="N398" i="19"/>
  <c r="O348" i="19"/>
  <c r="N348" i="19"/>
  <c r="O347" i="19"/>
  <c r="N347" i="19"/>
  <c r="O346" i="19"/>
  <c r="N346" i="19"/>
  <c r="O345" i="19"/>
  <c r="N345" i="19"/>
  <c r="O351" i="19"/>
  <c r="N351" i="19"/>
  <c r="O350" i="19"/>
  <c r="N350" i="19"/>
  <c r="O747" i="19"/>
  <c r="N747" i="19"/>
  <c r="O745" i="19"/>
  <c r="N745" i="19"/>
  <c r="O744" i="19"/>
  <c r="N744" i="19"/>
  <c r="O400" i="19"/>
  <c r="N400" i="19"/>
  <c r="O443" i="19"/>
  <c r="N443" i="19"/>
  <c r="O447" i="19"/>
  <c r="N447" i="19"/>
  <c r="O445" i="19"/>
  <c r="N445" i="19"/>
  <c r="O172" i="19"/>
  <c r="N172" i="19"/>
  <c r="O171" i="19"/>
  <c r="N171" i="19"/>
  <c r="O170" i="19"/>
  <c r="N170" i="19"/>
  <c r="O396" i="19"/>
  <c r="N396" i="19"/>
  <c r="O712" i="19"/>
  <c r="N712" i="19"/>
  <c r="O169" i="19"/>
  <c r="N169" i="19"/>
  <c r="O168" i="19"/>
  <c r="N168" i="19"/>
  <c r="O167" i="19"/>
  <c r="N167" i="19"/>
  <c r="O395" i="19"/>
  <c r="N395" i="19"/>
  <c r="O711" i="19"/>
  <c r="N711" i="19"/>
  <c r="O568" i="19"/>
  <c r="N568" i="19"/>
  <c r="O808" i="19"/>
  <c r="N808" i="19"/>
  <c r="O807" i="19"/>
  <c r="N807" i="19"/>
  <c r="O806" i="19"/>
  <c r="N806" i="19"/>
  <c r="O805" i="19"/>
  <c r="N805" i="19"/>
  <c r="O804" i="19"/>
  <c r="N804" i="19"/>
  <c r="O894" i="19"/>
  <c r="N894" i="19"/>
  <c r="O567" i="19"/>
  <c r="N567" i="19"/>
  <c r="O893" i="19"/>
  <c r="N893" i="19"/>
  <c r="O394" i="19"/>
  <c r="N394" i="19"/>
  <c r="O393" i="19"/>
  <c r="N393" i="19"/>
  <c r="O392" i="19"/>
  <c r="N392" i="19"/>
  <c r="O391" i="19"/>
  <c r="N391" i="19"/>
  <c r="O390" i="19"/>
  <c r="N390" i="19"/>
  <c r="O389" i="19"/>
  <c r="N389" i="19"/>
  <c r="O825" i="19"/>
  <c r="N825" i="19"/>
  <c r="O388" i="19"/>
  <c r="N388" i="19"/>
  <c r="O817" i="19"/>
  <c r="N817" i="19"/>
  <c r="O296" i="19"/>
  <c r="N296" i="19"/>
  <c r="O295" i="19"/>
  <c r="N295" i="19"/>
  <c r="O297" i="19"/>
  <c r="N297" i="19"/>
  <c r="O293" i="19"/>
  <c r="N293" i="19"/>
  <c r="O292" i="19"/>
  <c r="N292" i="19"/>
  <c r="O294" i="19"/>
  <c r="N294" i="19"/>
  <c r="O387" i="19"/>
  <c r="N387" i="19"/>
  <c r="O386" i="19"/>
  <c r="N386" i="19"/>
  <c r="O108" i="19"/>
  <c r="N108" i="19"/>
  <c r="O120" i="19"/>
  <c r="N120" i="19"/>
  <c r="O798" i="19"/>
  <c r="N798" i="19"/>
  <c r="O797" i="19"/>
  <c r="N797" i="19"/>
  <c r="O796" i="19"/>
  <c r="N796" i="19"/>
  <c r="O795" i="19"/>
  <c r="N795" i="19"/>
  <c r="O794" i="19"/>
  <c r="N794" i="19"/>
  <c r="O822" i="19"/>
  <c r="N822" i="19"/>
  <c r="O853" i="19"/>
  <c r="N853" i="19"/>
  <c r="O781" i="19"/>
  <c r="N781" i="19"/>
  <c r="O814" i="19"/>
  <c r="N814" i="19"/>
  <c r="O852" i="19"/>
  <c r="N852" i="19"/>
  <c r="O764" i="19"/>
  <c r="N764" i="19"/>
  <c r="O793" i="19"/>
  <c r="N793" i="19"/>
  <c r="O792" i="19"/>
  <c r="N792" i="19"/>
  <c r="O791" i="19"/>
  <c r="N791" i="19"/>
  <c r="O790" i="19"/>
  <c r="N790" i="19"/>
  <c r="O789" i="19"/>
  <c r="N789" i="19"/>
  <c r="O788" i="19"/>
  <c r="N788" i="19"/>
  <c r="O821" i="19"/>
  <c r="N821" i="19"/>
  <c r="O763" i="19"/>
  <c r="N763" i="19"/>
  <c r="O780" i="19"/>
  <c r="N780" i="19"/>
  <c r="O813" i="19"/>
  <c r="N813" i="19"/>
  <c r="O107" i="19"/>
  <c r="N107" i="19"/>
  <c r="O119" i="19"/>
  <c r="N119" i="19"/>
  <c r="O291" i="19"/>
  <c r="N291" i="19"/>
  <c r="O532" i="19"/>
  <c r="N532" i="19"/>
  <c r="O888" i="19"/>
  <c r="N888" i="19"/>
  <c r="O383" i="19"/>
  <c r="N383" i="19"/>
  <c r="O382" i="19"/>
  <c r="N382" i="19"/>
  <c r="O381" i="19"/>
  <c r="N381" i="19"/>
  <c r="O380" i="19"/>
  <c r="N380" i="19"/>
  <c r="O379" i="19"/>
  <c r="N379" i="19"/>
  <c r="O378" i="19"/>
  <c r="N378" i="19"/>
  <c r="O377" i="19"/>
  <c r="N377" i="19"/>
  <c r="O453" i="19"/>
  <c r="N453" i="19"/>
  <c r="O446" i="19"/>
  <c r="N446" i="19"/>
  <c r="O412" i="19"/>
  <c r="N412" i="19"/>
  <c r="O411" i="19"/>
  <c r="N411" i="19"/>
  <c r="O409" i="19"/>
  <c r="N409" i="19"/>
  <c r="O408" i="19"/>
  <c r="N408" i="19"/>
  <c r="O399" i="19"/>
  <c r="N399" i="19"/>
  <c r="O727" i="19"/>
  <c r="N727" i="19"/>
  <c r="O726" i="19"/>
  <c r="N726" i="19"/>
  <c r="O729" i="19"/>
  <c r="N729" i="19"/>
  <c r="O760" i="19"/>
  <c r="N760" i="19"/>
  <c r="O730" i="19"/>
  <c r="N730" i="19"/>
  <c r="O761" i="19"/>
  <c r="N761" i="19"/>
  <c r="O276" i="19"/>
  <c r="N276" i="19"/>
  <c r="O275" i="19"/>
  <c r="N275" i="19"/>
  <c r="O274" i="19"/>
  <c r="N274" i="19"/>
  <c r="O273" i="19"/>
  <c r="N273" i="19"/>
  <c r="O272" i="19"/>
  <c r="N272" i="19"/>
  <c r="O271" i="19"/>
  <c r="N271" i="19"/>
  <c r="O270" i="19"/>
  <c r="N270" i="19"/>
  <c r="O376" i="19"/>
  <c r="N376" i="19"/>
  <c r="O375" i="19"/>
  <c r="N375" i="19"/>
  <c r="O374" i="19"/>
  <c r="N374" i="19"/>
  <c r="O373" i="19"/>
  <c r="N373" i="19"/>
  <c r="O372" i="19"/>
  <c r="N372" i="19"/>
  <c r="O371" i="19"/>
  <c r="N371" i="19"/>
  <c r="O370" i="19"/>
  <c r="N370" i="19"/>
  <c r="O667" i="19"/>
  <c r="N667" i="19"/>
  <c r="O716" i="19"/>
  <c r="N716" i="19"/>
  <c r="O43" i="19"/>
  <c r="N43" i="19"/>
  <c r="O42" i="19"/>
  <c r="N42" i="19"/>
  <c r="O56" i="19"/>
  <c r="N56" i="19"/>
  <c r="O55" i="19"/>
  <c r="N55" i="19"/>
  <c r="O54" i="19"/>
  <c r="N54" i="19"/>
  <c r="O53" i="19"/>
  <c r="N53" i="19"/>
  <c r="O52" i="19"/>
  <c r="N52" i="19"/>
  <c r="O51" i="19"/>
  <c r="N51" i="19"/>
  <c r="O50" i="19"/>
  <c r="N50" i="19"/>
  <c r="O140" i="19"/>
  <c r="N140" i="19"/>
  <c r="O139" i="19"/>
  <c r="N139" i="19"/>
  <c r="O138" i="19"/>
  <c r="N138" i="19"/>
  <c r="O137" i="19"/>
  <c r="N137" i="19"/>
  <c r="O136" i="19"/>
  <c r="N136" i="19"/>
  <c r="O135" i="19"/>
  <c r="N135" i="19"/>
  <c r="O134" i="19"/>
  <c r="N134" i="19"/>
  <c r="O187" i="19"/>
  <c r="N187" i="19"/>
  <c r="O186" i="19"/>
  <c r="N186" i="19"/>
  <c r="O185" i="19"/>
  <c r="N185" i="19"/>
  <c r="O184" i="19"/>
  <c r="N184" i="19"/>
  <c r="O183" i="19"/>
  <c r="N183" i="19"/>
  <c r="O182" i="19"/>
  <c r="N182" i="19"/>
  <c r="O181" i="19"/>
  <c r="N181" i="19"/>
  <c r="O195" i="19"/>
  <c r="N195" i="19"/>
  <c r="O194" i="19"/>
  <c r="N194" i="19"/>
  <c r="O193" i="19"/>
  <c r="N193" i="19"/>
  <c r="O192" i="19"/>
  <c r="N192" i="19"/>
  <c r="O191" i="19"/>
  <c r="N191" i="19"/>
  <c r="O190" i="19"/>
  <c r="N190" i="19"/>
  <c r="O189" i="19"/>
  <c r="N189" i="19"/>
  <c r="O203" i="19"/>
  <c r="N203" i="19"/>
  <c r="O202" i="19"/>
  <c r="N202" i="19"/>
  <c r="O201" i="19"/>
  <c r="N201" i="19"/>
  <c r="O200" i="19"/>
  <c r="N200" i="19"/>
  <c r="O199" i="19"/>
  <c r="N199" i="19"/>
  <c r="O198" i="19"/>
  <c r="N198" i="19"/>
  <c r="O197" i="19"/>
  <c r="N197" i="19"/>
  <c r="O551" i="19"/>
  <c r="N551" i="19"/>
  <c r="O550" i="19"/>
  <c r="N550" i="19"/>
  <c r="O549" i="19"/>
  <c r="N549" i="19"/>
  <c r="O548" i="19"/>
  <c r="N548" i="19"/>
  <c r="O547" i="19"/>
  <c r="N547" i="19"/>
  <c r="O546" i="19"/>
  <c r="N546" i="19"/>
  <c r="O545" i="19"/>
  <c r="N545" i="19"/>
  <c r="O606" i="19"/>
  <c r="N606" i="19"/>
  <c r="O605" i="19"/>
  <c r="N605" i="19"/>
  <c r="O604" i="19"/>
  <c r="N604" i="19"/>
  <c r="O603" i="19"/>
  <c r="N603" i="19"/>
  <c r="O602" i="19"/>
  <c r="N602" i="19"/>
  <c r="O601" i="19"/>
  <c r="N601" i="19"/>
  <c r="O600" i="19"/>
  <c r="N600" i="19"/>
  <c r="O614" i="19"/>
  <c r="N614" i="19"/>
  <c r="O613" i="19"/>
  <c r="N613" i="19"/>
  <c r="O612" i="19"/>
  <c r="N612" i="19"/>
  <c r="O611" i="19"/>
  <c r="N611" i="19"/>
  <c r="O610" i="19"/>
  <c r="N610" i="19"/>
  <c r="O609" i="19"/>
  <c r="N609" i="19"/>
  <c r="O608" i="19"/>
  <c r="N608" i="19"/>
  <c r="O622" i="19"/>
  <c r="N622" i="19"/>
  <c r="O621" i="19"/>
  <c r="N621" i="19"/>
  <c r="O620" i="19"/>
  <c r="N620" i="19"/>
  <c r="O619" i="19"/>
  <c r="N619" i="19"/>
  <c r="O618" i="19"/>
  <c r="N618" i="19"/>
  <c r="O617" i="19"/>
  <c r="N617" i="19"/>
  <c r="O616" i="19"/>
  <c r="N616" i="19"/>
  <c r="O258" i="19"/>
  <c r="N258" i="19"/>
  <c r="O467" i="19"/>
  <c r="N467" i="19"/>
  <c r="O466" i="19"/>
  <c r="N466" i="19"/>
  <c r="O515" i="19"/>
  <c r="N515" i="19"/>
  <c r="O666" i="19"/>
  <c r="N666" i="19"/>
  <c r="O665" i="19"/>
  <c r="N665" i="19"/>
  <c r="O664" i="19"/>
  <c r="N664" i="19"/>
  <c r="O663" i="19"/>
  <c r="N663" i="19"/>
  <c r="O662" i="19"/>
  <c r="N662" i="19"/>
  <c r="O661" i="19"/>
  <c r="N661" i="19"/>
  <c r="O660" i="19"/>
  <c r="N660" i="19"/>
  <c r="O256" i="19"/>
  <c r="N256" i="19"/>
  <c r="O465" i="19"/>
  <c r="N465" i="19"/>
  <c r="O464" i="19"/>
  <c r="N464" i="19"/>
  <c r="O514" i="19"/>
  <c r="N514" i="19"/>
  <c r="O659" i="19"/>
  <c r="N659" i="19"/>
  <c r="O159" i="19"/>
  <c r="N159" i="19"/>
  <c r="O254" i="19"/>
  <c r="N254" i="19"/>
  <c r="L513" i="19"/>
  <c r="K513" i="19"/>
  <c r="O596" i="19"/>
  <c r="N596" i="19"/>
  <c r="O595" i="19"/>
  <c r="N595" i="19"/>
  <c r="O594" i="19"/>
  <c r="N594" i="19"/>
  <c r="O593" i="19"/>
  <c r="N593" i="19"/>
  <c r="O592" i="19"/>
  <c r="N592" i="19"/>
  <c r="O591" i="19"/>
  <c r="N591" i="19"/>
  <c r="O590" i="19"/>
  <c r="N590" i="19"/>
  <c r="O658" i="19"/>
  <c r="N658" i="19"/>
  <c r="O476" i="19"/>
  <c r="N476" i="19"/>
  <c r="O475" i="19"/>
  <c r="N475" i="19"/>
  <c r="O512" i="19"/>
  <c r="N512" i="19"/>
  <c r="O463" i="19"/>
  <c r="N463" i="19"/>
  <c r="O462" i="19"/>
  <c r="N462" i="19"/>
  <c r="O511" i="19"/>
  <c r="N511" i="19"/>
  <c r="O458" i="19"/>
  <c r="N458" i="19"/>
  <c r="O510" i="19"/>
  <c r="N510" i="19"/>
  <c r="O597" i="19"/>
  <c r="N597" i="19"/>
  <c r="O598" i="19"/>
  <c r="N598" i="19"/>
  <c r="O599" i="19"/>
  <c r="N599" i="19"/>
  <c r="O787" i="19"/>
  <c r="N787" i="19"/>
  <c r="O786" i="19"/>
  <c r="N786" i="19"/>
  <c r="O785" i="19"/>
  <c r="N785" i="19"/>
  <c r="O784" i="19"/>
  <c r="N784" i="19"/>
  <c r="O783" i="19"/>
  <c r="N783" i="19"/>
  <c r="O782" i="19"/>
  <c r="N782" i="19"/>
  <c r="O803" i="19"/>
  <c r="N803" i="19"/>
  <c r="O779" i="19"/>
  <c r="N779" i="19"/>
  <c r="O830" i="19"/>
  <c r="N830" i="19"/>
  <c r="O253" i="19"/>
  <c r="N253" i="19"/>
  <c r="O461" i="19"/>
  <c r="N461" i="19"/>
  <c r="O460" i="19"/>
  <c r="N460" i="19"/>
  <c r="O509" i="19"/>
  <c r="N509" i="19"/>
  <c r="O657" i="19"/>
  <c r="N657" i="19"/>
  <c r="K451" i="19"/>
  <c r="O451" i="19" s="1"/>
  <c r="O471" i="19"/>
  <c r="N471" i="19"/>
  <c r="O472" i="19"/>
  <c r="N472" i="19"/>
  <c r="O531" i="19"/>
  <c r="N531" i="19"/>
  <c r="O885" i="19"/>
  <c r="N885" i="19"/>
  <c r="O811" i="19"/>
  <c r="N811" i="19"/>
  <c r="O799" i="19"/>
  <c r="N799" i="19"/>
  <c r="O812" i="19"/>
  <c r="N812" i="19"/>
  <c r="O508" i="19"/>
  <c r="N508" i="19"/>
  <c r="O542" i="19"/>
  <c r="N542" i="19"/>
  <c r="O715" i="19"/>
  <c r="N715" i="19"/>
  <c r="O743" i="19"/>
  <c r="N743" i="19"/>
  <c r="O500" i="19"/>
  <c r="N500" i="19"/>
  <c r="O506" i="19"/>
  <c r="N506" i="19"/>
  <c r="O507" i="19"/>
  <c r="N507" i="19"/>
  <c r="O530" i="19"/>
  <c r="N530" i="19"/>
  <c r="O884" i="19"/>
  <c r="N884" i="19"/>
  <c r="O218" i="19"/>
  <c r="N218" i="19"/>
  <c r="O217" i="19"/>
  <c r="N217" i="19"/>
  <c r="O216" i="19"/>
  <c r="N216" i="19"/>
  <c r="O215" i="19"/>
  <c r="N215" i="19"/>
  <c r="O214" i="19"/>
  <c r="N214" i="19"/>
  <c r="O213" i="19"/>
  <c r="N213" i="19"/>
  <c r="O212" i="19"/>
  <c r="N212" i="19"/>
  <c r="O211" i="19"/>
  <c r="N211" i="19"/>
  <c r="O210" i="19"/>
  <c r="N210" i="19"/>
  <c r="O209" i="19"/>
  <c r="N209" i="19"/>
  <c r="O208" i="19"/>
  <c r="N208" i="19"/>
  <c r="O207" i="19"/>
  <c r="N207" i="19"/>
  <c r="O206" i="19"/>
  <c r="N206" i="19"/>
  <c r="O205" i="19"/>
  <c r="N205" i="19"/>
  <c r="O232" i="19"/>
  <c r="N232" i="19"/>
  <c r="O231" i="19"/>
  <c r="N231" i="19"/>
  <c r="O230" i="19"/>
  <c r="N230" i="19"/>
  <c r="O229" i="19"/>
  <c r="N229" i="19"/>
  <c r="O228" i="19"/>
  <c r="N228" i="19"/>
  <c r="O227" i="19"/>
  <c r="N227" i="19"/>
  <c r="O226" i="19"/>
  <c r="N226" i="19"/>
  <c r="O225" i="19"/>
  <c r="N225" i="19"/>
  <c r="O224" i="19"/>
  <c r="N224" i="19"/>
  <c r="O223" i="19"/>
  <c r="N223" i="19"/>
  <c r="O222" i="19"/>
  <c r="N222" i="19"/>
  <c r="O221" i="19"/>
  <c r="N221" i="19"/>
  <c r="O220" i="19"/>
  <c r="N220" i="19"/>
  <c r="O219" i="19"/>
  <c r="N219" i="19"/>
  <c r="O318" i="19"/>
  <c r="N318" i="19"/>
  <c r="O317" i="19"/>
  <c r="N317" i="19"/>
  <c r="O316" i="19"/>
  <c r="N316" i="19"/>
  <c r="O315" i="19"/>
  <c r="N315" i="19"/>
  <c r="O314" i="19"/>
  <c r="N314" i="19"/>
  <c r="O313" i="19"/>
  <c r="N313" i="19"/>
  <c r="O312" i="19"/>
  <c r="N312" i="19"/>
  <c r="O311" i="19"/>
  <c r="N311" i="19"/>
  <c r="O310" i="19"/>
  <c r="N310" i="19"/>
  <c r="O309" i="19"/>
  <c r="N309" i="19"/>
  <c r="O308" i="19"/>
  <c r="N308" i="19"/>
  <c r="O307" i="19"/>
  <c r="N307" i="19"/>
  <c r="O306" i="19"/>
  <c r="N306" i="19"/>
  <c r="O305" i="19"/>
  <c r="N305" i="19"/>
  <c r="O332" i="19"/>
  <c r="N332" i="19"/>
  <c r="O331" i="19"/>
  <c r="N331" i="19"/>
  <c r="O330" i="19"/>
  <c r="N330" i="19"/>
  <c r="O329" i="19"/>
  <c r="N329" i="19"/>
  <c r="O328" i="19"/>
  <c r="N328" i="19"/>
  <c r="O327" i="19"/>
  <c r="N327" i="19"/>
  <c r="O326" i="19"/>
  <c r="N326" i="19"/>
  <c r="O325" i="19"/>
  <c r="N325" i="19"/>
  <c r="O324" i="19"/>
  <c r="N324" i="19"/>
  <c r="O323" i="19"/>
  <c r="N323" i="19"/>
  <c r="O322" i="19"/>
  <c r="N322" i="19"/>
  <c r="O321" i="19"/>
  <c r="N321" i="19"/>
  <c r="O320" i="19"/>
  <c r="N320" i="19"/>
  <c r="O319" i="19"/>
  <c r="N319" i="19"/>
  <c r="O426" i="19"/>
  <c r="N426" i="19"/>
  <c r="O425" i="19"/>
  <c r="N425" i="19"/>
  <c r="O424" i="19"/>
  <c r="N424" i="19"/>
  <c r="O423" i="19"/>
  <c r="N423" i="19"/>
  <c r="O422" i="19"/>
  <c r="N422" i="19"/>
  <c r="O421" i="19"/>
  <c r="N421" i="19"/>
  <c r="O420" i="19"/>
  <c r="N420" i="19"/>
  <c r="O419" i="19"/>
  <c r="N419" i="19"/>
  <c r="O418" i="19"/>
  <c r="N418" i="19"/>
  <c r="O417" i="19"/>
  <c r="N417" i="19"/>
  <c r="O416" i="19"/>
  <c r="N416" i="19"/>
  <c r="O415" i="19"/>
  <c r="N415" i="19"/>
  <c r="O414" i="19"/>
  <c r="N414" i="19"/>
  <c r="O413" i="19"/>
  <c r="N413" i="19"/>
  <c r="O442" i="19"/>
  <c r="N442" i="19"/>
  <c r="O441" i="19"/>
  <c r="N441" i="19"/>
  <c r="O440" i="19"/>
  <c r="N440" i="19"/>
  <c r="O439" i="19"/>
  <c r="N439" i="19"/>
  <c r="O438" i="19"/>
  <c r="N438" i="19"/>
  <c r="O437" i="19"/>
  <c r="N437" i="19"/>
  <c r="O436" i="19"/>
  <c r="N436" i="19"/>
  <c r="O435" i="19"/>
  <c r="N435" i="19"/>
  <c r="O434" i="19"/>
  <c r="N434" i="19"/>
  <c r="O433" i="19"/>
  <c r="N433" i="19"/>
  <c r="O432" i="19"/>
  <c r="N432" i="19"/>
  <c r="O431" i="19"/>
  <c r="N431" i="19"/>
  <c r="O430" i="19"/>
  <c r="N430" i="19"/>
  <c r="O429" i="19"/>
  <c r="N429" i="19"/>
  <c r="O499" i="19"/>
  <c r="N499" i="19"/>
  <c r="O498" i="19"/>
  <c r="N498" i="19"/>
  <c r="O497" i="19"/>
  <c r="N497" i="19"/>
  <c r="O496" i="19"/>
  <c r="N496" i="19"/>
  <c r="O495" i="19"/>
  <c r="N495" i="19"/>
  <c r="O494" i="19"/>
  <c r="N494" i="19"/>
  <c r="O493" i="19"/>
  <c r="N493" i="19"/>
  <c r="O492" i="19"/>
  <c r="N492" i="19"/>
  <c r="O491" i="19"/>
  <c r="N491" i="19"/>
  <c r="O490" i="19"/>
  <c r="N490" i="19"/>
  <c r="O489" i="19"/>
  <c r="N489" i="19"/>
  <c r="O488" i="19"/>
  <c r="N488" i="19"/>
  <c r="O487" i="19"/>
  <c r="N487" i="19"/>
  <c r="O486" i="19"/>
  <c r="N486" i="19"/>
  <c r="O566" i="19"/>
  <c r="N566" i="19"/>
  <c r="O565" i="19"/>
  <c r="N565" i="19"/>
  <c r="O564" i="19"/>
  <c r="N564" i="19"/>
  <c r="O563" i="19"/>
  <c r="N563" i="19"/>
  <c r="O562" i="19"/>
  <c r="N562" i="19"/>
  <c r="O561" i="19"/>
  <c r="N561" i="19"/>
  <c r="O560" i="19"/>
  <c r="N560" i="19"/>
  <c r="O559" i="19"/>
  <c r="N559" i="19"/>
  <c r="O558" i="19"/>
  <c r="N558" i="19"/>
  <c r="O557" i="19"/>
  <c r="N557" i="19"/>
  <c r="O556" i="19"/>
  <c r="N556" i="19"/>
  <c r="O555" i="19"/>
  <c r="N555" i="19"/>
  <c r="O554" i="19"/>
  <c r="N554" i="19"/>
  <c r="O553" i="19"/>
  <c r="N553" i="19"/>
  <c r="O690" i="19"/>
  <c r="N690" i="19"/>
  <c r="O689" i="19"/>
  <c r="N689" i="19"/>
  <c r="O688" i="19"/>
  <c r="N688" i="19"/>
  <c r="O687" i="19"/>
  <c r="N687" i="19"/>
  <c r="O686" i="19"/>
  <c r="N686" i="19"/>
  <c r="O685" i="19"/>
  <c r="N685" i="19"/>
  <c r="O684" i="19"/>
  <c r="N684" i="19"/>
  <c r="O683" i="19"/>
  <c r="N683" i="19"/>
  <c r="O682" i="19"/>
  <c r="N682" i="19"/>
  <c r="O681" i="19"/>
  <c r="N681" i="19"/>
  <c r="O680" i="19"/>
  <c r="N680" i="19"/>
  <c r="O679" i="19"/>
  <c r="N679" i="19"/>
  <c r="O678" i="19"/>
  <c r="N678" i="19"/>
  <c r="O677" i="19"/>
  <c r="N677" i="19"/>
  <c r="O709" i="19"/>
  <c r="N709" i="19"/>
  <c r="O708" i="19"/>
  <c r="N708" i="19"/>
  <c r="O707" i="19"/>
  <c r="N707" i="19"/>
  <c r="O706" i="19"/>
  <c r="N706" i="19"/>
  <c r="O705" i="19"/>
  <c r="N705" i="19"/>
  <c r="O704" i="19"/>
  <c r="N704" i="19"/>
  <c r="O703" i="19"/>
  <c r="N703" i="19"/>
  <c r="O702" i="19"/>
  <c r="N702" i="19"/>
  <c r="O701" i="19"/>
  <c r="N701" i="19"/>
  <c r="O700" i="19"/>
  <c r="N700" i="19"/>
  <c r="O699" i="19"/>
  <c r="N699" i="19"/>
  <c r="O698" i="19"/>
  <c r="N698" i="19"/>
  <c r="O697" i="19"/>
  <c r="N697" i="19"/>
  <c r="O696" i="19"/>
  <c r="N696" i="19"/>
  <c r="O778" i="19"/>
  <c r="N778" i="19"/>
  <c r="O777" i="19"/>
  <c r="N777" i="19"/>
  <c r="O776" i="19"/>
  <c r="N776" i="19"/>
  <c r="O775" i="19"/>
  <c r="N775" i="19"/>
  <c r="O774" i="19"/>
  <c r="N774" i="19"/>
  <c r="O773" i="19"/>
  <c r="N773" i="19"/>
  <c r="O772" i="19"/>
  <c r="N772" i="19"/>
  <c r="O771" i="19"/>
  <c r="N771" i="19"/>
  <c r="O770" i="19"/>
  <c r="N770" i="19"/>
  <c r="O769" i="19"/>
  <c r="N769" i="19"/>
  <c r="O768" i="19"/>
  <c r="N768" i="19"/>
  <c r="O767" i="19"/>
  <c r="N767" i="19"/>
  <c r="O766" i="19"/>
  <c r="N766" i="19"/>
  <c r="O765" i="19"/>
  <c r="N765" i="19"/>
  <c r="O288" i="19"/>
  <c r="N288" i="19"/>
  <c r="O289" i="19"/>
  <c r="N289" i="19"/>
  <c r="O290" i="19"/>
  <c r="N290" i="19"/>
  <c r="O505" i="19"/>
  <c r="N505" i="19"/>
  <c r="O881" i="19"/>
  <c r="N881" i="19"/>
  <c r="O407" i="19"/>
  <c r="N407" i="19"/>
  <c r="O636" i="19"/>
  <c r="N636" i="19"/>
  <c r="O635" i="19"/>
  <c r="N635" i="19"/>
  <c r="O634" i="19"/>
  <c r="N634" i="19"/>
  <c r="O633" i="19"/>
  <c r="N633" i="19"/>
  <c r="O268" i="19"/>
  <c r="N268" i="19"/>
  <c r="O287" i="19"/>
  <c r="N287" i="19"/>
  <c r="O529" i="19"/>
  <c r="N529" i="19"/>
  <c r="O883" i="19"/>
  <c r="N883" i="19"/>
  <c r="O102" i="19"/>
  <c r="N102" i="19"/>
  <c r="O118" i="19"/>
  <c r="N118" i="19"/>
  <c r="O457" i="19"/>
  <c r="N457" i="19"/>
  <c r="O459" i="19"/>
  <c r="N459" i="19"/>
  <c r="O470" i="19"/>
  <c r="N470" i="19"/>
  <c r="O286" i="19"/>
  <c r="N286" i="19"/>
  <c r="O526" i="19"/>
  <c r="N526" i="19"/>
  <c r="O880" i="19"/>
  <c r="N880" i="19"/>
  <c r="O101" i="19"/>
  <c r="N101" i="19"/>
  <c r="O117" i="19"/>
  <c r="N117" i="19"/>
  <c r="O158" i="19"/>
  <c r="N158" i="19"/>
  <c r="O249" i="19"/>
  <c r="N249" i="19"/>
  <c r="L504" i="19"/>
  <c r="K504" i="19"/>
  <c r="O589" i="19"/>
  <c r="N589" i="19"/>
  <c r="O588" i="19"/>
  <c r="N588" i="19"/>
  <c r="O587" i="19"/>
  <c r="N587" i="19"/>
  <c r="O586" i="19"/>
  <c r="N586" i="19"/>
  <c r="O585" i="19"/>
  <c r="N585" i="19"/>
  <c r="O584" i="19"/>
  <c r="N584" i="19"/>
  <c r="O583" i="19"/>
  <c r="N583" i="19"/>
  <c r="O656" i="19"/>
  <c r="N656" i="19"/>
  <c r="O157" i="19"/>
  <c r="N157" i="19"/>
  <c r="O248" i="19"/>
  <c r="N248" i="19"/>
  <c r="L503" i="19"/>
  <c r="K503" i="19"/>
  <c r="O582" i="19"/>
  <c r="N582" i="19"/>
  <c r="O581" i="19"/>
  <c r="N581" i="19"/>
  <c r="O580" i="19"/>
  <c r="N580" i="19"/>
  <c r="O579" i="19"/>
  <c r="N579" i="19"/>
  <c r="O578" i="19"/>
  <c r="N578" i="19"/>
  <c r="O577" i="19"/>
  <c r="N577" i="19"/>
  <c r="O576" i="19"/>
  <c r="N576" i="19"/>
  <c r="O655" i="19"/>
  <c r="N655" i="19"/>
  <c r="O654" i="19"/>
  <c r="N654" i="19"/>
  <c r="O653" i="19"/>
  <c r="N653" i="19"/>
  <c r="O652" i="19"/>
  <c r="N652" i="19"/>
  <c r="O651" i="19"/>
  <c r="N651" i="19"/>
  <c r="O650" i="19"/>
  <c r="N650" i="19"/>
  <c r="O649" i="19"/>
  <c r="N649" i="19"/>
  <c r="O156" i="19"/>
  <c r="N156" i="19"/>
  <c r="O247" i="19"/>
  <c r="N247" i="19"/>
  <c r="L502" i="19"/>
  <c r="K502" i="19"/>
  <c r="O575" i="19"/>
  <c r="N575" i="19"/>
  <c r="O574" i="19"/>
  <c r="N574" i="19"/>
  <c r="O573" i="19"/>
  <c r="N573" i="19"/>
  <c r="O572" i="19"/>
  <c r="N572" i="19"/>
  <c r="O571" i="19"/>
  <c r="N571" i="19"/>
  <c r="O570" i="19"/>
  <c r="N570" i="19"/>
  <c r="O569" i="19"/>
  <c r="N569" i="19"/>
  <c r="O648" i="19"/>
  <c r="N648" i="19"/>
  <c r="O100" i="19"/>
  <c r="N100" i="19"/>
  <c r="O722" i="19"/>
  <c r="N722" i="19"/>
  <c r="O90" i="19"/>
  <c r="N90" i="19"/>
  <c r="O713" i="19"/>
  <c r="N713" i="19"/>
  <c r="O174" i="19"/>
  <c r="N174" i="19"/>
  <c r="O173" i="19"/>
  <c r="N173" i="19"/>
  <c r="O176" i="19"/>
  <c r="N176" i="19"/>
  <c r="O175" i="19"/>
  <c r="N175" i="19"/>
  <c r="O177" i="19"/>
  <c r="N177" i="19"/>
  <c r="O366" i="19"/>
  <c r="N366" i="19"/>
  <c r="O166" i="19"/>
  <c r="N166" i="19"/>
  <c r="O165" i="19"/>
  <c r="N165" i="19"/>
  <c r="O818" i="19"/>
  <c r="N818" i="19"/>
  <c r="O365" i="19"/>
  <c r="N365" i="19"/>
  <c r="O364" i="19"/>
  <c r="N364" i="19"/>
  <c r="O155" i="19"/>
  <c r="N155" i="19"/>
  <c r="O89" i="19"/>
  <c r="N89" i="19"/>
  <c r="O88" i="19"/>
  <c r="N88" i="19"/>
  <c r="O111" i="19"/>
  <c r="N111" i="19"/>
  <c r="O242" i="19"/>
  <c r="N242" i="19"/>
  <c r="O154" i="19"/>
  <c r="N154" i="19"/>
  <c r="O87" i="19"/>
  <c r="N87" i="19"/>
  <c r="O86" i="19"/>
  <c r="N86" i="19"/>
  <c r="O110" i="19"/>
  <c r="N110" i="19"/>
  <c r="O164" i="19"/>
  <c r="N164" i="19"/>
  <c r="O72" i="19" l="1"/>
  <c r="O4" i="19"/>
  <c r="N30" i="19"/>
  <c r="O103" i="19"/>
  <c r="O93" i="19"/>
  <c r="O163" i="19"/>
  <c r="O80" i="19"/>
  <c r="O32" i="19"/>
  <c r="N40" i="19"/>
  <c r="N18" i="19"/>
  <c r="O78" i="19"/>
  <c r="O61" i="19"/>
  <c r="O19" i="19"/>
  <c r="O23" i="19"/>
  <c r="N80" i="19"/>
  <c r="O59" i="19"/>
  <c r="N67" i="19"/>
  <c r="N36" i="19"/>
  <c r="N14" i="19"/>
  <c r="N17" i="19"/>
  <c r="O71" i="19"/>
  <c r="O76" i="19"/>
  <c r="O8" i="19"/>
  <c r="N11" i="19"/>
  <c r="N29" i="19"/>
  <c r="O14" i="19"/>
  <c r="N106" i="19"/>
  <c r="N59" i="19"/>
  <c r="O67" i="19"/>
  <c r="O17" i="19"/>
  <c r="N71" i="19"/>
  <c r="N74" i="19"/>
  <c r="O11" i="19"/>
  <c r="O29" i="19"/>
  <c r="O95" i="19"/>
  <c r="O106" i="19"/>
  <c r="N162" i="19"/>
  <c r="N64" i="19"/>
  <c r="N37" i="19"/>
  <c r="O68" i="19"/>
  <c r="N76" i="19"/>
  <c r="N77" i="19"/>
  <c r="N8" i="19"/>
  <c r="O26" i="19"/>
  <c r="O162" i="19"/>
  <c r="N122" i="19"/>
  <c r="N160" i="19"/>
  <c r="O122" i="19"/>
  <c r="N81" i="19"/>
  <c r="N66" i="19"/>
  <c r="N35" i="19"/>
  <c r="N13" i="19"/>
  <c r="O75" i="19"/>
  <c r="O7" i="19"/>
  <c r="N10" i="19"/>
  <c r="O160" i="19"/>
  <c r="O81" i="19"/>
  <c r="N60" i="19"/>
  <c r="N32" i="19"/>
  <c r="O35" i="19"/>
  <c r="O13" i="19"/>
  <c r="O18" i="19"/>
  <c r="N72" i="19"/>
  <c r="N75" i="19"/>
  <c r="N7" i="19"/>
  <c r="N22" i="19"/>
  <c r="O30" i="19"/>
  <c r="N93" i="19"/>
  <c r="O503" i="19"/>
  <c r="O502" i="19"/>
  <c r="O504" i="19"/>
  <c r="N504" i="19"/>
  <c r="N513" i="19"/>
  <c r="O97" i="19"/>
  <c r="O105" i="19"/>
  <c r="O27" i="19"/>
  <c r="N103" i="19"/>
  <c r="N58" i="19"/>
  <c r="N16" i="19"/>
  <c r="N163" i="19"/>
  <c r="N243" i="19"/>
  <c r="N78" i="19"/>
  <c r="O28" i="19"/>
  <c r="N5" i="19"/>
  <c r="N129" i="19"/>
  <c r="O60" i="19"/>
  <c r="O33" i="19"/>
  <c r="O36" i="19"/>
  <c r="N15" i="19"/>
  <c r="O73" i="19"/>
  <c r="O9" i="19"/>
  <c r="O22" i="19"/>
  <c r="O31" i="19"/>
  <c r="N95" i="19"/>
  <c r="N161" i="19"/>
  <c r="N99" i="19"/>
  <c r="O243" i="19"/>
  <c r="O69" i="19"/>
  <c r="N104" i="19"/>
  <c r="O161" i="19"/>
  <c r="N79" i="19"/>
  <c r="N12" i="19"/>
  <c r="O41" i="19"/>
  <c r="N62" i="19"/>
  <c r="O63" i="19"/>
  <c r="N38" i="19"/>
  <c r="O39" i="19"/>
  <c r="N20" i="19"/>
  <c r="O21" i="19"/>
  <c r="N2" i="19"/>
  <c r="N3" i="19"/>
  <c r="N24" i="19"/>
  <c r="N25" i="19"/>
  <c r="N70" i="19"/>
  <c r="N6" i="19"/>
  <c r="O65" i="19"/>
  <c r="N84" i="19"/>
  <c r="N34" i="19"/>
  <c r="N63" i="19"/>
  <c r="O64" i="19"/>
  <c r="N39" i="19"/>
  <c r="O40" i="19"/>
  <c r="N21" i="19"/>
  <c r="N68" i="19"/>
  <c r="O3" i="19"/>
  <c r="N4" i="19"/>
  <c r="O25" i="19"/>
  <c r="N26" i="19"/>
  <c r="O147" i="19"/>
  <c r="N61" i="19"/>
  <c r="N41" i="19"/>
  <c r="N31" i="19"/>
  <c r="O513" i="19"/>
  <c r="O37" i="19"/>
  <c r="O15" i="19"/>
  <c r="O77" i="19"/>
  <c r="O5" i="19"/>
  <c r="O99" i="19"/>
  <c r="N147" i="19"/>
  <c r="N97" i="19"/>
  <c r="N28" i="19"/>
  <c r="O104" i="19"/>
  <c r="O79" i="19"/>
  <c r="N451" i="19"/>
  <c r="O58" i="19"/>
  <c r="O62" i="19"/>
  <c r="O66" i="19"/>
  <c r="O34" i="19"/>
  <c r="O38" i="19"/>
  <c r="O12" i="19"/>
  <c r="O16" i="19"/>
  <c r="O20" i="19"/>
  <c r="O70" i="19"/>
  <c r="O74" i="19"/>
  <c r="O2" i="19"/>
  <c r="O6" i="19"/>
  <c r="O10" i="19"/>
  <c r="O24" i="19"/>
  <c r="O129" i="19"/>
  <c r="N65" i="19"/>
  <c r="N19" i="19"/>
  <c r="N69" i="19"/>
  <c r="N33" i="19"/>
  <c r="N73" i="19"/>
  <c r="N502" i="19"/>
  <c r="N503" i="19"/>
  <c r="N9" i="19"/>
  <c r="N23" i="19"/>
  <c r="N27" i="19"/>
  <c r="O84" i="19"/>
  <c r="N105" i="19"/>
  <c r="G120" i="26" l="1"/>
  <c r="X129" i="26" s="1"/>
  <c r="F41" i="26"/>
  <c r="F62" i="26"/>
  <c r="G116" i="26"/>
  <c r="P129" i="26"/>
  <c r="K116" i="26"/>
  <c r="P133" i="26" s="1"/>
  <c r="K163" i="38" l="1"/>
  <c r="K168" i="38"/>
  <c r="K166" i="38"/>
  <c r="L190" i="38"/>
  <c r="L188" i="38"/>
  <c r="L184" i="38"/>
  <c r="C214" i="38"/>
  <c r="B157" i="38"/>
  <c r="B156" i="38"/>
  <c r="C224" i="38"/>
  <c r="M186" i="38" l="1"/>
  <c r="M184" i="38"/>
  <c r="N52" i="38" l="1"/>
  <c r="O52" i="38"/>
  <c r="N53" i="38"/>
  <c r="O53" i="38"/>
  <c r="N54" i="38"/>
  <c r="O54" i="38"/>
  <c r="N55" i="38"/>
  <c r="O55" i="38"/>
  <c r="N56" i="38"/>
  <c r="O56" i="38"/>
  <c r="N57" i="38"/>
  <c r="O57" i="38"/>
  <c r="N58" i="38"/>
  <c r="O58" i="38"/>
  <c r="N59" i="38"/>
  <c r="O59" i="38"/>
  <c r="N60" i="38"/>
  <c r="O60" i="38"/>
  <c r="N61" i="38"/>
  <c r="O61" i="38"/>
  <c r="N62" i="38"/>
  <c r="O62" i="38"/>
  <c r="N63" i="38"/>
  <c r="O63" i="38"/>
  <c r="N64" i="38"/>
  <c r="O64" i="38"/>
  <c r="N65" i="38"/>
  <c r="O65" i="38"/>
  <c r="N66" i="38"/>
  <c r="O66" i="38"/>
  <c r="N67" i="38"/>
  <c r="O67" i="38"/>
  <c r="N68" i="38"/>
  <c r="O68" i="38"/>
  <c r="N69" i="38"/>
  <c r="O69" i="38"/>
  <c r="N70" i="38"/>
  <c r="O70" i="38"/>
  <c r="N71" i="38"/>
  <c r="O71" i="38"/>
  <c r="N72" i="38"/>
  <c r="O72" i="38"/>
  <c r="N73" i="38"/>
  <c r="O73" i="38"/>
  <c r="N74" i="38"/>
  <c r="O74" i="38"/>
  <c r="N75" i="38"/>
  <c r="O75" i="38"/>
  <c r="N76" i="38"/>
  <c r="O76" i="38"/>
  <c r="N77" i="38"/>
  <c r="O77" i="38"/>
  <c r="N78" i="38"/>
  <c r="O78" i="38"/>
  <c r="N79" i="38"/>
  <c r="O79" i="38"/>
  <c r="N80" i="38"/>
  <c r="O80" i="38"/>
  <c r="N81" i="38"/>
  <c r="O81" i="38"/>
  <c r="N82" i="38"/>
  <c r="O82" i="38"/>
  <c r="C82" i="47" l="1"/>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C7" i="47"/>
  <c r="C6" i="47"/>
  <c r="C5" i="47"/>
  <c r="C4" i="47"/>
  <c r="C3" i="47"/>
  <c r="C2" i="47"/>
  <c r="E249" i="38"/>
  <c r="N174" i="38"/>
  <c r="O174" i="38" s="1"/>
  <c r="N172" i="38"/>
  <c r="N170" i="38"/>
  <c r="O170" i="38" s="1"/>
  <c r="N168" i="38"/>
  <c r="N166" i="38"/>
  <c r="X166" i="38"/>
  <c r="U174" i="38"/>
  <c r="L176" i="38"/>
  <c r="Q176" i="38"/>
  <c r="S176" i="38"/>
  <c r="W176" i="38"/>
  <c r="O111" i="38"/>
  <c r="O112" i="38"/>
  <c r="O113" i="38"/>
  <c r="O114" i="38"/>
  <c r="O115" i="38"/>
  <c r="O116" i="38"/>
  <c r="O117" i="38"/>
  <c r="O118" i="38"/>
  <c r="O119" i="38"/>
  <c r="O120" i="38"/>
  <c r="O121" i="38"/>
  <c r="O122" i="38"/>
  <c r="O123" i="38"/>
  <c r="O124" i="38"/>
  <c r="O125" i="38"/>
  <c r="O126" i="38"/>
  <c r="O127" i="38"/>
  <c r="O128" i="38"/>
  <c r="O129" i="38"/>
  <c r="O130" i="38"/>
  <c r="O131" i="38"/>
  <c r="O132" i="38"/>
  <c r="O133" i="38"/>
  <c r="O134" i="38"/>
  <c r="O135" i="38"/>
  <c r="N112" i="38"/>
  <c r="N113" i="38"/>
  <c r="N114" i="38"/>
  <c r="N115" i="38"/>
  <c r="N116" i="38"/>
  <c r="N117" i="38"/>
  <c r="N118" i="38"/>
  <c r="N119" i="38"/>
  <c r="N120" i="38"/>
  <c r="N121" i="38"/>
  <c r="N122" i="38"/>
  <c r="N123" i="38"/>
  <c r="N124" i="38"/>
  <c r="N125" i="38"/>
  <c r="N126" i="38"/>
  <c r="N127" i="38"/>
  <c r="N128" i="38"/>
  <c r="N129" i="38"/>
  <c r="N130" i="38"/>
  <c r="N131" i="38"/>
  <c r="N132" i="38"/>
  <c r="N133" i="38"/>
  <c r="N134" i="38"/>
  <c r="N135" i="38"/>
  <c r="D135" i="38"/>
  <c r="D115" i="19" s="1"/>
  <c r="D134" i="38"/>
  <c r="D122" i="19" s="1"/>
  <c r="C135" i="38"/>
  <c r="C115" i="19" s="1"/>
  <c r="C134" i="38"/>
  <c r="C122" i="19" s="1"/>
  <c r="B135" i="38"/>
  <c r="B115" i="19" s="1"/>
  <c r="B134" i="38"/>
  <c r="B122" i="19" s="1"/>
  <c r="E132" i="38"/>
  <c r="E243" i="19" s="1"/>
  <c r="E237" i="38"/>
  <c r="D133" i="38"/>
  <c r="D114" i="19" s="1"/>
  <c r="D132" i="38"/>
  <c r="D243" i="19" s="1"/>
  <c r="C133" i="38"/>
  <c r="C114" i="19" s="1"/>
  <c r="C132" i="38"/>
  <c r="C243" i="19" s="1"/>
  <c r="B133" i="38"/>
  <c r="B114" i="19" s="1"/>
  <c r="B132" i="38"/>
  <c r="B243" i="19" s="1"/>
  <c r="G125" i="38"/>
  <c r="G96" i="19" s="1"/>
  <c r="G126" i="38"/>
  <c r="G97" i="19" s="1"/>
  <c r="G127" i="38"/>
  <c r="G162" i="19" s="1"/>
  <c r="G124" i="38"/>
  <c r="G105" i="19" s="1"/>
  <c r="G129" i="38"/>
  <c r="G98" i="19" s="1"/>
  <c r="G130" i="38"/>
  <c r="G99" i="19" s="1"/>
  <c r="G131" i="38"/>
  <c r="G163" i="19" s="1"/>
  <c r="G128" i="38"/>
  <c r="G106" i="19" s="1"/>
  <c r="F129" i="38"/>
  <c r="F98" i="19" s="1"/>
  <c r="F130" i="38"/>
  <c r="F99" i="19" s="1"/>
  <c r="F131" i="38"/>
  <c r="F163" i="19" s="1"/>
  <c r="E131" i="38"/>
  <c r="E163" i="19" s="1"/>
  <c r="E130" i="38"/>
  <c r="E99" i="19" s="1"/>
  <c r="E129" i="38"/>
  <c r="E98" i="19" s="1"/>
  <c r="E127" i="38"/>
  <c r="E162" i="19" s="1"/>
  <c r="E126" i="38"/>
  <c r="E97" i="19" s="1"/>
  <c r="E125" i="38"/>
  <c r="E96" i="19" s="1"/>
  <c r="D129" i="38"/>
  <c r="D98" i="19" s="1"/>
  <c r="D130" i="38"/>
  <c r="D99" i="19" s="1"/>
  <c r="D131" i="38"/>
  <c r="D163" i="19" s="1"/>
  <c r="D128" i="38"/>
  <c r="D106" i="19" s="1"/>
  <c r="C129" i="38"/>
  <c r="C98" i="19" s="1"/>
  <c r="C130" i="38"/>
  <c r="C99" i="19" s="1"/>
  <c r="C131" i="38"/>
  <c r="C163" i="19" s="1"/>
  <c r="C128" i="38"/>
  <c r="C106" i="19" s="1"/>
  <c r="B129" i="38"/>
  <c r="B98" i="19" s="1"/>
  <c r="B130" i="38"/>
  <c r="B99" i="19" s="1"/>
  <c r="B131" i="38"/>
  <c r="B163" i="19" s="1"/>
  <c r="B128" i="38"/>
  <c r="B106" i="19" s="1"/>
  <c r="D125" i="38"/>
  <c r="D96" i="19" s="1"/>
  <c r="D126" i="38"/>
  <c r="D97" i="19" s="1"/>
  <c r="D127" i="38"/>
  <c r="D162" i="19" s="1"/>
  <c r="D124" i="38"/>
  <c r="D105" i="19" s="1"/>
  <c r="C125" i="38"/>
  <c r="C96" i="19" s="1"/>
  <c r="C126" i="38"/>
  <c r="C97" i="19" s="1"/>
  <c r="C127" i="38"/>
  <c r="C162" i="19" s="1"/>
  <c r="C124" i="38"/>
  <c r="C105" i="19" s="1"/>
  <c r="B125" i="38"/>
  <c r="B96" i="19" s="1"/>
  <c r="B126" i="38"/>
  <c r="B97" i="19" s="1"/>
  <c r="B127" i="38"/>
  <c r="B162" i="19" s="1"/>
  <c r="B124" i="38"/>
  <c r="B105" i="19" s="1"/>
  <c r="G120" i="38"/>
  <c r="G104" i="19" s="1"/>
  <c r="G121" i="38"/>
  <c r="G94" i="19" s="1"/>
  <c r="G122" i="38"/>
  <c r="G95" i="19" s="1"/>
  <c r="G123" i="38"/>
  <c r="G161" i="19" s="1"/>
  <c r="F119" i="38"/>
  <c r="F113" i="19" s="1"/>
  <c r="F120" i="38"/>
  <c r="F104" i="19" s="1"/>
  <c r="F121" i="38"/>
  <c r="F94" i="19" s="1"/>
  <c r="F122" i="38"/>
  <c r="F95" i="19" s="1"/>
  <c r="F123" i="38"/>
  <c r="F161" i="19" s="1"/>
  <c r="F118" i="38"/>
  <c r="F147" i="19" s="1"/>
  <c r="E119" i="38"/>
  <c r="E113" i="19" s="1"/>
  <c r="E120" i="38"/>
  <c r="E104" i="19" s="1"/>
  <c r="E121" i="38"/>
  <c r="E94" i="19" s="1"/>
  <c r="E122" i="38"/>
  <c r="E95" i="19" s="1"/>
  <c r="E123" i="38"/>
  <c r="E161" i="19" s="1"/>
  <c r="E118" i="38"/>
  <c r="E147" i="19" s="1"/>
  <c r="D119" i="38"/>
  <c r="D113" i="19" s="1"/>
  <c r="D120" i="38"/>
  <c r="D104" i="19" s="1"/>
  <c r="D121" i="38"/>
  <c r="D94" i="19" s="1"/>
  <c r="D122" i="38"/>
  <c r="D95" i="19" s="1"/>
  <c r="D123" i="38"/>
  <c r="D161" i="19" s="1"/>
  <c r="D118" i="38"/>
  <c r="D147" i="19" s="1"/>
  <c r="C119" i="38"/>
  <c r="C113" i="19" s="1"/>
  <c r="C120" i="38"/>
  <c r="C104" i="19" s="1"/>
  <c r="C121" i="38"/>
  <c r="C94" i="19" s="1"/>
  <c r="C122" i="38"/>
  <c r="C95" i="19" s="1"/>
  <c r="C123" i="38"/>
  <c r="C161" i="19" s="1"/>
  <c r="C118" i="38"/>
  <c r="C147" i="19" s="1"/>
  <c r="B119" i="38"/>
  <c r="B113" i="19" s="1"/>
  <c r="B120" i="38"/>
  <c r="B104" i="19" s="1"/>
  <c r="B121" i="38"/>
  <c r="B94" i="19" s="1"/>
  <c r="B122" i="38"/>
  <c r="B95" i="19" s="1"/>
  <c r="B123" i="38"/>
  <c r="B161" i="19" s="1"/>
  <c r="B118" i="38"/>
  <c r="B147" i="19" s="1"/>
  <c r="A119" i="38"/>
  <c r="A113" i="19" s="1"/>
  <c r="A120" i="38"/>
  <c r="A104" i="19" s="1"/>
  <c r="A121" i="38"/>
  <c r="A94" i="19" s="1"/>
  <c r="A122" i="38"/>
  <c r="A95" i="19" s="1"/>
  <c r="A123" i="38"/>
  <c r="A161" i="19" s="1"/>
  <c r="A118" i="38"/>
  <c r="A147" i="19" s="1"/>
  <c r="G114" i="38"/>
  <c r="G103" i="19" s="1"/>
  <c r="G115" i="38"/>
  <c r="G92" i="19" s="1"/>
  <c r="G116" i="38"/>
  <c r="G93" i="19" s="1"/>
  <c r="G117" i="38"/>
  <c r="G160" i="19" s="1"/>
  <c r="F113" i="38"/>
  <c r="F112" i="19" s="1"/>
  <c r="F114" i="38"/>
  <c r="F103" i="19" s="1"/>
  <c r="F115" i="38"/>
  <c r="F92" i="19" s="1"/>
  <c r="F116" i="38"/>
  <c r="F93" i="19" s="1"/>
  <c r="F117" i="38"/>
  <c r="F160" i="19" s="1"/>
  <c r="F112" i="38"/>
  <c r="F129" i="19" s="1"/>
  <c r="E114" i="38"/>
  <c r="E103" i="19" s="1"/>
  <c r="E115" i="38"/>
  <c r="E92" i="19" s="1"/>
  <c r="E116" i="38"/>
  <c r="E93" i="19" s="1"/>
  <c r="E117" i="38"/>
  <c r="E160" i="19" s="1"/>
  <c r="E112" i="38"/>
  <c r="E129" i="19" s="1"/>
  <c r="D113" i="38"/>
  <c r="D112" i="19" s="1"/>
  <c r="D114" i="38"/>
  <c r="D103" i="19" s="1"/>
  <c r="D115" i="38"/>
  <c r="D92" i="19" s="1"/>
  <c r="D116" i="38"/>
  <c r="D93" i="19" s="1"/>
  <c r="D117" i="38"/>
  <c r="D160" i="19" s="1"/>
  <c r="D112" i="38"/>
  <c r="D129" i="19" s="1"/>
  <c r="C113" i="38"/>
  <c r="C112" i="19" s="1"/>
  <c r="C114" i="38"/>
  <c r="C103" i="19" s="1"/>
  <c r="C115" i="38"/>
  <c r="C92" i="19" s="1"/>
  <c r="C116" i="38"/>
  <c r="C93" i="19" s="1"/>
  <c r="C117" i="38"/>
  <c r="C160" i="19" s="1"/>
  <c r="C112" i="38"/>
  <c r="C129" i="19" s="1"/>
  <c r="B117" i="38"/>
  <c r="B160" i="19" s="1"/>
  <c r="B116" i="38"/>
  <c r="B93" i="19" s="1"/>
  <c r="B113" i="38"/>
  <c r="B112" i="19" s="1"/>
  <c r="B114" i="38"/>
  <c r="B103" i="19" s="1"/>
  <c r="B115" i="38"/>
  <c r="B92" i="19" s="1"/>
  <c r="B112" i="38"/>
  <c r="B129" i="19" s="1"/>
  <c r="C3" i="30" l="1" a="1"/>
  <c r="C3" i="30" s="1"/>
  <c r="L3" i="30" a="1"/>
  <c r="H2" i="33" a="1"/>
  <c r="H2" i="33" s="1"/>
  <c r="J3" i="30" a="1"/>
  <c r="G2" i="33" a="1"/>
  <c r="G2" i="33" s="1"/>
  <c r="O168" i="38"/>
  <c r="X167" i="38"/>
  <c r="T167" i="38"/>
  <c r="T170" i="38" s="1"/>
  <c r="O172" i="38"/>
  <c r="T166" i="38" s="1"/>
  <c r="R167" i="38"/>
  <c r="R170" i="38" s="1"/>
  <c r="O166" i="38"/>
  <c r="R166" i="38" s="1"/>
  <c r="X171" i="38"/>
  <c r="X173" i="38"/>
  <c r="X174" i="38"/>
  <c r="T172" i="38"/>
  <c r="R173" i="38"/>
  <c r="X172" i="38"/>
  <c r="X170" i="38"/>
  <c r="T171" i="38"/>
  <c r="U171" i="38"/>
  <c r="E134" i="38"/>
  <c r="E122" i="19" s="1"/>
  <c r="N111" i="38"/>
  <c r="O110" i="38"/>
  <c r="N110" i="38"/>
  <c r="O109" i="38"/>
  <c r="N109" i="38"/>
  <c r="O108" i="38"/>
  <c r="N108" i="38"/>
  <c r="O107" i="38"/>
  <c r="N107" i="38"/>
  <c r="O106" i="38"/>
  <c r="N106" i="38"/>
  <c r="O105" i="38"/>
  <c r="N105" i="38"/>
  <c r="O104" i="38"/>
  <c r="N104" i="38"/>
  <c r="O103" i="38"/>
  <c r="N103" i="38"/>
  <c r="O102" i="38"/>
  <c r="N102" i="38"/>
  <c r="O101" i="38"/>
  <c r="N101" i="38"/>
  <c r="O100" i="38"/>
  <c r="N100" i="38"/>
  <c r="O99" i="38"/>
  <c r="N99" i="38"/>
  <c r="O98" i="38"/>
  <c r="N98" i="38"/>
  <c r="O97" i="38"/>
  <c r="N97" i="38"/>
  <c r="O96" i="38"/>
  <c r="N96" i="38"/>
  <c r="O95" i="38"/>
  <c r="N95" i="38"/>
  <c r="O94" i="38"/>
  <c r="N94" i="38"/>
  <c r="O93" i="38"/>
  <c r="N93" i="38"/>
  <c r="O92" i="38"/>
  <c r="N92" i="38"/>
  <c r="O91" i="38"/>
  <c r="N91" i="38"/>
  <c r="O90" i="38"/>
  <c r="N90" i="38"/>
  <c r="O89" i="38"/>
  <c r="N89" i="38"/>
  <c r="O88" i="38"/>
  <c r="N88" i="38"/>
  <c r="O87" i="38"/>
  <c r="N87" i="38"/>
  <c r="O86" i="38"/>
  <c r="N86" i="38"/>
  <c r="O85" i="38"/>
  <c r="N85" i="38"/>
  <c r="O84" i="38"/>
  <c r="N84" i="38"/>
  <c r="O83" i="38"/>
  <c r="N83" i="38"/>
  <c r="W194" i="38"/>
  <c r="K569" i="18"/>
  <c r="K8" i="18"/>
  <c r="K2" i="18"/>
  <c r="K3" i="18"/>
  <c r="K10" i="18"/>
  <c r="K6" i="18"/>
  <c r="K9" i="18"/>
  <c r="K4" i="18"/>
  <c r="K5" i="18"/>
  <c r="K11" i="18"/>
  <c r="K7" i="18"/>
  <c r="E2" i="18"/>
  <c r="E3" i="18"/>
  <c r="E10" i="18"/>
  <c r="E6" i="18"/>
  <c r="E9" i="18"/>
  <c r="E4" i="18"/>
  <c r="E5" i="18"/>
  <c r="E11" i="18"/>
  <c r="E7" i="18"/>
  <c r="E8" i="18"/>
  <c r="C2" i="18"/>
  <c r="C3" i="18"/>
  <c r="C10" i="18"/>
  <c r="C6" i="18"/>
  <c r="C9" i="18"/>
  <c r="C4" i="18"/>
  <c r="C5" i="18"/>
  <c r="C11" i="18"/>
  <c r="C7" i="18"/>
  <c r="C8" i="18"/>
  <c r="B2" i="18"/>
  <c r="B3" i="18"/>
  <c r="B10" i="18"/>
  <c r="B6" i="18"/>
  <c r="B9" i="18"/>
  <c r="B4" i="18"/>
  <c r="B5" i="18"/>
  <c r="B11" i="18"/>
  <c r="B7" i="18"/>
  <c r="B8" i="18"/>
  <c r="A2" i="18"/>
  <c r="A3" i="18"/>
  <c r="A10" i="18"/>
  <c r="A6" i="18"/>
  <c r="A9" i="18"/>
  <c r="A4" i="18"/>
  <c r="A5" i="18"/>
  <c r="A11" i="18"/>
  <c r="A7" i="18"/>
  <c r="A8" i="18"/>
  <c r="L20" i="20"/>
  <c r="L21" i="20"/>
  <c r="L5" i="20"/>
  <c r="L13" i="20"/>
  <c r="L7" i="20"/>
  <c r="L16" i="20"/>
  <c r="L17" i="20"/>
  <c r="L3" i="20"/>
  <c r="L11" i="20"/>
  <c r="L8" i="20"/>
  <c r="L18" i="20"/>
  <c r="L19" i="20"/>
  <c r="L4" i="20"/>
  <c r="L12" i="20"/>
  <c r="L6" i="20"/>
  <c r="L14" i="20"/>
  <c r="L15" i="20"/>
  <c r="L2" i="20"/>
  <c r="L10" i="20"/>
  <c r="L9" i="20"/>
  <c r="K9" i="20"/>
  <c r="K20" i="20"/>
  <c r="K21" i="20"/>
  <c r="K5" i="20"/>
  <c r="K13" i="20"/>
  <c r="K7" i="20"/>
  <c r="K16" i="20"/>
  <c r="K17" i="20"/>
  <c r="K3" i="20"/>
  <c r="K11" i="20"/>
  <c r="K8" i="20"/>
  <c r="K18" i="20"/>
  <c r="K19" i="20"/>
  <c r="K4" i="20"/>
  <c r="K12" i="20"/>
  <c r="K6" i="20"/>
  <c r="K14" i="20"/>
  <c r="K15" i="20"/>
  <c r="K2" i="20"/>
  <c r="K10" i="20"/>
  <c r="E20" i="20"/>
  <c r="E21" i="20"/>
  <c r="E5" i="20"/>
  <c r="E13" i="20"/>
  <c r="E7" i="20"/>
  <c r="E16" i="20"/>
  <c r="E17" i="20"/>
  <c r="E3" i="20"/>
  <c r="E11" i="20"/>
  <c r="E8" i="20"/>
  <c r="E18" i="20"/>
  <c r="E19" i="20"/>
  <c r="E4" i="20"/>
  <c r="E12" i="20"/>
  <c r="E6" i="20"/>
  <c r="E14" i="20"/>
  <c r="E15" i="20"/>
  <c r="E2" i="20"/>
  <c r="E10" i="20"/>
  <c r="E9" i="20"/>
  <c r="A20" i="20"/>
  <c r="A21" i="20"/>
  <c r="A5" i="20"/>
  <c r="A13" i="20"/>
  <c r="A7" i="20"/>
  <c r="A16" i="20"/>
  <c r="A17" i="20"/>
  <c r="A3" i="20"/>
  <c r="A11" i="20"/>
  <c r="A8" i="20"/>
  <c r="A18" i="20"/>
  <c r="A19" i="20"/>
  <c r="A4" i="20"/>
  <c r="A12" i="20"/>
  <c r="A6" i="20"/>
  <c r="A14" i="20"/>
  <c r="A15" i="20"/>
  <c r="A2" i="20"/>
  <c r="A10" i="20"/>
  <c r="A9" i="20"/>
  <c r="B20" i="20"/>
  <c r="B21" i="20"/>
  <c r="B5" i="20"/>
  <c r="B13" i="20"/>
  <c r="B7" i="20"/>
  <c r="B16" i="20"/>
  <c r="B17" i="20"/>
  <c r="B3" i="20"/>
  <c r="B11" i="20"/>
  <c r="B8" i="20"/>
  <c r="B18" i="20"/>
  <c r="B19" i="20"/>
  <c r="B4" i="20"/>
  <c r="B12" i="20"/>
  <c r="B6" i="20"/>
  <c r="B14" i="20"/>
  <c r="B15" i="20"/>
  <c r="B2" i="20"/>
  <c r="B10" i="20"/>
  <c r="B9" i="20"/>
  <c r="C6" i="20"/>
  <c r="C14" i="20"/>
  <c r="C15" i="20"/>
  <c r="C2" i="20"/>
  <c r="C10" i="20"/>
  <c r="C8" i="20"/>
  <c r="C18" i="20"/>
  <c r="C19" i="20"/>
  <c r="C4" i="20"/>
  <c r="C12" i="20"/>
  <c r="C7" i="20"/>
  <c r="C16" i="20"/>
  <c r="C17" i="20"/>
  <c r="C3" i="20"/>
  <c r="C11" i="20"/>
  <c r="C20" i="20"/>
  <c r="C21" i="20"/>
  <c r="C5" i="20"/>
  <c r="C13" i="20"/>
  <c r="C9" i="20"/>
  <c r="E40" i="22"/>
  <c r="L44" i="38"/>
  <c r="L45" i="38"/>
  <c r="L46" i="38"/>
  <c r="L47" i="38"/>
  <c r="L48" i="38"/>
  <c r="L34" i="38"/>
  <c r="L35" i="38"/>
  <c r="L36" i="38"/>
  <c r="L37" i="38"/>
  <c r="L38" i="38"/>
  <c r="L29" i="38"/>
  <c r="L30" i="38"/>
  <c r="L31" i="38"/>
  <c r="L32" i="38"/>
  <c r="L33" i="38"/>
  <c r="L39" i="38"/>
  <c r="L40" i="38"/>
  <c r="L41" i="38"/>
  <c r="L42" i="38"/>
  <c r="L43" i="38"/>
  <c r="B229" i="38"/>
  <c r="B230" i="38"/>
  <c r="B231" i="38"/>
  <c r="B228" i="38"/>
  <c r="A229" i="38"/>
  <c r="A230" i="38"/>
  <c r="A231" i="38"/>
  <c r="A228" i="38"/>
  <c r="L14" i="38"/>
  <c r="L15" i="38"/>
  <c r="L16" i="38"/>
  <c r="L17" i="38"/>
  <c r="L18" i="38"/>
  <c r="L13" i="38"/>
  <c r="L12" i="38"/>
  <c r="L11" i="38"/>
  <c r="L10" i="38"/>
  <c r="L9" i="38"/>
  <c r="C222" i="38"/>
  <c r="C223" i="38"/>
  <c r="C221" i="38"/>
  <c r="K220" i="30" l="1"/>
  <c r="K258" i="30"/>
  <c r="J3" i="30"/>
  <c r="M140" i="30" s="1"/>
  <c r="L3" i="30"/>
  <c r="K229" i="30" s="1"/>
  <c r="R172" i="38"/>
  <c r="R174" i="38"/>
  <c r="T173" i="38"/>
  <c r="T176" i="38" s="1"/>
  <c r="K182" i="38"/>
  <c r="T174" i="38"/>
  <c r="R171" i="38"/>
  <c r="N190" i="38"/>
  <c r="O190" i="38" s="1"/>
  <c r="T184" i="38" s="1"/>
  <c r="N186" i="38"/>
  <c r="O186" i="38" s="1"/>
  <c r="X184" i="38" s="1"/>
  <c r="X185" i="38" s="1"/>
  <c r="X192" i="38" s="1"/>
  <c r="N184" i="38"/>
  <c r="X176" i="38"/>
  <c r="R176" i="38"/>
  <c r="U172" i="38"/>
  <c r="B232" i="38"/>
  <c r="A558" i="18"/>
  <c r="B558" i="18"/>
  <c r="C558" i="18"/>
  <c r="A563" i="18"/>
  <c r="B563" i="18"/>
  <c r="C563" i="18"/>
  <c r="A548" i="18"/>
  <c r="B548" i="18"/>
  <c r="C548" i="18"/>
  <c r="A533" i="18"/>
  <c r="B533" i="18"/>
  <c r="C533" i="18"/>
  <c r="A538" i="18"/>
  <c r="B538" i="18"/>
  <c r="C538" i="18"/>
  <c r="A557" i="18"/>
  <c r="B557" i="18"/>
  <c r="C557" i="18"/>
  <c r="A543" i="18"/>
  <c r="B543" i="18"/>
  <c r="C543" i="18"/>
  <c r="A567" i="18"/>
  <c r="B567" i="18"/>
  <c r="C567" i="18"/>
  <c r="A556" i="18"/>
  <c r="B556" i="18"/>
  <c r="C556" i="18"/>
  <c r="A562" i="18"/>
  <c r="B562" i="18"/>
  <c r="C562" i="18"/>
  <c r="A547" i="18"/>
  <c r="B547" i="18"/>
  <c r="C547" i="18"/>
  <c r="A532" i="18"/>
  <c r="B532" i="18"/>
  <c r="C532" i="18"/>
  <c r="A537" i="18"/>
  <c r="B537" i="18"/>
  <c r="C537" i="18"/>
  <c r="A555" i="18"/>
  <c r="B555" i="18"/>
  <c r="C555" i="18"/>
  <c r="A542" i="18"/>
  <c r="B542" i="18"/>
  <c r="C542" i="18"/>
  <c r="A566" i="18"/>
  <c r="B566" i="18"/>
  <c r="C566" i="18"/>
  <c r="A554" i="18"/>
  <c r="B554" i="18"/>
  <c r="C554" i="18"/>
  <c r="A561" i="18"/>
  <c r="B561" i="18"/>
  <c r="C561" i="18"/>
  <c r="A546" i="18"/>
  <c r="B546" i="18"/>
  <c r="C546" i="18"/>
  <c r="A531" i="18"/>
  <c r="B531" i="18"/>
  <c r="C531" i="18"/>
  <c r="A536" i="18"/>
  <c r="B536" i="18"/>
  <c r="C536" i="18"/>
  <c r="A553" i="18"/>
  <c r="B553" i="18"/>
  <c r="C553" i="18"/>
  <c r="A541" i="18"/>
  <c r="B541" i="18"/>
  <c r="C541" i="18"/>
  <c r="A565" i="18"/>
  <c r="B565" i="18"/>
  <c r="C565" i="18"/>
  <c r="A552" i="18"/>
  <c r="B552" i="18"/>
  <c r="C552" i="18"/>
  <c r="A560" i="18"/>
  <c r="B560" i="18"/>
  <c r="C560" i="18"/>
  <c r="A545" i="18"/>
  <c r="B545" i="18"/>
  <c r="C545" i="18"/>
  <c r="A530" i="18"/>
  <c r="B530" i="18"/>
  <c r="C530" i="18"/>
  <c r="A535" i="18"/>
  <c r="B535" i="18"/>
  <c r="C535" i="18"/>
  <c r="A551" i="18"/>
  <c r="B551" i="18"/>
  <c r="C551" i="18"/>
  <c r="A540" i="18"/>
  <c r="B540" i="18"/>
  <c r="C540" i="18"/>
  <c r="A564" i="18"/>
  <c r="B564" i="18"/>
  <c r="C564" i="18"/>
  <c r="A550" i="18"/>
  <c r="B550" i="18"/>
  <c r="C550" i="18"/>
  <c r="A559" i="18"/>
  <c r="B559" i="18"/>
  <c r="C559" i="18"/>
  <c r="A544" i="18"/>
  <c r="B544" i="18"/>
  <c r="C544" i="18"/>
  <c r="A529" i="18"/>
  <c r="B529" i="18"/>
  <c r="C529" i="18"/>
  <c r="A534" i="18"/>
  <c r="B534" i="18"/>
  <c r="C534" i="18"/>
  <c r="A549" i="18"/>
  <c r="B549" i="18"/>
  <c r="C549" i="18"/>
  <c r="A539" i="18"/>
  <c r="B539" i="18"/>
  <c r="C539" i="18"/>
  <c r="C568" i="18"/>
  <c r="B568" i="18"/>
  <c r="A568" i="18"/>
  <c r="K539" i="18"/>
  <c r="K549" i="18"/>
  <c r="K534" i="18"/>
  <c r="K529" i="18"/>
  <c r="K544" i="18"/>
  <c r="K559" i="18"/>
  <c r="K550" i="18"/>
  <c r="K564" i="18"/>
  <c r="K540" i="18"/>
  <c r="K551" i="18"/>
  <c r="K535" i="18"/>
  <c r="K530" i="18"/>
  <c r="K545" i="18"/>
  <c r="K560" i="18"/>
  <c r="K552" i="18"/>
  <c r="K565" i="18"/>
  <c r="K541" i="18"/>
  <c r="K553" i="18"/>
  <c r="K536" i="18"/>
  <c r="K531" i="18"/>
  <c r="K546" i="18"/>
  <c r="K561" i="18"/>
  <c r="K554" i="18"/>
  <c r="K566" i="18"/>
  <c r="K542" i="18"/>
  <c r="K555" i="18"/>
  <c r="K537" i="18"/>
  <c r="K532" i="18"/>
  <c r="K547" i="18"/>
  <c r="K562" i="18"/>
  <c r="K556" i="18"/>
  <c r="K567" i="18"/>
  <c r="K543" i="18"/>
  <c r="K557" i="18"/>
  <c r="K538" i="18"/>
  <c r="K533" i="18"/>
  <c r="K548" i="18"/>
  <c r="K563" i="18"/>
  <c r="K558" i="18"/>
  <c r="K568" i="18"/>
  <c r="C754" i="20"/>
  <c r="C748" i="20"/>
  <c r="C763" i="20"/>
  <c r="C778" i="20"/>
  <c r="C773" i="20"/>
  <c r="C755" i="20"/>
  <c r="C768" i="20"/>
  <c r="C744" i="20"/>
  <c r="C756" i="20"/>
  <c r="C749" i="20"/>
  <c r="C764" i="20"/>
  <c r="C779" i="20"/>
  <c r="C774" i="20"/>
  <c r="C758" i="20"/>
  <c r="C769" i="20"/>
  <c r="C745" i="20"/>
  <c r="C757" i="20"/>
  <c r="C750" i="20"/>
  <c r="C765" i="20"/>
  <c r="C780" i="20"/>
  <c r="C775" i="20"/>
  <c r="C759" i="20"/>
  <c r="C770" i="20"/>
  <c r="C746" i="20"/>
  <c r="C760" i="20"/>
  <c r="C751" i="20"/>
  <c r="C766" i="20"/>
  <c r="C781" i="20"/>
  <c r="C776" i="20"/>
  <c r="C761" i="20"/>
  <c r="C771" i="20"/>
  <c r="C743" i="20"/>
  <c r="B754" i="20"/>
  <c r="B748" i="20"/>
  <c r="B763" i="20"/>
  <c r="B778" i="20"/>
  <c r="B773" i="20"/>
  <c r="B755" i="20"/>
  <c r="B768" i="20"/>
  <c r="B744" i="20"/>
  <c r="B756" i="20"/>
  <c r="B749" i="20"/>
  <c r="B764" i="20"/>
  <c r="B779" i="20"/>
  <c r="B774" i="20"/>
  <c r="B758" i="20"/>
  <c r="B769" i="20"/>
  <c r="B745" i="20"/>
  <c r="B757" i="20"/>
  <c r="B750" i="20"/>
  <c r="B765" i="20"/>
  <c r="B780" i="20"/>
  <c r="B775" i="20"/>
  <c r="B759" i="20"/>
  <c r="B770" i="20"/>
  <c r="B746" i="20"/>
  <c r="B760" i="20"/>
  <c r="B751" i="20"/>
  <c r="B766" i="20"/>
  <c r="B781" i="20"/>
  <c r="B776" i="20"/>
  <c r="B761" i="20"/>
  <c r="B771" i="20"/>
  <c r="A754" i="20"/>
  <c r="A748" i="20"/>
  <c r="A763" i="20"/>
  <c r="A778" i="20"/>
  <c r="A773" i="20"/>
  <c r="A755" i="20"/>
  <c r="A768" i="20"/>
  <c r="A744" i="20"/>
  <c r="A756" i="20"/>
  <c r="A749" i="20"/>
  <c r="A764" i="20"/>
  <c r="A779" i="20"/>
  <c r="A774" i="20"/>
  <c r="A758" i="20"/>
  <c r="A769" i="20"/>
  <c r="A745" i="20"/>
  <c r="A757" i="20"/>
  <c r="A750" i="20"/>
  <c r="A765" i="20"/>
  <c r="A780" i="20"/>
  <c r="A775" i="20"/>
  <c r="A759" i="20"/>
  <c r="A770" i="20"/>
  <c r="A746" i="20"/>
  <c r="A760" i="20"/>
  <c r="A751" i="20"/>
  <c r="A766" i="20"/>
  <c r="A781" i="20"/>
  <c r="A776" i="20"/>
  <c r="A761" i="20"/>
  <c r="A771" i="20"/>
  <c r="A743" i="20"/>
  <c r="B743" i="20"/>
  <c r="K771" i="20"/>
  <c r="K761" i="20"/>
  <c r="K776" i="20"/>
  <c r="K781" i="20"/>
  <c r="K766" i="20"/>
  <c r="K751" i="20"/>
  <c r="K760" i="20"/>
  <c r="K746" i="20"/>
  <c r="K770" i="20"/>
  <c r="K759" i="20"/>
  <c r="K775" i="20"/>
  <c r="K780" i="20"/>
  <c r="K765" i="20"/>
  <c r="K750" i="20"/>
  <c r="K757" i="20"/>
  <c r="K745" i="20"/>
  <c r="K769" i="20"/>
  <c r="K758" i="20"/>
  <c r="K774" i="20"/>
  <c r="K779" i="20"/>
  <c r="K764" i="20"/>
  <c r="K749" i="20"/>
  <c r="K756" i="20"/>
  <c r="K744" i="20"/>
  <c r="K768" i="20"/>
  <c r="K755" i="20"/>
  <c r="K773" i="20"/>
  <c r="K778" i="20"/>
  <c r="K763" i="20"/>
  <c r="K748" i="20"/>
  <c r="K754" i="20"/>
  <c r="K743" i="20"/>
  <c r="AJ20" i="35"/>
  <c r="AJ19" i="35"/>
  <c r="AJ18" i="35"/>
  <c r="AJ17" i="35"/>
  <c r="Y17" i="35"/>
  <c r="AJ16" i="35"/>
  <c r="Y16" i="35"/>
  <c r="O95" i="44"/>
  <c r="O69" i="44"/>
  <c r="O70" i="44"/>
  <c r="O71" i="44"/>
  <c r="O67" i="44"/>
  <c r="O68" i="44"/>
  <c r="O66" i="44"/>
  <c r="H4" i="45"/>
  <c r="H5" i="45"/>
  <c r="H6" i="45"/>
  <c r="H7" i="45"/>
  <c r="H8" i="45"/>
  <c r="H9" i="45"/>
  <c r="H10" i="45"/>
  <c r="H11" i="45"/>
  <c r="H12" i="45"/>
  <c r="H3" i="45"/>
  <c r="G11" i="45"/>
  <c r="G12" i="45"/>
  <c r="G3" i="45"/>
  <c r="G4" i="45"/>
  <c r="G5" i="45"/>
  <c r="G6" i="45"/>
  <c r="G7" i="45"/>
  <c r="G8" i="45"/>
  <c r="G9" i="45"/>
  <c r="G10" i="45"/>
  <c r="L38" i="44"/>
  <c r="L39" i="44"/>
  <c r="L40" i="44"/>
  <c r="L41" i="44"/>
  <c r="L42" i="44"/>
  <c r="L43" i="44"/>
  <c r="L44" i="44"/>
  <c r="L37" i="44"/>
  <c r="L7" i="44"/>
  <c r="L8" i="44"/>
  <c r="L9" i="44"/>
  <c r="L10" i="44"/>
  <c r="L11" i="44"/>
  <c r="L12" i="44"/>
  <c r="L13" i="44"/>
  <c r="L6" i="44"/>
  <c r="O111" i="44"/>
  <c r="O110" i="44"/>
  <c r="O109" i="44"/>
  <c r="O108" i="44"/>
  <c r="F110" i="44"/>
  <c r="F111" i="44"/>
  <c r="O96" i="44"/>
  <c r="O97" i="44"/>
  <c r="O102" i="44"/>
  <c r="O103" i="44"/>
  <c r="O104" i="44"/>
  <c r="O74" i="44"/>
  <c r="O76" i="44"/>
  <c r="O77" i="44"/>
  <c r="O78" i="44"/>
  <c r="O80" i="44"/>
  <c r="O81" i="44"/>
  <c r="O83" i="44"/>
  <c r="O84" i="44"/>
  <c r="O85" i="44"/>
  <c r="O88" i="44"/>
  <c r="O89" i="44"/>
  <c r="O90" i="44"/>
  <c r="O91" i="44"/>
  <c r="O92" i="44"/>
  <c r="O93" i="44"/>
  <c r="O98" i="44"/>
  <c r="O99" i="44"/>
  <c r="O100" i="44"/>
  <c r="O105" i="44"/>
  <c r="O106" i="44"/>
  <c r="O107" i="44"/>
  <c r="K233" i="30" l="1"/>
  <c r="K231" i="30"/>
  <c r="K243" i="30"/>
  <c r="K266" i="30"/>
  <c r="K257" i="30"/>
  <c r="K248" i="30"/>
  <c r="K239" i="30"/>
  <c r="K261" i="30"/>
  <c r="K240" i="30"/>
  <c r="K268" i="30"/>
  <c r="K259" i="30"/>
  <c r="K250" i="30"/>
  <c r="K241" i="30"/>
  <c r="K232" i="30"/>
  <c r="K270" i="30"/>
  <c r="K252" i="30"/>
  <c r="K234" i="30"/>
  <c r="K263" i="30"/>
  <c r="K254" i="30"/>
  <c r="K245" i="30"/>
  <c r="K236" i="30"/>
  <c r="K255" i="30"/>
  <c r="K237" i="30"/>
  <c r="K265" i="30"/>
  <c r="K256" i="30"/>
  <c r="K247" i="30"/>
  <c r="K238" i="30"/>
  <c r="K230" i="30"/>
  <c r="K264" i="30"/>
  <c r="K246" i="30"/>
  <c r="K269" i="30"/>
  <c r="K260" i="30"/>
  <c r="K251" i="30"/>
  <c r="K242" i="30"/>
  <c r="K267" i="30"/>
  <c r="K249" i="30"/>
  <c r="K271" i="30"/>
  <c r="K262" i="30"/>
  <c r="K253" i="30"/>
  <c r="K244" i="30"/>
  <c r="K235" i="30"/>
  <c r="M202" i="30"/>
  <c r="K227" i="30"/>
  <c r="K228" i="30"/>
  <c r="K129" i="30"/>
  <c r="K226" i="30"/>
  <c r="M166" i="30"/>
  <c r="M226" i="30"/>
  <c r="M121" i="30"/>
  <c r="M185" i="30"/>
  <c r="M16" i="30"/>
  <c r="M235" i="30"/>
  <c r="M90" i="30"/>
  <c r="M178" i="30"/>
  <c r="M120" i="30"/>
  <c r="M116" i="30"/>
  <c r="M46" i="30"/>
  <c r="M88" i="30"/>
  <c r="M61" i="30"/>
  <c r="M8" i="30"/>
  <c r="M106" i="30"/>
  <c r="M31" i="30"/>
  <c r="M91" i="30"/>
  <c r="M153" i="30"/>
  <c r="M40" i="30"/>
  <c r="M149" i="30"/>
  <c r="M41" i="30"/>
  <c r="M157" i="30"/>
  <c r="M9" i="30"/>
  <c r="M168" i="30"/>
  <c r="M122" i="30"/>
  <c r="M42" i="30"/>
  <c r="M161" i="30"/>
  <c r="M82" i="30"/>
  <c r="M181" i="30"/>
  <c r="M130" i="30"/>
  <c r="M208" i="30"/>
  <c r="M233" i="30"/>
  <c r="M129" i="30"/>
  <c r="M99" i="30"/>
  <c r="M85" i="30"/>
  <c r="M198" i="30"/>
  <c r="M117" i="30"/>
  <c r="M217" i="30"/>
  <c r="M65" i="30"/>
  <c r="M26" i="30"/>
  <c r="M112" i="30"/>
  <c r="M79" i="30"/>
  <c r="M45" i="30"/>
  <c r="M101" i="30"/>
  <c r="M163" i="30"/>
  <c r="M89" i="30"/>
  <c r="M12" i="30"/>
  <c r="M37" i="30"/>
  <c r="M132" i="30"/>
  <c r="M175" i="30"/>
  <c r="M111" i="30"/>
  <c r="M214" i="30"/>
  <c r="M152" i="30"/>
  <c r="M60" i="30"/>
  <c r="M147" i="30"/>
  <c r="M123" i="30"/>
  <c r="M39" i="30"/>
  <c r="M200" i="30"/>
  <c r="M228" i="30"/>
  <c r="M213" i="30"/>
  <c r="M215" i="30"/>
  <c r="M20" i="30"/>
  <c r="M209" i="30"/>
  <c r="M173" i="30"/>
  <c r="M18" i="30"/>
  <c r="M171" i="30"/>
  <c r="M6" i="30"/>
  <c r="M4" i="30"/>
  <c r="M84" i="30"/>
  <c r="M162" i="30"/>
  <c r="M225" i="30"/>
  <c r="M57" i="30"/>
  <c r="M73" i="30"/>
  <c r="M76" i="30"/>
  <c r="M34" i="30"/>
  <c r="M24" i="30"/>
  <c r="M10" i="30"/>
  <c r="M108" i="30"/>
  <c r="M87" i="30"/>
  <c r="M138" i="30"/>
  <c r="M22" i="30"/>
  <c r="M29" i="30"/>
  <c r="M145" i="30"/>
  <c r="M151" i="30"/>
  <c r="M227" i="30"/>
  <c r="M7" i="30"/>
  <c r="M104" i="30"/>
  <c r="M92" i="30"/>
  <c r="M30" i="30"/>
  <c r="M11" i="30"/>
  <c r="M44" i="30"/>
  <c r="M144" i="30"/>
  <c r="M103" i="30"/>
  <c r="M68" i="30"/>
  <c r="M86" i="30"/>
  <c r="M183" i="30"/>
  <c r="M75" i="30"/>
  <c r="M51" i="30"/>
  <c r="M93" i="30"/>
  <c r="M124" i="30"/>
  <c r="M136" i="30"/>
  <c r="M135" i="30"/>
  <c r="M176" i="30"/>
  <c r="M80" i="30"/>
  <c r="M223" i="30"/>
  <c r="M137" i="30"/>
  <c r="M191" i="30"/>
  <c r="M210" i="30"/>
  <c r="M38" i="30"/>
  <c r="M143" i="30"/>
  <c r="M192" i="30"/>
  <c r="M62" i="30"/>
  <c r="M27" i="30"/>
  <c r="M219" i="30"/>
  <c r="M54" i="30"/>
  <c r="M201" i="30"/>
  <c r="M231" i="30"/>
  <c r="M234" i="30"/>
  <c r="M77" i="30"/>
  <c r="M155" i="30"/>
  <c r="M184" i="30"/>
  <c r="M211" i="30"/>
  <c r="M66" i="30"/>
  <c r="M159" i="30"/>
  <c r="M148" i="30"/>
  <c r="M193" i="30"/>
  <c r="M232" i="30"/>
  <c r="M107" i="30"/>
  <c r="M50" i="30"/>
  <c r="M182" i="30"/>
  <c r="M141" i="30"/>
  <c r="M205" i="30"/>
  <c r="M196" i="30"/>
  <c r="M212" i="30"/>
  <c r="M133" i="30"/>
  <c r="M216" i="30"/>
  <c r="M48" i="30"/>
  <c r="M67" i="30"/>
  <c r="M154" i="30"/>
  <c r="M71" i="30"/>
  <c r="M72" i="30"/>
  <c r="M113" i="30"/>
  <c r="M100" i="30"/>
  <c r="M33" i="30"/>
  <c r="M218" i="30"/>
  <c r="M180" i="30"/>
  <c r="M190" i="30"/>
  <c r="M146" i="30"/>
  <c r="M179" i="30"/>
  <c r="M69" i="30"/>
  <c r="M127" i="30"/>
  <c r="M172" i="30"/>
  <c r="M110" i="30"/>
  <c r="M139" i="30"/>
  <c r="M197" i="30"/>
  <c r="M58" i="30"/>
  <c r="M142" i="30"/>
  <c r="M189" i="30"/>
  <c r="M204" i="30"/>
  <c r="M221" i="30"/>
  <c r="M160" i="30"/>
  <c r="M63" i="30"/>
  <c r="M35" i="30"/>
  <c r="M36" i="30"/>
  <c r="M195" i="30"/>
  <c r="M95" i="30"/>
  <c r="M17" i="30"/>
  <c r="M222" i="30"/>
  <c r="M28" i="30"/>
  <c r="M47" i="30"/>
  <c r="M114" i="30"/>
  <c r="M134" i="30"/>
  <c r="M53" i="30"/>
  <c r="M128" i="30"/>
  <c r="M55" i="30"/>
  <c r="M59" i="30"/>
  <c r="M115" i="30"/>
  <c r="M199" i="30"/>
  <c r="M165" i="30"/>
  <c r="M118" i="30"/>
  <c r="M203" i="30"/>
  <c r="M150" i="30"/>
  <c r="M187" i="30"/>
  <c r="M102" i="30"/>
  <c r="M126" i="30"/>
  <c r="M186" i="30"/>
  <c r="M177" i="30"/>
  <c r="M19" i="30"/>
  <c r="M83" i="30"/>
  <c r="M5" i="30"/>
  <c r="M43" i="30"/>
  <c r="M25" i="30"/>
  <c r="M156" i="30"/>
  <c r="M32" i="30"/>
  <c r="M23" i="30"/>
  <c r="M230" i="30"/>
  <c r="M64" i="30"/>
  <c r="M164" i="30"/>
  <c r="M52" i="30"/>
  <c r="M169" i="30"/>
  <c r="M13" i="30"/>
  <c r="M49" i="30"/>
  <c r="M174" i="30"/>
  <c r="M14" i="30"/>
  <c r="M158" i="30"/>
  <c r="M105" i="30"/>
  <c r="M170" i="30"/>
  <c r="M78" i="30"/>
  <c r="M119" i="30"/>
  <c r="M109" i="30"/>
  <c r="M167" i="30"/>
  <c r="M74" i="30"/>
  <c r="M229" i="30"/>
  <c r="M56" i="30"/>
  <c r="M194" i="30"/>
  <c r="M15" i="30"/>
  <c r="M207" i="30"/>
  <c r="M131" i="30"/>
  <c r="M206" i="30"/>
  <c r="M94" i="30"/>
  <c r="M96" i="30"/>
  <c r="M21" i="30"/>
  <c r="M70" i="30"/>
  <c r="M98" i="30"/>
  <c r="M224" i="30"/>
  <c r="M220" i="30"/>
  <c r="M125" i="30"/>
  <c r="M188" i="30"/>
  <c r="M81" i="30"/>
  <c r="M97" i="30"/>
  <c r="K6" i="30"/>
  <c r="K111" i="30"/>
  <c r="K120" i="30"/>
  <c r="K72" i="30"/>
  <c r="K159" i="30"/>
  <c r="K95" i="30"/>
  <c r="K172" i="30"/>
  <c r="K85" i="30"/>
  <c r="K166" i="30"/>
  <c r="K18" i="30"/>
  <c r="K155" i="30"/>
  <c r="K168" i="30"/>
  <c r="K180" i="30"/>
  <c r="K34" i="30"/>
  <c r="K99" i="30"/>
  <c r="K11" i="30"/>
  <c r="K96" i="30"/>
  <c r="K219" i="30"/>
  <c r="K65" i="30"/>
  <c r="K82" i="30"/>
  <c r="K59" i="30"/>
  <c r="K108" i="30"/>
  <c r="K216" i="30"/>
  <c r="K138" i="30"/>
  <c r="K97" i="30"/>
  <c r="K154" i="30"/>
  <c r="K206" i="30"/>
  <c r="K105" i="30"/>
  <c r="K93" i="30"/>
  <c r="K128" i="30"/>
  <c r="K150" i="30"/>
  <c r="K32" i="30"/>
  <c r="K202" i="30"/>
  <c r="K52" i="30"/>
  <c r="K181" i="30"/>
  <c r="K41" i="30"/>
  <c r="K76" i="30"/>
  <c r="K187" i="30"/>
  <c r="K130" i="30"/>
  <c r="K94" i="30"/>
  <c r="K70" i="30"/>
  <c r="K158" i="30"/>
  <c r="K142" i="30"/>
  <c r="K114" i="30"/>
  <c r="K135" i="30"/>
  <c r="K7" i="30"/>
  <c r="K21" i="30"/>
  <c r="K148" i="30"/>
  <c r="K71" i="30"/>
  <c r="K42" i="30"/>
  <c r="K123" i="30"/>
  <c r="K146" i="30"/>
  <c r="K25" i="30"/>
  <c r="K201" i="30"/>
  <c r="K174" i="30"/>
  <c r="K190" i="30"/>
  <c r="K165" i="30"/>
  <c r="K81" i="30"/>
  <c r="K209" i="30"/>
  <c r="K137" i="30"/>
  <c r="K222" i="30"/>
  <c r="K195" i="30"/>
  <c r="K152" i="30"/>
  <c r="K121" i="30"/>
  <c r="K109" i="30"/>
  <c r="K125" i="30"/>
  <c r="K156" i="30"/>
  <c r="K56" i="30"/>
  <c r="K200" i="30"/>
  <c r="K113" i="30"/>
  <c r="K102" i="30"/>
  <c r="K79" i="30"/>
  <c r="K43" i="30"/>
  <c r="K69" i="30"/>
  <c r="K119" i="30"/>
  <c r="K13" i="30"/>
  <c r="K89" i="30"/>
  <c r="K78" i="30"/>
  <c r="K215" i="30"/>
  <c r="K134" i="30"/>
  <c r="K74" i="30"/>
  <c r="K117" i="30"/>
  <c r="K162" i="30"/>
  <c r="K175" i="30"/>
  <c r="K161" i="30"/>
  <c r="K35" i="30"/>
  <c r="K87" i="30"/>
  <c r="K151" i="30"/>
  <c r="K12" i="30"/>
  <c r="K30" i="30"/>
  <c r="K136" i="30"/>
  <c r="K218" i="30"/>
  <c r="K115" i="30"/>
  <c r="K44" i="30"/>
  <c r="K77" i="30"/>
  <c r="K204" i="30"/>
  <c r="K144" i="30"/>
  <c r="K66" i="30"/>
  <c r="K14" i="30"/>
  <c r="K15" i="30"/>
  <c r="K208" i="30"/>
  <c r="K28" i="30"/>
  <c r="K217" i="30"/>
  <c r="K147" i="30"/>
  <c r="K103" i="30"/>
  <c r="K16" i="30"/>
  <c r="K86" i="30"/>
  <c r="K223" i="30"/>
  <c r="K179" i="30"/>
  <c r="K170" i="30"/>
  <c r="K55" i="30"/>
  <c r="K211" i="30"/>
  <c r="K225" i="30"/>
  <c r="K189" i="30"/>
  <c r="K199" i="30"/>
  <c r="K98" i="30"/>
  <c r="K169" i="30"/>
  <c r="K133" i="30"/>
  <c r="K92" i="30"/>
  <c r="K8" i="30"/>
  <c r="K90" i="30"/>
  <c r="K9" i="30"/>
  <c r="K139" i="30"/>
  <c r="K140" i="30"/>
  <c r="K122" i="30"/>
  <c r="K58" i="30"/>
  <c r="K17" i="30"/>
  <c r="K126" i="30"/>
  <c r="K20" i="30"/>
  <c r="K224" i="30"/>
  <c r="K57" i="30"/>
  <c r="K40" i="30"/>
  <c r="K173" i="30"/>
  <c r="K10" i="30"/>
  <c r="K149" i="30"/>
  <c r="K91" i="30"/>
  <c r="K185" i="30"/>
  <c r="K214" i="30"/>
  <c r="K88" i="30"/>
  <c r="K107" i="30"/>
  <c r="K178" i="30"/>
  <c r="K210" i="30"/>
  <c r="K101" i="30"/>
  <c r="K198" i="30"/>
  <c r="K167" i="30"/>
  <c r="K62" i="30"/>
  <c r="K48" i="30"/>
  <c r="K54" i="30"/>
  <c r="K160" i="30"/>
  <c r="K38" i="30"/>
  <c r="K143" i="30"/>
  <c r="K80" i="30"/>
  <c r="K145" i="30"/>
  <c r="K141" i="30"/>
  <c r="K171" i="30"/>
  <c r="M257" i="30"/>
  <c r="M242" i="30"/>
  <c r="M248" i="30"/>
  <c r="M254" i="30"/>
  <c r="M236" i="30"/>
  <c r="M250" i="30"/>
  <c r="M262" i="30"/>
  <c r="M260" i="30"/>
  <c r="M244" i="30"/>
  <c r="M249" i="30"/>
  <c r="M256" i="30"/>
  <c r="M265" i="30"/>
  <c r="M261" i="30"/>
  <c r="M241" i="30"/>
  <c r="M271" i="30"/>
  <c r="M253" i="30"/>
  <c r="M239" i="30"/>
  <c r="M270" i="30"/>
  <c r="M268" i="30"/>
  <c r="M266" i="30"/>
  <c r="M255" i="30"/>
  <c r="M247" i="30"/>
  <c r="M238" i="30"/>
  <c r="M264" i="30"/>
  <c r="M269" i="30"/>
  <c r="M258" i="30"/>
  <c r="M252" i="30"/>
  <c r="M251" i="30"/>
  <c r="M267" i="30"/>
  <c r="M237" i="30"/>
  <c r="M245" i="30"/>
  <c r="M263" i="30"/>
  <c r="M243" i="30"/>
  <c r="M240" i="30"/>
  <c r="M259" i="30"/>
  <c r="M246" i="30"/>
  <c r="O184" i="38"/>
  <c r="R184" i="38" s="1"/>
  <c r="X191" i="38"/>
  <c r="X189" i="38"/>
  <c r="E5" i="38"/>
  <c r="N176" i="38"/>
  <c r="X190" i="38"/>
  <c r="X188" i="38"/>
  <c r="E4" i="38"/>
  <c r="U176" i="38"/>
  <c r="E39" i="44"/>
  <c r="E43" i="44"/>
  <c r="E44" i="44"/>
  <c r="E42" i="44"/>
  <c r="E41" i="44"/>
  <c r="E40" i="44"/>
  <c r="E38" i="44"/>
  <c r="E37" i="44"/>
  <c r="X194" i="38" l="1"/>
  <c r="V167" i="38"/>
  <c r="V170" i="38" s="1"/>
  <c r="O176" i="38"/>
  <c r="V166" i="38" s="1"/>
  <c r="N177" i="38"/>
  <c r="D27" i="47"/>
  <c r="D12" i="47"/>
  <c r="D40" i="47"/>
  <c r="D7" i="47"/>
  <c r="D5" i="47"/>
  <c r="D2" i="47"/>
  <c r="D4" i="47"/>
  <c r="D19" i="47"/>
  <c r="D9" i="47"/>
  <c r="D6" i="47"/>
  <c r="D22" i="47"/>
  <c r="D24" i="47"/>
  <c r="D14" i="47"/>
  <c r="D11" i="47"/>
  <c r="D33" i="47"/>
  <c r="D17" i="47"/>
  <c r="D28" i="47"/>
  <c r="D29" i="47"/>
  <c r="D39" i="47"/>
  <c r="D34" i="47"/>
  <c r="D35" i="47"/>
  <c r="D30" i="47"/>
  <c r="D32" i="47"/>
  <c r="D36" i="47"/>
  <c r="D10" i="47"/>
  <c r="D38" i="47"/>
  <c r="D15" i="47"/>
  <c r="D13" i="47"/>
  <c r="D3" i="47"/>
  <c r="D20" i="47"/>
  <c r="D16" i="47"/>
  <c r="D18" i="47"/>
  <c r="D8" i="47"/>
  <c r="D25" i="47"/>
  <c r="D21" i="47"/>
  <c r="D23" i="47"/>
  <c r="D31" i="47"/>
  <c r="D26" i="47"/>
  <c r="D37" i="47"/>
  <c r="D82" i="47"/>
  <c r="D76" i="47"/>
  <c r="D78" i="47"/>
  <c r="D55" i="47"/>
  <c r="D44" i="47"/>
  <c r="D75" i="47"/>
  <c r="D41" i="47"/>
  <c r="D61" i="47"/>
  <c r="D50" i="47"/>
  <c r="D81" i="47"/>
  <c r="D47" i="47"/>
  <c r="D67" i="47"/>
  <c r="D56" i="47"/>
  <c r="D53" i="47"/>
  <c r="D73" i="47"/>
  <c r="D62" i="47"/>
  <c r="D59" i="47"/>
  <c r="D79" i="47"/>
  <c r="D68" i="47"/>
  <c r="D65" i="47"/>
  <c r="D74" i="47"/>
  <c r="D71" i="47"/>
  <c r="D42" i="47"/>
  <c r="D80" i="47"/>
  <c r="D46" i="47"/>
  <c r="D77" i="47"/>
  <c r="D48" i="47"/>
  <c r="D45" i="47"/>
  <c r="D52" i="47"/>
  <c r="D54" i="47"/>
  <c r="D51" i="47"/>
  <c r="D58" i="47"/>
  <c r="D60" i="47"/>
  <c r="D57" i="47"/>
  <c r="D64" i="47"/>
  <c r="D66" i="47"/>
  <c r="D43" i="47"/>
  <c r="D63" i="47"/>
  <c r="D70" i="47"/>
  <c r="D72" i="47"/>
  <c r="D49" i="47"/>
  <c r="D69" i="47"/>
  <c r="Q3" i="22"/>
  <c r="E3" i="22"/>
  <c r="V174" i="38" l="1"/>
  <c r="V173" i="38"/>
  <c r="B168" i="38" s="1"/>
  <c r="E168" i="38" s="1"/>
  <c r="V172" i="38"/>
  <c r="B167" i="38" s="1"/>
  <c r="V171" i="38"/>
  <c r="B166" i="38" s="1"/>
  <c r="C166" i="38" s="1"/>
  <c r="B165" i="38"/>
  <c r="B169" i="38"/>
  <c r="G168" i="38" l="1"/>
  <c r="F168" i="38"/>
  <c r="E70" i="38" s="1"/>
  <c r="D168" i="38"/>
  <c r="E110" i="38" s="1"/>
  <c r="E30" i="19" s="1"/>
  <c r="D166" i="38"/>
  <c r="E108" i="38" s="1"/>
  <c r="E28" i="19" s="1"/>
  <c r="G166" i="38"/>
  <c r="E98" i="38" s="1"/>
  <c r="V176" i="38"/>
  <c r="B171" i="38" s="1"/>
  <c r="H167" i="38" s="1"/>
  <c r="E166" i="38"/>
  <c r="E58" i="38" s="1"/>
  <c r="F166" i="38"/>
  <c r="E68" i="38" s="1"/>
  <c r="E38" i="19" s="1"/>
  <c r="C168" i="38"/>
  <c r="E40" i="19"/>
  <c r="E100" i="38"/>
  <c r="E80" i="38"/>
  <c r="E78" i="38"/>
  <c r="F167" i="38"/>
  <c r="E69" i="38" s="1"/>
  <c r="E60" i="38"/>
  <c r="E90" i="38"/>
  <c r="F169" i="38"/>
  <c r="E71" i="38" s="1"/>
  <c r="D167" i="38"/>
  <c r="E109" i="38" s="1"/>
  <c r="G167" i="38"/>
  <c r="E167" i="38"/>
  <c r="C167" i="38"/>
  <c r="D169" i="38"/>
  <c r="E111" i="38" s="1"/>
  <c r="E31" i="19" s="1"/>
  <c r="G169" i="38"/>
  <c r="C169" i="38"/>
  <c r="E169" i="38"/>
  <c r="F165" i="38"/>
  <c r="E67" i="38" s="1"/>
  <c r="D165" i="38"/>
  <c r="E107" i="38" s="1"/>
  <c r="G165" i="38"/>
  <c r="E165" i="38"/>
  <c r="C165" i="38"/>
  <c r="Y176" i="38"/>
  <c r="E17" i="43"/>
  <c r="E18" i="43"/>
  <c r="E19" i="43"/>
  <c r="E20" i="43"/>
  <c r="E21" i="43"/>
  <c r="E22" i="43"/>
  <c r="E27" i="43" s="1"/>
  <c r="E23" i="43"/>
  <c r="E24" i="43"/>
  <c r="E25" i="43"/>
  <c r="E26" i="43"/>
  <c r="I168" i="38" l="1"/>
  <c r="I166" i="38"/>
  <c r="E88" i="38"/>
  <c r="E74" i="19" s="1"/>
  <c r="E76" i="19"/>
  <c r="E64" i="19"/>
  <c r="E20" i="19"/>
  <c r="E10" i="19"/>
  <c r="E39" i="19"/>
  <c r="E18" i="19"/>
  <c r="E41" i="19"/>
  <c r="E27" i="19"/>
  <c r="E37" i="19"/>
  <c r="E29" i="19"/>
  <c r="E8" i="19"/>
  <c r="E66" i="19"/>
  <c r="H168" i="38"/>
  <c r="H166" i="38"/>
  <c r="E59" i="38"/>
  <c r="E89" i="38"/>
  <c r="E99" i="38"/>
  <c r="E79" i="38"/>
  <c r="E61" i="38"/>
  <c r="E91" i="38"/>
  <c r="E101" i="38"/>
  <c r="E81" i="38"/>
  <c r="E57" i="38"/>
  <c r="E87" i="38"/>
  <c r="E97" i="38"/>
  <c r="E77" i="38"/>
  <c r="H165" i="38"/>
  <c r="E16" i="38"/>
  <c r="E11" i="38"/>
  <c r="H169" i="38"/>
  <c r="I165" i="38"/>
  <c r="I169" i="38"/>
  <c r="I167" i="38"/>
  <c r="E33" i="43"/>
  <c r="E32" i="43"/>
  <c r="E39" i="43"/>
  <c r="E38" i="43"/>
  <c r="E37" i="43"/>
  <c r="E36" i="43"/>
  <c r="E35" i="43"/>
  <c r="E31" i="43"/>
  <c r="E34" i="43"/>
  <c r="E40" i="43"/>
  <c r="E9" i="19" l="1"/>
  <c r="E7" i="19"/>
  <c r="E19" i="19"/>
  <c r="E75" i="19"/>
  <c r="E65" i="19"/>
  <c r="E73" i="19"/>
  <c r="E63" i="19"/>
  <c r="E21" i="19"/>
  <c r="E17" i="19"/>
  <c r="E11" i="19"/>
  <c r="E77" i="19"/>
  <c r="E67" i="19"/>
  <c r="H170" i="38"/>
  <c r="E14" i="38"/>
  <c r="E9" i="38"/>
  <c r="E15" i="38"/>
  <c r="E10" i="38"/>
  <c r="E18" i="38"/>
  <c r="E13" i="38"/>
  <c r="E17" i="38"/>
  <c r="E12" i="38"/>
  <c r="F26" i="43"/>
  <c r="F25" i="43"/>
  <c r="F24" i="43"/>
  <c r="F23" i="43"/>
  <c r="F22" i="43"/>
  <c r="F21" i="43"/>
  <c r="F20" i="43"/>
  <c r="F19" i="43"/>
  <c r="F18" i="43"/>
  <c r="F17" i="43"/>
  <c r="D5" i="43"/>
  <c r="E13" i="43" s="1"/>
  <c r="F45" i="43" s="1"/>
  <c r="F58" i="43" l="1"/>
  <c r="F48" i="43"/>
  <c r="F61" i="43" s="1"/>
  <c r="F44" i="43"/>
  <c r="F46" i="43"/>
  <c r="F59" i="43" s="1"/>
  <c r="F53" i="43"/>
  <c r="F66" i="43" s="1"/>
  <c r="F50" i="43"/>
  <c r="F63" i="43" s="1"/>
  <c r="F57" i="43"/>
  <c r="F52" i="43"/>
  <c r="F65" i="43" s="1"/>
  <c r="F47" i="43"/>
  <c r="F60" i="43" s="1"/>
  <c r="F49" i="43"/>
  <c r="F62" i="43" s="1"/>
  <c r="F51" i="43"/>
  <c r="F64" i="43" s="1"/>
  <c r="F27" i="43"/>
  <c r="K374" i="20"/>
  <c r="K376" i="20"/>
  <c r="K373" i="20"/>
  <c r="K375" i="20"/>
  <c r="K377" i="20"/>
  <c r="K795" i="20"/>
  <c r="K791" i="20"/>
  <c r="K794" i="20"/>
  <c r="K792" i="20"/>
  <c r="K790" i="20"/>
  <c r="K793" i="20"/>
  <c r="K259" i="18"/>
  <c r="K266" i="18"/>
  <c r="K264" i="18"/>
  <c r="K260" i="18"/>
  <c r="K261" i="18"/>
  <c r="K262" i="18"/>
  <c r="K267" i="18"/>
  <c r="K265" i="18"/>
  <c r="K263" i="18"/>
  <c r="K570" i="18"/>
  <c r="K573" i="18"/>
  <c r="K577" i="18"/>
  <c r="K571" i="18"/>
  <c r="K572" i="18"/>
  <c r="K574" i="18"/>
  <c r="K576" i="18"/>
  <c r="K578" i="18"/>
  <c r="K575" i="18"/>
  <c r="K788" i="20"/>
  <c r="K786" i="20"/>
  <c r="N15" i="39"/>
  <c r="N16" i="39"/>
  <c r="N33" i="39" s="1"/>
  <c r="N48" i="39" s="1"/>
  <c r="N17" i="39"/>
  <c r="N18" i="39"/>
  <c r="N19" i="39"/>
  <c r="N14" i="39"/>
  <c r="M15" i="39"/>
  <c r="M16" i="39"/>
  <c r="M33" i="39" s="1"/>
  <c r="M48" i="39" s="1"/>
  <c r="M17" i="39"/>
  <c r="M18" i="39"/>
  <c r="M19" i="39"/>
  <c r="M14" i="39"/>
  <c r="L15" i="39"/>
  <c r="L16" i="39"/>
  <c r="L33" i="39" s="1"/>
  <c r="L48" i="39" s="1"/>
  <c r="L17" i="39"/>
  <c r="L18" i="39"/>
  <c r="L19" i="39"/>
  <c r="L14" i="39"/>
  <c r="K15" i="39"/>
  <c r="K16" i="39"/>
  <c r="K33" i="39" s="1"/>
  <c r="K48" i="39" s="1"/>
  <c r="K17" i="39"/>
  <c r="K18" i="39"/>
  <c r="K19" i="39"/>
  <c r="K14" i="39"/>
  <c r="J15" i="39"/>
  <c r="J16" i="39"/>
  <c r="J34" i="39" s="1"/>
  <c r="J49" i="39" s="1"/>
  <c r="J17" i="39"/>
  <c r="J18" i="39"/>
  <c r="J19" i="39"/>
  <c r="J14" i="39"/>
  <c r="I15" i="39"/>
  <c r="I16" i="39"/>
  <c r="I34" i="39" s="1"/>
  <c r="I49" i="39" s="1"/>
  <c r="I17" i="39"/>
  <c r="I18" i="39"/>
  <c r="I19" i="39"/>
  <c r="I14" i="39"/>
  <c r="H15" i="39"/>
  <c r="H16" i="39"/>
  <c r="H34" i="39" s="1"/>
  <c r="H49" i="39" s="1"/>
  <c r="H17" i="39"/>
  <c r="H18" i="39"/>
  <c r="H19" i="39"/>
  <c r="H14" i="39"/>
  <c r="G15" i="39"/>
  <c r="G16" i="39"/>
  <c r="G34" i="39" s="1"/>
  <c r="G49" i="39" s="1"/>
  <c r="G17" i="39"/>
  <c r="G18" i="39"/>
  <c r="G19" i="39"/>
  <c r="G14" i="39"/>
  <c r="K787" i="20"/>
  <c r="K784" i="20"/>
  <c r="K782" i="20"/>
  <c r="G33" i="39" l="1"/>
  <c r="G48" i="39" s="1"/>
  <c r="H33" i="39"/>
  <c r="H48" i="39" s="1"/>
  <c r="I33" i="39"/>
  <c r="I48" i="39" s="1"/>
  <c r="J33" i="39"/>
  <c r="J48" i="39" s="1"/>
  <c r="K34" i="39"/>
  <c r="K49" i="39" s="1"/>
  <c r="M34" i="39"/>
  <c r="M49" i="39" s="1"/>
  <c r="L34" i="39"/>
  <c r="L49" i="39" s="1"/>
  <c r="N34" i="39"/>
  <c r="N49" i="39" s="1"/>
  <c r="G137" i="35"/>
  <c r="N137" i="35"/>
  <c r="G138" i="35"/>
  <c r="N138" i="35"/>
  <c r="G139" i="35"/>
  <c r="N139" i="35"/>
  <c r="K789" i="20" l="1"/>
  <c r="K785" i="20"/>
  <c r="K783" i="20"/>
  <c r="C29" i="39"/>
  <c r="C30" i="39"/>
  <c r="C31" i="39"/>
  <c r="C32" i="39"/>
  <c r="C28" i="39"/>
  <c r="C27" i="39"/>
  <c r="C26" i="39"/>
  <c r="C25" i="39"/>
  <c r="C24" i="39"/>
  <c r="C23" i="39"/>
  <c r="C22" i="39"/>
  <c r="C21" i="39"/>
  <c r="N22" i="39" l="1"/>
  <c r="N37" i="39" s="1"/>
  <c r="L22" i="39"/>
  <c r="L37" i="39" s="1"/>
  <c r="J22" i="39"/>
  <c r="J37" i="39" s="1"/>
  <c r="I22" i="39"/>
  <c r="I37" i="39" s="1"/>
  <c r="M22" i="39"/>
  <c r="M37" i="39" s="1"/>
  <c r="K22" i="39"/>
  <c r="K37" i="39" s="1"/>
  <c r="H22" i="39"/>
  <c r="H37" i="39" s="1"/>
  <c r="G22" i="39"/>
  <c r="G37" i="39" s="1"/>
  <c r="M24" i="39"/>
  <c r="M39" i="39" s="1"/>
  <c r="K24" i="39"/>
  <c r="K39" i="39" s="1"/>
  <c r="J24" i="39"/>
  <c r="J39" i="39" s="1"/>
  <c r="I24" i="39"/>
  <c r="I39" i="39" s="1"/>
  <c r="N24" i="39"/>
  <c r="N39" i="39" s="1"/>
  <c r="L24" i="39"/>
  <c r="L39" i="39" s="1"/>
  <c r="H24" i="39"/>
  <c r="H39" i="39" s="1"/>
  <c r="G24" i="39"/>
  <c r="G39" i="39" s="1"/>
  <c r="N26" i="39"/>
  <c r="N41" i="39" s="1"/>
  <c r="L26" i="39"/>
  <c r="L41" i="39" s="1"/>
  <c r="J26" i="39"/>
  <c r="J41" i="39" s="1"/>
  <c r="I26" i="39"/>
  <c r="I41" i="39" s="1"/>
  <c r="M26" i="39"/>
  <c r="M41" i="39" s="1"/>
  <c r="K26" i="39"/>
  <c r="K41" i="39" s="1"/>
  <c r="H26" i="39"/>
  <c r="H41" i="39" s="1"/>
  <c r="G26" i="39"/>
  <c r="G41" i="39" s="1"/>
  <c r="M28" i="39"/>
  <c r="M43" i="39" s="1"/>
  <c r="K28" i="39"/>
  <c r="K43" i="39" s="1"/>
  <c r="J28" i="39"/>
  <c r="J43" i="39" s="1"/>
  <c r="I28" i="39"/>
  <c r="I43" i="39" s="1"/>
  <c r="H28" i="39"/>
  <c r="H43" i="39" s="1"/>
  <c r="G28" i="39"/>
  <c r="G43" i="39" s="1"/>
  <c r="N28" i="39"/>
  <c r="N43" i="39" s="1"/>
  <c r="L28" i="39"/>
  <c r="L43" i="39" s="1"/>
  <c r="N31" i="39"/>
  <c r="N46" i="39" s="1"/>
  <c r="M31" i="39"/>
  <c r="M46" i="39" s="1"/>
  <c r="L31" i="39"/>
  <c r="L46" i="39" s="1"/>
  <c r="K31" i="39"/>
  <c r="K46" i="39" s="1"/>
  <c r="H31" i="39"/>
  <c r="H46" i="39" s="1"/>
  <c r="G31" i="39"/>
  <c r="G46" i="39" s="1"/>
  <c r="J31" i="39"/>
  <c r="J46" i="39" s="1"/>
  <c r="I31" i="39"/>
  <c r="I46" i="39" s="1"/>
  <c r="N29" i="39"/>
  <c r="N44" i="39" s="1"/>
  <c r="M29" i="39"/>
  <c r="M44" i="39" s="1"/>
  <c r="L29" i="39"/>
  <c r="L44" i="39" s="1"/>
  <c r="K29" i="39"/>
  <c r="K44" i="39" s="1"/>
  <c r="H29" i="39"/>
  <c r="H44" i="39" s="1"/>
  <c r="G29" i="39"/>
  <c r="G44" i="39" s="1"/>
  <c r="J29" i="39"/>
  <c r="J44" i="39" s="1"/>
  <c r="I29" i="39"/>
  <c r="I44" i="39" s="1"/>
  <c r="N21" i="39"/>
  <c r="N36" i="39" s="1"/>
  <c r="M21" i="39"/>
  <c r="M36" i="39" s="1"/>
  <c r="L21" i="39"/>
  <c r="L36" i="39" s="1"/>
  <c r="K21" i="39"/>
  <c r="K36" i="39" s="1"/>
  <c r="J21" i="39"/>
  <c r="J36" i="39" s="1"/>
  <c r="I21" i="39"/>
  <c r="I36" i="39" s="1"/>
  <c r="H21" i="39"/>
  <c r="H36" i="39" s="1"/>
  <c r="G21" i="39"/>
  <c r="G36" i="39" s="1"/>
  <c r="N23" i="39"/>
  <c r="N38" i="39" s="1"/>
  <c r="M23" i="39"/>
  <c r="M38" i="39" s="1"/>
  <c r="L23" i="39"/>
  <c r="L38" i="39" s="1"/>
  <c r="K23" i="39"/>
  <c r="K38" i="39" s="1"/>
  <c r="H23" i="39"/>
  <c r="H38" i="39" s="1"/>
  <c r="G23" i="39"/>
  <c r="G38" i="39" s="1"/>
  <c r="J23" i="39"/>
  <c r="J38" i="39" s="1"/>
  <c r="I23" i="39"/>
  <c r="I38" i="39" s="1"/>
  <c r="N25" i="39"/>
  <c r="N40" i="39" s="1"/>
  <c r="M25" i="39"/>
  <c r="M40" i="39" s="1"/>
  <c r="L25" i="39"/>
  <c r="L40" i="39" s="1"/>
  <c r="K25" i="39"/>
  <c r="K40" i="39" s="1"/>
  <c r="H25" i="39"/>
  <c r="H40" i="39" s="1"/>
  <c r="G25" i="39"/>
  <c r="G40" i="39" s="1"/>
  <c r="J25" i="39"/>
  <c r="J40" i="39" s="1"/>
  <c r="I25" i="39"/>
  <c r="I40" i="39" s="1"/>
  <c r="N27" i="39"/>
  <c r="N42" i="39" s="1"/>
  <c r="M27" i="39"/>
  <c r="M42" i="39" s="1"/>
  <c r="L27" i="39"/>
  <c r="L42" i="39" s="1"/>
  <c r="K27" i="39"/>
  <c r="K42" i="39" s="1"/>
  <c r="H27" i="39"/>
  <c r="H42" i="39" s="1"/>
  <c r="G27" i="39"/>
  <c r="G42" i="39" s="1"/>
  <c r="J27" i="39"/>
  <c r="J42" i="39" s="1"/>
  <c r="I27" i="39"/>
  <c r="I42" i="39" s="1"/>
  <c r="M32" i="39"/>
  <c r="M47" i="39" s="1"/>
  <c r="K32" i="39"/>
  <c r="K47" i="39" s="1"/>
  <c r="J32" i="39"/>
  <c r="J47" i="39" s="1"/>
  <c r="I32" i="39"/>
  <c r="I47" i="39" s="1"/>
  <c r="N32" i="39"/>
  <c r="N47" i="39" s="1"/>
  <c r="L32" i="39"/>
  <c r="L47" i="39" s="1"/>
  <c r="H32" i="39"/>
  <c r="H47" i="39" s="1"/>
  <c r="G32" i="39"/>
  <c r="G47" i="39" s="1"/>
  <c r="N30" i="39"/>
  <c r="N45" i="39" s="1"/>
  <c r="L30" i="39"/>
  <c r="L45" i="39" s="1"/>
  <c r="J30" i="39"/>
  <c r="J45" i="39" s="1"/>
  <c r="I30" i="39"/>
  <c r="I45" i="39" s="1"/>
  <c r="M30" i="39"/>
  <c r="M45" i="39" s="1"/>
  <c r="K30" i="39"/>
  <c r="K45" i="39" s="1"/>
  <c r="H30" i="39"/>
  <c r="H45" i="39" s="1"/>
  <c r="G30" i="39"/>
  <c r="G45" i="39" s="1"/>
  <c r="E70" i="39" l="1"/>
  <c r="E72" i="39"/>
  <c r="D53" i="39"/>
  <c r="E61" i="39"/>
  <c r="E74" i="39"/>
  <c r="E73" i="39"/>
  <c r="E66" i="39"/>
  <c r="E62" i="39"/>
  <c r="E64" i="39"/>
  <c r="E65" i="39"/>
  <c r="E63" i="39"/>
  <c r="E69" i="39"/>
  <c r="E71" i="39"/>
  <c r="E68" i="39"/>
  <c r="E67" i="39"/>
  <c r="U192" i="38"/>
  <c r="T185" i="38"/>
  <c r="T192" i="38" s="1"/>
  <c r="S194" i="38"/>
  <c r="Q194" i="38"/>
  <c r="D10" i="18" l="1"/>
  <c r="D11" i="18"/>
  <c r="D9" i="18"/>
  <c r="D6" i="18"/>
  <c r="D7" i="18"/>
  <c r="T189" i="38"/>
  <c r="T191" i="38"/>
  <c r="U189" i="38"/>
  <c r="T188" i="38"/>
  <c r="T190" i="38"/>
  <c r="D88" i="26"/>
  <c r="D8" i="18" l="1"/>
  <c r="D2" i="18"/>
  <c r="D4" i="18"/>
  <c r="T194" i="38"/>
  <c r="U190" i="38"/>
  <c r="E29" i="26"/>
  <c r="D5" i="18" l="1"/>
  <c r="U194" i="38"/>
  <c r="E39" i="26"/>
  <c r="D45" i="26" s="1"/>
  <c r="E22" i="26"/>
  <c r="E23" i="26"/>
  <c r="E24" i="26"/>
  <c r="E25" i="26"/>
  <c r="E26" i="26"/>
  <c r="E27" i="26"/>
  <c r="E28" i="26"/>
  <c r="E30" i="26"/>
  <c r="E31" i="26"/>
  <c r="E32" i="26"/>
  <c r="E33" i="26"/>
  <c r="E35" i="26"/>
  <c r="E21" i="26"/>
  <c r="D34" i="26"/>
  <c r="E34" i="26" s="1"/>
  <c r="K521" i="18"/>
  <c r="K520" i="18"/>
  <c r="K515" i="18"/>
  <c r="K516" i="18"/>
  <c r="K522" i="18"/>
  <c r="K519" i="18"/>
  <c r="K528" i="18"/>
  <c r="K527" i="18"/>
  <c r="K517" i="18"/>
  <c r="K524" i="18"/>
  <c r="K518" i="18"/>
  <c r="D3" i="18" l="1"/>
  <c r="L4" i="22"/>
  <c r="E12" i="35"/>
  <c r="F12" i="35"/>
  <c r="F142" i="35"/>
  <c r="E142" i="35"/>
  <c r="D186" i="35"/>
  <c r="D185" i="35"/>
  <c r="D184" i="35"/>
  <c r="G140" i="35"/>
  <c r="G141" i="35"/>
  <c r="G142" i="35" l="1"/>
  <c r="D183" i="35" s="1"/>
  <c r="D187" i="35" s="1"/>
  <c r="G185" i="35" l="1"/>
  <c r="G186" i="35"/>
  <c r="G184" i="35"/>
  <c r="G183" i="35"/>
  <c r="E57" i="26" l="1"/>
  <c r="K16" i="26"/>
  <c r="J16" i="26"/>
  <c r="F16" i="26"/>
  <c r="E8" i="26"/>
  <c r="E60" i="26" s="1"/>
  <c r="L68" i="26"/>
  <c r="F2" i="33" a="1"/>
  <c r="E55" i="26"/>
  <c r="F109" i="26" s="1"/>
  <c r="B128" i="26" s="1"/>
  <c r="D55" i="26"/>
  <c r="E56" i="26"/>
  <c r="D56" i="26"/>
  <c r="D57" i="26"/>
  <c r="E58" i="26"/>
  <c r="D58" i="26"/>
  <c r="E59" i="26"/>
  <c r="D59" i="26"/>
  <c r="D60" i="26"/>
  <c r="E61" i="26"/>
  <c r="D61" i="26"/>
  <c r="E62" i="26"/>
  <c r="D62" i="26"/>
  <c r="E63" i="26"/>
  <c r="D63" i="26"/>
  <c r="E64" i="26"/>
  <c r="D64" i="26"/>
  <c r="E65" i="26"/>
  <c r="D65" i="26"/>
  <c r="E66" i="26"/>
  <c r="D66" i="26"/>
  <c r="E67" i="26"/>
  <c r="D67" i="26"/>
  <c r="E69" i="26"/>
  <c r="D69" i="26"/>
  <c r="D39" i="26"/>
  <c r="E109" i="26" s="1"/>
  <c r="B127" i="26" s="1"/>
  <c r="D40" i="26"/>
  <c r="F39" i="26"/>
  <c r="F56" i="26"/>
  <c r="G56" i="26"/>
  <c r="H56" i="26"/>
  <c r="I56" i="26"/>
  <c r="J56" i="26"/>
  <c r="K56" i="26"/>
  <c r="L56" i="26"/>
  <c r="F57" i="26"/>
  <c r="G57" i="26"/>
  <c r="H57" i="26"/>
  <c r="I57" i="26"/>
  <c r="J57" i="26"/>
  <c r="K57" i="26"/>
  <c r="L57" i="26"/>
  <c r="F58" i="26"/>
  <c r="G58" i="26"/>
  <c r="H58" i="26"/>
  <c r="I58" i="26"/>
  <c r="J58" i="26"/>
  <c r="K58" i="26"/>
  <c r="L58" i="26"/>
  <c r="F59" i="26"/>
  <c r="G59" i="26"/>
  <c r="H59" i="26"/>
  <c r="I59" i="26"/>
  <c r="J59" i="26"/>
  <c r="K59" i="26"/>
  <c r="L59" i="26"/>
  <c r="G60" i="26"/>
  <c r="H60" i="26"/>
  <c r="I60" i="26"/>
  <c r="K60" i="26"/>
  <c r="L60" i="26"/>
  <c r="F61" i="26"/>
  <c r="G61" i="26"/>
  <c r="H61" i="26"/>
  <c r="I61" i="26"/>
  <c r="J61" i="26"/>
  <c r="K61" i="26"/>
  <c r="L61" i="26"/>
  <c r="G62" i="26"/>
  <c r="H62" i="26"/>
  <c r="I62" i="26"/>
  <c r="J62" i="26"/>
  <c r="K62" i="26"/>
  <c r="L62" i="26"/>
  <c r="F63" i="26"/>
  <c r="G63" i="26"/>
  <c r="H63" i="26"/>
  <c r="I63" i="26"/>
  <c r="J63" i="26"/>
  <c r="K63" i="26"/>
  <c r="L63" i="26"/>
  <c r="G64" i="26"/>
  <c r="H64" i="26"/>
  <c r="I64" i="26"/>
  <c r="L64" i="26"/>
  <c r="G65" i="26"/>
  <c r="H65" i="26"/>
  <c r="I65" i="26"/>
  <c r="L65" i="26"/>
  <c r="F66" i="26"/>
  <c r="G66" i="26"/>
  <c r="H66" i="26"/>
  <c r="I66" i="26"/>
  <c r="J66" i="26"/>
  <c r="K66" i="26"/>
  <c r="L66" i="26"/>
  <c r="G67" i="26"/>
  <c r="H67" i="26"/>
  <c r="I67" i="26"/>
  <c r="L67" i="26"/>
  <c r="F69" i="26"/>
  <c r="G69" i="26"/>
  <c r="H69" i="26"/>
  <c r="I69" i="26"/>
  <c r="J69" i="26"/>
  <c r="K69" i="26"/>
  <c r="L69" i="26"/>
  <c r="G55" i="26"/>
  <c r="H55" i="26"/>
  <c r="I55" i="26"/>
  <c r="J55" i="26"/>
  <c r="K55" i="26"/>
  <c r="L55" i="26"/>
  <c r="F55" i="26"/>
  <c r="G40" i="26"/>
  <c r="H40" i="26"/>
  <c r="I40" i="26"/>
  <c r="K40" i="26"/>
  <c r="L40" i="26"/>
  <c r="L39" i="26"/>
  <c r="K39" i="26"/>
  <c r="J39" i="26"/>
  <c r="I39" i="26"/>
  <c r="J109" i="26" s="1"/>
  <c r="B132" i="26" s="1"/>
  <c r="H39" i="26"/>
  <c r="I109" i="26" s="1"/>
  <c r="B131" i="26" s="1"/>
  <c r="G39" i="26"/>
  <c r="H109" i="26" s="1"/>
  <c r="B130" i="26" s="1"/>
  <c r="D73" i="26"/>
  <c r="F15" i="26"/>
  <c r="F67" i="26" s="1"/>
  <c r="J15" i="26"/>
  <c r="J67" i="26" s="1"/>
  <c r="K15" i="26"/>
  <c r="K67" i="26" s="1"/>
  <c r="K13" i="26"/>
  <c r="K65" i="26" s="1"/>
  <c r="J13" i="26"/>
  <c r="J65" i="26" s="1"/>
  <c r="F13" i="26"/>
  <c r="F65" i="26" s="1"/>
  <c r="F12" i="26"/>
  <c r="K12" i="26"/>
  <c r="J12" i="26"/>
  <c r="J8" i="26"/>
  <c r="F8" i="26"/>
  <c r="F2" i="33" l="1"/>
  <c r="J3" i="33" a="1"/>
  <c r="J3" i="33" s="1"/>
  <c r="I3" i="33" s="1" a="1"/>
  <c r="I3" i="33" s="1"/>
  <c r="A2" i="33" s="1" a="1"/>
  <c r="L109" i="26"/>
  <c r="B134" i="26" s="1"/>
  <c r="K109" i="26"/>
  <c r="B133" i="26" s="1"/>
  <c r="E112" i="26"/>
  <c r="H127" i="26" s="1"/>
  <c r="E113" i="26"/>
  <c r="J127" i="26" s="1"/>
  <c r="E114" i="26"/>
  <c r="L127" i="26" s="1"/>
  <c r="E115" i="26"/>
  <c r="N127" i="26" s="1"/>
  <c r="E111" i="26"/>
  <c r="F127" i="26" s="1"/>
  <c r="E110" i="26"/>
  <c r="D127" i="26" s="1"/>
  <c r="M109" i="26"/>
  <c r="B135" i="26" s="1"/>
  <c r="M115" i="26"/>
  <c r="N135" i="26" s="1"/>
  <c r="M114" i="26"/>
  <c r="M113" i="26"/>
  <c r="M112" i="26"/>
  <c r="H135" i="26" s="1"/>
  <c r="M111" i="26"/>
  <c r="M110" i="26"/>
  <c r="D135" i="26" s="1"/>
  <c r="L114" i="26"/>
  <c r="L113" i="26"/>
  <c r="L112" i="26"/>
  <c r="L115" i="26"/>
  <c r="N134" i="26" s="1"/>
  <c r="L111" i="26"/>
  <c r="F134" i="26" s="1"/>
  <c r="L110" i="26"/>
  <c r="D134" i="26" s="1"/>
  <c r="J112" i="26"/>
  <c r="J111" i="26"/>
  <c r="J110" i="26"/>
  <c r="J115" i="26"/>
  <c r="N132" i="26" s="1"/>
  <c r="J114" i="26"/>
  <c r="J113" i="26"/>
  <c r="I111" i="26"/>
  <c r="I112" i="26"/>
  <c r="I110" i="26"/>
  <c r="I115" i="26"/>
  <c r="N131" i="26" s="1"/>
  <c r="I114" i="26"/>
  <c r="I113" i="26"/>
  <c r="H110" i="26"/>
  <c r="H115" i="26"/>
  <c r="N130" i="26" s="1"/>
  <c r="H111" i="26"/>
  <c r="H114" i="26"/>
  <c r="H113" i="26"/>
  <c r="H112" i="26"/>
  <c r="G109" i="26"/>
  <c r="B129" i="26" s="1"/>
  <c r="D47" i="26"/>
  <c r="G49" i="26"/>
  <c r="D48" i="26"/>
  <c r="G48" i="26"/>
  <c r="D49" i="26"/>
  <c r="G47" i="26"/>
  <c r="D50" i="26"/>
  <c r="D46" i="26"/>
  <c r="F91" i="26"/>
  <c r="D98" i="26" s="1"/>
  <c r="D91" i="26"/>
  <c r="D96" i="26" s="1"/>
  <c r="D97" i="26"/>
  <c r="D51" i="26"/>
  <c r="G44" i="26"/>
  <c r="D52" i="26"/>
  <c r="D44" i="26"/>
  <c r="G51" i="26"/>
  <c r="G52" i="26"/>
  <c r="D87" i="26"/>
  <c r="D76" i="26"/>
  <c r="D85" i="26"/>
  <c r="D78" i="26"/>
  <c r="D81" i="26"/>
  <c r="D79" i="26"/>
  <c r="D77" i="26"/>
  <c r="D83" i="26"/>
  <c r="D82" i="26"/>
  <c r="D74" i="26"/>
  <c r="D80" i="26"/>
  <c r="D75" i="26"/>
  <c r="E40" i="26"/>
  <c r="E68" i="26"/>
  <c r="D41" i="26"/>
  <c r="E41" i="26"/>
  <c r="I68" i="26"/>
  <c r="D68" i="26"/>
  <c r="K68" i="26"/>
  <c r="G41" i="26"/>
  <c r="J68" i="26"/>
  <c r="H68" i="26"/>
  <c r="G68" i="26"/>
  <c r="L41" i="26"/>
  <c r="F68" i="26"/>
  <c r="I41" i="26"/>
  <c r="H41" i="26"/>
  <c r="F60" i="26"/>
  <c r="F40" i="26"/>
  <c r="J60" i="26"/>
  <c r="J40" i="26"/>
  <c r="K111" i="26" s="1"/>
  <c r="J64" i="26"/>
  <c r="J41" i="26"/>
  <c r="K64" i="26"/>
  <c r="K41" i="26"/>
  <c r="F64" i="26"/>
  <c r="B279" i="33" l="1"/>
  <c r="C279" i="33"/>
  <c r="D279" i="33"/>
  <c r="B278" i="33"/>
  <c r="C278" i="33"/>
  <c r="D278" i="33"/>
  <c r="B277" i="33"/>
  <c r="C277" i="33"/>
  <c r="D277" i="33"/>
  <c r="B276" i="33"/>
  <c r="C276" i="33"/>
  <c r="D276" i="33"/>
  <c r="B272" i="33"/>
  <c r="B273" i="33"/>
  <c r="B274" i="33"/>
  <c r="B275" i="33"/>
  <c r="D273" i="33"/>
  <c r="D274" i="33"/>
  <c r="C272" i="33"/>
  <c r="C273" i="33"/>
  <c r="C274" i="33"/>
  <c r="C275" i="33"/>
  <c r="D272" i="33"/>
  <c r="D275" i="33"/>
  <c r="D271" i="33"/>
  <c r="C271" i="33"/>
  <c r="B271" i="33"/>
  <c r="D252" i="33"/>
  <c r="D255" i="33"/>
  <c r="D258" i="33"/>
  <c r="D261" i="33"/>
  <c r="D264" i="33"/>
  <c r="D267" i="33"/>
  <c r="D270" i="33"/>
  <c r="C254" i="33"/>
  <c r="C257" i="33"/>
  <c r="C260" i="33"/>
  <c r="C263" i="33"/>
  <c r="C266" i="33"/>
  <c r="C269" i="33"/>
  <c r="B253" i="33"/>
  <c r="B256" i="33"/>
  <c r="B259" i="33"/>
  <c r="B262" i="33"/>
  <c r="B265" i="33"/>
  <c r="B268" i="33"/>
  <c r="D253" i="33"/>
  <c r="D256" i="33"/>
  <c r="D259" i="33"/>
  <c r="D262" i="33"/>
  <c r="D265" i="33"/>
  <c r="D268" i="33"/>
  <c r="C252" i="33"/>
  <c r="C255" i="33"/>
  <c r="C258" i="33"/>
  <c r="C261" i="33"/>
  <c r="C264" i="33"/>
  <c r="C267" i="33"/>
  <c r="C270" i="33"/>
  <c r="B254" i="33"/>
  <c r="B257" i="33"/>
  <c r="B260" i="33"/>
  <c r="B263" i="33"/>
  <c r="B266" i="33"/>
  <c r="B269" i="33"/>
  <c r="D254" i="33"/>
  <c r="D263" i="33"/>
  <c r="C253" i="33"/>
  <c r="C262" i="33"/>
  <c r="B252" i="33"/>
  <c r="B261" i="33"/>
  <c r="B270" i="33"/>
  <c r="D257" i="33"/>
  <c r="D266" i="33"/>
  <c r="C256" i="33"/>
  <c r="C265" i="33"/>
  <c r="B255" i="33"/>
  <c r="B264" i="33"/>
  <c r="D260" i="33"/>
  <c r="D269" i="33"/>
  <c r="C259" i="33"/>
  <c r="C268" i="33"/>
  <c r="B258" i="33"/>
  <c r="B267" i="33"/>
  <c r="D250" i="33"/>
  <c r="D251" i="33"/>
  <c r="D249" i="33"/>
  <c r="C250" i="33"/>
  <c r="B250" i="33"/>
  <c r="C249" i="33"/>
  <c r="B249" i="33"/>
  <c r="B251" i="33"/>
  <c r="C251" i="33"/>
  <c r="D248" i="33"/>
  <c r="B248" i="33"/>
  <c r="C248" i="33"/>
  <c r="D247" i="33"/>
  <c r="B247" i="33"/>
  <c r="C247" i="33"/>
  <c r="D246" i="33"/>
  <c r="C246" i="33"/>
  <c r="B246" i="33"/>
  <c r="D245" i="33"/>
  <c r="C245" i="33"/>
  <c r="B245" i="33"/>
  <c r="D244" i="33"/>
  <c r="B244" i="33"/>
  <c r="C244" i="33"/>
  <c r="D243" i="33"/>
  <c r="C243" i="33"/>
  <c r="B243" i="33"/>
  <c r="D242" i="33"/>
  <c r="C242" i="33"/>
  <c r="B242" i="33"/>
  <c r="D5" i="33"/>
  <c r="D13" i="33"/>
  <c r="D21" i="33"/>
  <c r="D29" i="33"/>
  <c r="D37" i="33"/>
  <c r="D45" i="33"/>
  <c r="D53" i="33"/>
  <c r="D61" i="33"/>
  <c r="D69" i="33"/>
  <c r="D77" i="33"/>
  <c r="D85" i="33"/>
  <c r="D93" i="33"/>
  <c r="D101" i="33"/>
  <c r="D109" i="33"/>
  <c r="D117" i="33"/>
  <c r="D125" i="33"/>
  <c r="D133" i="33"/>
  <c r="D141" i="33"/>
  <c r="D149" i="33"/>
  <c r="D157" i="33"/>
  <c r="D165" i="33"/>
  <c r="D173" i="33"/>
  <c r="D181" i="33"/>
  <c r="D189" i="33"/>
  <c r="D197" i="33"/>
  <c r="D205" i="33"/>
  <c r="D213" i="33"/>
  <c r="D221" i="33"/>
  <c r="D229" i="33"/>
  <c r="D237" i="33"/>
  <c r="D3" i="33"/>
  <c r="B207" i="33"/>
  <c r="D8" i="33"/>
  <c r="D32" i="33"/>
  <c r="D56" i="33"/>
  <c r="D80" i="33"/>
  <c r="D104" i="33"/>
  <c r="D120" i="33"/>
  <c r="D144" i="33"/>
  <c r="D184" i="33"/>
  <c r="D208" i="33"/>
  <c r="D232" i="33"/>
  <c r="D6" i="33"/>
  <c r="D14" i="33"/>
  <c r="D22" i="33"/>
  <c r="D30" i="33"/>
  <c r="D38" i="33"/>
  <c r="D46" i="33"/>
  <c r="D54" i="33"/>
  <c r="D62" i="33"/>
  <c r="D70" i="33"/>
  <c r="D78" i="33"/>
  <c r="D86" i="33"/>
  <c r="D94" i="33"/>
  <c r="D102" i="33"/>
  <c r="D110" i="33"/>
  <c r="D118" i="33"/>
  <c r="D126" i="33"/>
  <c r="D134" i="33"/>
  <c r="D142" i="33"/>
  <c r="D150" i="33"/>
  <c r="D158" i="33"/>
  <c r="D166" i="33"/>
  <c r="D174" i="33"/>
  <c r="D182" i="33"/>
  <c r="D190" i="33"/>
  <c r="D198" i="33"/>
  <c r="D206" i="33"/>
  <c r="D214" i="33"/>
  <c r="D222" i="33"/>
  <c r="D230" i="33"/>
  <c r="D238" i="33"/>
  <c r="D4" i="33"/>
  <c r="B208" i="33"/>
  <c r="D16" i="33"/>
  <c r="D40" i="33"/>
  <c r="D64" i="33"/>
  <c r="D88" i="33"/>
  <c r="D128" i="33"/>
  <c r="D152" i="33"/>
  <c r="D176" i="33"/>
  <c r="D200" i="33"/>
  <c r="D224" i="33"/>
  <c r="D7" i="33"/>
  <c r="D15" i="33"/>
  <c r="D23" i="33"/>
  <c r="D31" i="33"/>
  <c r="D39" i="33"/>
  <c r="D47" i="33"/>
  <c r="D55" i="33"/>
  <c r="D63" i="33"/>
  <c r="D71" i="33"/>
  <c r="D79" i="33"/>
  <c r="D87" i="33"/>
  <c r="D95" i="33"/>
  <c r="D103" i="33"/>
  <c r="D111" i="33"/>
  <c r="D119" i="33"/>
  <c r="D127" i="33"/>
  <c r="D135" i="33"/>
  <c r="D143" i="33"/>
  <c r="D151" i="33"/>
  <c r="D159" i="33"/>
  <c r="D167" i="33"/>
  <c r="D175" i="33"/>
  <c r="D183" i="33"/>
  <c r="D191" i="33"/>
  <c r="D199" i="33"/>
  <c r="D207" i="33"/>
  <c r="D215" i="33"/>
  <c r="D223" i="33"/>
  <c r="D231" i="33"/>
  <c r="D239" i="33"/>
  <c r="B209" i="33"/>
  <c r="D24" i="33"/>
  <c r="D48" i="33"/>
  <c r="D72" i="33"/>
  <c r="D96" i="33"/>
  <c r="D112" i="33"/>
  <c r="D136" i="33"/>
  <c r="D160" i="33"/>
  <c r="D168" i="33"/>
  <c r="D192" i="33"/>
  <c r="D216" i="33"/>
  <c r="D240" i="33"/>
  <c r="D9" i="33"/>
  <c r="D17" i="33"/>
  <c r="D25" i="33"/>
  <c r="D33" i="33"/>
  <c r="D41" i="33"/>
  <c r="D49" i="33"/>
  <c r="D57" i="33"/>
  <c r="D65" i="33"/>
  <c r="D73" i="33"/>
  <c r="D81" i="33"/>
  <c r="D89" i="33"/>
  <c r="D97" i="33"/>
  <c r="D105" i="33"/>
  <c r="D113" i="33"/>
  <c r="D121" i="33"/>
  <c r="D129" i="33"/>
  <c r="D137" i="33"/>
  <c r="D145" i="33"/>
  <c r="D153" i="33"/>
  <c r="D161" i="33"/>
  <c r="D169" i="33"/>
  <c r="D177" i="33"/>
  <c r="D185" i="33"/>
  <c r="D193" i="33"/>
  <c r="D201" i="33"/>
  <c r="D209" i="33"/>
  <c r="D217" i="33"/>
  <c r="D225" i="33"/>
  <c r="D233" i="33"/>
  <c r="D241" i="33"/>
  <c r="D226" i="33"/>
  <c r="D132" i="33"/>
  <c r="D212" i="33"/>
  <c r="D10" i="33"/>
  <c r="D18" i="33"/>
  <c r="D26" i="33"/>
  <c r="D34" i="33"/>
  <c r="D42" i="33"/>
  <c r="D50" i="33"/>
  <c r="D58" i="33"/>
  <c r="D66" i="33"/>
  <c r="D74" i="33"/>
  <c r="D82" i="33"/>
  <c r="D90" i="33"/>
  <c r="D98" i="33"/>
  <c r="D106" i="33"/>
  <c r="D114" i="33"/>
  <c r="D122" i="33"/>
  <c r="D130" i="33"/>
  <c r="D138" i="33"/>
  <c r="D146" i="33"/>
  <c r="D154" i="33"/>
  <c r="D162" i="33"/>
  <c r="D170" i="33"/>
  <c r="D178" i="33"/>
  <c r="D186" i="33"/>
  <c r="D194" i="33"/>
  <c r="D202" i="33"/>
  <c r="D210" i="33"/>
  <c r="D218" i="33"/>
  <c r="D234" i="33"/>
  <c r="D140" i="33"/>
  <c r="D204" i="33"/>
  <c r="D236" i="33"/>
  <c r="D11" i="33"/>
  <c r="D19" i="33"/>
  <c r="D27" i="33"/>
  <c r="D35" i="33"/>
  <c r="D43" i="33"/>
  <c r="D51" i="33"/>
  <c r="D59" i="33"/>
  <c r="D67" i="33"/>
  <c r="D75" i="33"/>
  <c r="D83" i="33"/>
  <c r="D91" i="33"/>
  <c r="D99" i="33"/>
  <c r="D107" i="33"/>
  <c r="D115" i="33"/>
  <c r="D123" i="33"/>
  <c r="D131" i="33"/>
  <c r="D139" i="33"/>
  <c r="D147" i="33"/>
  <c r="D155" i="33"/>
  <c r="D163" i="33"/>
  <c r="D171" i="33"/>
  <c r="D179" i="33"/>
  <c r="D187" i="33"/>
  <c r="D195" i="33"/>
  <c r="D203" i="33"/>
  <c r="D211" i="33"/>
  <c r="D219" i="33"/>
  <c r="D227" i="33"/>
  <c r="D235" i="33"/>
  <c r="B223" i="33"/>
  <c r="D156" i="33"/>
  <c r="D228" i="33"/>
  <c r="B224" i="33"/>
  <c r="D12" i="33"/>
  <c r="D20" i="33"/>
  <c r="D28" i="33"/>
  <c r="D36" i="33"/>
  <c r="D44" i="33"/>
  <c r="D52" i="33"/>
  <c r="D60" i="33"/>
  <c r="D68" i="33"/>
  <c r="D76" i="33"/>
  <c r="D84" i="33"/>
  <c r="D92" i="33"/>
  <c r="D100" i="33"/>
  <c r="D108" i="33"/>
  <c r="D116" i="33"/>
  <c r="D124" i="33"/>
  <c r="D148" i="33"/>
  <c r="D164" i="33"/>
  <c r="D172" i="33"/>
  <c r="D180" i="33"/>
  <c r="D188" i="33"/>
  <c r="D196" i="33"/>
  <c r="D220" i="33"/>
  <c r="A2" i="33"/>
  <c r="D2" i="33" s="1"/>
  <c r="B81" i="33"/>
  <c r="C182" i="33"/>
  <c r="C118" i="33"/>
  <c r="C54" i="33"/>
  <c r="B237" i="33"/>
  <c r="B169" i="33"/>
  <c r="B105" i="33"/>
  <c r="C204" i="33"/>
  <c r="C140" i="33"/>
  <c r="C76" i="33"/>
  <c r="C12" i="33"/>
  <c r="B191" i="33"/>
  <c r="B127" i="33"/>
  <c r="B63" i="33"/>
  <c r="C203" i="33"/>
  <c r="C119" i="33"/>
  <c r="C33" i="33"/>
  <c r="C202" i="33"/>
  <c r="C117" i="33"/>
  <c r="C32" i="33"/>
  <c r="C201" i="33"/>
  <c r="C115" i="33"/>
  <c r="C31" i="33"/>
  <c r="B188" i="33"/>
  <c r="B102" i="33"/>
  <c r="B30" i="33"/>
  <c r="C145" i="33"/>
  <c r="C168" i="33"/>
  <c r="C82" i="33"/>
  <c r="B155" i="33"/>
  <c r="B70" i="33"/>
  <c r="B5" i="33"/>
  <c r="C81" i="33"/>
  <c r="C185" i="33"/>
  <c r="B216" i="33"/>
  <c r="B98" i="33"/>
  <c r="B4" i="33"/>
  <c r="C37" i="33"/>
  <c r="B139" i="33"/>
  <c r="B35" i="33"/>
  <c r="C3" i="33"/>
  <c r="B11" i="33"/>
  <c r="C66" i="33"/>
  <c r="B150" i="33"/>
  <c r="B44" i="33"/>
  <c r="B226" i="33"/>
  <c r="B23" i="33"/>
  <c r="B239" i="33"/>
  <c r="B17" i="33"/>
  <c r="B106" i="33"/>
  <c r="C219" i="33"/>
  <c r="B184" i="33"/>
  <c r="C131" i="33"/>
  <c r="B172" i="33"/>
  <c r="B221" i="33"/>
  <c r="B219" i="33"/>
  <c r="B157" i="33"/>
  <c r="B118" i="33"/>
  <c r="B41" i="33"/>
  <c r="B177" i="33"/>
  <c r="B199" i="33"/>
  <c r="C215" i="33"/>
  <c r="C213" i="33"/>
  <c r="C127" i="33"/>
  <c r="B114" i="33"/>
  <c r="C167" i="33"/>
  <c r="B80" i="33"/>
  <c r="B231" i="33"/>
  <c r="B47" i="33"/>
  <c r="B56" i="33"/>
  <c r="B31" i="33"/>
  <c r="C25" i="33"/>
  <c r="C238" i="33"/>
  <c r="C174" i="33"/>
  <c r="C110" i="33"/>
  <c r="C46" i="33"/>
  <c r="B229" i="33"/>
  <c r="B161" i="33"/>
  <c r="B97" i="33"/>
  <c r="C196" i="33"/>
  <c r="C132" i="33"/>
  <c r="C68" i="33"/>
  <c r="C4" i="33"/>
  <c r="B183" i="33"/>
  <c r="B119" i="33"/>
  <c r="C241" i="33"/>
  <c r="C193" i="33"/>
  <c r="C107" i="33"/>
  <c r="C23" i="33"/>
  <c r="C192" i="33"/>
  <c r="C106" i="33"/>
  <c r="C21" i="33"/>
  <c r="C191" i="33"/>
  <c r="C105" i="33"/>
  <c r="C19" i="33"/>
  <c r="B178" i="33"/>
  <c r="B92" i="33"/>
  <c r="B22" i="33"/>
  <c r="C123" i="33"/>
  <c r="C157" i="33"/>
  <c r="C72" i="33"/>
  <c r="B233" i="33"/>
  <c r="B144" i="33"/>
  <c r="B61" i="33"/>
  <c r="C59" i="33"/>
  <c r="C154" i="33"/>
  <c r="B196" i="33"/>
  <c r="B84" i="33"/>
  <c r="C13" i="33"/>
  <c r="B125" i="33"/>
  <c r="B25" i="33"/>
  <c r="B205" i="33"/>
  <c r="C197" i="33"/>
  <c r="C35" i="33"/>
  <c r="B138" i="33"/>
  <c r="B34" i="33"/>
  <c r="B192" i="33"/>
  <c r="C231" i="33"/>
  <c r="B200" i="33"/>
  <c r="C163" i="33"/>
  <c r="B76" i="33"/>
  <c r="C24" i="33"/>
  <c r="B128" i="33"/>
  <c r="B241" i="33"/>
  <c r="B116" i="33"/>
  <c r="B189" i="33"/>
  <c r="B158" i="33"/>
  <c r="B99" i="33"/>
  <c r="B65" i="33"/>
  <c r="C186" i="33"/>
  <c r="C212" i="33"/>
  <c r="C43" i="33"/>
  <c r="B198" i="33"/>
  <c r="C17" i="33"/>
  <c r="B13" i="33"/>
  <c r="B110" i="33"/>
  <c r="C58" i="33"/>
  <c r="C34" i="33"/>
  <c r="C77" i="33"/>
  <c r="B217" i="33"/>
  <c r="C230" i="33"/>
  <c r="C166" i="33"/>
  <c r="C102" i="33"/>
  <c r="C38" i="33"/>
  <c r="B220" i="33"/>
  <c r="B153" i="33"/>
  <c r="B89" i="33"/>
  <c r="C188" i="33"/>
  <c r="C124" i="33"/>
  <c r="C60" i="33"/>
  <c r="B175" i="33"/>
  <c r="B111" i="33"/>
  <c r="C233" i="33"/>
  <c r="C183" i="33"/>
  <c r="C97" i="33"/>
  <c r="C11" i="33"/>
  <c r="C181" i="33"/>
  <c r="C96" i="33"/>
  <c r="C10" i="33"/>
  <c r="C179" i="33"/>
  <c r="C95" i="33"/>
  <c r="C9" i="33"/>
  <c r="B166" i="33"/>
  <c r="B82" i="33"/>
  <c r="B14" i="33"/>
  <c r="C103" i="33"/>
  <c r="C235" i="33"/>
  <c r="C146" i="33"/>
  <c r="C61" i="33"/>
  <c r="B222" i="33"/>
  <c r="B133" i="33"/>
  <c r="B53" i="33"/>
  <c r="C221" i="33"/>
  <c r="C27" i="33"/>
  <c r="C130" i="33"/>
  <c r="B182" i="33"/>
  <c r="B69" i="33"/>
  <c r="C208" i="33"/>
  <c r="B230" i="33"/>
  <c r="B109" i="33"/>
  <c r="B15" i="33"/>
  <c r="B179" i="33"/>
  <c r="C5" i="33"/>
  <c r="B122" i="33"/>
  <c r="B12" i="33"/>
  <c r="B163" i="33"/>
  <c r="C173" i="33"/>
  <c r="B171" i="33"/>
  <c r="C101" i="33"/>
  <c r="B52" i="33"/>
  <c r="B186" i="33"/>
  <c r="B73" i="33"/>
  <c r="B173" i="33"/>
  <c r="B60" i="33"/>
  <c r="B160" i="33"/>
  <c r="B100" i="33"/>
  <c r="B49" i="33"/>
  <c r="B20" i="33"/>
  <c r="C48" i="33"/>
  <c r="B113" i="33"/>
  <c r="C84" i="33"/>
  <c r="C20" i="33"/>
  <c r="B135" i="33"/>
  <c r="B71" i="33"/>
  <c r="C129" i="33"/>
  <c r="C128" i="33"/>
  <c r="C41" i="33"/>
  <c r="B38" i="33"/>
  <c r="B165" i="33"/>
  <c r="C216" i="33"/>
  <c r="B152" i="33"/>
  <c r="B164" i="33"/>
  <c r="B39" i="33"/>
  <c r="B42" i="33"/>
  <c r="B174" i="33"/>
  <c r="C222" i="33"/>
  <c r="C158" i="33"/>
  <c r="C94" i="33"/>
  <c r="C30" i="33"/>
  <c r="B212" i="33"/>
  <c r="B145" i="33"/>
  <c r="C180" i="33"/>
  <c r="C116" i="33"/>
  <c r="C52" i="33"/>
  <c r="B235" i="33"/>
  <c r="B167" i="33"/>
  <c r="B103" i="33"/>
  <c r="C225" i="33"/>
  <c r="C171" i="33"/>
  <c r="C87" i="33"/>
  <c r="C170" i="33"/>
  <c r="C85" i="33"/>
  <c r="C169" i="33"/>
  <c r="C83" i="33"/>
  <c r="B156" i="33"/>
  <c r="B72" i="33"/>
  <c r="B6" i="33"/>
  <c r="C91" i="33"/>
  <c r="C223" i="33"/>
  <c r="C136" i="33"/>
  <c r="C50" i="33"/>
  <c r="B211" i="33"/>
  <c r="B123" i="33"/>
  <c r="B45" i="33"/>
  <c r="C199" i="33"/>
  <c r="C7" i="33"/>
  <c r="C99" i="33"/>
  <c r="B170" i="33"/>
  <c r="B58" i="33"/>
  <c r="C184" i="33"/>
  <c r="B215" i="33"/>
  <c r="B96" i="33"/>
  <c r="B3" i="33"/>
  <c r="B149" i="33"/>
  <c r="C207" i="33"/>
  <c r="B228" i="33"/>
  <c r="B108" i="33"/>
  <c r="C232" i="33"/>
  <c r="B136" i="33"/>
  <c r="C112" i="33"/>
  <c r="B141" i="33"/>
  <c r="C26" i="33"/>
  <c r="B32" i="33"/>
  <c r="B130" i="33"/>
  <c r="B27" i="33"/>
  <c r="B117" i="33"/>
  <c r="B18" i="33"/>
  <c r="B104" i="33"/>
  <c r="B50" i="33"/>
  <c r="B7" i="33"/>
  <c r="C194" i="33"/>
  <c r="B202" i="33"/>
  <c r="C62" i="33"/>
  <c r="C42" i="33"/>
  <c r="C8" i="33"/>
  <c r="B16" i="33"/>
  <c r="B33" i="33"/>
  <c r="C79" i="33"/>
  <c r="C214" i="33"/>
  <c r="C150" i="33"/>
  <c r="C86" i="33"/>
  <c r="C22" i="33"/>
  <c r="B201" i="33"/>
  <c r="B137" i="33"/>
  <c r="C236" i="33"/>
  <c r="C172" i="33"/>
  <c r="C108" i="33"/>
  <c r="C44" i="33"/>
  <c r="B227" i="33"/>
  <c r="B159" i="33"/>
  <c r="B95" i="33"/>
  <c r="C217" i="33"/>
  <c r="C161" i="33"/>
  <c r="C75" i="33"/>
  <c r="B238" i="33"/>
  <c r="C160" i="33"/>
  <c r="C74" i="33"/>
  <c r="B236" i="33"/>
  <c r="C159" i="33"/>
  <c r="C73" i="33"/>
  <c r="B234" i="33"/>
  <c r="B146" i="33"/>
  <c r="B62" i="33"/>
  <c r="C234" i="33"/>
  <c r="C71" i="33"/>
  <c r="C210" i="33"/>
  <c r="C125" i="33"/>
  <c r="C40" i="33"/>
  <c r="B197" i="33"/>
  <c r="B112" i="33"/>
  <c r="B37" i="33"/>
  <c r="C177" i="33"/>
  <c r="B232" i="33"/>
  <c r="C69" i="33"/>
  <c r="B154" i="33"/>
  <c r="B48" i="33"/>
  <c r="C153" i="33"/>
  <c r="B195" i="33"/>
  <c r="B83" i="33"/>
  <c r="B24" i="33"/>
  <c r="B120" i="33"/>
  <c r="C176" i="33"/>
  <c r="B214" i="33"/>
  <c r="B94" i="33"/>
  <c r="C205" i="33"/>
  <c r="B107" i="33"/>
  <c r="C88" i="33"/>
  <c r="B115" i="33"/>
  <c r="B225" i="33"/>
  <c r="B10" i="33"/>
  <c r="B74" i="33"/>
  <c r="C195" i="33"/>
  <c r="B64" i="33"/>
  <c r="C229" i="33"/>
  <c r="B51" i="33"/>
  <c r="B8" i="33"/>
  <c r="C133" i="33"/>
  <c r="C56" i="33"/>
  <c r="B142" i="33"/>
  <c r="C126" i="33"/>
  <c r="C211" i="33"/>
  <c r="C93" i="33"/>
  <c r="C113" i="33"/>
  <c r="C67" i="33"/>
  <c r="C90" i="33"/>
  <c r="B132" i="33"/>
  <c r="B240" i="33"/>
  <c r="B88" i="33"/>
  <c r="C206" i="33"/>
  <c r="C142" i="33"/>
  <c r="C78" i="33"/>
  <c r="C14" i="33"/>
  <c r="B193" i="33"/>
  <c r="B129" i="33"/>
  <c r="C228" i="33"/>
  <c r="C164" i="33"/>
  <c r="C100" i="33"/>
  <c r="C36" i="33"/>
  <c r="B218" i="33"/>
  <c r="B151" i="33"/>
  <c r="B87" i="33"/>
  <c r="C240" i="33"/>
  <c r="C151" i="33"/>
  <c r="C65" i="33"/>
  <c r="C239" i="33"/>
  <c r="C149" i="33"/>
  <c r="C64" i="33"/>
  <c r="C237" i="33"/>
  <c r="C147" i="33"/>
  <c r="C63" i="33"/>
  <c r="B134" i="33"/>
  <c r="B54" i="33"/>
  <c r="C209" i="33"/>
  <c r="C49" i="33"/>
  <c r="C200" i="33"/>
  <c r="C114" i="33"/>
  <c r="C29" i="33"/>
  <c r="B187" i="33"/>
  <c r="B101" i="33"/>
  <c r="B29" i="33"/>
  <c r="C155" i="33"/>
  <c r="B206" i="33"/>
  <c r="C45" i="33"/>
  <c r="B140" i="33"/>
  <c r="B36" i="33"/>
  <c r="C122" i="33"/>
  <c r="B181" i="33"/>
  <c r="B68" i="33"/>
  <c r="C175" i="33"/>
  <c r="B93" i="33"/>
  <c r="C152" i="33"/>
  <c r="B194" i="33"/>
  <c r="B78" i="33"/>
  <c r="C144" i="33"/>
  <c r="B77" i="33"/>
  <c r="C165" i="33"/>
  <c r="B85" i="33"/>
  <c r="B190" i="33"/>
  <c r="B131" i="33"/>
  <c r="B28" i="33"/>
  <c r="B148" i="33"/>
  <c r="B19" i="33"/>
  <c r="C162" i="33"/>
  <c r="B9" i="33"/>
  <c r="C141" i="33"/>
  <c r="C57" i="33"/>
  <c r="B203" i="33"/>
  <c r="B86" i="33"/>
  <c r="C148" i="33"/>
  <c r="B43" i="33"/>
  <c r="C198" i="33"/>
  <c r="C134" i="33"/>
  <c r="C70" i="33"/>
  <c r="C6" i="33"/>
  <c r="B185" i="33"/>
  <c r="B121" i="33"/>
  <c r="C220" i="33"/>
  <c r="C156" i="33"/>
  <c r="C92" i="33"/>
  <c r="C28" i="33"/>
  <c r="B210" i="33"/>
  <c r="B143" i="33"/>
  <c r="B79" i="33"/>
  <c r="C227" i="33"/>
  <c r="C139" i="33"/>
  <c r="C55" i="33"/>
  <c r="C226" i="33"/>
  <c r="C138" i="33"/>
  <c r="C53" i="33"/>
  <c r="C224" i="33"/>
  <c r="C137" i="33"/>
  <c r="C51" i="33"/>
  <c r="B213" i="33"/>
  <c r="B124" i="33"/>
  <c r="B46" i="33"/>
  <c r="C187" i="33"/>
  <c r="C39" i="33"/>
  <c r="C189" i="33"/>
  <c r="C104" i="33"/>
  <c r="C18" i="33"/>
  <c r="B176" i="33"/>
  <c r="B91" i="33"/>
  <c r="B21" i="33"/>
  <c r="C135" i="33"/>
  <c r="C15" i="33"/>
  <c r="B126" i="33"/>
  <c r="B26" i="33"/>
  <c r="C98" i="33"/>
  <c r="B168" i="33"/>
  <c r="B57" i="33"/>
  <c r="C89" i="33"/>
  <c r="B66" i="33"/>
  <c r="C121" i="33"/>
  <c r="B180" i="33"/>
  <c r="B67" i="33"/>
  <c r="C120" i="33"/>
  <c r="B55" i="33"/>
  <c r="C109" i="33"/>
  <c r="B59" i="33"/>
  <c r="B162" i="33"/>
  <c r="B75" i="33"/>
  <c r="C218" i="33"/>
  <c r="B90" i="33"/>
  <c r="C111" i="33"/>
  <c r="C80" i="33"/>
  <c r="C143" i="33"/>
  <c r="C16" i="33"/>
  <c r="B204" i="33"/>
  <c r="B147" i="33"/>
  <c r="B40" i="33"/>
  <c r="C190" i="33"/>
  <c r="C178" i="33"/>
  <c r="C47" i="33"/>
  <c r="D86" i="26"/>
  <c r="K93" i="26" s="1"/>
  <c r="J103" i="26" s="1"/>
  <c r="J132" i="26"/>
  <c r="D130" i="26"/>
  <c r="L131" i="26"/>
  <c r="H130" i="26"/>
  <c r="F132" i="26"/>
  <c r="L132" i="26"/>
  <c r="J131" i="26"/>
  <c r="J134" i="26"/>
  <c r="D132" i="26"/>
  <c r="L134" i="26"/>
  <c r="J130" i="26"/>
  <c r="D131" i="26"/>
  <c r="H132" i="26"/>
  <c r="F135" i="26"/>
  <c r="H134" i="26"/>
  <c r="L130" i="26"/>
  <c r="H131" i="26"/>
  <c r="F130" i="26"/>
  <c r="F131" i="26"/>
  <c r="J135" i="26"/>
  <c r="L135" i="26"/>
  <c r="G46" i="26"/>
  <c r="G115" i="26"/>
  <c r="N129" i="26" s="1"/>
  <c r="G114" i="26"/>
  <c r="G113" i="26"/>
  <c r="J129" i="26" s="1"/>
  <c r="G112" i="26"/>
  <c r="G110" i="26"/>
  <c r="D129" i="26" s="1"/>
  <c r="G111" i="26"/>
  <c r="G50" i="26"/>
  <c r="K113" i="26"/>
  <c r="K112" i="26"/>
  <c r="K114" i="26"/>
  <c r="L133" i="26" s="1"/>
  <c r="K110" i="26"/>
  <c r="D133" i="26" s="1"/>
  <c r="K115" i="26"/>
  <c r="N133" i="26" s="1"/>
  <c r="G117" i="26"/>
  <c r="R129" i="26" s="1"/>
  <c r="G118" i="26"/>
  <c r="G119" i="26"/>
  <c r="G123" i="26"/>
  <c r="AD129" i="26" s="1"/>
  <c r="G121" i="26"/>
  <c r="G122" i="26"/>
  <c r="J116" i="26"/>
  <c r="J118" i="26"/>
  <c r="J120" i="26"/>
  <c r="J122" i="26"/>
  <c r="J117" i="26"/>
  <c r="J119" i="26"/>
  <c r="J121" i="26"/>
  <c r="J123" i="26"/>
  <c r="J51" i="26"/>
  <c r="L116" i="26"/>
  <c r="L120" i="26"/>
  <c r="L117" i="26"/>
  <c r="L121" i="26"/>
  <c r="Z134" i="26" s="1"/>
  <c r="L118" i="26"/>
  <c r="L122" i="26"/>
  <c r="L119" i="26"/>
  <c r="V134" i="26" s="1"/>
  <c r="L123" i="26"/>
  <c r="J52" i="26"/>
  <c r="M116" i="26"/>
  <c r="M120" i="26"/>
  <c r="M117" i="26"/>
  <c r="R135" i="26" s="1"/>
  <c r="M121" i="26"/>
  <c r="M119" i="26"/>
  <c r="M118" i="26"/>
  <c r="M122" i="26"/>
  <c r="M123" i="26"/>
  <c r="F110" i="26"/>
  <c r="F111" i="26"/>
  <c r="F112" i="26"/>
  <c r="F115" i="26"/>
  <c r="N128" i="26" s="1"/>
  <c r="F113" i="26"/>
  <c r="F114" i="26"/>
  <c r="J50" i="26"/>
  <c r="K118" i="26"/>
  <c r="K120" i="26"/>
  <c r="K122" i="26"/>
  <c r="AB133" i="26" s="1"/>
  <c r="K117" i="26"/>
  <c r="K121" i="26"/>
  <c r="Z133" i="26" s="1"/>
  <c r="K123" i="26"/>
  <c r="AD133" i="26" s="1"/>
  <c r="K119" i="26"/>
  <c r="F117" i="26"/>
  <c r="F118" i="26"/>
  <c r="F119" i="26"/>
  <c r="F120" i="26"/>
  <c r="F121" i="26"/>
  <c r="F116" i="26"/>
  <c r="F122" i="26"/>
  <c r="F123" i="26"/>
  <c r="J48" i="26"/>
  <c r="I116" i="26"/>
  <c r="I118" i="26"/>
  <c r="I120" i="26"/>
  <c r="I122" i="26"/>
  <c r="I117" i="26"/>
  <c r="I119" i="26"/>
  <c r="I121" i="26"/>
  <c r="I123" i="26"/>
  <c r="J47" i="26"/>
  <c r="H116" i="26"/>
  <c r="H118" i="26"/>
  <c r="H120" i="26"/>
  <c r="H122" i="26"/>
  <c r="H117" i="26"/>
  <c r="H119" i="26"/>
  <c r="H121" i="26"/>
  <c r="H123" i="26"/>
  <c r="E116" i="26"/>
  <c r="P127" i="26" s="1"/>
  <c r="E117" i="26"/>
  <c r="R127" i="26" s="1"/>
  <c r="E118" i="26"/>
  <c r="T127" i="26" s="1"/>
  <c r="E119" i="26"/>
  <c r="V127" i="26" s="1"/>
  <c r="E120" i="26"/>
  <c r="X127" i="26" s="1"/>
  <c r="E121" i="26"/>
  <c r="Z127" i="26" s="1"/>
  <c r="E122" i="26"/>
  <c r="AB127" i="26" s="1"/>
  <c r="E123" i="26"/>
  <c r="AD127" i="26" s="1"/>
  <c r="G45" i="26"/>
  <c r="J46" i="26"/>
  <c r="J49" i="26"/>
  <c r="J45" i="26"/>
  <c r="J44" i="26"/>
  <c r="E36" i="26"/>
  <c r="G5" i="35"/>
  <c r="G6" i="35"/>
  <c r="G7" i="35"/>
  <c r="G8" i="35"/>
  <c r="G9" i="35"/>
  <c r="G10" i="35"/>
  <c r="G11" i="35"/>
  <c r="G4" i="35"/>
  <c r="D188" i="35"/>
  <c r="D189" i="35"/>
  <c r="N140" i="35"/>
  <c r="N141" i="35"/>
  <c r="K526" i="18"/>
  <c r="K523" i="18"/>
  <c r="K525" i="18"/>
  <c r="B2" i="33" l="1"/>
  <c r="C2" i="33"/>
  <c r="AD128" i="26"/>
  <c r="AD134" i="26"/>
  <c r="R130" i="26"/>
  <c r="T135" i="26"/>
  <c r="AD132" i="26"/>
  <c r="R131" i="26"/>
  <c r="V135" i="26"/>
  <c r="Z132" i="26"/>
  <c r="X130" i="26"/>
  <c r="AB131" i="26"/>
  <c r="Z128" i="26"/>
  <c r="R133" i="26"/>
  <c r="Z135" i="26"/>
  <c r="T134" i="26"/>
  <c r="V132" i="26"/>
  <c r="F133" i="26"/>
  <c r="H129" i="26"/>
  <c r="V133" i="26"/>
  <c r="AB128" i="26"/>
  <c r="L128" i="26"/>
  <c r="AB129" i="26"/>
  <c r="F129" i="26"/>
  <c r="AB130" i="26"/>
  <c r="P128" i="26"/>
  <c r="J128" i="26"/>
  <c r="AB134" i="26"/>
  <c r="Z129" i="26"/>
  <c r="T130" i="26"/>
  <c r="X131" i="26"/>
  <c r="X128" i="26"/>
  <c r="H128" i="26"/>
  <c r="R132" i="26"/>
  <c r="Z131" i="26"/>
  <c r="AB135" i="26"/>
  <c r="V131" i="26"/>
  <c r="P130" i="26"/>
  <c r="T131" i="26"/>
  <c r="V128" i="26"/>
  <c r="X133" i="26"/>
  <c r="F128" i="26"/>
  <c r="X135" i="26"/>
  <c r="R134" i="26"/>
  <c r="AB132" i="26"/>
  <c r="V129" i="26"/>
  <c r="H133" i="26"/>
  <c r="L129" i="26"/>
  <c r="AD130" i="26"/>
  <c r="P131" i="26"/>
  <c r="T128" i="26"/>
  <c r="T133" i="26"/>
  <c r="D128" i="26"/>
  <c r="P135" i="26"/>
  <c r="X134" i="26"/>
  <c r="X132" i="26"/>
  <c r="T129" i="26"/>
  <c r="J133" i="26"/>
  <c r="Z130" i="26"/>
  <c r="AD131" i="26"/>
  <c r="R128" i="26"/>
  <c r="AD135" i="26"/>
  <c r="P134" i="26"/>
  <c r="T132" i="26"/>
  <c r="P132" i="26"/>
  <c r="V130" i="26"/>
  <c r="G12" i="35"/>
  <c r="H5" i="35" s="1"/>
  <c r="D190" i="35"/>
  <c r="G189" i="35" s="1"/>
  <c r="G3" i="30" a="1"/>
  <c r="E3" i="30" a="1"/>
  <c r="B3" i="30" a="1"/>
  <c r="B3" i="30" s="1"/>
  <c r="A3" i="30" a="1"/>
  <c r="A3" i="30" s="1"/>
  <c r="K221" i="30" l="1"/>
  <c r="K100" i="30"/>
  <c r="K112" i="30"/>
  <c r="K127" i="30"/>
  <c r="K61" i="30"/>
  <c r="K60" i="30"/>
  <c r="K104" i="30"/>
  <c r="K116" i="30"/>
  <c r="K131" i="30"/>
  <c r="K132" i="30"/>
  <c r="K64" i="30"/>
  <c r="K118" i="30"/>
  <c r="K63" i="30"/>
  <c r="K49" i="30"/>
  <c r="K106" i="30"/>
  <c r="K45" i="30"/>
  <c r="K153" i="30"/>
  <c r="K191" i="30"/>
  <c r="K163" i="30"/>
  <c r="K164" i="30"/>
  <c r="K196" i="30"/>
  <c r="K213" i="30"/>
  <c r="K157" i="30"/>
  <c r="K33" i="30"/>
  <c r="K51" i="30"/>
  <c r="K193" i="30"/>
  <c r="K53" i="30"/>
  <c r="K182" i="30"/>
  <c r="K5" i="30"/>
  <c r="K183" i="30"/>
  <c r="K47" i="30"/>
  <c r="K24" i="30"/>
  <c r="K39" i="30"/>
  <c r="K46" i="30"/>
  <c r="K212" i="30"/>
  <c r="K68" i="30"/>
  <c r="K4" i="30"/>
  <c r="E2" i="25" a="1"/>
  <c r="F2" i="25" a="1"/>
  <c r="F2" i="25" s="1"/>
  <c r="K37" i="30"/>
  <c r="K27" i="30"/>
  <c r="K124" i="30"/>
  <c r="K207" i="30"/>
  <c r="K36" i="30"/>
  <c r="K110" i="30"/>
  <c r="K67" i="30"/>
  <c r="K184" i="30"/>
  <c r="K197" i="30"/>
  <c r="K26" i="30"/>
  <c r="K176" i="30"/>
  <c r="K83" i="30"/>
  <c r="K188" i="30"/>
  <c r="K22" i="30"/>
  <c r="K29" i="30"/>
  <c r="K73" i="30"/>
  <c r="K205" i="30"/>
  <c r="K194" i="30"/>
  <c r="K23" i="30"/>
  <c r="K31" i="30"/>
  <c r="K75" i="30"/>
  <c r="K203" i="30"/>
  <c r="K192" i="30"/>
  <c r="K19" i="30"/>
  <c r="K84" i="30"/>
  <c r="K177" i="30"/>
  <c r="K50" i="30"/>
  <c r="K186" i="30"/>
  <c r="E34" i="35"/>
  <c r="Y32" i="35"/>
  <c r="Y56" i="35"/>
  <c r="D760" i="20" s="1"/>
  <c r="AJ40" i="35"/>
  <c r="D554" i="18" s="1"/>
  <c r="Y40" i="35"/>
  <c r="D756" i="20" s="1"/>
  <c r="Y48" i="35"/>
  <c r="D757" i="20" s="1"/>
  <c r="AJ32" i="35"/>
  <c r="D556" i="18" s="1"/>
  <c r="AJ56" i="35"/>
  <c r="D550" i="18" s="1"/>
  <c r="AJ48" i="35"/>
  <c r="D552" i="18" s="1"/>
  <c r="Y24" i="35"/>
  <c r="D754" i="20" s="1"/>
  <c r="AJ24" i="35"/>
  <c r="D558" i="18" s="1"/>
  <c r="E20" i="35"/>
  <c r="H6" i="35"/>
  <c r="H4" i="35"/>
  <c r="H11" i="35"/>
  <c r="H9" i="35"/>
  <c r="H7" i="35"/>
  <c r="H8" i="35"/>
  <c r="H10" i="35"/>
  <c r="G188" i="35"/>
  <c r="G3" i="30"/>
  <c r="F9" i="30" s="1"/>
  <c r="E3" i="30"/>
  <c r="G87" i="25" l="1"/>
  <c r="G89" i="25"/>
  <c r="G92" i="25"/>
  <c r="G95" i="25"/>
  <c r="G90" i="25"/>
  <c r="G93" i="25"/>
  <c r="G96" i="25"/>
  <c r="G88" i="25"/>
  <c r="G91" i="25"/>
  <c r="G94" i="25"/>
  <c r="E2" i="25"/>
  <c r="G2" i="25" s="1"/>
  <c r="G5" i="25"/>
  <c r="G17" i="25"/>
  <c r="G29" i="25"/>
  <c r="G41" i="25"/>
  <c r="G53" i="25"/>
  <c r="G65" i="25"/>
  <c r="G77" i="25"/>
  <c r="G64" i="25"/>
  <c r="G6" i="25"/>
  <c r="G18" i="25"/>
  <c r="G30" i="25"/>
  <c r="G42" i="25"/>
  <c r="G54" i="25"/>
  <c r="G66" i="25"/>
  <c r="G78" i="25"/>
  <c r="G7" i="25"/>
  <c r="G19" i="25"/>
  <c r="G31" i="25"/>
  <c r="G43" i="25"/>
  <c r="G55" i="25"/>
  <c r="G67" i="25"/>
  <c r="G79" i="25"/>
  <c r="G8" i="25"/>
  <c r="G20" i="25"/>
  <c r="G32" i="25"/>
  <c r="G44" i="25"/>
  <c r="G56" i="25"/>
  <c r="G68" i="25"/>
  <c r="G80" i="25"/>
  <c r="G37" i="25"/>
  <c r="G49" i="25"/>
  <c r="G61" i="25"/>
  <c r="G85" i="25"/>
  <c r="G76" i="25"/>
  <c r="G9" i="25"/>
  <c r="G21" i="25"/>
  <c r="G33" i="25"/>
  <c r="G45" i="25"/>
  <c r="G57" i="25"/>
  <c r="G69" i="25"/>
  <c r="G81" i="25"/>
  <c r="G13" i="25"/>
  <c r="G73" i="25"/>
  <c r="G10" i="25"/>
  <c r="G22" i="25"/>
  <c r="G34" i="25"/>
  <c r="G46" i="25"/>
  <c r="G58" i="25"/>
  <c r="G70" i="25"/>
  <c r="G82" i="25"/>
  <c r="G52" i="25"/>
  <c r="G11" i="25"/>
  <c r="G23" i="25"/>
  <c r="G35" i="25"/>
  <c r="G47" i="25"/>
  <c r="G59" i="25"/>
  <c r="G71" i="25"/>
  <c r="G83" i="25"/>
  <c r="G25" i="25"/>
  <c r="G12" i="25"/>
  <c r="G24" i="25"/>
  <c r="G36" i="25"/>
  <c r="G48" i="25"/>
  <c r="G60" i="25"/>
  <c r="G72" i="25"/>
  <c r="G84" i="25"/>
  <c r="G14" i="25"/>
  <c r="G26" i="25"/>
  <c r="G38" i="25"/>
  <c r="G50" i="25"/>
  <c r="G62" i="25"/>
  <c r="G74" i="25"/>
  <c r="G86" i="25"/>
  <c r="G3" i="25"/>
  <c r="G15" i="25"/>
  <c r="G27" i="25"/>
  <c r="G39" i="25"/>
  <c r="G51" i="25"/>
  <c r="G63" i="25"/>
  <c r="G75" i="25"/>
  <c r="G4" i="25"/>
  <c r="G16" i="25"/>
  <c r="G28" i="25"/>
  <c r="G40" i="25"/>
  <c r="E38" i="35"/>
  <c r="Y44" i="35"/>
  <c r="D774" i="20" s="1"/>
  <c r="Y52" i="35"/>
  <c r="D775" i="20" s="1"/>
  <c r="Y60" i="35"/>
  <c r="D776" i="20" s="1"/>
  <c r="AJ44" i="35"/>
  <c r="D536" i="18" s="1"/>
  <c r="Y36" i="35"/>
  <c r="AJ28" i="35"/>
  <c r="D538" i="18" s="1"/>
  <c r="Y28" i="35"/>
  <c r="D773" i="20" s="1"/>
  <c r="AJ52" i="35"/>
  <c r="D535" i="18" s="1"/>
  <c r="AJ36" i="35"/>
  <c r="D537" i="18" s="1"/>
  <c r="AJ60" i="35"/>
  <c r="D534" i="18" s="1"/>
  <c r="E35" i="35"/>
  <c r="Y57" i="35"/>
  <c r="D751" i="20" s="1"/>
  <c r="Y41" i="35"/>
  <c r="D749" i="20" s="1"/>
  <c r="AJ25" i="35"/>
  <c r="D563" i="18" s="1"/>
  <c r="Y25" i="35"/>
  <c r="D748" i="20" s="1"/>
  <c r="Y49" i="35"/>
  <c r="D750" i="20" s="1"/>
  <c r="AJ33" i="35"/>
  <c r="D562" i="18" s="1"/>
  <c r="AJ49" i="35"/>
  <c r="D560" i="18" s="1"/>
  <c r="AJ57" i="35"/>
  <c r="D559" i="18" s="1"/>
  <c r="AJ41" i="35"/>
  <c r="D561" i="18" s="1"/>
  <c r="Y33" i="35"/>
  <c r="E33" i="35"/>
  <c r="AJ31" i="35"/>
  <c r="D567" i="18" s="1"/>
  <c r="Y31" i="35"/>
  <c r="Y55" i="35"/>
  <c r="D746" i="20" s="1"/>
  <c r="Y47" i="35"/>
  <c r="D745" i="20" s="1"/>
  <c r="Y39" i="35"/>
  <c r="D744" i="20" s="1"/>
  <c r="AJ23" i="35"/>
  <c r="D568" i="18" s="1"/>
  <c r="Y23" i="35"/>
  <c r="D743" i="20" s="1"/>
  <c r="AJ39" i="35"/>
  <c r="D566" i="18" s="1"/>
  <c r="AJ47" i="35"/>
  <c r="D565" i="18" s="1"/>
  <c r="AJ55" i="35"/>
  <c r="D564" i="18" s="1"/>
  <c r="E39" i="35"/>
  <c r="AJ37" i="35"/>
  <c r="D555" i="18" s="1"/>
  <c r="Y53" i="35"/>
  <c r="D759" i="20" s="1"/>
  <c r="Y45" i="35"/>
  <c r="D758" i="20" s="1"/>
  <c r="Y61" i="35"/>
  <c r="D761" i="20" s="1"/>
  <c r="AJ45" i="35"/>
  <c r="D553" i="18" s="1"/>
  <c r="AJ53" i="35"/>
  <c r="D551" i="18" s="1"/>
  <c r="AJ29" i="35"/>
  <c r="D557" i="18" s="1"/>
  <c r="Y37" i="35"/>
  <c r="AJ61" i="35"/>
  <c r="D549" i="18" s="1"/>
  <c r="Y29" i="35"/>
  <c r="D755" i="20" s="1"/>
  <c r="E37" i="35"/>
  <c r="Y43" i="35"/>
  <c r="D779" i="20" s="1"/>
  <c r="Y59" i="35"/>
  <c r="D781" i="20" s="1"/>
  <c r="Y51" i="35"/>
  <c r="D780" i="20" s="1"/>
  <c r="AJ51" i="35"/>
  <c r="D530" i="18" s="1"/>
  <c r="AJ59" i="35"/>
  <c r="D529" i="18" s="1"/>
  <c r="AJ35" i="35"/>
  <c r="D532" i="18" s="1"/>
  <c r="AJ43" i="35"/>
  <c r="D531" i="18" s="1"/>
  <c r="AJ27" i="35"/>
  <c r="D533" i="18" s="1"/>
  <c r="Y35" i="35"/>
  <c r="Y27" i="35"/>
  <c r="D778" i="20" s="1"/>
  <c r="E40" i="35"/>
  <c r="Y54" i="35"/>
  <c r="D770" i="20" s="1"/>
  <c r="Y62" i="35"/>
  <c r="D771" i="20" s="1"/>
  <c r="Y38" i="35"/>
  <c r="AJ46" i="35"/>
  <c r="D541" i="18" s="1"/>
  <c r="AJ38" i="35"/>
  <c r="D542" i="18" s="1"/>
  <c r="Y46" i="35"/>
  <c r="D769" i="20" s="1"/>
  <c r="AJ30" i="35"/>
  <c r="D543" i="18" s="1"/>
  <c r="AJ62" i="35"/>
  <c r="D539" i="18" s="1"/>
  <c r="Y30" i="35"/>
  <c r="D768" i="20" s="1"/>
  <c r="AJ54" i="35"/>
  <c r="D540" i="18" s="1"/>
  <c r="E36" i="35"/>
  <c r="Y58" i="35"/>
  <c r="D766" i="20" s="1"/>
  <c r="AJ34" i="35"/>
  <c r="D547" i="18" s="1"/>
  <c r="Y42" i="35"/>
  <c r="D764" i="20" s="1"/>
  <c r="Y50" i="35"/>
  <c r="D765" i="20" s="1"/>
  <c r="Y26" i="35"/>
  <c r="D763" i="20" s="1"/>
  <c r="Y34" i="35"/>
  <c r="AJ42" i="35"/>
  <c r="D546" i="18" s="1"/>
  <c r="AJ26" i="35"/>
  <c r="D548" i="18" s="1"/>
  <c r="AJ50" i="35"/>
  <c r="D545" i="18" s="1"/>
  <c r="AJ58" i="35"/>
  <c r="D544" i="18" s="1"/>
  <c r="D752" i="20"/>
  <c r="F17" i="30"/>
  <c r="F6" i="30"/>
  <c r="F18" i="30"/>
  <c r="F16" i="30"/>
  <c r="H17" i="30"/>
  <c r="H18" i="30"/>
  <c r="H16" i="30"/>
  <c r="F12" i="30"/>
  <c r="E23" i="35"/>
  <c r="E22" i="35"/>
  <c r="E26" i="35"/>
  <c r="E19" i="35"/>
  <c r="E21" i="35"/>
  <c r="E24" i="35"/>
  <c r="E25" i="35"/>
  <c r="H12" i="35"/>
  <c r="E93" i="26"/>
  <c r="D93" i="26"/>
  <c r="E92" i="26"/>
  <c r="G97" i="26" s="1"/>
  <c r="D92" i="26"/>
  <c r="G96" i="26" s="1"/>
  <c r="H6" i="30"/>
  <c r="H8" i="30"/>
  <c r="H13" i="30"/>
  <c r="H15" i="30"/>
  <c r="F8" i="30"/>
  <c r="H5" i="30"/>
  <c r="H7" i="30"/>
  <c r="F11" i="30"/>
  <c r="H10" i="30"/>
  <c r="F7" i="30"/>
  <c r="H4" i="30"/>
  <c r="F5" i="30"/>
  <c r="F13" i="30"/>
  <c r="H9" i="30"/>
  <c r="F4" i="30"/>
  <c r="F15" i="30"/>
  <c r="H12" i="30"/>
  <c r="H11" i="30"/>
  <c r="F14" i="30"/>
  <c r="F10" i="30"/>
  <c r="H14" i="30"/>
  <c r="L92" i="26"/>
  <c r="F92" i="26"/>
  <c r="G92" i="26"/>
  <c r="H92" i="26"/>
  <c r="I92" i="26"/>
  <c r="J92" i="26"/>
  <c r="K92" i="26"/>
  <c r="L93" i="26"/>
  <c r="F93" i="26"/>
  <c r="G93" i="26"/>
  <c r="H93" i="26"/>
  <c r="I93" i="26"/>
  <c r="J93" i="26"/>
  <c r="L91" i="26"/>
  <c r="D104" i="26" s="1"/>
  <c r="G91" i="26"/>
  <c r="D99" i="26" s="1"/>
  <c r="H91" i="26"/>
  <c r="D100" i="26" s="1"/>
  <c r="I91" i="26"/>
  <c r="D101" i="26" s="1"/>
  <c r="J91" i="26"/>
  <c r="D102" i="26" s="1"/>
  <c r="K91" i="26"/>
  <c r="D103" i="26" s="1"/>
  <c r="D742" i="20" l="1"/>
  <c r="D747" i="20"/>
  <c r="D767" i="20"/>
  <c r="D762" i="20"/>
  <c r="D777" i="20"/>
  <c r="D772" i="20"/>
  <c r="D753" i="20"/>
  <c r="G102" i="26"/>
  <c r="J102" i="26"/>
  <c r="G101" i="26"/>
  <c r="J97" i="26"/>
  <c r="J101" i="26"/>
  <c r="G100" i="26"/>
  <c r="G103" i="26"/>
  <c r="J100" i="26"/>
  <c r="G99" i="26"/>
  <c r="J99" i="26"/>
  <c r="G98" i="26"/>
  <c r="J98" i="26"/>
  <c r="G104" i="26"/>
  <c r="J104" i="26"/>
  <c r="J96" i="26"/>
  <c r="K741" i="20" l="1"/>
  <c r="K730" i="20"/>
  <c r="K733" i="20"/>
  <c r="K736" i="20"/>
  <c r="K737" i="20"/>
  <c r="K734" i="20"/>
  <c r="K739" i="20"/>
  <c r="K740" i="20"/>
  <c r="K735" i="20"/>
  <c r="K738" i="20"/>
  <c r="D18" i="22"/>
  <c r="D46" i="22" s="1"/>
  <c r="E18" i="22"/>
  <c r="E46" i="22" s="1"/>
  <c r="F18" i="22"/>
  <c r="F46" i="22" s="1"/>
  <c r="G18" i="22"/>
  <c r="G46" i="22" s="1"/>
  <c r="H18" i="22"/>
  <c r="H46" i="22" s="1"/>
  <c r="I18" i="22"/>
  <c r="I46" i="22" s="1"/>
  <c r="J18" i="22"/>
  <c r="J46" i="22" s="1"/>
  <c r="K18" i="22"/>
  <c r="K46" i="22" s="1"/>
  <c r="L18" i="22"/>
  <c r="L46" i="22" s="1"/>
  <c r="M18" i="22"/>
  <c r="M46" i="22" s="1"/>
  <c r="N18" i="22"/>
  <c r="N46" i="22" s="1"/>
  <c r="O18" i="22"/>
  <c r="O46" i="22" s="1"/>
  <c r="P18" i="22"/>
  <c r="P46" i="22" s="1"/>
  <c r="Q18" i="22"/>
  <c r="Q46" i="22" s="1"/>
  <c r="D19" i="22"/>
  <c r="D47" i="22" s="1"/>
  <c r="E19" i="22"/>
  <c r="E47" i="22" s="1"/>
  <c r="F19" i="22"/>
  <c r="F47" i="22" s="1"/>
  <c r="G19" i="22"/>
  <c r="G47" i="22" s="1"/>
  <c r="H19" i="22"/>
  <c r="H47" i="22" s="1"/>
  <c r="I19" i="22"/>
  <c r="I47" i="22" s="1"/>
  <c r="J19" i="22"/>
  <c r="J47" i="22" s="1"/>
  <c r="K19" i="22"/>
  <c r="K47" i="22" s="1"/>
  <c r="L19" i="22"/>
  <c r="L47" i="22" s="1"/>
  <c r="M19" i="22"/>
  <c r="M47" i="22" s="1"/>
  <c r="N19" i="22"/>
  <c r="N47" i="22" s="1"/>
  <c r="O19" i="22"/>
  <c r="O47" i="22" s="1"/>
  <c r="P19" i="22"/>
  <c r="P47" i="22" s="1"/>
  <c r="Q19" i="22"/>
  <c r="Q47" i="22" s="1"/>
  <c r="D20" i="22"/>
  <c r="D48" i="22" s="1"/>
  <c r="E20" i="22"/>
  <c r="E48" i="22" s="1"/>
  <c r="F20" i="22"/>
  <c r="F48" i="22" s="1"/>
  <c r="G20" i="22"/>
  <c r="G48" i="22" s="1"/>
  <c r="H20" i="22"/>
  <c r="H48" i="22" s="1"/>
  <c r="I20" i="22"/>
  <c r="I48" i="22" s="1"/>
  <c r="J20" i="22"/>
  <c r="J48" i="22" s="1"/>
  <c r="K20" i="22"/>
  <c r="K48" i="22" s="1"/>
  <c r="L20" i="22"/>
  <c r="L48" i="22" s="1"/>
  <c r="M20" i="22"/>
  <c r="M48" i="22" s="1"/>
  <c r="N20" i="22"/>
  <c r="N48" i="22" s="1"/>
  <c r="O20" i="22"/>
  <c r="O48" i="22" s="1"/>
  <c r="P20" i="22"/>
  <c r="P48" i="22" s="1"/>
  <c r="Q20" i="22"/>
  <c r="Q48" i="22" s="1"/>
  <c r="D21" i="22"/>
  <c r="D49" i="22" s="1"/>
  <c r="E21" i="22"/>
  <c r="E49" i="22" s="1"/>
  <c r="F21" i="22"/>
  <c r="F49" i="22" s="1"/>
  <c r="G21" i="22"/>
  <c r="G49" i="22" s="1"/>
  <c r="H21" i="22"/>
  <c r="H49" i="22" s="1"/>
  <c r="I21" i="22"/>
  <c r="I49" i="22" s="1"/>
  <c r="J21" i="22"/>
  <c r="J49" i="22" s="1"/>
  <c r="K21" i="22"/>
  <c r="K49" i="22" s="1"/>
  <c r="L21" i="22"/>
  <c r="L49" i="22" s="1"/>
  <c r="M21" i="22"/>
  <c r="M49" i="22" s="1"/>
  <c r="N21" i="22"/>
  <c r="N49" i="22" s="1"/>
  <c r="O21" i="22"/>
  <c r="O49" i="22" s="1"/>
  <c r="P21" i="22"/>
  <c r="P49" i="22" s="1"/>
  <c r="Q21" i="22"/>
  <c r="Q49" i="22" s="1"/>
  <c r="D22" i="22"/>
  <c r="E22" i="22"/>
  <c r="F22" i="22"/>
  <c r="G22" i="22"/>
  <c r="H22" i="22"/>
  <c r="I22" i="22"/>
  <c r="J22" i="22"/>
  <c r="K22" i="22"/>
  <c r="L22" i="22"/>
  <c r="M22" i="22"/>
  <c r="N22" i="22"/>
  <c r="O22" i="22"/>
  <c r="P22" i="22"/>
  <c r="Q22" i="22"/>
  <c r="D23" i="22"/>
  <c r="E23" i="22"/>
  <c r="F23" i="22"/>
  <c r="G23" i="22"/>
  <c r="H23" i="22"/>
  <c r="I23" i="22"/>
  <c r="J23" i="22"/>
  <c r="K23" i="22"/>
  <c r="L23" i="22"/>
  <c r="M23" i="22"/>
  <c r="N23" i="22"/>
  <c r="O23" i="22"/>
  <c r="P23" i="22"/>
  <c r="Q23" i="22"/>
  <c r="D24" i="22"/>
  <c r="E24" i="22"/>
  <c r="F24" i="22"/>
  <c r="G24" i="22"/>
  <c r="H24" i="22"/>
  <c r="I24" i="22"/>
  <c r="J24" i="22"/>
  <c r="K24" i="22"/>
  <c r="L24" i="22"/>
  <c r="M24" i="22"/>
  <c r="N24" i="22"/>
  <c r="O24" i="22"/>
  <c r="P24" i="22"/>
  <c r="Q24" i="22"/>
  <c r="D25" i="22"/>
  <c r="D53" i="22" s="1"/>
  <c r="E25" i="22"/>
  <c r="E53" i="22" s="1"/>
  <c r="F25" i="22"/>
  <c r="F53" i="22" s="1"/>
  <c r="G25" i="22"/>
  <c r="G53" i="22" s="1"/>
  <c r="H25" i="22"/>
  <c r="H53" i="22" s="1"/>
  <c r="I25" i="22"/>
  <c r="I53" i="22" s="1"/>
  <c r="J25" i="22"/>
  <c r="J53" i="22" s="1"/>
  <c r="K25" i="22"/>
  <c r="K53" i="22" s="1"/>
  <c r="L25" i="22"/>
  <c r="L53" i="22" s="1"/>
  <c r="M25" i="22"/>
  <c r="M53" i="22" s="1"/>
  <c r="N25" i="22"/>
  <c r="N53" i="22" s="1"/>
  <c r="O25" i="22"/>
  <c r="O53" i="22" s="1"/>
  <c r="P25" i="22"/>
  <c r="P53" i="22" s="1"/>
  <c r="Q25" i="22"/>
  <c r="Q53" i="22" s="1"/>
  <c r="D26" i="22"/>
  <c r="D54" i="22" s="1"/>
  <c r="E26" i="22"/>
  <c r="E54" i="22" s="1"/>
  <c r="F26" i="22"/>
  <c r="F103" i="22" s="1"/>
  <c r="G26" i="22"/>
  <c r="G103" i="22" s="1"/>
  <c r="H26" i="22"/>
  <c r="H103" i="22" s="1"/>
  <c r="I26" i="22"/>
  <c r="I103" i="22" s="1"/>
  <c r="J26" i="22"/>
  <c r="J103" i="22" s="1"/>
  <c r="K26" i="22"/>
  <c r="K103" i="22" s="1"/>
  <c r="L26" i="22"/>
  <c r="L54" i="22" s="1"/>
  <c r="M26" i="22"/>
  <c r="M54" i="22" s="1"/>
  <c r="N26" i="22"/>
  <c r="N103" i="22" s="1"/>
  <c r="O26" i="22"/>
  <c r="O103" i="22" s="1"/>
  <c r="P26" i="22"/>
  <c r="P103" i="22" s="1"/>
  <c r="Q26" i="22"/>
  <c r="Q103" i="22" s="1"/>
  <c r="J65" i="22"/>
  <c r="E79" i="22" s="1"/>
  <c r="J63" i="22"/>
  <c r="E73" i="22" s="1"/>
  <c r="J61" i="22"/>
  <c r="E96" i="22" l="1"/>
  <c r="C229" i="38"/>
  <c r="D71" i="22"/>
  <c r="D70" i="22"/>
  <c r="E74" i="22"/>
  <c r="D72" i="22"/>
  <c r="D102" i="22"/>
  <c r="J54" i="22"/>
  <c r="L103" i="22"/>
  <c r="D103" i="22"/>
  <c r="J102" i="22"/>
  <c r="K54" i="22"/>
  <c r="M103" i="22"/>
  <c r="E103" i="22"/>
  <c r="K102" i="22"/>
  <c r="Q54" i="22"/>
  <c r="I54" i="22"/>
  <c r="Q102" i="22"/>
  <c r="I102" i="22"/>
  <c r="P54" i="22"/>
  <c r="H54" i="22"/>
  <c r="P102" i="22"/>
  <c r="H102" i="22"/>
  <c r="O54" i="22"/>
  <c r="G54" i="22"/>
  <c r="O102" i="22"/>
  <c r="G102" i="22"/>
  <c r="N54" i="22"/>
  <c r="F54" i="22"/>
  <c r="N102" i="22"/>
  <c r="F102" i="22"/>
  <c r="M102" i="22"/>
  <c r="E102" i="22"/>
  <c r="L102" i="22"/>
  <c r="E71" i="22"/>
  <c r="E72" i="22"/>
  <c r="C228" i="38" s="1"/>
  <c r="D74" i="22"/>
  <c r="F77" i="22"/>
  <c r="F72" i="22"/>
  <c r="F73" i="22"/>
  <c r="F70" i="22"/>
  <c r="F75" i="22"/>
  <c r="D73" i="22"/>
  <c r="E70" i="22"/>
  <c r="E75" i="22"/>
  <c r="C231" i="38" s="1"/>
  <c r="D77" i="22"/>
  <c r="F71" i="22"/>
  <c r="D75" i="22"/>
  <c r="F74" i="22"/>
  <c r="Q97" i="22" l="1"/>
  <c r="C230" i="38"/>
  <c r="C232" i="38" s="1"/>
  <c r="E97" i="22"/>
  <c r="P97" i="22"/>
  <c r="G97" i="22"/>
  <c r="O97" i="22"/>
  <c r="F97" i="22"/>
  <c r="K97" i="22"/>
  <c r="N97" i="22"/>
  <c r="J97" i="22"/>
  <c r="M97" i="22"/>
  <c r="D97" i="22"/>
  <c r="I97" i="22"/>
  <c r="H97" i="22"/>
  <c r="L97" i="22"/>
  <c r="D98" i="22"/>
  <c r="L98" i="22"/>
  <c r="E98" i="22"/>
  <c r="M98" i="22"/>
  <c r="F98" i="22"/>
  <c r="N98" i="22"/>
  <c r="G98" i="22"/>
  <c r="O98" i="22"/>
  <c r="H98" i="22"/>
  <c r="P98" i="22"/>
  <c r="I98" i="22"/>
  <c r="Q98" i="22"/>
  <c r="K98" i="22"/>
  <c r="J98" i="22"/>
  <c r="H96" i="22"/>
  <c r="P96" i="22"/>
  <c r="I96" i="22"/>
  <c r="Q96" i="22"/>
  <c r="J96" i="22"/>
  <c r="F96" i="22"/>
  <c r="K96" i="22"/>
  <c r="N96" i="22"/>
  <c r="D96" i="22"/>
  <c r="L96" i="22"/>
  <c r="M96" i="22"/>
  <c r="G96" i="22"/>
  <c r="O96" i="22"/>
  <c r="F95" i="22"/>
  <c r="N95" i="22"/>
  <c r="G95" i="22"/>
  <c r="O95" i="22"/>
  <c r="H95" i="22"/>
  <c r="P95" i="22"/>
  <c r="I95" i="22"/>
  <c r="Q95" i="22"/>
  <c r="J95" i="22"/>
  <c r="L95" i="22"/>
  <c r="K95" i="22"/>
  <c r="D95" i="22"/>
  <c r="E95" i="22"/>
  <c r="M95" i="22"/>
  <c r="E24" i="38" l="1"/>
  <c r="E22" i="38"/>
  <c r="E25" i="38"/>
  <c r="N188" i="38"/>
  <c r="E23" i="38"/>
  <c r="P4" i="22"/>
  <c r="N4" i="22"/>
  <c r="J4" i="22"/>
  <c r="F13" i="47" l="1"/>
  <c r="F36" i="47"/>
  <c r="F9" i="47"/>
  <c r="F35" i="47"/>
  <c r="F24" i="47"/>
  <c r="F16" i="47"/>
  <c r="F20" i="47"/>
  <c r="F7" i="47"/>
  <c r="F18" i="47"/>
  <c r="F17" i="47"/>
  <c r="F39" i="47"/>
  <c r="F11" i="47"/>
  <c r="F3" i="47"/>
  <c r="F10" i="47"/>
  <c r="F2" i="47"/>
  <c r="F25" i="47"/>
  <c r="F30" i="47"/>
  <c r="F4" i="47"/>
  <c r="F29" i="47"/>
  <c r="F38" i="47"/>
  <c r="F26" i="47"/>
  <c r="F34" i="47"/>
  <c r="F14" i="47"/>
  <c r="F23" i="47"/>
  <c r="F12" i="47"/>
  <c r="F21" i="47"/>
  <c r="F37" i="47"/>
  <c r="F33" i="47"/>
  <c r="F6" i="47"/>
  <c r="F19" i="47"/>
  <c r="F28" i="47"/>
  <c r="F5" i="47"/>
  <c r="F8" i="47"/>
  <c r="F22" i="47"/>
  <c r="F40" i="47"/>
  <c r="F32" i="47"/>
  <c r="F31" i="47"/>
  <c r="F27" i="47"/>
  <c r="F15" i="47"/>
  <c r="O188" i="38"/>
  <c r="V184" i="38" s="1"/>
  <c r="N191" i="38"/>
  <c r="F56" i="47"/>
  <c r="F60" i="47"/>
  <c r="F75" i="47"/>
  <c r="F45" i="47"/>
  <c r="F59" i="47"/>
  <c r="F41" i="47"/>
  <c r="F72" i="47"/>
  <c r="F46" i="47"/>
  <c r="F73" i="47"/>
  <c r="F52" i="47"/>
  <c r="F44" i="47"/>
  <c r="F48" i="47"/>
  <c r="F74" i="47"/>
  <c r="F66" i="47"/>
  <c r="F43" i="47"/>
  <c r="F62" i="47"/>
  <c r="F54" i="47"/>
  <c r="F51" i="47"/>
  <c r="F61" i="47"/>
  <c r="F82" i="47"/>
  <c r="F70" i="47"/>
  <c r="F50" i="47"/>
  <c r="F78" i="47"/>
  <c r="F64" i="47"/>
  <c r="F76" i="47"/>
  <c r="F47" i="47"/>
  <c r="F67" i="47"/>
  <c r="F57" i="47"/>
  <c r="F71" i="47"/>
  <c r="F53" i="47"/>
  <c r="F69" i="47"/>
  <c r="F63" i="47"/>
  <c r="F79" i="47"/>
  <c r="F81" i="47"/>
  <c r="F42" i="47"/>
  <c r="F77" i="47"/>
  <c r="F49" i="47"/>
  <c r="F68" i="47"/>
  <c r="F55" i="47"/>
  <c r="F80" i="47"/>
  <c r="F65" i="47"/>
  <c r="F58" i="47"/>
  <c r="E11" i="47"/>
  <c r="E3" i="47"/>
  <c r="E29" i="47"/>
  <c r="E2" i="47"/>
  <c r="E27" i="47"/>
  <c r="E12" i="47"/>
  <c r="E13" i="47"/>
  <c r="E7" i="47"/>
  <c r="E9" i="47"/>
  <c r="E30" i="47"/>
  <c r="E39" i="47"/>
  <c r="E38" i="47"/>
  <c r="E33" i="47"/>
  <c r="E23" i="47"/>
  <c r="E25" i="47"/>
  <c r="E40" i="47"/>
  <c r="E14" i="47"/>
  <c r="E19" i="47"/>
  <c r="E4" i="47"/>
  <c r="E21" i="47"/>
  <c r="E32" i="47"/>
  <c r="E31" i="47"/>
  <c r="E20" i="47"/>
  <c r="E22" i="47"/>
  <c r="E16" i="47"/>
  <c r="E5" i="47"/>
  <c r="E15" i="47"/>
  <c r="E34" i="47"/>
  <c r="E10" i="47"/>
  <c r="E17" i="47"/>
  <c r="E6" i="47"/>
  <c r="E35" i="47"/>
  <c r="E24" i="47"/>
  <c r="E36" i="47"/>
  <c r="E18" i="47"/>
  <c r="E28" i="47"/>
  <c r="E37" i="47"/>
  <c r="E26" i="47"/>
  <c r="E8" i="47"/>
  <c r="E82" i="47"/>
  <c r="E81" i="47"/>
  <c r="E59" i="47"/>
  <c r="E61" i="47"/>
  <c r="E42" i="47"/>
  <c r="E43" i="47"/>
  <c r="E67" i="47"/>
  <c r="E56" i="47"/>
  <c r="E66" i="47"/>
  <c r="E77" i="47"/>
  <c r="E63" i="47"/>
  <c r="E45" i="47"/>
  <c r="E72" i="47"/>
  <c r="E44" i="47"/>
  <c r="E74" i="47"/>
  <c r="E73" i="47"/>
  <c r="E64" i="47"/>
  <c r="E79" i="47"/>
  <c r="E60" i="47"/>
  <c r="E54" i="47"/>
  <c r="E51" i="47"/>
  <c r="E50" i="47"/>
  <c r="E75" i="47"/>
  <c r="E68" i="47"/>
  <c r="E76" i="47"/>
  <c r="E69" i="47"/>
  <c r="E65" i="47"/>
  <c r="E58" i="47"/>
  <c r="E80" i="47"/>
  <c r="E47" i="47"/>
  <c r="E41" i="47"/>
  <c r="E78" i="47"/>
  <c r="E70" i="47"/>
  <c r="E57" i="47"/>
  <c r="E53" i="47"/>
  <c r="E62" i="47"/>
  <c r="E49" i="47"/>
  <c r="E48" i="47"/>
  <c r="E52" i="47"/>
  <c r="E55" i="47"/>
  <c r="E46" i="47"/>
  <c r="E71" i="47"/>
  <c r="E16" i="22"/>
  <c r="N17" i="22"/>
  <c r="N45" i="22" s="1"/>
  <c r="M16" i="22"/>
  <c r="F16" i="22"/>
  <c r="G16" i="22"/>
  <c r="O16" i="22"/>
  <c r="H16" i="22"/>
  <c r="I16" i="22"/>
  <c r="J16" i="22"/>
  <c r="D16" i="22"/>
  <c r="L16" i="22"/>
  <c r="K16" i="22"/>
  <c r="P17" i="22"/>
  <c r="L17" i="22"/>
  <c r="H17" i="22"/>
  <c r="I17" i="22"/>
  <c r="Q17" i="22"/>
  <c r="J17" i="22"/>
  <c r="K17" i="22"/>
  <c r="D17" i="22"/>
  <c r="F17" i="22"/>
  <c r="E17" i="22"/>
  <c r="M17" i="22"/>
  <c r="G17" i="22"/>
  <c r="O17" i="22"/>
  <c r="N16" i="22"/>
  <c r="Q16" i="22"/>
  <c r="P16" i="22"/>
  <c r="D39" i="22"/>
  <c r="D79" i="22" s="1"/>
  <c r="F39" i="22"/>
  <c r="F79" i="22" s="1"/>
  <c r="F38" i="22"/>
  <c r="F78" i="22" s="1"/>
  <c r="D38" i="22"/>
  <c r="D78" i="22" s="1"/>
  <c r="E37" i="22"/>
  <c r="E36" i="22"/>
  <c r="N94" i="22" l="1"/>
  <c r="D45" i="22"/>
  <c r="D94" i="22"/>
  <c r="K44" i="22"/>
  <c r="K93" i="22"/>
  <c r="Q44" i="22"/>
  <c r="Q93" i="22"/>
  <c r="M44" i="22"/>
  <c r="M93" i="22"/>
  <c r="G45" i="22"/>
  <c r="G94" i="22"/>
  <c r="I45" i="22"/>
  <c r="I94" i="22"/>
  <c r="I44" i="22"/>
  <c r="I93" i="22"/>
  <c r="K45" i="22"/>
  <c r="K94" i="22"/>
  <c r="L44" i="22"/>
  <c r="L93" i="22"/>
  <c r="N44" i="22"/>
  <c r="N93" i="22"/>
  <c r="D44" i="22"/>
  <c r="D93" i="22"/>
  <c r="O45" i="22"/>
  <c r="O94" i="22"/>
  <c r="J44" i="22"/>
  <c r="J93" i="22"/>
  <c r="M45" i="22"/>
  <c r="M94" i="22"/>
  <c r="H44" i="22"/>
  <c r="H93" i="22"/>
  <c r="E45" i="22"/>
  <c r="E94" i="22"/>
  <c r="O44" i="22"/>
  <c r="O93" i="22"/>
  <c r="F44" i="22"/>
  <c r="F93" i="22"/>
  <c r="J45" i="22"/>
  <c r="J94" i="22"/>
  <c r="E44" i="22"/>
  <c r="E93" i="22"/>
  <c r="Q45" i="22"/>
  <c r="Q94" i="22"/>
  <c r="H45" i="22"/>
  <c r="H94" i="22"/>
  <c r="E76" i="22"/>
  <c r="D50" i="22"/>
  <c r="L50" i="22"/>
  <c r="E50" i="22"/>
  <c r="M50" i="22"/>
  <c r="J50" i="22"/>
  <c r="F50" i="22"/>
  <c r="N50" i="22"/>
  <c r="G50" i="22"/>
  <c r="O50" i="22"/>
  <c r="H50" i="22"/>
  <c r="P50" i="22"/>
  <c r="I50" i="22"/>
  <c r="Q50" i="22"/>
  <c r="K50" i="22"/>
  <c r="P44" i="22"/>
  <c r="P93" i="22"/>
  <c r="L45" i="22"/>
  <c r="L94" i="22"/>
  <c r="E77" i="22"/>
  <c r="F51" i="22"/>
  <c r="N51" i="22"/>
  <c r="G51" i="22"/>
  <c r="O51" i="22"/>
  <c r="H51" i="22"/>
  <c r="P51" i="22"/>
  <c r="L51" i="22"/>
  <c r="I51" i="22"/>
  <c r="Q51" i="22"/>
  <c r="D51" i="22"/>
  <c r="J51" i="22"/>
  <c r="K51" i="22"/>
  <c r="E51" i="22"/>
  <c r="M51" i="22"/>
  <c r="F45" i="22"/>
  <c r="F94" i="22"/>
  <c r="P45" i="22"/>
  <c r="P94" i="22"/>
  <c r="G44" i="22"/>
  <c r="G93" i="22"/>
  <c r="F36" i="22"/>
  <c r="F76" i="22" s="1"/>
  <c r="F81" i="22" s="1"/>
  <c r="D36" i="22"/>
  <c r="D76" i="22" s="1"/>
  <c r="D81" i="22" s="1"/>
  <c r="E38" i="22"/>
  <c r="H100" i="22" l="1"/>
  <c r="P100" i="22"/>
  <c r="I100" i="22"/>
  <c r="Q100" i="22"/>
  <c r="J100" i="22"/>
  <c r="N100" i="22"/>
  <c r="K100" i="22"/>
  <c r="F100" i="22"/>
  <c r="D100" i="22"/>
  <c r="L100" i="22"/>
  <c r="E100" i="22"/>
  <c r="M100" i="22"/>
  <c r="G100" i="22"/>
  <c r="O100" i="22"/>
  <c r="E78" i="22"/>
  <c r="E81" i="22" s="1"/>
  <c r="H52" i="22"/>
  <c r="H55" i="22" s="1"/>
  <c r="H57" i="22" s="1"/>
  <c r="D516" i="18" s="1"/>
  <c r="P52" i="22"/>
  <c r="P55" i="22" s="1"/>
  <c r="P57" i="22" s="1"/>
  <c r="D523" i="18" s="1"/>
  <c r="I52" i="22"/>
  <c r="I55" i="22" s="1"/>
  <c r="I57" i="22" s="1"/>
  <c r="D522" i="18" s="1"/>
  <c r="Q52" i="22"/>
  <c r="Q55" i="22" s="1"/>
  <c r="Q57" i="22" s="1"/>
  <c r="D526" i="18" s="1"/>
  <c r="N52" i="22"/>
  <c r="N55" i="22" s="1"/>
  <c r="N57" i="22" s="1"/>
  <c r="D524" i="18" s="1"/>
  <c r="J52" i="22"/>
  <c r="J55" i="22" s="1"/>
  <c r="J57" i="22" s="1"/>
  <c r="D519" i="18" s="1"/>
  <c r="K52" i="22"/>
  <c r="K55" i="22" s="1"/>
  <c r="K57" i="22" s="1"/>
  <c r="D528" i="18" s="1"/>
  <c r="D52" i="22"/>
  <c r="D55" i="22" s="1"/>
  <c r="D57" i="22" s="1"/>
  <c r="D521" i="18" s="1"/>
  <c r="L52" i="22"/>
  <c r="L55" i="22" s="1"/>
  <c r="L57" i="22" s="1"/>
  <c r="D527" i="18" s="1"/>
  <c r="E52" i="22"/>
  <c r="E55" i="22" s="1"/>
  <c r="E57" i="22" s="1"/>
  <c r="D525" i="18" s="1"/>
  <c r="M52" i="22"/>
  <c r="M55" i="22" s="1"/>
  <c r="M57" i="22" s="1"/>
  <c r="D517" i="18" s="1"/>
  <c r="G52" i="22"/>
  <c r="G55" i="22" s="1"/>
  <c r="G57" i="22" s="1"/>
  <c r="D515" i="18" s="1"/>
  <c r="O52" i="22"/>
  <c r="O55" i="22" s="1"/>
  <c r="O57" i="22" s="1"/>
  <c r="D518" i="18" s="1"/>
  <c r="F52" i="22"/>
  <c r="F55" i="22" s="1"/>
  <c r="F57" i="22" s="1"/>
  <c r="D520" i="18" s="1"/>
  <c r="F99" i="22"/>
  <c r="N99" i="22"/>
  <c r="G99" i="22"/>
  <c r="O99" i="22"/>
  <c r="D99" i="22"/>
  <c r="H99" i="22"/>
  <c r="P99" i="22"/>
  <c r="I99" i="22"/>
  <c r="Q99" i="22"/>
  <c r="J99" i="22"/>
  <c r="K99" i="22"/>
  <c r="L99" i="22"/>
  <c r="E99" i="22"/>
  <c r="M99" i="22"/>
  <c r="F41" i="22"/>
  <c r="D41" i="22"/>
  <c r="E41" i="22"/>
  <c r="J101" i="22" l="1"/>
  <c r="J104" i="22" s="1"/>
  <c r="J106" i="22" s="1"/>
  <c r="D741" i="20" s="1"/>
  <c r="K101" i="22"/>
  <c r="K104" i="22" s="1"/>
  <c r="K106" i="22" s="1"/>
  <c r="D730" i="20" s="1"/>
  <c r="D101" i="22"/>
  <c r="L101" i="22"/>
  <c r="L104" i="22" s="1"/>
  <c r="L106" i="22" s="1"/>
  <c r="D733" i="20" s="1"/>
  <c r="E101" i="22"/>
  <c r="E104" i="22" s="1"/>
  <c r="E106" i="22" s="1"/>
  <c r="D735" i="20" s="1"/>
  <c r="M101" i="22"/>
  <c r="M104" i="22" s="1"/>
  <c r="M106" i="22" s="1"/>
  <c r="F101" i="22"/>
  <c r="F104" i="22" s="1"/>
  <c r="F106" i="22" s="1"/>
  <c r="D740" i="20" s="1"/>
  <c r="N101" i="22"/>
  <c r="N104" i="22" s="1"/>
  <c r="N106" i="22" s="1"/>
  <c r="D736" i="20" s="1"/>
  <c r="P101" i="22"/>
  <c r="P104" i="22" s="1"/>
  <c r="P106" i="22" s="1"/>
  <c r="D737" i="20" s="1"/>
  <c r="G101" i="22"/>
  <c r="G104" i="22" s="1"/>
  <c r="G106" i="22" s="1"/>
  <c r="O101" i="22"/>
  <c r="O104" i="22" s="1"/>
  <c r="O106" i="22" s="1"/>
  <c r="I101" i="22"/>
  <c r="I104" i="22" s="1"/>
  <c r="I106" i="22" s="1"/>
  <c r="D739" i="20" s="1"/>
  <c r="Q101" i="22"/>
  <c r="Q104" i="22" s="1"/>
  <c r="Q106" i="22" s="1"/>
  <c r="D734" i="20" s="1"/>
  <c r="H101" i="22"/>
  <c r="H104" i="22" s="1"/>
  <c r="H106" i="22" s="1"/>
  <c r="O120" i="22" l="1"/>
  <c r="O116" i="22"/>
  <c r="O118" i="22"/>
  <c r="O114" i="22"/>
  <c r="O123" i="22"/>
  <c r="O119" i="22"/>
  <c r="O115" i="22"/>
  <c r="O122" i="22"/>
  <c r="O113" i="22"/>
  <c r="O121" i="22"/>
  <c r="R137" i="22" s="1"/>
  <c r="E329" i="19" s="1"/>
  <c r="O117" i="22"/>
  <c r="G117" i="22"/>
  <c r="G116" i="22"/>
  <c r="G118" i="22"/>
  <c r="G119" i="22"/>
  <c r="G120" i="22"/>
  <c r="G122" i="22"/>
  <c r="G113" i="22"/>
  <c r="G121" i="22"/>
  <c r="G114" i="22"/>
  <c r="G115" i="22"/>
  <c r="G123" i="22"/>
  <c r="N121" i="22"/>
  <c r="N117" i="22"/>
  <c r="N113" i="22"/>
  <c r="N120" i="22"/>
  <c r="N116" i="22"/>
  <c r="N123" i="22"/>
  <c r="N119" i="22"/>
  <c r="N115" i="22"/>
  <c r="N122" i="22"/>
  <c r="N118" i="22"/>
  <c r="N114" i="22"/>
  <c r="I123" i="22"/>
  <c r="I119" i="22"/>
  <c r="I115" i="22"/>
  <c r="I121" i="22"/>
  <c r="R131" i="22" s="1"/>
  <c r="E323" i="19" s="1"/>
  <c r="I113" i="22"/>
  <c r="I122" i="22"/>
  <c r="I118" i="22"/>
  <c r="I114" i="22"/>
  <c r="I117" i="22"/>
  <c r="I116" i="22"/>
  <c r="I120" i="22"/>
  <c r="F120" i="22"/>
  <c r="F113" i="22"/>
  <c r="F121" i="22"/>
  <c r="F117" i="22"/>
  <c r="F114" i="22"/>
  <c r="F122" i="22"/>
  <c r="F119" i="22"/>
  <c r="F115" i="22"/>
  <c r="F123" i="22"/>
  <c r="F116" i="22"/>
  <c r="F118" i="22"/>
  <c r="R123" i="22"/>
  <c r="R119" i="22"/>
  <c r="R115" i="22"/>
  <c r="R122" i="22"/>
  <c r="R118" i="22"/>
  <c r="R114" i="22"/>
  <c r="R121" i="22"/>
  <c r="R117" i="22"/>
  <c r="R113" i="22"/>
  <c r="R120" i="22"/>
  <c r="R116" i="22"/>
  <c r="J123" i="22"/>
  <c r="J119" i="22"/>
  <c r="J115" i="22"/>
  <c r="J122" i="22"/>
  <c r="J118" i="22"/>
  <c r="J114" i="22"/>
  <c r="J121" i="22"/>
  <c r="J117" i="22"/>
  <c r="J113" i="22"/>
  <c r="J120" i="22"/>
  <c r="J116" i="22"/>
  <c r="M119" i="22"/>
  <c r="M121" i="22"/>
  <c r="M117" i="22"/>
  <c r="M113" i="22"/>
  <c r="M115" i="22"/>
  <c r="M118" i="22"/>
  <c r="M120" i="22"/>
  <c r="M116" i="22"/>
  <c r="M123" i="22"/>
  <c r="M122" i="22"/>
  <c r="M114" i="22"/>
  <c r="P120" i="22"/>
  <c r="P116" i="22"/>
  <c r="P123" i="22"/>
  <c r="P119" i="22"/>
  <c r="P115" i="22"/>
  <c r="P122" i="22"/>
  <c r="P118" i="22"/>
  <c r="P114" i="22"/>
  <c r="P121" i="22"/>
  <c r="R138" i="22" s="1"/>
  <c r="E330" i="19" s="1"/>
  <c r="P117" i="22"/>
  <c r="P113" i="22"/>
  <c r="H115" i="22"/>
  <c r="F130" i="22" s="1"/>
  <c r="E208" i="19" s="1"/>
  <c r="H123" i="22"/>
  <c r="H116" i="22"/>
  <c r="H113" i="22"/>
  <c r="H117" i="22"/>
  <c r="H120" i="22"/>
  <c r="H118" i="22"/>
  <c r="H122" i="22"/>
  <c r="H119" i="22"/>
  <c r="H121" i="22"/>
  <c r="R130" i="22" s="1"/>
  <c r="E322" i="19" s="1"/>
  <c r="H114" i="22"/>
  <c r="L122" i="22"/>
  <c r="L118" i="22"/>
  <c r="L114" i="22"/>
  <c r="L121" i="22"/>
  <c r="L117" i="22"/>
  <c r="L113" i="22"/>
  <c r="L120" i="22"/>
  <c r="L116" i="22"/>
  <c r="L123" i="22"/>
  <c r="L119" i="22"/>
  <c r="L115" i="22"/>
  <c r="Q117" i="22"/>
  <c r="Q113" i="22"/>
  <c r="Q123" i="22"/>
  <c r="Q119" i="22"/>
  <c r="Q115" i="22"/>
  <c r="Q121" i="22"/>
  <c r="R139" i="22" s="1"/>
  <c r="E331" i="19" s="1"/>
  <c r="Q122" i="22"/>
  <c r="Q118" i="22"/>
  <c r="Q114" i="22"/>
  <c r="Q116" i="22"/>
  <c r="Q120" i="22"/>
  <c r="K120" i="22"/>
  <c r="K119" i="22"/>
  <c r="K122" i="22"/>
  <c r="K118" i="22"/>
  <c r="K114" i="22"/>
  <c r="K115" i="22"/>
  <c r="K121" i="22"/>
  <c r="K117" i="22"/>
  <c r="K113" i="22"/>
  <c r="K116" i="22"/>
  <c r="K123" i="22"/>
  <c r="D104" i="22"/>
  <c r="D106" i="22" s="1"/>
  <c r="D738" i="20" s="1"/>
  <c r="E115" i="22" l="1"/>
  <c r="F127" i="22" s="1"/>
  <c r="E205" i="19" s="1"/>
  <c r="E123" i="22"/>
  <c r="V127" i="22" s="1"/>
  <c r="E413" i="19" s="1"/>
  <c r="E120" i="22"/>
  <c r="P127" i="22" s="1"/>
  <c r="E486" i="19" s="1"/>
  <c r="E116" i="22"/>
  <c r="H127" i="22" s="1"/>
  <c r="E305" i="19" s="1"/>
  <c r="E122" i="22"/>
  <c r="T127" i="22" s="1"/>
  <c r="E553" i="19" s="1"/>
  <c r="E117" i="22"/>
  <c r="J127" i="22" s="1"/>
  <c r="E696" i="19" s="1"/>
  <c r="E118" i="22"/>
  <c r="L127" i="22" s="1"/>
  <c r="E765" i="19" s="1"/>
  <c r="E114" i="22"/>
  <c r="D127" i="22" s="1"/>
  <c r="E219" i="19" s="1"/>
  <c r="E119" i="22"/>
  <c r="N127" i="22" s="1"/>
  <c r="E429" i="19" s="1"/>
  <c r="E113" i="22"/>
  <c r="B127" i="22" s="1"/>
  <c r="E677" i="19" s="1"/>
  <c r="E121" i="22"/>
  <c r="R127" i="22" s="1"/>
  <c r="E319" i="19" s="1"/>
  <c r="R128" i="22"/>
  <c r="E320" i="19" s="1"/>
  <c r="R129" i="22"/>
  <c r="E321" i="19" s="1"/>
  <c r="H131" i="22"/>
  <c r="E309" i="19" s="1"/>
  <c r="P131" i="22"/>
  <c r="E490" i="19" s="1"/>
  <c r="F131" i="22"/>
  <c r="E209" i="19" s="1"/>
  <c r="N131" i="22"/>
  <c r="E433" i="19" s="1"/>
  <c r="V131" i="22"/>
  <c r="E417" i="19" s="1"/>
  <c r="D131" i="22"/>
  <c r="E223" i="19" s="1"/>
  <c r="L131" i="22"/>
  <c r="E769" i="19" s="1"/>
  <c r="T131" i="22"/>
  <c r="E557" i="19" s="1"/>
  <c r="J131" i="22"/>
  <c r="E700" i="19" s="1"/>
  <c r="B131" i="22"/>
  <c r="E681" i="19" s="1"/>
  <c r="F129" i="22"/>
  <c r="E207" i="19" s="1"/>
  <c r="N129" i="22"/>
  <c r="E431" i="19" s="1"/>
  <c r="V129" i="22"/>
  <c r="E415" i="19" s="1"/>
  <c r="D129" i="22"/>
  <c r="E221" i="19" s="1"/>
  <c r="L129" i="22"/>
  <c r="E767" i="19" s="1"/>
  <c r="T129" i="22"/>
  <c r="E555" i="19" s="1"/>
  <c r="J129" i="22"/>
  <c r="E698" i="19" s="1"/>
  <c r="B129" i="22"/>
  <c r="E679" i="19" s="1"/>
  <c r="H129" i="22"/>
  <c r="E307" i="19" s="1"/>
  <c r="P129" i="22"/>
  <c r="E488" i="19" s="1"/>
  <c r="B132" i="22"/>
  <c r="E682" i="19" s="1"/>
  <c r="H132" i="22"/>
  <c r="E310" i="19" s="1"/>
  <c r="P132" i="22"/>
  <c r="E491" i="19" s="1"/>
  <c r="F132" i="22"/>
  <c r="E210" i="19" s="1"/>
  <c r="N132" i="22"/>
  <c r="E434" i="19" s="1"/>
  <c r="V132" i="22"/>
  <c r="E418" i="19" s="1"/>
  <c r="D132" i="22"/>
  <c r="E224" i="19" s="1"/>
  <c r="L132" i="22"/>
  <c r="E770" i="19" s="1"/>
  <c r="T132" i="22"/>
  <c r="E558" i="19" s="1"/>
  <c r="J132" i="22"/>
  <c r="E701" i="19" s="1"/>
  <c r="F137" i="22"/>
  <c r="E215" i="19" s="1"/>
  <c r="N137" i="22"/>
  <c r="E439" i="19" s="1"/>
  <c r="V137" i="22"/>
  <c r="E423" i="19" s="1"/>
  <c r="D137" i="22"/>
  <c r="E229" i="19" s="1"/>
  <c r="L137" i="22"/>
  <c r="E775" i="19" s="1"/>
  <c r="T137" i="22"/>
  <c r="E563" i="19" s="1"/>
  <c r="J137" i="22"/>
  <c r="E706" i="19" s="1"/>
  <c r="B137" i="22"/>
  <c r="E687" i="19" s="1"/>
  <c r="H137" i="22"/>
  <c r="E315" i="19" s="1"/>
  <c r="P137" i="22"/>
  <c r="E496" i="19" s="1"/>
  <c r="R132" i="22"/>
  <c r="E324" i="19" s="1"/>
  <c r="F138" i="22"/>
  <c r="E216" i="19" s="1"/>
  <c r="N138" i="22"/>
  <c r="E440" i="19" s="1"/>
  <c r="V138" i="22"/>
  <c r="E424" i="19" s="1"/>
  <c r="D138" i="22"/>
  <c r="E230" i="19" s="1"/>
  <c r="L138" i="22"/>
  <c r="E776" i="19" s="1"/>
  <c r="T138" i="22"/>
  <c r="E564" i="19" s="1"/>
  <c r="J138" i="22"/>
  <c r="E707" i="19" s="1"/>
  <c r="B138" i="22"/>
  <c r="E688" i="19" s="1"/>
  <c r="H138" i="22"/>
  <c r="E316" i="19" s="1"/>
  <c r="P138" i="22"/>
  <c r="E497" i="19" s="1"/>
  <c r="D135" i="22"/>
  <c r="E227" i="19" s="1"/>
  <c r="L135" i="22"/>
  <c r="E773" i="19" s="1"/>
  <c r="T135" i="22"/>
  <c r="E561" i="19" s="1"/>
  <c r="J135" i="22"/>
  <c r="E704" i="19" s="1"/>
  <c r="B135" i="22"/>
  <c r="E685" i="19" s="1"/>
  <c r="H135" i="22"/>
  <c r="E313" i="19" s="1"/>
  <c r="P135" i="22"/>
  <c r="E494" i="19" s="1"/>
  <c r="F135" i="22"/>
  <c r="E213" i="19" s="1"/>
  <c r="N135" i="22"/>
  <c r="E437" i="19" s="1"/>
  <c r="V135" i="22"/>
  <c r="E421" i="19" s="1"/>
  <c r="J134" i="22"/>
  <c r="E703" i="19" s="1"/>
  <c r="B134" i="22"/>
  <c r="E684" i="19" s="1"/>
  <c r="H134" i="22"/>
  <c r="E312" i="19" s="1"/>
  <c r="P134" i="22"/>
  <c r="E493" i="19" s="1"/>
  <c r="F134" i="22"/>
  <c r="E212" i="19" s="1"/>
  <c r="N134" i="22"/>
  <c r="E436" i="19" s="1"/>
  <c r="V134" i="22"/>
  <c r="E420" i="19" s="1"/>
  <c r="D134" i="22"/>
  <c r="E226" i="19" s="1"/>
  <c r="L134" i="22"/>
  <c r="E772" i="19" s="1"/>
  <c r="T134" i="22"/>
  <c r="E560" i="19" s="1"/>
  <c r="R135" i="22"/>
  <c r="E327" i="19" s="1"/>
  <c r="B140" i="22"/>
  <c r="E690" i="19" s="1"/>
  <c r="H140" i="22"/>
  <c r="E318" i="19" s="1"/>
  <c r="P140" i="22"/>
  <c r="E499" i="19" s="1"/>
  <c r="F140" i="22"/>
  <c r="E218" i="19" s="1"/>
  <c r="N140" i="22"/>
  <c r="E442" i="19" s="1"/>
  <c r="V140" i="22"/>
  <c r="E426" i="19" s="1"/>
  <c r="D140" i="22"/>
  <c r="E232" i="19" s="1"/>
  <c r="L140" i="22"/>
  <c r="E778" i="19" s="1"/>
  <c r="T140" i="22"/>
  <c r="E566" i="19" s="1"/>
  <c r="J140" i="22"/>
  <c r="E709" i="19" s="1"/>
  <c r="D136" i="22"/>
  <c r="E228" i="19" s="1"/>
  <c r="L136" i="22"/>
  <c r="E774" i="19" s="1"/>
  <c r="T136" i="22"/>
  <c r="E562" i="19" s="1"/>
  <c r="J136" i="22"/>
  <c r="E705" i="19" s="1"/>
  <c r="B136" i="22"/>
  <c r="E686" i="19" s="1"/>
  <c r="H136" i="22"/>
  <c r="E314" i="19" s="1"/>
  <c r="P136" i="22"/>
  <c r="E495" i="19" s="1"/>
  <c r="F136" i="22"/>
  <c r="E214" i="19" s="1"/>
  <c r="N136" i="22"/>
  <c r="E438" i="19" s="1"/>
  <c r="V136" i="22"/>
  <c r="E422" i="19" s="1"/>
  <c r="H139" i="22"/>
  <c r="E317" i="19" s="1"/>
  <c r="P139" i="22"/>
  <c r="E498" i="19" s="1"/>
  <c r="F139" i="22"/>
  <c r="E217" i="19" s="1"/>
  <c r="N139" i="22"/>
  <c r="E441" i="19" s="1"/>
  <c r="V139" i="22"/>
  <c r="E425" i="19" s="1"/>
  <c r="D139" i="22"/>
  <c r="E231" i="19" s="1"/>
  <c r="L139" i="22"/>
  <c r="E777" i="19" s="1"/>
  <c r="T139" i="22"/>
  <c r="E565" i="19" s="1"/>
  <c r="J139" i="22"/>
  <c r="E708" i="19" s="1"/>
  <c r="B139" i="22"/>
  <c r="E689" i="19" s="1"/>
  <c r="D128" i="22"/>
  <c r="E220" i="19" s="1"/>
  <c r="L128" i="22"/>
  <c r="E766" i="19" s="1"/>
  <c r="T128" i="22"/>
  <c r="E554" i="19" s="1"/>
  <c r="J128" i="22"/>
  <c r="E697" i="19" s="1"/>
  <c r="B128" i="22"/>
  <c r="E678" i="19" s="1"/>
  <c r="H128" i="22"/>
  <c r="E306" i="19" s="1"/>
  <c r="P128" i="22"/>
  <c r="E487" i="19" s="1"/>
  <c r="F128" i="22"/>
  <c r="E206" i="19" s="1"/>
  <c r="N128" i="22"/>
  <c r="E430" i="19" s="1"/>
  <c r="V128" i="22"/>
  <c r="E414" i="19" s="1"/>
  <c r="R134" i="22"/>
  <c r="E326" i="19" s="1"/>
  <c r="J133" i="22"/>
  <c r="E702" i="19" s="1"/>
  <c r="B133" i="22"/>
  <c r="E683" i="19" s="1"/>
  <c r="H133" i="22"/>
  <c r="E311" i="19" s="1"/>
  <c r="P133" i="22"/>
  <c r="E492" i="19" s="1"/>
  <c r="F133" i="22"/>
  <c r="E211" i="19" s="1"/>
  <c r="N133" i="22"/>
  <c r="E435" i="19" s="1"/>
  <c r="V133" i="22"/>
  <c r="E419" i="19" s="1"/>
  <c r="D133" i="22"/>
  <c r="E225" i="19" s="1"/>
  <c r="L133" i="22"/>
  <c r="E771" i="19" s="1"/>
  <c r="T133" i="22"/>
  <c r="E559" i="19" s="1"/>
  <c r="R133" i="22"/>
  <c r="E325" i="19" s="1"/>
  <c r="R140" i="22"/>
  <c r="E332" i="19" s="1"/>
  <c r="N130" i="22"/>
  <c r="E432" i="19" s="1"/>
  <c r="V130" i="22"/>
  <c r="E416" i="19" s="1"/>
  <c r="D130" i="22"/>
  <c r="E222" i="19" s="1"/>
  <c r="L130" i="22"/>
  <c r="E768" i="19" s="1"/>
  <c r="T130" i="22"/>
  <c r="E556" i="19" s="1"/>
  <c r="J130" i="22"/>
  <c r="E699" i="19" s="1"/>
  <c r="B130" i="22"/>
  <c r="E680" i="19" s="1"/>
  <c r="H130" i="22"/>
  <c r="E308" i="19" s="1"/>
  <c r="P130" i="22"/>
  <c r="E489" i="19" s="1"/>
  <c r="R136" i="22"/>
  <c r="E328" i="19" s="1"/>
  <c r="K767" i="20" l="1"/>
  <c r="K753" i="20"/>
  <c r="K772" i="20"/>
  <c r="K777" i="20"/>
  <c r="K762" i="20"/>
  <c r="K747" i="20"/>
  <c r="K752" i="20"/>
  <c r="K742" i="20"/>
  <c r="R185" i="38"/>
  <c r="R189" i="38" l="1"/>
  <c r="R192" i="38"/>
  <c r="R190" i="38"/>
  <c r="V185" i="38"/>
  <c r="R191" i="38"/>
  <c r="R188" i="38"/>
  <c r="V188" i="38" l="1"/>
  <c r="B183" i="38" s="1"/>
  <c r="V191" i="38"/>
  <c r="B186" i="38" s="1"/>
  <c r="V190" i="38"/>
  <c r="V192" i="38"/>
  <c r="V189" i="38"/>
  <c r="B184" i="38" s="1"/>
  <c r="R194" i="38"/>
  <c r="G186" i="38" l="1"/>
  <c r="G184" i="38"/>
  <c r="G183" i="38"/>
  <c r="D183" i="38"/>
  <c r="E102" i="38" s="1"/>
  <c r="E22" i="19" s="1"/>
  <c r="B187" i="38"/>
  <c r="B185" i="38"/>
  <c r="E183" i="38"/>
  <c r="C183" i="38"/>
  <c r="F186" i="38"/>
  <c r="E65" i="38" s="1"/>
  <c r="E35" i="19" s="1"/>
  <c r="V194" i="38"/>
  <c r="Y194" i="38" s="1"/>
  <c r="F183" i="38"/>
  <c r="E62" i="38" s="1"/>
  <c r="E32" i="19" s="1"/>
  <c r="E186" i="38"/>
  <c r="C186" i="38"/>
  <c r="D186" i="38"/>
  <c r="G187" i="38" l="1"/>
  <c r="E92" i="38"/>
  <c r="E72" i="38"/>
  <c r="E85" i="38"/>
  <c r="E55" i="38"/>
  <c r="B189" i="38"/>
  <c r="E93" i="38"/>
  <c r="E73" i="38"/>
  <c r="E82" i="38"/>
  <c r="E68" i="19" s="1"/>
  <c r="E52" i="38"/>
  <c r="E95" i="38"/>
  <c r="E75" i="38"/>
  <c r="G185" i="38"/>
  <c r="E185" i="38"/>
  <c r="C185" i="38"/>
  <c r="C187" i="38"/>
  <c r="E187" i="38"/>
  <c r="I186" i="38"/>
  <c r="E105" i="38"/>
  <c r="E25" i="19" s="1"/>
  <c r="I183" i="38"/>
  <c r="F185" i="38"/>
  <c r="E64" i="38" s="1"/>
  <c r="E34" i="19" s="1"/>
  <c r="F187" i="38"/>
  <c r="E66" i="38" s="1"/>
  <c r="E36" i="19" s="1"/>
  <c r="D187" i="38"/>
  <c r="D185" i="38"/>
  <c r="C184" i="38"/>
  <c r="E184" i="38"/>
  <c r="D184" i="38"/>
  <c r="E103" i="38" s="1"/>
  <c r="E23" i="19" s="1"/>
  <c r="F184" i="38"/>
  <c r="E63" i="38" s="1"/>
  <c r="E33" i="19" s="1"/>
  <c r="E61" i="19" l="1"/>
  <c r="E71" i="19"/>
  <c r="E15" i="19"/>
  <c r="E12" i="19"/>
  <c r="E3" i="19"/>
  <c r="E5" i="19"/>
  <c r="E58" i="19"/>
  <c r="E2" i="19"/>
  <c r="E13" i="19"/>
  <c r="H184" i="38"/>
  <c r="H183" i="38"/>
  <c r="H186" i="38"/>
  <c r="E54" i="38"/>
  <c r="E84" i="38"/>
  <c r="E53" i="38"/>
  <c r="E83" i="38"/>
  <c r="E69" i="19" s="1"/>
  <c r="H185" i="38"/>
  <c r="E86" i="38"/>
  <c r="E56" i="38"/>
  <c r="E94" i="38"/>
  <c r="E74" i="38"/>
  <c r="H187" i="38"/>
  <c r="E96" i="38"/>
  <c r="E76" i="38"/>
  <c r="I185" i="38"/>
  <c r="E104" i="38"/>
  <c r="E24" i="19" s="1"/>
  <c r="I187" i="38"/>
  <c r="E106" i="38"/>
  <c r="E26" i="19" s="1"/>
  <c r="I184" i="38"/>
  <c r="E70" i="19" l="1"/>
  <c r="E60" i="19"/>
  <c r="E6" i="19"/>
  <c r="E62" i="19"/>
  <c r="E14" i="19"/>
  <c r="E59" i="19"/>
  <c r="E4" i="19"/>
  <c r="E72" i="19"/>
  <c r="E16" i="19"/>
  <c r="E31" i="38"/>
  <c r="D21" i="20" s="1"/>
  <c r="E41" i="38"/>
  <c r="D19" i="20" s="1"/>
  <c r="E46" i="38"/>
  <c r="D15" i="20" s="1"/>
  <c r="E36" i="38"/>
  <c r="D17" i="20" s="1"/>
  <c r="E32" i="38"/>
  <c r="D5" i="20" s="1"/>
  <c r="E42" i="38"/>
  <c r="D4" i="20" s="1"/>
  <c r="E47" i="38"/>
  <c r="D2" i="20" s="1"/>
  <c r="E37" i="38"/>
  <c r="D3" i="20" s="1"/>
  <c r="E33" i="38"/>
  <c r="D13" i="20" s="1"/>
  <c r="E43" i="38"/>
  <c r="D12" i="20" s="1"/>
  <c r="E38" i="38"/>
  <c r="D11" i="20" s="1"/>
  <c r="E48" i="38"/>
  <c r="D10" i="20" s="1"/>
  <c r="H188" i="38"/>
  <c r="E29" i="38"/>
  <c r="D9" i="20" s="1"/>
  <c r="E39" i="38"/>
  <c r="D8" i="20" s="1"/>
  <c r="E34" i="38"/>
  <c r="D7" i="20" s="1"/>
  <c r="E44" i="38"/>
  <c r="D6" i="20" s="1"/>
  <c r="E40" i="38"/>
  <c r="D18" i="20" s="1"/>
  <c r="E35" i="38"/>
  <c r="D16" i="20" s="1"/>
  <c r="E45" i="38"/>
  <c r="D14" i="20" s="1"/>
  <c r="E30" i="38"/>
  <c r="D20" i="2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<sst xmlns="http://schemas.openxmlformats.org/spreadsheetml/2006/main" count="25292" uniqueCount="2204">
  <si>
    <t>Explanation of the sheets in this document</t>
  </si>
  <si>
    <t>Sheet name</t>
  </si>
  <si>
    <t>Description</t>
  </si>
  <si>
    <t>More detailed info</t>
  </si>
  <si>
    <t>Data Quality Indicators</t>
  </si>
  <si>
    <t>Descriptions of the scores of the data quality indicators</t>
  </si>
  <si>
    <t>Input values and transfer coefficient values are assigned a 'data quality indicator' for five categories. The indicator scores range from 1 (very good) to 4 (very poor). The table is adopted from Kawecki et al. (2019) can be used to assign the correct data quality indicator score to each input and transfer coefficient value.</t>
  </si>
  <si>
    <t>Materials</t>
  </si>
  <si>
    <t>All polymers that are considered in this study</t>
  </si>
  <si>
    <t>Input_EU</t>
  </si>
  <si>
    <t>Input data in kton per year at EU scale for the input compartments</t>
  </si>
  <si>
    <t>The 13 input compartments are: Packaging, Building and Construction, Automotive (product sector), EEE (product sector), Agriculture, Clothing (product sector), Household textiles (product sector), Technical textiles, Other plastic products (product sector), Paint, Intentionally produced microparticles, Domestic primary plastic production, Import of primary plastics</t>
  </si>
  <si>
    <t>Input_NL</t>
  </si>
  <si>
    <t>Input data in kton per year at NL scale for the input compartments</t>
  </si>
  <si>
    <r>
      <rPr>
        <u/>
        <sz val="11"/>
        <color theme="1"/>
        <rFont val="Calibri"/>
        <family val="2"/>
        <scheme val="minor"/>
      </rPr>
      <t>The 13 input compartments are:</t>
    </r>
    <r>
      <rPr>
        <sz val="11"/>
        <color theme="1"/>
        <rFont val="Calibri"/>
        <family val="2"/>
        <scheme val="minor"/>
      </rPr>
      <t xml:space="preserve"> Packaging, Building and Construction, Automotive (product sector), EEE (product sector), Agriculture, Clothing (product sector), Household textiles (product sector), Technical textiles, Other plastic products (product sector), Paint, Intentionally produced microparticles, Domestic primary plastic production, Import of primary plastics</t>
    </r>
  </si>
  <si>
    <t>Transfer coefficients</t>
  </si>
  <si>
    <t>Transfer coefficients (0 - 1) that describe the distribution of microplastics from one to another compartment between compartments</t>
  </si>
  <si>
    <t>Plastics are transferred from one compartment to the other. How the plastics are distributed amongst the next compartments is defined by the transfer coefficients. The sum of the transfer coefficients for each compartment must equal 1 (mass balance: no plastics are lost)</t>
  </si>
  <si>
    <t>Lifetimes_pairs</t>
  </si>
  <si>
    <t>The lifetime categories that are assgined to each stock compartment</t>
  </si>
  <si>
    <t>Plastic producs have a lifetime, which refers to the length of time for which it is estimated that the product will be used by the consumer. This table links each stock compartment to a lifetime category.</t>
  </si>
  <si>
    <t>Lifetimes</t>
  </si>
  <si>
    <t>The lifetime (or discarding) funtion for each lifetime category (for the first 200 years)</t>
  </si>
  <si>
    <t xml:space="preserve">The fraction of the plastic product that flows to the next compartment(s) in the first 200 years after the product is consumed. </t>
  </si>
  <si>
    <t>Compartments</t>
  </si>
  <si>
    <t>List of all compartments included in this study</t>
  </si>
  <si>
    <t>x</t>
  </si>
  <si>
    <t>Compartments_Kawecki&amp;Nowack19</t>
  </si>
  <si>
    <t>List of all compartments included in the study from Kawecki and Nowack (2019)</t>
  </si>
  <si>
    <t>Compartments_Added_by_RIVM_TNO</t>
  </si>
  <si>
    <t>List of all compartments that were not inlcuded in the study from Kawecki and Nowack (2019) and that have been added by the RIVM/TNO team in 2023</t>
  </si>
  <si>
    <t>Check_Compartments</t>
  </si>
  <si>
    <t>Check sheet</t>
  </si>
  <si>
    <t>Checks all input compartments. Checks if input compartments only have an outgoing flow (from). Checks if flow compartments have and in- and outgoing flow (from &amp; to). Checks if sink compartments only have an ingoing flow (to).</t>
  </si>
  <si>
    <t>Textiles</t>
  </si>
  <si>
    <t>Calculation of the input and transfer coefficients of textile related compartments</t>
  </si>
  <si>
    <t>The cells that are highlighted in green contain the values that are used in the 'Input_EU', 'Input_NL', or 'Transfer coefficient' sheet.</t>
  </si>
  <si>
    <t>Intentionally produced microparticles</t>
  </si>
  <si>
    <t>Calculation of the input and transfer coefficients of intentionally produced microparticle related compartments</t>
  </si>
  <si>
    <t>Packaging</t>
  </si>
  <si>
    <t>Calculation of the input and transfer coefficients of packaging related compartments</t>
  </si>
  <si>
    <t>Sources used in this document</t>
  </si>
  <si>
    <t>Full citation</t>
  </si>
  <si>
    <t>Kawecki &amp; Nowack (2019)</t>
  </si>
  <si>
    <t>Kawecki, D., &amp; Nowack, B. (2019). Polymer-specific modeling of the environmental emissions of seven commodity plastics as macro-and microplastics. Environmental science &amp; technology, 53(16), 9664-9676.</t>
  </si>
  <si>
    <t>Kawecki et al. (2021)</t>
  </si>
  <si>
    <r>
      <t>Kawecki, D., Wu, Q., Gonçalves, J. S., &amp; Nowack, B. (2021). Polymer-specific dynamic probabilistic material flow analysis of seven polymers in Europe from 1950 to 2016. </t>
    </r>
    <r>
      <rPr>
        <sz val="11"/>
        <color rgb="FF222222"/>
        <rFont val="Calibri"/>
        <family val="2"/>
        <scheme val="minor"/>
      </rPr>
      <t>Resources, Conservation and Recycling, 173, 105733.</t>
    </r>
  </si>
  <si>
    <t>Category</t>
  </si>
  <si>
    <t xml:space="preserve">Abbreviation </t>
  </si>
  <si>
    <t>Very Good</t>
  </si>
  <si>
    <t>Good</t>
  </si>
  <si>
    <t>Poor</t>
  </si>
  <si>
    <t>Very Poor</t>
  </si>
  <si>
    <t>Score</t>
  </si>
  <si>
    <t>DQIS = 1</t>
  </si>
  <si>
    <t>DQIS = 2</t>
  </si>
  <si>
    <t>DQIS = 3</t>
  </si>
  <si>
    <t>DQIS = 4</t>
  </si>
  <si>
    <t>Geographical representativeness</t>
  </si>
  <si>
    <t>Geo (NL or EU)</t>
  </si>
  <si>
    <t>Same region (for EU: EU28 and EU28+2 qualify, for NL: CBS data qualifies)</t>
  </si>
  <si>
    <t>Socioeconomically similar region (i.e. Europe vs. Switzerland)</t>
  </si>
  <si>
    <t>Socioeconomically different region (i.e. USA vs. Europe)</t>
  </si>
  <si>
    <t>Socioeconomically very different region (i.e. World vs. Europe)</t>
  </si>
  <si>
    <t>Temporal representativeness</t>
  </si>
  <si>
    <t>Temp</t>
  </si>
  <si>
    <t>Material representativeness</t>
  </si>
  <si>
    <t>Mat</t>
  </si>
  <si>
    <t>Same polymer</t>
  </si>
  <si>
    <t>Same polymer datum corrected with data for all polymers</t>
  </si>
  <si>
    <t>Data for a different polymer, or for plastic as a whole, or including similar materials</t>
  </si>
  <si>
    <t>Including non-similar materials</t>
  </si>
  <si>
    <t>(Technical) Completeness</t>
  </si>
  <si>
    <t>Tech</t>
  </si>
  <si>
    <t>Includes all relevant processes/flows</t>
  </si>
  <si>
    <t>Includes main processes/flows</t>
  </si>
  <si>
    <t>Partially including main processes/flows</t>
  </si>
  <si>
    <t>Important processes/flows are missing</t>
  </si>
  <si>
    <t>Source reliability</t>
  </si>
  <si>
    <t>Rel</t>
  </si>
  <si>
    <t>Official report /peer reviewed documentation</t>
  </si>
  <si>
    <t>Martket reports and other reports / Public databases</t>
  </si>
  <si>
    <t>Qualified estimate</t>
  </si>
  <si>
    <t>Non-qualified estimate</t>
  </si>
  <si>
    <t>Name</t>
  </si>
  <si>
    <t>LDPE</t>
  </si>
  <si>
    <t>HDPE</t>
  </si>
  <si>
    <t>PP</t>
  </si>
  <si>
    <t>PS</t>
  </si>
  <si>
    <t>EPS</t>
  </si>
  <si>
    <t>PVC</t>
  </si>
  <si>
    <t>PET</t>
  </si>
  <si>
    <t>RUBBER</t>
  </si>
  <si>
    <t>PUR</t>
  </si>
  <si>
    <t>ABS</t>
  </si>
  <si>
    <t>PA</t>
  </si>
  <si>
    <t>PC</t>
  </si>
  <si>
    <t>PMMA</t>
  </si>
  <si>
    <t>OTHER</t>
  </si>
  <si>
    <t>Acryl</t>
  </si>
  <si>
    <t>Compartment</t>
  </si>
  <si>
    <t>Year</t>
  </si>
  <si>
    <t>Material</t>
  </si>
  <si>
    <t>Data (kt)</t>
  </si>
  <si>
    <t>Source</t>
  </si>
  <si>
    <t>Geo</t>
  </si>
  <si>
    <t>Spread</t>
  </si>
  <si>
    <t>Codes and comments</t>
  </si>
  <si>
    <t>Clothing (product sector)</t>
  </si>
  <si>
    <t>Domestic primary plastic production</t>
  </si>
  <si>
    <t>Statistics | Eurostat [WWW Document], n.d. URL https://ec.europa.eu/eurostat/databrowser/view/DS-056120__custom_5851448/default/table (accessed 2.15.24).</t>
  </si>
  <si>
    <t>See 'Pellets_trade' document and pellet_input.py in the Microsoft Teams folder 'Pellet'</t>
  </si>
  <si>
    <t>Household textiles (product sector)</t>
  </si>
  <si>
    <t>Information combined from: CBS (2019), Synthetic Fibers (polymerdatabase.com), and Kawecki &amp; Nowack (2019)</t>
  </si>
  <si>
    <t>Import of primary plastics</t>
  </si>
  <si>
    <t>Recybem</t>
  </si>
  <si>
    <t>Information combined from: Scudo et al. (2017), Microplastics Annex XV Report (2020), and Statistics | Eurostat</t>
  </si>
  <si>
    <t>Data based on EUROSTAT, polymer distribution based on Cimpan et al. (2021)</t>
  </si>
  <si>
    <t>Paint</t>
  </si>
  <si>
    <t>Calculated from domestic paint sales reported in the 'VVVF Jaaroverzicht'</t>
  </si>
  <si>
    <t>Total mass of microplastics in the paint applications that we model</t>
  </si>
  <si>
    <t>Technical textiles</t>
  </si>
  <si>
    <t>Information combined from: CBS (2019), Carpet Fibers (polymerdatabase.com), Kawecki et al. (2019), Wu et al. (2020), and Thadepalli (2022)</t>
  </si>
  <si>
    <t>Comments</t>
  </si>
  <si>
    <t>Textiles in Europe's circular economy — European Environment Agency (europa.eu)</t>
  </si>
  <si>
    <t>Calculated based on the total EU textile consumption (8351.04 kt) and the fractions for the different compartments at NL scale (see table above).</t>
  </si>
  <si>
    <t>Statistics | Eurostat [WWW Document], n.d. URL https://ec.europa.eu/eurostat/databrowser/view/DS-056120__custom_6262207/default/table (accessed 2.15.24).</t>
  </si>
  <si>
    <t>Other</t>
  </si>
  <si>
    <t>Annex to 'Proposal for a regulation of the European Parliament and of the council on preventing plastic pellet losses to reduce microplastic pollution (European Commission)</t>
  </si>
  <si>
    <t>From</t>
  </si>
  <si>
    <t>To</t>
  </si>
  <si>
    <t>Scale</t>
  </si>
  <si>
    <t>Data</t>
  </si>
  <si>
    <t>Priority</t>
  </si>
  <si>
    <t>Geo NL</t>
  </si>
  <si>
    <t>Geo EU</t>
  </si>
  <si>
    <t>Spread NL</t>
  </si>
  <si>
    <t>Spread EU</t>
  </si>
  <si>
    <t>Agricultural packaging bottles</t>
  </si>
  <si>
    <t>any</t>
  </si>
  <si>
    <t>WRAP, Report: Plastic Packaging Composition 2011, 2013</t>
  </si>
  <si>
    <t>Based on EU flows in Liu etal. 2022 using WRAP and others</t>
  </si>
  <si>
    <t>Agricultural packaging films</t>
  </si>
  <si>
    <t>Agricultural waste collection (micro)</t>
  </si>
  <si>
    <t>Agricultural plastic recycling</t>
  </si>
  <si>
    <t>Schelker, Raymond, and Patrik Geisselhardt, Welche Fraktionen - Hauptkunststoffe, 2011</t>
  </si>
  <si>
    <t>Agricultural soil (macro)</t>
  </si>
  <si>
    <t>Best case scenario</t>
  </si>
  <si>
    <t>Based on Agreste. Chiffres-Clés : 61 Hectares En Moyenne Par Exploitation; 2017</t>
  </si>
  <si>
    <t>Compost (macro)</t>
  </si>
  <si>
    <t>rest</t>
  </si>
  <si>
    <t>97% is used in horticulture and agriculture</t>
  </si>
  <si>
    <t>Agrotextiles</t>
  </si>
  <si>
    <t>Agrotextiles (discarded)</t>
  </si>
  <si>
    <t>Compost (micro)</t>
  </si>
  <si>
    <t>Agricultural soil (micro)</t>
  </si>
  <si>
    <t>Controlled release fertilizer</t>
  </si>
  <si>
    <t>Assumption</t>
  </si>
  <si>
    <t>Assumed that application is to aggriculatural soil and small part is discarded in waste</t>
  </si>
  <si>
    <t>Fertilizer additives</t>
  </si>
  <si>
    <t>Plant protection products</t>
  </si>
  <si>
    <t>Seed coating</t>
  </si>
  <si>
    <t>Agrotextiles (in use)</t>
  </si>
  <si>
    <t>Kawecki and Nowack (2019)</t>
  </si>
  <si>
    <t>Derived from Kawecki and Nowack (2019). (=0.0130 + 0.085)</t>
  </si>
  <si>
    <t>Agricultural waste collection</t>
  </si>
  <si>
    <t>Assumption (based also on PCCP)</t>
  </si>
  <si>
    <t>Collected organic waste</t>
  </si>
  <si>
    <t>WUR &amp; RIVM</t>
  </si>
  <si>
    <t>See SI for further details.</t>
  </si>
  <si>
    <t>Building textiles</t>
  </si>
  <si>
    <t>Building textiles (discarded)</t>
  </si>
  <si>
    <t>Building textiles (in use)</t>
  </si>
  <si>
    <t>Based on private communication with Canton of Geneva on 4/8/2019. Lower limit.</t>
  </si>
  <si>
    <t>Based on private communication with Canton of Geneva on 4/8/2020. Upper limit.</t>
  </si>
  <si>
    <t>Construction and demolition incinerable waste collection</t>
  </si>
  <si>
    <t>Residential soil (macro)</t>
  </si>
  <si>
    <t>Based on private communication with Canton of Geneva on 4/8/2019</t>
  </si>
  <si>
    <t>ELV textiles collection</t>
  </si>
  <si>
    <t>Incineration</t>
  </si>
  <si>
    <t>NL</t>
  </si>
  <si>
    <t>Restrepo, Eliette, Amund N. Løvik, Patrick Wäger, Rolf Widmer, Radek Lonka, and Daniel B. Müller, ‘Stocks, Flows, and Distribution of Critical Metals in Embedded Electronics in Passenger Vehicles’, Environmental Science &amp; Technology, 51 (2017), 1129–39 &lt;http://dx.doi.org/10.1021/acs.est.6b05743&gt;</t>
  </si>
  <si>
    <t>EU</t>
  </si>
  <si>
    <t>Building packaging films</t>
  </si>
  <si>
    <t>Landfill</t>
  </si>
  <si>
    <t>Geotextiles</t>
  </si>
  <si>
    <t>Geotextiles (discarded)</t>
  </si>
  <si>
    <t>Geotextiles (in use)</t>
  </si>
  <si>
    <t>Sub-surface soil (micro)</t>
  </si>
  <si>
    <t>Home textiles</t>
  </si>
  <si>
    <t>Home textiles (discarded)</t>
  </si>
  <si>
    <t>Home textiles (in use)</t>
  </si>
  <si>
    <t>Derived from Kawecki and Nowack (2019). See SI for further details. Lower limit (= 0.0086 + 0 + 0.01757))</t>
  </si>
  <si>
    <t>Derived from Kawecki and Nowack (2019). See SI for further details. Upper limit (= 0.0130 + 0 + 0.01757))</t>
  </si>
  <si>
    <t>Clothing (discarded)</t>
  </si>
  <si>
    <t>Kawecki and Nowack (2019) &amp; WUR&amp;TNO</t>
  </si>
  <si>
    <t>Clothing (in use)</t>
  </si>
  <si>
    <t>Clothing (in use) wash &amp; dry</t>
  </si>
  <si>
    <t>Clothing (in use) wear &amp; tear</t>
  </si>
  <si>
    <t>See calculation in Compost sheet</t>
  </si>
  <si>
    <t>Consumer bags</t>
  </si>
  <si>
    <t>Consumer bottles</t>
  </si>
  <si>
    <t>Consumer films</t>
  </si>
  <si>
    <t>Other consumer packaging</t>
  </si>
  <si>
    <t>Dumping</t>
  </si>
  <si>
    <t>See description in SI</t>
  </si>
  <si>
    <t>Collected organic waste (larger than 1 mm)</t>
  </si>
  <si>
    <t>Collected organic waste (smaller than 1 mm)</t>
  </si>
  <si>
    <t>Faure, F.; De Alencastro, L. F. Recherche de fragments de plastique dans les composts et digestats industriels; 2016.</t>
  </si>
  <si>
    <t>Wastewater treatment plant (macro)</t>
  </si>
  <si>
    <t>Combined sewer overflow (macro)</t>
  </si>
  <si>
    <t>Hoeke 2024 and Liefting E and de Man 2014</t>
  </si>
  <si>
    <t>Combined sewer overflow</t>
  </si>
  <si>
    <t>Sun, T. Y.; Gottschalk, F.; Hungerbühler, K.; Nowack, B. Comprehensive Probabilistic Modelling of Environmental Emissions of Engineered Nanomaterials. Environ. Pollut. 2014, 185, 69–76.</t>
  </si>
  <si>
    <t>Mutzner, L.; Staufer, P.; Ort, C. Model-Based Screening for Critical Wet-Weather Discharges Related to Micropollutants from Urban Areas. Water Res. 2016, 104, 547–557.</t>
  </si>
  <si>
    <t>Wastewater treatment plant (micro)</t>
  </si>
  <si>
    <t>Combined sewer overflow (micro)</t>
  </si>
  <si>
    <t>Calculated based on the duration the CSOs are active per municipality, and the waste water treated annually per year (data obtained from L. Mutzner by private communication on 09.05.2018)</t>
  </si>
  <si>
    <t>Compost size separation (fictional process)</t>
  </si>
  <si>
    <t>Of all the plastic larger than 1 mm, fraction larger than 5 mm</t>
  </si>
  <si>
    <t>No sorting of microplastics</t>
  </si>
  <si>
    <t>Goldberg, L. Plastic in Organic Waste in Switzerland : Material Flows and Consequences, University of Zurich, 2018.</t>
  </si>
  <si>
    <t>99% efficiency in sorting</t>
  </si>
  <si>
    <t>Mixed waste collection</t>
  </si>
  <si>
    <t>Massabalans textiel, 2018</t>
  </si>
  <si>
    <t>Textile waste collection</t>
  </si>
  <si>
    <t>Changed priority to 2</t>
  </si>
  <si>
    <t>Detergents and maintenance products</t>
  </si>
  <si>
    <t>Indoor air (micro)</t>
  </si>
  <si>
    <t>Lower limit. Normalized TC (= 0.0086 / (0.0086 + 0 + 0.01757))</t>
  </si>
  <si>
    <t>Upper limit. Normalized TC (= 0.0130 / (0.0130 + 0 + 0.01757))</t>
  </si>
  <si>
    <t>Outdoor air (micro)</t>
  </si>
  <si>
    <t>Wastewater (micro)</t>
  </si>
  <si>
    <t>The value 0.01575 comes from WUR &amp; RIVM literature research. This value is used in the calculations of the other TCs.</t>
  </si>
  <si>
    <t>Disposable cleaning cloths</t>
  </si>
  <si>
    <t>Non-consumer bags</t>
  </si>
  <si>
    <t>Other non-consumer films</t>
  </si>
  <si>
    <t>Other non-consumer packaging</t>
  </si>
  <si>
    <t>Other technical textiles</t>
  </si>
  <si>
    <t>Panty liners</t>
  </si>
  <si>
    <t>Sanitary pads</t>
  </si>
  <si>
    <t>Tampons</t>
  </si>
  <si>
    <t>Technical home textiles (discarded)</t>
  </si>
  <si>
    <t>Elimination</t>
  </si>
  <si>
    <t>Packaging collection</t>
  </si>
  <si>
    <t>Export</t>
  </si>
  <si>
    <t>Haupt, Melanie, Carl Vadenbo, and Stefanie Hellweg, ‘Do We Have the Right Performance Indicators for the Circular Economy? – Insight into the Swiss Waste Management System’, Journal of Industrial Ecology, 2016, 1–13 &lt;http://dx.doi.org/10.1111/jiec.12506&gt;</t>
  </si>
  <si>
    <t>Based on Haupt, Melanie, Carl Vadenbo, and Stefanie Hellweg, ‘Do We Have the Right Performance Indicators for the Circular Economy? – Insight into the Swiss Waste Management System’, Journal of Industrial Ecology, 2016, 1–13 &lt;http://dx.doi.org/10.1111/jiec.12506&gt;</t>
  </si>
  <si>
    <t>Secondary material reuse</t>
  </si>
  <si>
    <t/>
  </si>
  <si>
    <t>Value for inhomogeneous or contaminated streams</t>
  </si>
  <si>
    <t>Residential soil (micro)</t>
  </si>
  <si>
    <t>EC, 2023. Preliminary analysis of the main sources of microplastic emissions, ANNEX 1-14 of the IMPACT ASSESSMENT REPORT on Combatting microplastics pollution in the Eurpean Union.</t>
  </si>
  <si>
    <t>Kawecki et al. (2019)</t>
  </si>
  <si>
    <t>Industrial stormwater (micro)</t>
  </si>
  <si>
    <t>Astrup et al., ‘Recycling of Plastic : Accounting of Greenhouse Gases and Global Warming Contributions’, Waste Management &amp; Research, 2009</t>
  </si>
  <si>
    <t>Transport of primary plastics</t>
  </si>
  <si>
    <t>Kawecki, D., Nowack, B., 2019. Supporting Information for: Polymer-specific modelling of the environmental emissions of seven commodity plastics as macro- and microplastics.</t>
  </si>
  <si>
    <t>Surface water (micro)</t>
  </si>
  <si>
    <t>Pellet conversion</t>
  </si>
  <si>
    <t>Plastic products</t>
  </si>
  <si>
    <t>Pellet losses industrial plants</t>
  </si>
  <si>
    <t>Pellet losses transport land</t>
  </si>
  <si>
    <t>TNO synthesis: Kawecki &amp; Nowack</t>
  </si>
  <si>
    <t>Stormwater (macro)</t>
  </si>
  <si>
    <t>Surface water (macro)</t>
  </si>
  <si>
    <t>Stormwater (micro)</t>
  </si>
  <si>
    <t>Export of primary plastics</t>
  </si>
  <si>
    <t>Food additives</t>
  </si>
  <si>
    <t>Highway</t>
  </si>
  <si>
    <t>Highway DAB</t>
  </si>
  <si>
    <t>Highway ZOAB</t>
  </si>
  <si>
    <t>RWS report on fraction ZOAB</t>
  </si>
  <si>
    <t>Estimate</t>
  </si>
  <si>
    <t>Expert judgement</t>
  </si>
  <si>
    <t>Highway DAB non cleaned</t>
  </si>
  <si>
    <t>RWS, 2022. Bandenslijtage wegverkeer (No. Versie juli 2022), Emissieschattingen Diffuse bronnen Emissieregistratie.</t>
  </si>
  <si>
    <t>Hoeke, S., Van Wijnen, J., Krikke, H., Löhr, A., Ragas, A.M.J., 2024. Mapping the tire supply chain and its microplastics emissions using a multi-stakeholder approach. Resources, Conservation and Recycling 203, 107389. https://doi.org/10.1016/j.resconrec.2023.107389</t>
  </si>
  <si>
    <t>Müller Andreas, 2016</t>
  </si>
  <si>
    <t>Schelker, Raymond, and Patrik Geisselhardt, Projekt „ Kunststoff-Verwertung Schweiz “: Bericht Module 1 Und 2, 2011</t>
  </si>
  <si>
    <t>Value for films</t>
  </si>
  <si>
    <t>Private communication PET Recycling Schweiz</t>
  </si>
  <si>
    <t>Based on Private communication PET Recycling Schweiz</t>
  </si>
  <si>
    <t>Packaging recycling</t>
  </si>
  <si>
    <t>Sludge (macro)</t>
  </si>
  <si>
    <t>Laube, André, and Armin Vonplon, ‘Élimination Des Boues D’épuration En Suisse - Recensement Des Quantités’, Documents Environnement Office Fédéral de L’environnement, Des Forêts et Du Paysage, 181 (2004), 47</t>
  </si>
  <si>
    <t>Sludge (micro)</t>
  </si>
  <si>
    <t>Tertiary water treatment (macro)</t>
  </si>
  <si>
    <t>Tertiary treatment retention rate</t>
  </si>
  <si>
    <t>Tertiary water treatment (micro)</t>
  </si>
  <si>
    <t>Talvitie, J.; Heinonen, M.; Pääkkönen, J.-P.; Vahtera, E.; Mikola, A.; Setälä, O.; Vahala, R. Do Wastewater Treatment Plants Act as a Potential Point Source of Microplastics? Preliminary Study in the Coastal Gulf of Finland , Baltic Sea. Water Sci. Techno</t>
  </si>
  <si>
    <t>Tertiary treatment retention rate, particle and fibre numbers combined</t>
  </si>
  <si>
    <t>Mintenig, S. M.; Int-Veen, I.; Löder, M. G. J.; Primpke, S.; Gerdts, G. Identification of Microplastic in Effluents of Wastewater treatment plants Using Focal Plane Array-Based Micro-Fourier-Transform Infrared Imaging. Water Res. 2017, 108, 365–372.</t>
  </si>
  <si>
    <t>Measured at WWTP of Oldenburg before and after post-filtration</t>
  </si>
  <si>
    <t>Talvitie, J.; Mikola, A.; Setälä, O.; Heinonen, M.; Koistinen, A. How Well Is Microlitter Purified from Wastewater? A Detailed Study on the Stepwise Removal of Microlitter in a Tertiary Level Wastewater Treatment Plant. Water Res. 2017, 109, 164–172.</t>
  </si>
  <si>
    <t>Cabernard, L.; Durisch-Kaiser, E.; Vogel, J.-C.; Rensch, D.; Niederhauser, P.; AWEL Gewässerschutz. Mikroplastik in Abwasser Und Gewässern. Aqua Gas 2016, 7 (8), 78–85.</t>
  </si>
  <si>
    <t>Ziajahromi, S.; Neale, P. A.; Rintoul, L.; Leusch, F. D. L. Wastewater Treatment Plants as a Pathway for Microplastics: Development of a New Approach to Sample Wastewater-Based Microplastics. Water Res. 2017, 112, 93–99.</t>
  </si>
  <si>
    <t>Based on number concentration in tertiary treatment and reverse osmosis</t>
  </si>
  <si>
    <t>Carr, S. A.; Liu, J.; Tesoro, A. G. Transport and Fate of Microplastic Particles in Wastewater Treatment Plants. Water Res. 2016, 91, 174–182.</t>
  </si>
  <si>
    <t>Fraction collected on screens</t>
  </si>
  <si>
    <t>Fraction collected on screens with remaining waste (set to zero, because included in later stage)</t>
  </si>
  <si>
    <t>Road cleaning</t>
  </si>
  <si>
    <t>Sieber</t>
  </si>
  <si>
    <t>Astrup et al., ‘Recycling of Plastic : Accounting of Greenhouse Gases and Global Warming Contributions’, Waste Management &amp; Research, 2003</t>
  </si>
  <si>
    <t>Indoor floors (micro)</t>
  </si>
  <si>
    <t>Astrup et al., ‘Recycling of Plastic : Accounting of Greenhouse Gases and Global Warming Contributions’, Waste Management &amp; Research, 2004</t>
  </si>
  <si>
    <t>Astrup et al., ‘Recycling of Plastic : Accounting of Greenhouse Gases and Global Warming Contributions’, Waste Management &amp; Research, 2005</t>
  </si>
  <si>
    <t>Astrup et al., ‘Recycling of Plastic : Accounting of Greenhouse Gases and Global Warming Contributions’, Waste Management &amp; Research, 2006</t>
  </si>
  <si>
    <t>Astrup et al., ‘Recycling of Plastic : Accounting of Greenhouse Gases and Global Warming Contributions’, Waste Management &amp; Research, 2007</t>
  </si>
  <si>
    <t>Infill material sports fields</t>
  </si>
  <si>
    <t>Recybem avv-monitor atuobanden 2017</t>
  </si>
  <si>
    <t>Infill material sports fields (discarded)</t>
  </si>
  <si>
    <t>Infill material sports fields (in use)</t>
  </si>
  <si>
    <t>Hoeke etal. 2024 and Sieber et al. Loss per year multiplied by 10 year lifespan</t>
  </si>
  <si>
    <t>Invitro diagnostic devices</t>
  </si>
  <si>
    <t>Litter on road sides</t>
  </si>
  <si>
    <t>Astrup et al., ‘Recycling of Plastic : Accounting of Greenhouse Gases and Global Warming Contributions’, Waste Management &amp; Research, 2008</t>
  </si>
  <si>
    <t>Based on private communication with Canton of Geneva on 4/8/2020</t>
  </si>
  <si>
    <t>Based on private communication with Canton of Geneva on 4/8/2019 (Kawecki and Nowack, 2021)</t>
  </si>
  <si>
    <t>Based on private communication with Canton of Geneva on 4/8/2020 (Kawecki and Nowack, 2021)</t>
  </si>
  <si>
    <t>Extreme EU scenario of 0 mixed waste going to landfill (rest goes to incineration)</t>
  </si>
  <si>
    <t>Extreme EU scenario of all other mixed waste going to landfill (rest goes to incineration)</t>
  </si>
  <si>
    <t>Litter in natural environments</t>
  </si>
  <si>
    <t>Department for Environment Food &amp; Rural Affairs. Fly-Tipping Statistics for England, 2016/17; 2017.</t>
  </si>
  <si>
    <t>On-the-go consumption (nature)</t>
  </si>
  <si>
    <t>Schultz, P. W.; Bator, R. J.; Large, L. B.; Bruni, C. M.; Tabanico, J. J. Littering in Context. Environ. Behav. 2013, 45 (1), 35–59.</t>
  </si>
  <si>
    <t>Litter in residential environments</t>
  </si>
  <si>
    <t>On-the-go consumption (residential)</t>
  </si>
  <si>
    <t>Private communication City of Geneva</t>
  </si>
  <si>
    <t>Bern</t>
  </si>
  <si>
    <t>Private communication City of Bern</t>
  </si>
  <si>
    <t>Geneva</t>
  </si>
  <si>
    <t>Assume no landfilling in NL</t>
  </si>
  <si>
    <t>Assumed by Kawecki et al. (2019)</t>
  </si>
  <si>
    <t>Mixed waste collection (micro)</t>
  </si>
  <si>
    <t>On-the-go consumption (transport)</t>
  </si>
  <si>
    <t>Proportionality factor from: Schultz, P. W.; Bator, R. J.; Large, L. B.; Bruni, C. M.; Tabanico, J. J. Littering in Context. Environ. Behav. 2013, 45 (1), 35–59.</t>
  </si>
  <si>
    <t>Wet wipes</t>
  </si>
  <si>
    <t>Medicine diffusion limitation (slow release)</t>
  </si>
  <si>
    <t>Assume between 10 and 90% of the rest - 0.1</t>
  </si>
  <si>
    <t>Defined in code</t>
  </si>
  <si>
    <t>Assume between 10 and 90% of the rest - 0.9</t>
  </si>
  <si>
    <t>Natural soil (macro)</t>
  </si>
  <si>
    <t>Rest of 10% to 90% going to mixed waste</t>
  </si>
  <si>
    <t>P. Wesley Schultz; Brown Large, L.; Tabanico, J.; Bruni, C.; Bator, R. Littering Behavior in America: Results of a National Study; 2009</t>
  </si>
  <si>
    <t>Statistic on waterways in Table 7 of the report</t>
  </si>
  <si>
    <t>Medical textiles</t>
  </si>
  <si>
    <t>TNO assumption</t>
  </si>
  <si>
    <t>Mobility textiles</t>
  </si>
  <si>
    <t>Foundation Auto Recycling Switzerland (SARS), Annual Report 2014, 2015</t>
  </si>
  <si>
    <t>Textile coating (discarded)</t>
  </si>
  <si>
    <t>Wang, Y.; Kalinina, A.; Sun, T.; Nowack, B. Probabilistic Modeling of the Flows and Environmental Risks of Nano-Silica. Sci. Total Environ. 2016, 545–546, 67–76.</t>
  </si>
  <si>
    <t>Is based on an assumption in the original paper</t>
  </si>
  <si>
    <t>Hoeke et al.</t>
  </si>
  <si>
    <t>PCCP</t>
  </si>
  <si>
    <t>Technical home textiles</t>
  </si>
  <si>
    <t>Technical home textiles (in use)</t>
  </si>
  <si>
    <t>Lower limit.</t>
  </si>
  <si>
    <t>Upper limit.</t>
  </si>
  <si>
    <t>Statistic on "wedging" in Table 8 of the report</t>
  </si>
  <si>
    <t>Textile coating (in use)</t>
  </si>
  <si>
    <t>Natural soil (micro)</t>
  </si>
  <si>
    <t>Offshore oil &amp; gas applications</t>
  </si>
  <si>
    <t>Wastewater (macro)</t>
  </si>
  <si>
    <t>On-site sewage facility (macro)</t>
  </si>
  <si>
    <t>Dominguez, D.; Diggelmann, V.; Binggeli, S. Élimination Des Composés Traces Organiques Dans Les Stations D’Épuration; 2016; https://www.bafu.admin.ch/dam/bafu/fr/dokumente/wasser/uv-umwelt-vollzug/elimination_von_organischenspurenstoffenbeiabwasseranlagen.pdf.download.pdf/elimination_des_composestracesorganiquesdanslesstationsdepuratio.pdf.</t>
  </si>
  <si>
    <t>Fraction not connected to WWTP, based on the number of inhabitants</t>
  </si>
  <si>
    <t>On-site sewage facility (micro)</t>
  </si>
  <si>
    <t>On-the-go consumption</t>
  </si>
  <si>
    <t>WRAP. Report: Plastic packaging Composition 2011. (2013).</t>
  </si>
  <si>
    <t>Bundesamt für Statistik BFS. Das Kultur- Und Freizeitverhalten in Der Schweiz: Erste Ergebnisse Der Erhebung 2014; 2016.</t>
  </si>
  <si>
    <t>Based on McDonald’s Suisse, Corporate Responsibility Report 2015 McDonald’s Suisse, 2015</t>
  </si>
  <si>
    <t>Based on the proportions of restaurants equipped with a drive-through</t>
  </si>
  <si>
    <t>Schneider, T. Dust and fibers as a cause of indoor environment problems. Scand. J. Work. Environ. Health 10–17 (2008)</t>
  </si>
  <si>
    <t>Including resuspension by activities, home, not standard size, PM10</t>
  </si>
  <si>
    <t>No resuspension, office building, salts &gt;2.5um</t>
  </si>
  <si>
    <t>No resuspension, occupied house, house dust</t>
  </si>
  <si>
    <t>No resuspension, furnished experimental house, 4um aerosol</t>
  </si>
  <si>
    <t>Road side soil (micro)</t>
  </si>
  <si>
    <t>Verschoor 2016</t>
  </si>
  <si>
    <t>Highway ZOAB non cleaned</t>
  </si>
  <si>
    <t>Hoeke, S., Van Wijnen, J., Krikke, H., Löhr, A., Ragas, A.M.J., 2024. Mapping the tire supply chain and its microplastics emissions using a multi-stakeholder approach. Resources, Conservation and Recycling 203, 107389. https://doi.org/10.1016/j.resconrec.</t>
  </si>
  <si>
    <t>Calculated from the given recycling rates, taking into account the assumed sorting losses as given below</t>
  </si>
  <si>
    <t>Bundesamt für Umwelt, ‘Abfallmengen Und Recycling 2014 Im Überblick’, 2015</t>
  </si>
  <si>
    <t>Gouin, T., J. Avalos, I. Brunning, K. Brzuska, J. De Graaf, J. Kaumanns, and others, ‘Use of Micro-Plastic Beads in Cosmetic Products in Europe and Their Estimated Emissions to the North Sea Environment’, SOFW Journal, 141 (2015), 40–46</t>
  </si>
  <si>
    <t>Primary water treatment (macro)</t>
  </si>
  <si>
    <t>Primary water treatment (micro)</t>
  </si>
  <si>
    <t>To Primary Treatment</t>
  </si>
  <si>
    <t>3% is used by hobby gardeners</t>
  </si>
  <si>
    <t>Assumption of worst case scenario, based on private communication with Entsorgung + Recycling Stadt Bern 10.08.2018</t>
  </si>
  <si>
    <t>Assume no landfilling in NL, possible check needed (e.g. landfilling of E0L Rubber granules?</t>
  </si>
  <si>
    <t>New compartment based on micro fraction ending up in mixed waste and not being attributed to micro residential soil</t>
  </si>
  <si>
    <t>Verschoor 2017</t>
  </si>
  <si>
    <t>Assumption that part of the cleaning is water based or rinsed out</t>
  </si>
  <si>
    <t>Road runoff</t>
  </si>
  <si>
    <t>Rural roads</t>
  </si>
  <si>
    <t>Tyre wear</t>
  </si>
  <si>
    <t>Own calculation based on RWS, 2022. Bandenslijtage wegverkeer (No. Versie juli 2022), Emissieschattingen Diffuse bronnen Emissieregistratie.</t>
  </si>
  <si>
    <t>Urban roads</t>
  </si>
  <si>
    <t>assumption based on similar losses estimated for other waste collection systems</t>
  </si>
  <si>
    <t>Secondary water treatment (macro)</t>
  </si>
  <si>
    <t>Fraction going to secondary treatment (0% only treated in primary)</t>
  </si>
  <si>
    <t>Secondary water treatment (micro)</t>
  </si>
  <si>
    <t>Fraction going to secondary treatment</t>
  </si>
  <si>
    <t>Based on private communication with ARA St Gallen</t>
  </si>
  <si>
    <t>Primary treatment retention rate (90% retained after primary and screens)</t>
  </si>
  <si>
    <t>Assume all the large macroplastic is retained in the sludge</t>
  </si>
  <si>
    <t>Murphy, F.; Ewins, C.; Carbonnier, F.; Quinn, B. Wastewater Treatment Works (WwTW) as a Source of Microplastics in the Aquatic Environment. Environ. Sci. Technol. 2016, acs.est.5b05416.</t>
  </si>
  <si>
    <t>Talvitie, J.; Heinonen, M. Preliminary Study on Synthetic Microfibers and Particles at a Municipal Wastewater treatment plant; 2014.</t>
  </si>
  <si>
    <t>Primary treatment retention rate, particle and fibre numbers combined (includes fraction retained by the screens)</t>
  </si>
  <si>
    <t>Based on number concentration before and after "mechanical purification"</t>
  </si>
  <si>
    <t>Based on the number concentration in primary treatment and secondary treatment</t>
  </si>
  <si>
    <t>Secondary treatment retention rate, particle and fibre numbers combined</t>
  </si>
  <si>
    <t>Based on number concentration in secondary treatment and tertiary treatment</t>
  </si>
  <si>
    <t>Worst case scenario</t>
  </si>
  <si>
    <t>Rutsch, Mandy, J. Rieckermann, and P. Krebs, ‘Quantification of Sewer Leakage: A Review’, Water Science and Technology, 54 (2006), 135–44 &lt;http://dx.doi.org/10.2166/wst.2006.616&gt;</t>
  </si>
  <si>
    <t>Fraction of the waste water leaking from pipes during dry weather flow</t>
  </si>
  <si>
    <t>Textile recycling</t>
  </si>
  <si>
    <t>Road side soil (macro)</t>
  </si>
  <si>
    <t>Private communication with Frederic Guhl from FOEN</t>
  </si>
  <si>
    <t>Fraction of the rest goes to surface water (3.22%) --- Needs to be defined in the code by taking into account the complex TC distribution WWTP2 -&gt; sludge</t>
  </si>
  <si>
    <t>Fraction of the rest is going to tertiary treatment (3.22% only treated in secondary treatment)</t>
  </si>
  <si>
    <t>Textile coating</t>
  </si>
  <si>
    <t>Derived from Kawecki and Nowack (2019). See SI for further details. Lower limit (= 0.0004 + (4*0.0025))</t>
  </si>
  <si>
    <t>Derived from Kawecki and Nowack (2019). See SI for further details. Upper limit (= 0.0086 + (4*0.0025))</t>
  </si>
  <si>
    <t>Textile reuse</t>
  </si>
  <si>
    <t>Based on Dettli, Reto, Raphael Fasko, Urban Frei, and Fabienne Habermacher, Transformation Der Abfallverwertung in Der Schweiz Für Eine Hohe Und Zeitlich Optimierte Energieausnutzung, 2015</t>
  </si>
  <si>
    <t xml:space="preserve">Flushing probability </t>
  </si>
  <si>
    <t>Flushing probability</t>
  </si>
  <si>
    <t>Based on Moran, R. E.; Bennett, D. H.; Tancredi, D. J.; Wu, X. M.; Ritz, B.; Hertz-Picciotto, I. Frequency and longitudinal trends of household care product use. Atmos. Environ. 2012, 55, 417–424.</t>
  </si>
  <si>
    <t>Comparing frequency of [dry-mop+sweep+vacuum] and [wet-mop] all populations combined (parents with young children, older adults, women and men)</t>
  </si>
  <si>
    <t>Sea water (micro)</t>
  </si>
  <si>
    <t>Concrete paint (prof)</t>
  </si>
  <si>
    <t>Verschoor et al. (2016)</t>
  </si>
  <si>
    <t>Lacquer (prof)</t>
  </si>
  <si>
    <t>Wood stain (prof)</t>
  </si>
  <si>
    <t>Wall paint (prof)</t>
  </si>
  <si>
    <t>Plaster (prof)</t>
  </si>
  <si>
    <t>Other paint uses (prof)</t>
  </si>
  <si>
    <t>Paints used in pre-made wooden products</t>
  </si>
  <si>
    <t>Lacquer (DIY)</t>
  </si>
  <si>
    <t>Wood stain (DIY)</t>
  </si>
  <si>
    <t>Wall paint (DIY)</t>
  </si>
  <si>
    <t>Plaster (DIY)</t>
  </si>
  <si>
    <t>Other paint uses (DIY)</t>
  </si>
  <si>
    <t>Ship paint (prof)</t>
  </si>
  <si>
    <t>Ship paint (recr)</t>
  </si>
  <si>
    <t>Ship paint (prof) (in use)</t>
  </si>
  <si>
    <t>Ship paint (prof) (discarded)</t>
  </si>
  <si>
    <t>Ship paint (recr) (in use)</t>
  </si>
  <si>
    <t>Ship paint (recr) (discarded)</t>
  </si>
  <si>
    <t>Concrete paint (prof) indoor (discarded)</t>
  </si>
  <si>
    <t>Concrete paint (prof) outdoor</t>
  </si>
  <si>
    <t>Concrete paint (prof) indoor</t>
  </si>
  <si>
    <t>Concrete paint (prof) outdoor (discarded)</t>
  </si>
  <si>
    <t>Concrete paint (prof) outdoor (in use)</t>
  </si>
  <si>
    <t>Concrete paint (prof) indoor (in use)</t>
  </si>
  <si>
    <t>Lacquer (prof) outdoor</t>
  </si>
  <si>
    <t>Lacquer (prof) indoor</t>
  </si>
  <si>
    <t>Lacquer (prof) outdoor (in use)</t>
  </si>
  <si>
    <t>Lacquer (prof) outdoor (discarded)</t>
  </si>
  <si>
    <t>Lacquer (prof) indoor (in use)</t>
  </si>
  <si>
    <t>Lacquer (prof) indoor (discarded)</t>
  </si>
  <si>
    <t>Wood stain (prof) outdoor</t>
  </si>
  <si>
    <t>Wood stain (prof) indoor</t>
  </si>
  <si>
    <t>Other paint uses (DIY) indoor (discarded)</t>
  </si>
  <si>
    <t>Wood stain (prof) outdoor (in use)</t>
  </si>
  <si>
    <t>Wood stain (prof) outdoor (discarded)</t>
  </si>
  <si>
    <t>Wood stain (prof) indoor (in use)</t>
  </si>
  <si>
    <t>Wood stain (prof) indoor (discarded)</t>
  </si>
  <si>
    <t>Wall paint (prof) outdoor</t>
  </si>
  <si>
    <t>Wall paint (prof) indoor</t>
  </si>
  <si>
    <t>Other paint uses (DIY) outdoor (discarded)</t>
  </si>
  <si>
    <t>Wall paint (prof) outdoor (in use)</t>
  </si>
  <si>
    <t>Wall paint (prof) outdoor (discarded)</t>
  </si>
  <si>
    <t>Wall paint (prof) indoor (in use)</t>
  </si>
  <si>
    <t>Wall paint (prof) indoor (discarded)</t>
  </si>
  <si>
    <t>Other paint uses (prof) indoor (discarded)</t>
  </si>
  <si>
    <t>Plaster (prof) outdoor</t>
  </si>
  <si>
    <t>Plaster (prof) indoor</t>
  </si>
  <si>
    <t>Other paint uses (prof) outdoor (discarded)</t>
  </si>
  <si>
    <t>Plaster (prof) outdoor (in use)</t>
  </si>
  <si>
    <t>Plaster (prof) outdoor (discarded)</t>
  </si>
  <si>
    <t>Plaster (prof) indoor (in use)</t>
  </si>
  <si>
    <t>Plaster (prof) indoor (discarded)</t>
  </si>
  <si>
    <t>Other paint uses (prof) outdoor</t>
  </si>
  <si>
    <t>Other paint uses (prof) indoor</t>
  </si>
  <si>
    <t>Other paint uses (prof) outdoor (in use)</t>
  </si>
  <si>
    <t>Other paint uses (prof) indoor (in use)</t>
  </si>
  <si>
    <t>Paints used in pre-made wooden products indoor (discarded)</t>
  </si>
  <si>
    <t>Paints used in pre-made wooden products outdoor (discarded)</t>
  </si>
  <si>
    <t>Paints used in pre-made wooden products outdoor</t>
  </si>
  <si>
    <t>Paints used in pre-made wooden products indoor</t>
  </si>
  <si>
    <t>Paints used in pre-made wooden products outdoor (in use)</t>
  </si>
  <si>
    <t>Paints used in pre-made wooden products indoor (in use)</t>
  </si>
  <si>
    <t>Lacquer (DIY) outdoor</t>
  </si>
  <si>
    <t>Lacquer (DIY) indoor</t>
  </si>
  <si>
    <t>Lacquer (DIY) outdoor (in use)</t>
  </si>
  <si>
    <t>Lacquer (DIY) outdoor (discarded)</t>
  </si>
  <si>
    <t>Lacquer (DIY) indoor (in use)</t>
  </si>
  <si>
    <t>Lacquer (DIY) indoor (discarded)</t>
  </si>
  <si>
    <t>Wood stain (DIY) outdoor</t>
  </si>
  <si>
    <t>Wood stain (DIY) indoor</t>
  </si>
  <si>
    <t>Wood stain (DIY) outdoor (in use)</t>
  </si>
  <si>
    <t>Wood stain (DIY) outdoor (discarded)</t>
  </si>
  <si>
    <t>Wood stain (DIY) indoor (in use)</t>
  </si>
  <si>
    <t>Wood stain (DIY) indoor (discarded)</t>
  </si>
  <si>
    <t>Wall paint (DIY) outdoor</t>
  </si>
  <si>
    <t>Wall paint (DIY) indoor</t>
  </si>
  <si>
    <t>Wall paint (DIY) indoor applied (discarded)</t>
  </si>
  <si>
    <t>Wall paint (DIY) outdoor (in use)</t>
  </si>
  <si>
    <t>Wall paint (DIY) outdoor (discarded)</t>
  </si>
  <si>
    <t>Wall paint (DIY) indoor applied</t>
  </si>
  <si>
    <t>Wall paint (DIY) indoor on brush</t>
  </si>
  <si>
    <t>Wall paint (DIY) indoor applied (in use)</t>
  </si>
  <si>
    <t>Plaster (DIY) outdoor</t>
  </si>
  <si>
    <t>Plaster (DIY) indoor</t>
  </si>
  <si>
    <t>Plaster (DIY) outdoor (in use)</t>
  </si>
  <si>
    <t>Plaster (DIY) outdoor (discarded)</t>
  </si>
  <si>
    <t>Plaster (DIY) indoor (in use)</t>
  </si>
  <si>
    <t>Plaster (DIY) indoor (discarded)</t>
  </si>
  <si>
    <t>Other paint uses (DIY) outdoor</t>
  </si>
  <si>
    <t>Other paint uses (DIY) indoor</t>
  </si>
  <si>
    <t>Other paint uses (DIY) outdoor (in use)</t>
  </si>
  <si>
    <t>Other paint uses (DIY) indoor (in use)</t>
  </si>
  <si>
    <t>Pellet losses at production</t>
  </si>
  <si>
    <t>Input values</t>
  </si>
  <si>
    <t>Production</t>
  </si>
  <si>
    <t>Import</t>
  </si>
  <si>
    <t>Use</t>
  </si>
  <si>
    <t>TC export</t>
  </si>
  <si>
    <t>TC use</t>
  </si>
  <si>
    <t>Calculation based on CSB import/export/production data - TC pellet losses transport land</t>
  </si>
  <si>
    <t>For year 2019</t>
  </si>
  <si>
    <t>Extra information</t>
  </si>
  <si>
    <t xml:space="preserve">GN codes represent product categories, in this case primary forms of polymers. The number represent the fraction of the material in each category. </t>
  </si>
  <si>
    <t>GN code</t>
  </si>
  <si>
    <t>Comment</t>
  </si>
  <si>
    <t>390110</t>
  </si>
  <si>
    <t>390120</t>
  </si>
  <si>
    <t>390130</t>
  </si>
  <si>
    <t>From prodcom names</t>
  </si>
  <si>
    <t>RIVM</t>
  </si>
  <si>
    <t>390140</t>
  </si>
  <si>
    <t>390210</t>
  </si>
  <si>
    <t>390220</t>
  </si>
  <si>
    <t>390311</t>
  </si>
  <si>
    <t>390319</t>
  </si>
  <si>
    <t>390320</t>
  </si>
  <si>
    <t>390330</t>
  </si>
  <si>
    <t>Liu and Nowack (2022)</t>
  </si>
  <si>
    <t>390390</t>
  </si>
  <si>
    <t>390410</t>
  </si>
  <si>
    <t>390421</t>
  </si>
  <si>
    <t>Private com. A. Sevenster</t>
  </si>
  <si>
    <t>390422</t>
  </si>
  <si>
    <t>390430</t>
  </si>
  <si>
    <t>390450</t>
  </si>
  <si>
    <t>390461</t>
  </si>
  <si>
    <t>390512</t>
  </si>
  <si>
    <t>390519</t>
  </si>
  <si>
    <t>390530</t>
  </si>
  <si>
    <t>390610</t>
  </si>
  <si>
    <t>390690</t>
  </si>
  <si>
    <t>390710</t>
  </si>
  <si>
    <t>390721</t>
  </si>
  <si>
    <t>390729</t>
  </si>
  <si>
    <t>390730</t>
  </si>
  <si>
    <t>390740</t>
  </si>
  <si>
    <t>390750</t>
  </si>
  <si>
    <t>390761</t>
  </si>
  <si>
    <t>390769</t>
  </si>
  <si>
    <t>390770</t>
  </si>
  <si>
    <t>390791</t>
  </si>
  <si>
    <t>390810</t>
  </si>
  <si>
    <t>390890</t>
  </si>
  <si>
    <t>390940</t>
  </si>
  <si>
    <t>390950</t>
  </si>
  <si>
    <t>391110</t>
  </si>
  <si>
    <t xml:space="preserve">The table below was used to match Prodcom codes to GN codes. Both are a different way of identifying product categories. An x in the last column means this category was not taken into account (because the polymer is not synthetic). </t>
  </si>
  <si>
    <t>Prodcom code</t>
  </si>
  <si>
    <t>Prodcom name CBS</t>
  </si>
  <si>
    <t>Prodcom name</t>
  </si>
  <si>
    <t>GN name</t>
  </si>
  <si>
    <t>GN 6</t>
  </si>
  <si>
    <t>Polymer</t>
  </si>
  <si>
    <t>20.16.10.35</t>
  </si>
  <si>
    <t>Lineair polyethyleen met een relatieve dichtheid &lt; 0,94, in primaire vormen</t>
  </si>
  <si>
    <t>Linear polyethylene having a specific gravity &lt; 0,94, in primary forms</t>
  </si>
  <si>
    <t>Polyethyleen, lineair, met een relatieve dichtheid van &lt; 0,94, in primaire vormen</t>
  </si>
  <si>
    <t>20.16.10.39</t>
  </si>
  <si>
    <t>Polyethyleen met een relatieve dichtheid &lt; 0,94, in primaire vormen (excl. lineair polyethyleen)</t>
  </si>
  <si>
    <t>Polyethylene having a specific gravity &lt; 0,94, in primary forms (excluding linear)</t>
  </si>
  <si>
    <t>Polyethyleen met een relatieve dichtheid van &lt; 0,94, in primaire vormen (m.u.v. lineair polyethyleen)</t>
  </si>
  <si>
    <t>20.16.10.50</t>
  </si>
  <si>
    <t>Polyethyleen met een relatieve dichtheid ≥ 0,94, in primaire vormen</t>
  </si>
  <si>
    <t>Polyethylene having a specific gravity of &gt;= 0,94, in primary forms</t>
  </si>
  <si>
    <t>Polyethyleen in blokken in onregelmatige vorm, stukken, klonters, poeder, korrels, vlokken e.d., met een relatieve dichtheid van &gt;= 0,958 bij 23°C, bevattende &lt;= 50 mg/kg aluminium, &lt;= 2 mg/kg kalium, &lt;= 2 mg/kg chroom, &lt;= 2 mg/kg ijzer, &lt;= 2 mg/kg nikkel</t>
  </si>
  <si>
    <t>20.16.10.70</t>
  </si>
  <si>
    <t>Copolymeren van ethyleen en vinylacetaat, in primaire vormen</t>
  </si>
  <si>
    <t>Ethylene-vinyl acetate copolymers, in primary forms</t>
  </si>
  <si>
    <t>Copolymeren van ethyleen en vinylacetaat in primaire vormen</t>
  </si>
  <si>
    <t>20.16.10.90</t>
  </si>
  <si>
    <t>Polymeren van ethyleen, in primaire vormen (excl. polyethyleen en copolymeren van ethyleen en vinylacetaat)</t>
  </si>
  <si>
    <t>Polymers of ethylene, in primary forms (excluding polyethylene, ethylene-vinyl acetate copolymers)</t>
  </si>
  <si>
    <t>Copolymeren van ethyleen en alfa-olefine, met een relatieve dichtheid van minder dan 0,94, in primaire vormen</t>
  </si>
  <si>
    <t>20.16.51.30</t>
  </si>
  <si>
    <t>Polypropyleen in primaire vormen</t>
  </si>
  <si>
    <t>Polypropylene, in primary forms</t>
  </si>
  <si>
    <t>20.16.51.50</t>
  </si>
  <si>
    <t>Polymeren van propyleen of van andere olefinen, in primaire vormen (excl. polypropyleen)</t>
  </si>
  <si>
    <t>Polymers of propylene or of other olefins, in primary forms (excluding polypropylene)</t>
  </si>
  <si>
    <t>Polyisobutyleen in primaire vormen</t>
  </si>
  <si>
    <t>20.16.20.35</t>
  </si>
  <si>
    <t>Expandeerbaar polystyreen, in primaire vormen</t>
  </si>
  <si>
    <t>Expansible polystyrene, in primary forms</t>
  </si>
  <si>
    <t>Polystyreen in primaire vormen, expandeerbaar</t>
  </si>
  <si>
    <t>20.16.20.39</t>
  </si>
  <si>
    <t>Polystyreen in primaire vormen (excl. expandeerbaar polystyreen)</t>
  </si>
  <si>
    <t>Polystyrene, in primary forms (excluding expansible polystyrene)</t>
  </si>
  <si>
    <t>Polystyreen in primaire vormen (m.u.v. expandeerbaar polystyreen)</t>
  </si>
  <si>
    <t>20.16.20.50</t>
  </si>
  <si>
    <t>Copolymeren van styreen en acrylonitril (SAN), in primaire vormen</t>
  </si>
  <si>
    <t>Styrene-acrylonitrile (SAN) copolymers, in primary forms</t>
  </si>
  <si>
    <t>Copolymeren van styreen en acrylonitrol "SAN", in primaire vormen</t>
  </si>
  <si>
    <t>20.16.20.70</t>
  </si>
  <si>
    <t>Copolymeren van acrylonitril, butadieen en styreen (ABS), in primaire vormen</t>
  </si>
  <si>
    <t>Acrylonitrile-butadiene-styrene (ABS) copolymers, in primary forms</t>
  </si>
  <si>
    <t>Copolymeren van acrylonitrol, butadieen en styreen "ABS", in primaire vormen</t>
  </si>
  <si>
    <t>20.16.20.90</t>
  </si>
  <si>
    <t>Polymeren van styreen, in primaire vormen (excl. polystyreen, copolymeren van styreen en acrylonitril (SAN) en copolymeren van acrylonitril, butadieen en styreen (ABS))</t>
  </si>
  <si>
    <t>Polymers of styrene, in primary forms (excluding polystyrene, styrene-acrylonitrile (SAN) copolymers, acrylonitrile-butadiene-styrene (ABS) copolymers)</t>
  </si>
  <si>
    <t>Copolymeren enkel van allylalcohol met styreen, met een acetylgetal van &gt;= 175, in primaire vormen</t>
  </si>
  <si>
    <t>20.16.30.10</t>
  </si>
  <si>
    <t>Poly(vinylchloride), niet gemengd met andere zelfstandigheden, in primaire vormen</t>
  </si>
  <si>
    <t>Polyvinyl chloride, not mixed with any other substances, in primary forms</t>
  </si>
  <si>
    <t>Poly"vinylchloride", tenzij gemengd met andere zelfstandigheden, in primaire vormen</t>
  </si>
  <si>
    <t>20.16.30.23</t>
  </si>
  <si>
    <t>Polyvinylchloride zonder weekmakers, in primaire vormen</t>
  </si>
  <si>
    <t>Non-plasticised polyvinyl chloride mixed with any other substance, in primary forms</t>
  </si>
  <si>
    <t>Poly"vinylchloride", gemengd met andere zelfstandigheden, in primaire vormen, geen weekmakers bevattend</t>
  </si>
  <si>
    <t>20.16.30.25</t>
  </si>
  <si>
    <t>Polyvinylchloride met weekmakers, in primaire vormen</t>
  </si>
  <si>
    <t>Plasticised polyvinyl chloride mixed with any other substance, in primary forms</t>
  </si>
  <si>
    <t>Poly"vinylchloride", gemengd met andere zelfstandigheden, in primaire vormen, weekmakers bevattend</t>
  </si>
  <si>
    <t>20.16.30.40</t>
  </si>
  <si>
    <t>Copolymeren van vinylchloride en vinylacetaat en andere copolymeren van vinylchloride, in primaire vormen</t>
  </si>
  <si>
    <t>Vinyl chloride-vinyl acetate copolymers and other vinyl chloride copolymers, in primary forms</t>
  </si>
  <si>
    <t>Copolymeren van vinylchloride en vinylacetaat, in primaire vormen</t>
  </si>
  <si>
    <t>20.16.30.90</t>
  </si>
  <si>
    <t>Polymeren van halogeenolefinen, in primaire vormen, n.e.g.</t>
  </si>
  <si>
    <t>Polymers of halogenated olefins, in primary forms, n.e.c.</t>
  </si>
  <si>
    <t>Copolymeren van vinylideenchloride en acrylonitril, in de vorm van expandeerbare bolletjes met een diameter van &gt;= 4 doch &lt;= 20 micrometer</t>
  </si>
  <si>
    <t>20.16.30.60</t>
  </si>
  <si>
    <t>Fluorhoudende polymeren</t>
  </si>
  <si>
    <t>Polytetrafluorethyleen, in primaire vormen</t>
  </si>
  <si>
    <t>20.16.52.30</t>
  </si>
  <si>
    <t>Polymeren van vinylacetaat, in waterige dispersie, in primaire vormen</t>
  </si>
  <si>
    <t>Polymers of vinyl acetate, in aqueous dispersion, in primary forms</t>
  </si>
  <si>
    <t>Poly"vinylacetaat" in waterige dispersie</t>
  </si>
  <si>
    <t>20.16.52.50</t>
  </si>
  <si>
    <t>Polymeren van vinylacetaat, in primaire vormen (excl. in waterige dispersie)</t>
  </si>
  <si>
    <t>Polymers of vinyl acetate, in primary forms (excluding in aqueous dispersion)</t>
  </si>
  <si>
    <t>Poly"vinylacetaat" in primaire vormen (m.u.v. dat in waterige dispersie)</t>
  </si>
  <si>
    <t>20.16.52.70</t>
  </si>
  <si>
    <t>Polymeren van vinylesters en andere vinylpolymeren, in primaire vormen (excl. vinylacetaat)</t>
  </si>
  <si>
    <t>Polymers of vinyl esters or other vinyl polymers, in primary forms (excluding vinyl acetate)</t>
  </si>
  <si>
    <t>Poly"vinylalcohol", ook indien niet-gehydrolyseerde acetaatgroepen bevattend, in primaire vormen</t>
  </si>
  <si>
    <t>20.16.53.50</t>
  </si>
  <si>
    <t>Poly(methylmethacrylaat) in primaire vormen</t>
  </si>
  <si>
    <t>Polymethyl methacrylate, in primary forms</t>
  </si>
  <si>
    <t>Poly"methylmethacrylaat", in primaire vormen</t>
  </si>
  <si>
    <t>20.16.53.90</t>
  </si>
  <si>
    <t>Acrylpolymeren in primaire vormen (excl. poly(methylmethacrylaat))</t>
  </si>
  <si>
    <t>Acrylic polymers, in primary forms (excluding polymethyl methacrylate)</t>
  </si>
  <si>
    <t>Poly[N-"3-hydroxyimino-1,1-dimethylbutyl"acrylamide], in primaire vormen</t>
  </si>
  <si>
    <t>20.16.40.13</t>
  </si>
  <si>
    <t>Polyacetalen in primaire vormen</t>
  </si>
  <si>
    <t>Polyacetals, in primary forms</t>
  </si>
  <si>
    <t>20.16.40.15</t>
  </si>
  <si>
    <t>Polyethyleenglycolen en andere polyetheralcoholen, in primaire vormen</t>
  </si>
  <si>
    <t>Polyethylene glycols and other polyether alcohols, in primary forms</t>
  </si>
  <si>
    <t>Bis(polyoxyethyleen) methylfosfonaat, in primaire vormen</t>
  </si>
  <si>
    <t>20.16.40.20</t>
  </si>
  <si>
    <t>Polyethers in primaire vormen (excl. polyacetalen en polyetheralcoholen)</t>
  </si>
  <si>
    <t>Polyethers, in primary forms (excluding polyacetals, polyether alcohols)</t>
  </si>
  <si>
    <t>Copolymeer van 1-chloor-2,3-epoxypropaan en ethyleenoxide, in primaire vormen</t>
  </si>
  <si>
    <t>20.16.40.30</t>
  </si>
  <si>
    <t>Epoxyharsen in primaire vormen</t>
  </si>
  <si>
    <t>Epoxide resins, in primary forms</t>
  </si>
  <si>
    <t>20.16.40.40</t>
  </si>
  <si>
    <t>Polycarbonaten in primaire vormen</t>
  </si>
  <si>
    <t>Polycarbonates, in primary forms</t>
  </si>
  <si>
    <t>20.16.40.50</t>
  </si>
  <si>
    <t>Alkydharsen in primaire vormen</t>
  </si>
  <si>
    <t>Alkyd resins, in primary forms</t>
  </si>
  <si>
    <t>20.16.40.62</t>
  </si>
  <si>
    <t>Poly(ethyleentereftalaat) in primaire vormen, met een viscositeitsgetal ≥ 78 ml/g</t>
  </si>
  <si>
    <t>Polyethylene terephthalate in primary forms having a viscosity number of &gt;= 78 ml/g</t>
  </si>
  <si>
    <t>Poly"ethyleentereftalaat" in primaire vormen, met een viscositeitsgetal van &gt;= 78 ml/g</t>
  </si>
  <si>
    <t>20.16.40.64</t>
  </si>
  <si>
    <t>Ander poly(ethyleentereftalaat) in primaire vormen</t>
  </si>
  <si>
    <t>Other polyethylene terephthalate in primary forms</t>
  </si>
  <si>
    <t>Poly"ethyleentereftalaat" in primaire vormen, met een viscositeitsgetal van &lt; 78 ml/g</t>
  </si>
  <si>
    <t>20.16.40.90</t>
  </si>
  <si>
    <t>Polyesters in primaire vormen (excl. polyacetalen, polyethers, epoxyharsen, polycarbonaten, alkydharsen, poly(ethyleentereftalaat), andere onverzadigde polyesters)</t>
  </si>
  <si>
    <t>Polyesters, in primary forms (excluding polyacetals, polyethers, epoxide resins, polycarbonates, alkyd resins, polyethylene terephthalate, other unsaturated polyesters)</t>
  </si>
  <si>
    <t>Poly(melkzuur) in primaire vormen</t>
  </si>
  <si>
    <t>20.16.40.70</t>
  </si>
  <si>
    <t>Vloeibare onverzadigde polyesters, in primaire vormen (excl. polyacetalen, polyethers, epoxyharsen, polycarbonaten, alkydharsen, poly(ethyleentereftalaat))</t>
  </si>
  <si>
    <t>Unsaturated liquid polyesters, in primary forms (excluding polyacetals, polyethers, epoxide resins, polycarbonates, alkyd resins, polyethylene terephthalate)</t>
  </si>
  <si>
    <t>Polyallylesters en andere polyesters, onverzadigd, vloeibaar, in primaire vormen (m.u.v. polycarbonaten, alkydharsen en poly"ethyleentereftalaat")</t>
  </si>
  <si>
    <t>20.16.40.80</t>
  </si>
  <si>
    <t>Onverzadigde polyesters in primaire vormen (excl. vloeibare polyesters, polyacetalen, polyethers, epoxyharsen, polycarbonaten, alkydharsen, poly(ethyleentereftalaat))</t>
  </si>
  <si>
    <t>Unsaturated polyesters, in primary forms (excluding liquid polyesters, polyacetals, polyethers, epoxide resins, polycarbonates, alkyd resins, polyethylene terephthalate)</t>
  </si>
  <si>
    <t>Polyallylesters en andere polyesters, onverzadigd, in primaire vormen (m.u.v. vloeibare polyesters en polycarbonaten, alkydharsen en poly"ethyleentereftalaat")</t>
  </si>
  <si>
    <t>20.16.54.50</t>
  </si>
  <si>
    <t>Polyamide-6, -11, -12, -6,6, -6,9, -6,10 of -6,12, in primaire vormen</t>
  </si>
  <si>
    <t>Polyamide -6, -11, -12, -6,6, -6,9, -6,10 or -6,12, in primary forms</t>
  </si>
  <si>
    <t>Polyamide-6, -11, -12, -6,6, -6,9, -6,10 of -6,12 in primaire vormen</t>
  </si>
  <si>
    <t>20.16.54.90</t>
  </si>
  <si>
    <t>Polyamiden, in primaire vormen (excl. polyamide-6, -11, -12, -6,6, -6,9, -6,10 of -6,12)</t>
  </si>
  <si>
    <t>Polyamides, in primary forms (excluding polyamide -6, -11, -12, -6,6, -6,9, -6,10 or -6,12)</t>
  </si>
  <si>
    <t>Polyamide in primaire vormen (m.u.v. polyamide-6, -11, -12, -6,6, -6,9, -6,10 of -6,12)</t>
  </si>
  <si>
    <t>20.16.55.50</t>
  </si>
  <si>
    <t>Ureumharsen en thio-ureumharsen, in primaire vormen</t>
  </si>
  <si>
    <t>Urea resins and thiourea resins, in primary forms</t>
  </si>
  <si>
    <t>Ureumharsen, incl. thio-ureumharsen, in primaire vormen</t>
  </si>
  <si>
    <t>20.16.55.70</t>
  </si>
  <si>
    <t>Melamineharsen in primaire vormen</t>
  </si>
  <si>
    <t>Melamine resins, in primary forms</t>
  </si>
  <si>
    <t>20.16.56.30</t>
  </si>
  <si>
    <t>Aminoharsen in primaire vormen (excl. ureumharsen, thio-ureumharsen en melamineharsen)</t>
  </si>
  <si>
    <t>Amino resins, in primary forms (excluding urea and thiourea resins, melamine resins)</t>
  </si>
  <si>
    <t>Poly(methyleenfenylisocyanaat) (ruw MDI, polymerisch MDI), in primaire vormen</t>
  </si>
  <si>
    <t>20.16.56.50</t>
  </si>
  <si>
    <t>Fenolharsen in primaire vormen</t>
  </si>
  <si>
    <t>Phenolic resins, in primary forms</t>
  </si>
  <si>
    <t>20.16.56.70</t>
  </si>
  <si>
    <t>Polyurethanen in primaire vormen</t>
  </si>
  <si>
    <t>Polyurethanes, in primary forms</t>
  </si>
  <si>
    <t>Polyurethaan vervaardigd van 2,2'-"tert-butylimino"diëthanol en 4,4'-methyleendicyclohexyldiisocyanaat, opgelost in N,N-dimethylaceetamide, met een gehalte aan polymeer van &gt;= 50 gewichtspercenten</t>
  </si>
  <si>
    <t>20.16.57.00</t>
  </si>
  <si>
    <t>Siliconen in primaire vormen</t>
  </si>
  <si>
    <t>Silicones, in primary forms</t>
  </si>
  <si>
    <t>20.16.59.20</t>
  </si>
  <si>
    <t>Petroleumharsen, cumaronindeenharsen, polyterpenen, polysulfiden, polysulfonen enz., n.e.g., in primaire vormen</t>
  </si>
  <si>
    <t>Petroleum resins, coumarone-indene resins, polyterpenes, polysulphides, polysulphones, etc., n.e.c., in primary forms</t>
  </si>
  <si>
    <t>Petroleumharsen, cumaronharsen, indeenharsen of cumaronindeenharsen en polyterpenen, in primaire vormen</t>
  </si>
  <si>
    <t>20.16.59.50</t>
  </si>
  <si>
    <t>Cellulose en chemische derivaten daarvan, in primaire vormen, excl natriumcarboxymethylcellulose en n.e.g.</t>
  </si>
  <si>
    <t>Cellulose and its chemical derivatives, n.e.c., in primary forms</t>
  </si>
  <si>
    <t>Celluloseacetaten, zonder weekmakers, in primaire vormen</t>
  </si>
  <si>
    <t>20.16.59.45</t>
  </si>
  <si>
    <t>Natriumcarboxymethylcellulose</t>
  </si>
  <si>
    <t>Carboxymethylcellulose en zouten daarvan, in primaire vormen</t>
  </si>
  <si>
    <t>20.16.59.55</t>
  </si>
  <si>
    <t>Natuurlijke polymeren en gewijzigde natuurlijke polymeren, elders genoemd noch elders onder begrepen, in primaire vormen. Alginezuur, alsmede zouten en esters daarvan</t>
  </si>
  <si>
    <t>Alginezuur, alsmede zouten en esters daarvan, in primaire vormen</t>
  </si>
  <si>
    <t>20.16.59.65</t>
  </si>
  <si>
    <t>Natuurlijke polymeren en gewijzigde natuurlijke polymeren, bv. geharde proteïnen, chemische derivaten van natuurlijke rubber, n.e.g., in primaire vormen (m.u.v. alginezuur, alsmede zouten en esters daarvan)</t>
  </si>
  <si>
    <t>Natural and modified natural polymers, in primary forms (including alginic acid, hardened proteins, chemical derivatives of natural rubber)</t>
  </si>
  <si>
    <t>Polymeren, natuurlijk en gewijzigde natuurlijke polymeren, b.v. geharde proteïnen, chemische derivaten van natuurlijke rubber, n.e.g., in primaire vormen (m.u.v. alginezuur, alsmede zouten en esters daarvan)</t>
  </si>
  <si>
    <t>20.16.59.70</t>
  </si>
  <si>
    <t>Ionenwisselaars op basis van synthetische of natuurlijke polymeren, in primaore vormen</t>
  </si>
  <si>
    <t>Ion-exchangers based on synthetic or natural polymers, in primary forms</t>
  </si>
  <si>
    <t>Ionenwisselaars van polymeren bedoeld bij de posten 3901 tot en met 3913 in primaire vormen</t>
  </si>
  <si>
    <t>Input NL consumption</t>
  </si>
  <si>
    <t>Copied from TC_Urban_Rural_highway_NL.csv</t>
  </si>
  <si>
    <t>Jaar</t>
  </si>
  <si>
    <t>Type weg</t>
  </si>
  <si>
    <t>TWP_total</t>
  </si>
  <si>
    <t>Statistic</t>
  </si>
  <si>
    <t>TWP_RoadType</t>
  </si>
  <si>
    <t>TC_RoadType</t>
  </si>
  <si>
    <t>Input Tyre Wear (kt)</t>
  </si>
  <si>
    <t>Autosnelwegen</t>
  </si>
  <si>
    <t>Low</t>
  </si>
  <si>
    <t>Average - Own calculation based on RWS, 2022. Bandenslijtage wegverkeer (No. Versie juli 2022), Emissieschattingen Diffuse bronnen Emissieregistratie.</t>
  </si>
  <si>
    <t>Average</t>
  </si>
  <si>
    <t>High</t>
  </si>
  <si>
    <t>Bebouwde kom</t>
  </si>
  <si>
    <t>Landelijke wegen</t>
  </si>
  <si>
    <t>LOW - Own calculation based on RWS, 2022. Bandenslijtage wegverkeer (No. Versie juli 2022), Emissieschattingen Diffuse bronnen Emissieregistratie.</t>
  </si>
  <si>
    <t>HIGH - Own calculation based on RWS, 2022. Bandenslijtage wegverkeer (No. Versie juli 2022), Emissieschattingen Diffuse bronnen Emissieregistratie.</t>
  </si>
  <si>
    <t>Input EU consumption</t>
  </si>
  <si>
    <t>AVG - Scaling from NL to EU using population</t>
  </si>
  <si>
    <t>LOW - Scaling from NL to EU using population</t>
  </si>
  <si>
    <t>HIGH - Scaling from NL to EU using population</t>
  </si>
  <si>
    <t>Rubber</t>
  </si>
  <si>
    <t>CBS data, see RWS, 2022.</t>
  </si>
  <si>
    <t>Assumption: Same as NL</t>
  </si>
  <si>
    <t>Capture in ZOAB</t>
  </si>
  <si>
    <t>To environmental compartments and waste handling</t>
  </si>
  <si>
    <t>Road runoff only for Urban situation (WWTP etc.)</t>
  </si>
  <si>
    <t>*potentially overestimting waste water treatment</t>
  </si>
  <si>
    <t>Transfer due to traffic induced turbulence</t>
  </si>
  <si>
    <t>Fraction going to combined sewer</t>
  </si>
  <si>
    <t>Fraction going to seperate sewer (strom water)</t>
  </si>
  <si>
    <t>Polymer content</t>
  </si>
  <si>
    <t>Polymer fractions</t>
  </si>
  <si>
    <t>Input</t>
  </si>
  <si>
    <t>What</t>
  </si>
  <si>
    <t>Paint mass (kt)</t>
  </si>
  <si>
    <t>Domestic paint sales</t>
  </si>
  <si>
    <t>VVVF Jaaroverzicht</t>
  </si>
  <si>
    <t>reported in Verschoor et al. 2016</t>
  </si>
  <si>
    <t>VVVF Jaaroverzicht 2017</t>
  </si>
  <si>
    <t>https://issuu.com/vvvf/docs/vvvf_jaaroverzicht2017_webversie</t>
  </si>
  <si>
    <t>VVVF Jaaroverzicht 2018</t>
  </si>
  <si>
    <t>VVVF Jaaroverzicht PDF Gratis download (docplayer.nl)</t>
  </si>
  <si>
    <t>VVVF Jaaroverzicht 2019</t>
  </si>
  <si>
    <t>https://docplayer.nl/189357972-2019-verf-en-drukinktindustrie-sector-ketens.html</t>
  </si>
  <si>
    <t>VVVF Jaaroverzicht 2022</t>
  </si>
  <si>
    <t>https://www.vvvf.nl/stream/jaaroverzicht-vvvf-in-2022</t>
  </si>
  <si>
    <t>Transfer coefficient</t>
  </si>
  <si>
    <t>Included in our model?</t>
  </si>
  <si>
    <t>Professional building and construction</t>
  </si>
  <si>
    <t>Figure 3 from Verschoor et al. (2016)</t>
  </si>
  <si>
    <t>yes</t>
  </si>
  <si>
    <t>DIY sector</t>
  </si>
  <si>
    <t>Ship building and maintenance</t>
  </si>
  <si>
    <t>Industry</t>
  </si>
  <si>
    <t>no</t>
  </si>
  <si>
    <t>Steel preservation</t>
  </si>
  <si>
    <t>Car repair</t>
  </si>
  <si>
    <t>No data available for division among different paint types, therefore we assumed equal distribution</t>
  </si>
  <si>
    <t>Paint used in pre-made wooden products</t>
  </si>
  <si>
    <t>Mass of microplastics (kt)</t>
  </si>
  <si>
    <t>Microplastic content in concrete paint (prof)</t>
  </si>
  <si>
    <t>Table 8 from Verschoor et al. (2016)</t>
  </si>
  <si>
    <t>Microplastic content in lacquer (prof)</t>
  </si>
  <si>
    <t>Microplastic content in wood stain (prof)</t>
  </si>
  <si>
    <t>Microplastic content in wall paint (prof)</t>
  </si>
  <si>
    <t>Microplastic content in plaster (prof)</t>
  </si>
  <si>
    <t>Microplastic content in other paint uses (prof)</t>
  </si>
  <si>
    <t>Microplastic content in paint used in pre-made wooden products</t>
  </si>
  <si>
    <t>Microplastic content in lacquer (DIY)</t>
  </si>
  <si>
    <t>Microplastic content in wood stain (DIY)</t>
  </si>
  <si>
    <t>Microplastic content in wall paint (DIY)</t>
  </si>
  <si>
    <t>Microplastic content in plaster (DIY)</t>
  </si>
  <si>
    <t>Microplastic content in other paint uses (DIY)</t>
  </si>
  <si>
    <t>Microplastic content in ship paint (prof)</t>
  </si>
  <si>
    <t>Microplastic content in Ship paint (recr)</t>
  </si>
  <si>
    <t>Input NL</t>
  </si>
  <si>
    <t>Input EU</t>
  </si>
  <si>
    <t>Transfer coefficients (NL)</t>
  </si>
  <si>
    <t>1% wear of professional ship paint (Ef_wear in Table 13)</t>
  </si>
  <si>
    <t>Assume 100% of the microplastic emissions due to wear go to surface water</t>
  </si>
  <si>
    <t>1% wear of recreational ship paint (Ef_wear in Table 13)</t>
  </si>
  <si>
    <t>1% of microplastic emissions during removal/maintainace professional ship paint (Overall EF in Table 12)</t>
  </si>
  <si>
    <t>5% of microplastic emissions during removal/maintainace recreational ship paint (Overall EF in Table 12)</t>
  </si>
  <si>
    <t>97% of the paint is used, of which 50% outdoor (f_used * f_exterior in Table 8)</t>
  </si>
  <si>
    <t>97% of the paint is used, of which 50% indoor (f_used * (1 - f_exterior) in Table 8)</t>
  </si>
  <si>
    <t>3% of the paint is not used and remains in the paint can ((1 - f _used) in Table 8)</t>
  </si>
  <si>
    <t>3% wear loss (EF_wear in Table 8)</t>
  </si>
  <si>
    <t>Assume that wear of indoor paint is 10x lower than of outdoor paint (0.1*0.03)</t>
  </si>
  <si>
    <t>Assume 100% of the microplastic emissions due to wear go to indoor air</t>
  </si>
  <si>
    <t>0% of microplastic emissions during removal/maintainance of indoor paint, of which we assume 100% to indoor air (EF_removal in Table 8)</t>
  </si>
  <si>
    <t>97% of the paint is used, of which 40% outdoor (f_used * f_exterior in Table 8)</t>
  </si>
  <si>
    <t>97% of the paint is used, of which 60% indoor (f_used * (1 - f_exterior) in Table 8)</t>
  </si>
  <si>
    <t>3.2% of microplastic emissions during removal/maintainance of indoor paint, of which we assume 100% to indoor air (EF_removal in Table 8)</t>
  </si>
  <si>
    <t>97% of the paint is used, of which 25% outdoor (f_used * f_exterior in Table 8)</t>
  </si>
  <si>
    <t>97% of the paint is used, of which 75% indoor (f_used * (1 - f_exterior) in Table 8)</t>
  </si>
  <si>
    <t>97% of the paint is used, of which 7% outdoor (f_used * f_exterior in Table 8)</t>
  </si>
  <si>
    <t>97% of the paint is used, of which 94% indoor (f_used * (1 - f_exterior) in Table 8)</t>
  </si>
  <si>
    <t>97% of the paint is used, of which 3% outdoor (f_used * f_exterior in Table 8)</t>
  </si>
  <si>
    <t>97% of the paint is used, of which 97% indoor (f_used * (1 - f_exterior) in Table 8)</t>
  </si>
  <si>
    <t>97% of the paint is used, of which 10% outdoor (f_used * f_exterior in Table 8)</t>
  </si>
  <si>
    <t>97% of the paint is used, of which 90% indoor (f_used * (1 - f_exterior) in Table 8)</t>
  </si>
  <si>
    <t>85% of the paint is used, of which 40% outdoor (f_used * f_exterior in Table 8)</t>
  </si>
  <si>
    <t>85% of the paint is used, of which 60% indoor (f_used * (1 - f_exterior) in Table 8)</t>
  </si>
  <si>
    <t>15% of the paint is not used and remains in the paint can ((1 - f _used) in Table 8)</t>
  </si>
  <si>
    <t>6.4% of microplastic emissions during removal/maintainance of indoor paint, of which we assume 100% to indoor air (EF_removal in Table 8)</t>
  </si>
  <si>
    <t>85% of the paint is used, of which 60% outdoor (f_used * f_exterior in Table 8)</t>
  </si>
  <si>
    <t>85% of the paint is used, of which 40% indoor (f_used * (1 - f_exterior) in Table 8)</t>
  </si>
  <si>
    <t>15% wear loss (EF_wear in Table 8)</t>
  </si>
  <si>
    <t>85% of the paint is used, of which 0% outdoor (f_used * f_exterior in Table 8)</t>
  </si>
  <si>
    <t>85% of the paint is used, of which 100% indoor (f_used * (1 - f_exterior) in Table 8)</t>
  </si>
  <si>
    <t xml:space="preserve">1.6% of the paint is left on the brush (EF_rinsing in Table 9). Microplastic content in liquid paint is 9.1% (see SI for detailed calculation). TC = 0.016*0.091. </t>
  </si>
  <si>
    <t>Transfer coefficients (EU)</t>
  </si>
  <si>
    <t>Assumed same as in NL</t>
  </si>
  <si>
    <t>Acrylic</t>
  </si>
  <si>
    <t>Clothing ( in use)</t>
  </si>
  <si>
    <t>n/a</t>
  </si>
  <si>
    <t>Synthetic Fibers (polymerdatabase.com)</t>
  </si>
  <si>
    <t>Disposable cleaning cloths (in use)</t>
  </si>
  <si>
    <t>Carpet Fibers (polymerdatabase.com)</t>
  </si>
  <si>
    <t>Thadepalli, 2022</t>
  </si>
  <si>
    <t>Agrotextiles ( in use)</t>
  </si>
  <si>
    <t>Geotextiles ( in use)</t>
  </si>
  <si>
    <t>Wu et al., 2020</t>
  </si>
  <si>
    <t>Building textiles ( in use)</t>
  </si>
  <si>
    <t>Textile coating ( in use)</t>
  </si>
  <si>
    <t>Consumption (kt)</t>
  </si>
  <si>
    <t>Fractions of total textile consumption</t>
  </si>
  <si>
    <t>Lifetime of</t>
  </si>
  <si>
    <t>CBS, 2019</t>
  </si>
  <si>
    <t>Voskamp and Retzlaff (2022)</t>
  </si>
  <si>
    <t>To get a total of 407 kt, the consumption of 'Other technical textiles' is calculated.</t>
  </si>
  <si>
    <t>Total textile consumption</t>
  </si>
  <si>
    <t>Main compartment</t>
  </si>
  <si>
    <t>LDPE (kt)</t>
  </si>
  <si>
    <t>HDPE (kt)</t>
  </si>
  <si>
    <t>PP (kt)</t>
  </si>
  <si>
    <t>PS (kt)</t>
  </si>
  <si>
    <t>EPS (kt)</t>
  </si>
  <si>
    <t>PVC (kt)</t>
  </si>
  <si>
    <t>PET (kt)</t>
  </si>
  <si>
    <t>PA (kt)</t>
  </si>
  <si>
    <t>Acrylic (kt)</t>
  </si>
  <si>
    <t>Clothing (product sector) is the main compartment, 'Clothing' is its subcompartment.</t>
  </si>
  <si>
    <t>Household textiles (product sector) is the main compartment, its subcompartments are 'Disposable cleaning cloths', 'Wet wipes', 'Tampons', 'Panty liners', 'Sanitary pads', and 'Home textiles'.</t>
  </si>
  <si>
    <t>Technical textiles is the main compartment, its subcompartments are 'Techincal home teztiles', 'Medical textiles', 'Agrotextiles', 'Mobility textiles', 'Geotextiles', 'Building textiles', 'Other technical textiles', and 'Textile coating'.</t>
  </si>
  <si>
    <t>Transpose the table:</t>
  </si>
  <si>
    <t>Clothing (product sector) (kt)</t>
  </si>
  <si>
    <t>Household textiles (product sector) (kt)</t>
  </si>
  <si>
    <t>Technical textiles (kt)</t>
  </si>
  <si>
    <t>Technical textiles is the main compartments, its subcompartments are 'Techincal home teztiles', 'Medical textiles', 'Agrotextiles', 'Mobility textiles', 'Geotextiles', 'Building textiles', 'Other technical textiles', and 'Textile coating'.</t>
  </si>
  <si>
    <t>The transfer coefficients are calculated on the basis of the kilotons per polymer for the subcompartments for 2017 for NL. We assume that these transfer coefficients also apply at EU scale.</t>
  </si>
  <si>
    <t>NL &amp; EU</t>
  </si>
  <si>
    <t>Transfer coefficient (full lifetime)</t>
  </si>
  <si>
    <t>Indoor air (mirco)</t>
  </si>
  <si>
    <t>Page 45 SI Kawecki and Nowack (2019): 0.04% wear and tear &amp; 93% to indoor air.</t>
  </si>
  <si>
    <t>Page 45 SI Kawecki and Nowack (2019): 0.86% wear and tear &amp; 93% to indoor air.</t>
  </si>
  <si>
    <t>Page 45 SI Kawecki and Nowack (2019): 0.27% wear and tear &amp; 93% to indoor air. Not used, because we can only have 2 TCs per process.</t>
  </si>
  <si>
    <t xml:space="preserve">Page 45 SI Kawecki and Nowack (2019): 0.04% wear and tear &amp; 7% to outdoor air. </t>
  </si>
  <si>
    <t>Page 45 SI Kawecki and Nowack (2019): 0.86% wear and tear &amp; 7% to outdoor air.</t>
  </si>
  <si>
    <t>Page 45 SI Kawecki and Nowack (2019): 0.27% wear and tear &amp; 7% to outdoor air. Not used, because we can only have 2 TCs per process.</t>
  </si>
  <si>
    <t>Average based on data from seven different sources.</t>
  </si>
  <si>
    <t>To split microplastic emissions during the product lifetime (i.e. in use) from emissions after the lifetime (i.e. after discarding)</t>
  </si>
  <si>
    <t>Of the clothing that is not dumped, 55.4% goes to Mixed waste collection</t>
  </si>
  <si>
    <t>Of the clothing that is not dumped, 44.6% goes to Textile waste collection</t>
  </si>
  <si>
    <t>Average based on data from seven different sources</t>
  </si>
  <si>
    <t>Disposable cleaning cloths (discarded)</t>
  </si>
  <si>
    <t>See last column Table SI9 from Kawecki and Nowack, 2019. Based on Friedler, E.; Brown, D. M.; Butler, D. A Study of WC Derived Sewer Solids. Water Sci. Technol. 1996, 33 (9), 17–24.</t>
  </si>
  <si>
    <t>See last column Table SI10 from Kawecki and Nowack, 2019. Based on Spence, K. J.; Digman, C.; Balmforth, D.; Houldsworth, J.; Saul, A.; Meadowcroft, J. Gross Solids from Combined Sewers in Dry Weather and Storms, Elucidating Production, Storage and Social Factors. Urban Water J. 2016, 13 (8), 773–789.</t>
  </si>
  <si>
    <t>Page 47 SI Kawecki and Nowack (2019): 1.3% shedding rate &amp; 100% to indoor air.</t>
  </si>
  <si>
    <t>Page 47 SI Kawecki and Nowack (2019): 0.86% shedding rate &amp; 100% to indoor air.</t>
  </si>
  <si>
    <t>Of the home textiles that are not dumped, 55.4% goes to Mixed waste collection</t>
  </si>
  <si>
    <t>Of the home textiles that are not dumped, 44.6% goes to Textile waste collection</t>
  </si>
  <si>
    <t>Page 47 SI Kawecki and Nowack (2019): 1.3% shedding rate &amp; 100% to indoor air. Niet helemaal zeker of deze shredding rates ook voor tapijt gelden...</t>
  </si>
  <si>
    <t>Page 47 SI Kawecki and Nowack (2019): 0.86% shedding rate &amp; 100% to indoor air. Niet helemaal zeker of deze shredding rates ook voor tapijt gelden...</t>
  </si>
  <si>
    <t>Technical home textiles are mainly carpets, so no emissions to outdoor air</t>
  </si>
  <si>
    <t>Technical home textiles are mainly carpets, so no emissions to waste water</t>
  </si>
  <si>
    <t>Of the technical home textiles that are not dumped, 55.4% goes to Mixed waste collection</t>
  </si>
  <si>
    <t>Of the technical home textiles that are not dumped, 44.6% goes to Textile waste collection</t>
  </si>
  <si>
    <t>Based on Vigo, T. L.; Lamb, G. E. R.; Kepka, S.; Miller, B. Abrasion and Lint Loss Properties of Fabrics Containing Crosslinked Polyethylene Glycol. Text. Res. J. 1991, 61 (3), 169–176.</t>
  </si>
  <si>
    <t>Compost collection (&gt; 1mm)</t>
  </si>
  <si>
    <t>Compost collection (&lt; 1mm)</t>
  </si>
  <si>
    <t>1.2% wear and tear, of which 100% goes to subsurface soil</t>
  </si>
  <si>
    <t>Page 45 SI Kawecki and Nowack (2019): 0.04% wear and tear &amp; 100% to outdoor air. We assume that coated textiles are mainly outdoor textiles (for example, waterproof coats)</t>
  </si>
  <si>
    <t>Page 45 SI Kawecki and Nowack (2019): 0.86% wear and tear &amp; 100% to outdoor air. We assume that coated textiles are mainly outdoor textiles (for example, waterproof coats).</t>
  </si>
  <si>
    <t>Assumption made by Kawecki and Nowack (2019)</t>
  </si>
  <si>
    <t>Agriculture</t>
  </si>
  <si>
    <t>All</t>
  </si>
  <si>
    <t>Statistics - APE Europe [WWW Document], n.d. URL https://web.archive.org/web/20230930160250/https://apeeurope.eu/statistics/ (accessed 3.27.24). Minus intentionally produced.</t>
  </si>
  <si>
    <t>Divided per polymer type</t>
  </si>
  <si>
    <t xml:space="preserve">Combined from TNO Sieger Henke and Statistics - APE Europe [WWW Document], n.d. URL https://web.archive.org/web/20230930160250/https://apeeurope.eu/statistics/ (accessed 3.27.24). </t>
  </si>
  <si>
    <t>Statistics - APE Europe [WWW Document], n.d. URL https://web.archive.org/web/20230930160250/https://apeeurope.eu/statistics/ (accessed 3.27.24).</t>
  </si>
  <si>
    <t>Estimation using 3.36% conversion to NL (Plastics Europe, 2014)</t>
  </si>
  <si>
    <t>Estimation using 6.7% conversion to NL (https://ec.europa.eu/eurostat/databrowser/bookmark/ad869a47-4196-4282-b054-0a75caf9373f?lang=en)</t>
  </si>
  <si>
    <t>Combined from TNO Sieger Henke and Statistics - APE Europe [WWW Document], n.d. URL https://web.archive.org/web/20230930160250/https://apeeurope.eu/statistics/ (accessed 3.27.24). Using 3.36% conversion to NL</t>
  </si>
  <si>
    <t>Combined from TNO Sieger Henke and Statistics - APE Europe [WWW Document], n.d. URL https://web.archive.org/web/20230930160250/https://apeeurope.eu/statistics/ (accessed 3.27.24). Using 6.7% conversion to NL</t>
  </si>
  <si>
    <t>Agricultural pipes (discarded)</t>
  </si>
  <si>
    <t>Urbanus, J.H., Brunner, A., Boersma, A., Henke, S., Kooter, I., Lensen, S., Parker, L., Schwarz, A., Imhof, P., Dortmans, A., Wijngaard, M., 2022. Autobanden, verpakkingen en landbouwfolie zijn in Nederland de grootste bronnen van microplastics. TNO.</t>
  </si>
  <si>
    <t>Assessment of agricultural plastics and their sustainability: A call for action, 2021. . FAO. https://doi.org/10.4060/cb7856en</t>
  </si>
  <si>
    <t>Agricultural other</t>
  </si>
  <si>
    <t>Agricultural greenhouse films (in use)</t>
  </si>
  <si>
    <t>Agricultural pipes (in use)</t>
  </si>
  <si>
    <t>Agricultural greenhouse films (discarded)</t>
  </si>
  <si>
    <t>Agricultural mulching films</t>
  </si>
  <si>
    <t>SI Kawecki and Nowack, 2019</t>
  </si>
  <si>
    <t>Assume that for a film with 1m width, 1cm is lost on both sides when removing. This results in a total loss of 2% of plastic.</t>
  </si>
  <si>
    <t>Normalized (See Agriculture sheet)</t>
  </si>
  <si>
    <t>Liftime compartment name</t>
  </si>
  <si>
    <t>Lifetime (years)</t>
  </si>
  <si>
    <t>Values</t>
  </si>
  <si>
    <t>Distribution</t>
  </si>
  <si>
    <t>AgriculturalPipesIU</t>
  </si>
  <si>
    <t>Refereren naar originele bron</t>
  </si>
  <si>
    <t>Copied from Kawecki et al.</t>
  </si>
  <si>
    <t>Evenly distributed over the years</t>
  </si>
  <si>
    <t>AgriculturalPipesEOL</t>
  </si>
  <si>
    <t>AgriculturalFilmsIU</t>
  </si>
  <si>
    <t>AgriculturalFilmsEOL</t>
  </si>
  <si>
    <t>Raw data</t>
  </si>
  <si>
    <t>Polymer distribution TCs Europe</t>
  </si>
  <si>
    <t>Total (non-packaging) tonnes</t>
  </si>
  <si>
    <t>Total Europe 2018</t>
  </si>
  <si>
    <t>Total per polymer (ton)</t>
  </si>
  <si>
    <t>Total per polymer (kton)</t>
  </si>
  <si>
    <t>TC to Mulching films</t>
  </si>
  <si>
    <t>TC to pipes</t>
  </si>
  <si>
    <t>TC naar Overig</t>
  </si>
  <si>
    <t>TC to greenhouse films</t>
  </si>
  <si>
    <t>TC polymer</t>
  </si>
  <si>
    <t>Tonnes</t>
  </si>
  <si>
    <t>Recalculate %</t>
  </si>
  <si>
    <t>% of total films</t>
  </si>
  <si>
    <t>Films silage mulch (%)</t>
  </si>
  <si>
    <t>Films silage mulch</t>
  </si>
  <si>
    <t>Total Mulching films</t>
  </si>
  <si>
    <t>Total Pipes</t>
  </si>
  <si>
    <t>Total Other</t>
  </si>
  <si>
    <t>Total Greenhouse films</t>
  </si>
  <si>
    <t>Mulching films</t>
  </si>
  <si>
    <t>Greenhouses (%)</t>
  </si>
  <si>
    <t>Greenhouses</t>
  </si>
  <si>
    <t>tonnes</t>
  </si>
  <si>
    <t>Greenhouse films</t>
  </si>
  <si>
    <t>Twines</t>
  </si>
  <si>
    <t>materials</t>
  </si>
  <si>
    <t>%</t>
  </si>
  <si>
    <t>Pipes</t>
  </si>
  <si>
    <t>%*</t>
  </si>
  <si>
    <t>Irrigation equipment</t>
  </si>
  <si>
    <t>Nets</t>
  </si>
  <si>
    <t>*Assumption equal distribution PS, PP en HDPE</t>
  </si>
  <si>
    <t>Polymer distribution TCs NL</t>
  </si>
  <si>
    <t>Onderverdeling naar type gebruik (bron TNO Sieger Henke)</t>
  </si>
  <si>
    <t>Total NL 2018 low estimate</t>
  </si>
  <si>
    <t>Films (total)</t>
  </si>
  <si>
    <t>Other (minus agricultural plastics in int. prod. MPs)</t>
  </si>
  <si>
    <t xml:space="preserve">Pipes </t>
  </si>
  <si>
    <t>Fractions and input values</t>
  </si>
  <si>
    <t>Region</t>
  </si>
  <si>
    <t>Type</t>
  </si>
  <si>
    <t>Value</t>
  </si>
  <si>
    <t>Total agriculture</t>
  </si>
  <si>
    <t>APE Europe, 2019</t>
  </si>
  <si>
    <t xml:space="preserve">Crop production </t>
  </si>
  <si>
    <t>Animal production</t>
  </si>
  <si>
    <t>Division between categories</t>
  </si>
  <si>
    <t>Fraction</t>
  </si>
  <si>
    <t>Silage and mulch films</t>
  </si>
  <si>
    <t>FAO figure 7, 2021, Urbanus et al., 2022</t>
  </si>
  <si>
    <t>Urbanus et al., 2022</t>
  </si>
  <si>
    <t>Fractions used in calculations</t>
  </si>
  <si>
    <t>Fraction type</t>
  </si>
  <si>
    <t>Fraction NL agriculture (plant + lifestock + Gardening)</t>
  </si>
  <si>
    <t>Plastics Europe (2024)</t>
  </si>
  <si>
    <t>Fraction NL  (plant + lifestock + Gardening) from EU (plant + lifestock + Gardening) total consumption</t>
  </si>
  <si>
    <t>Fraction NL total from EU total consumption</t>
  </si>
  <si>
    <t xml:space="preserve">Market share agricultural industry </t>
  </si>
  <si>
    <t>https://ec.europa.eu/eurostat/databrowser/bookmark/ad869a47-4196-4282-b054-0a75caf9373f?lang=en</t>
  </si>
  <si>
    <t>Agricultural plastics in Intentionally produced microparticles (2020)</t>
  </si>
  <si>
    <t>EU mean (kt)</t>
  </si>
  <si>
    <t>NL mean (kt)</t>
  </si>
  <si>
    <t>Total</t>
  </si>
  <si>
    <t xml:space="preserve">Original TCs from Kawecki et al. 2019 and RIVM </t>
  </si>
  <si>
    <t>Agricultural films</t>
  </si>
  <si>
    <t>Assumption by Kawecki and Nowack (explained on page 38 of the SI)</t>
  </si>
  <si>
    <t>Agricultural pipes</t>
  </si>
  <si>
    <t>Personal Care and Cosmetic Products (PCCP)</t>
  </si>
  <si>
    <t>Data in tonnes</t>
  </si>
  <si>
    <t xml:space="preserve">Table 3.3 from Scudo et al. (2017) </t>
  </si>
  <si>
    <t>Scudo, A. et al. (2017) Intentionally added microplastics in products. London, United Kingdom: Amec Foster Wheeler Environment &amp; Infrastructure UK Limited.</t>
  </si>
  <si>
    <t xml:space="preserve">Table 3.6 from Scudo et al. (2017) </t>
  </si>
  <si>
    <t>Ratio's for polymer content</t>
  </si>
  <si>
    <t>RIVM assumption</t>
  </si>
  <si>
    <t>Polymer fractions calculated from previous table</t>
  </si>
  <si>
    <t>Low (tonnes)</t>
  </si>
  <si>
    <t>Central (tonnes)</t>
  </si>
  <si>
    <t>High (tonnes)</t>
  </si>
  <si>
    <t>Table 55 in Annex XV Report (2020)</t>
  </si>
  <si>
    <t>Microplastics_Annex XV_Report_Annexes (europa.eu)</t>
  </si>
  <si>
    <t>Cosmetics</t>
  </si>
  <si>
    <t>Table 73 in Annex XV Report (2020)</t>
  </si>
  <si>
    <t>Table 42 in Annex XV Report (2020)</t>
  </si>
  <si>
    <t>AgriculturalPPP</t>
  </si>
  <si>
    <t>Table 44 in Annex XV Report (2020)</t>
  </si>
  <si>
    <t>Table 46 in Annex XV Report (2020)</t>
  </si>
  <si>
    <t>Table 48 in Annex XV Report (2020)</t>
  </si>
  <si>
    <t>Table 83 in Annex XV Report (2020)</t>
  </si>
  <si>
    <t>ConsumerOther</t>
  </si>
  <si>
    <t>Table 96 in Annex XV Report (2020)</t>
  </si>
  <si>
    <t>See D.10.3. Not quantified, but assumed similar Medicine diffusion limitation</t>
  </si>
  <si>
    <t>Table 99 in Annex XV Report (2020)</t>
  </si>
  <si>
    <t>OtherOilGas</t>
  </si>
  <si>
    <t>Section D.13.4 in Annex XV Report (2020)</t>
  </si>
  <si>
    <t>RubberInfill</t>
  </si>
  <si>
    <t>Total 'Intentionally produced microplarticles'</t>
  </si>
  <si>
    <t>LDPE (tonnes)</t>
  </si>
  <si>
    <t>HDPE (tonnes)</t>
  </si>
  <si>
    <t>PP (tonnes)</t>
  </si>
  <si>
    <t>PS (tonnes)</t>
  </si>
  <si>
    <t>EPS (tonnes)</t>
  </si>
  <si>
    <t>PVC (tonnes)</t>
  </si>
  <si>
    <t>PET (tonnes)</t>
  </si>
  <si>
    <t>RUBBER (tonnes)</t>
  </si>
  <si>
    <t>PUR (tonnes)</t>
  </si>
  <si>
    <t>ABS (tonnes)</t>
  </si>
  <si>
    <t>PA (tonnes)</t>
  </si>
  <si>
    <t>PC (tonnes)</t>
  </si>
  <si>
    <t>PMMA (tonnes)</t>
  </si>
  <si>
    <t>Other (tonnes)</t>
  </si>
  <si>
    <t>RUBBER (kt)</t>
  </si>
  <si>
    <t>PUR (kt)</t>
  </si>
  <si>
    <t>ABS (kt)</t>
  </si>
  <si>
    <t>PC (kt)</t>
  </si>
  <si>
    <t>PMMA (kt)</t>
  </si>
  <si>
    <t>Other (kt)</t>
  </si>
  <si>
    <t>Intentionally produced microplarticles</t>
  </si>
  <si>
    <t>These are the values that are used in the 'Input EU' sheet</t>
  </si>
  <si>
    <t>To calculate the input NL consumption, the EU consumption values are scaled to NL using 'scale factors'. For some categories the scale factor was  based on population and for others on market share.</t>
  </si>
  <si>
    <t>Data type</t>
  </si>
  <si>
    <t>Unit</t>
  </si>
  <si>
    <t>Scale factor from EU to NL</t>
  </si>
  <si>
    <t>Population</t>
  </si>
  <si>
    <t>person</t>
  </si>
  <si>
    <t>Statistics | Eurostat (europa.eu)</t>
  </si>
  <si>
    <t>Market share 'agricultural industry'</t>
  </si>
  <si>
    <t>billion euro</t>
  </si>
  <si>
    <t>Market share 'oil and gas mining and quarrying'</t>
  </si>
  <si>
    <t>https://ec.europa.eu/eurostat/databrowser/bookmark/2e211686-43a6-4cb8-90f4-401aa9ef8d81?lang=en</t>
  </si>
  <si>
    <t>Combination of two sources: Annex XV Report (2020) and Statistics | Eurostat (europa.eu)</t>
  </si>
  <si>
    <t>Combination of two sources: Annex XV Report (2020) and Performance of the agricultural sector - Statistics Explained (europa.eu)</t>
  </si>
  <si>
    <t>RecyBEM</t>
  </si>
  <si>
    <t>Consumed (tonnes)</t>
  </si>
  <si>
    <t>Estimate that then only replacement of lost material</t>
  </si>
  <si>
    <t>Full stop</t>
  </si>
  <si>
    <t>These are the values that are used in the 'Input NL' sheet</t>
  </si>
  <si>
    <t>These are the values that are used in the 'Transfer coefficients' sheet.</t>
  </si>
  <si>
    <t>Loss per year</t>
  </si>
  <si>
    <t>per jaar volgens Hoeke et al 2023</t>
  </si>
  <si>
    <t>Hoe wordt rubber infill verwrkt bij EoL:</t>
  </si>
  <si>
    <t>document (eerstekamer.nl)</t>
  </si>
  <si>
    <t>With 10 year lifespan:</t>
  </si>
  <si>
    <t>Final Demand</t>
  </si>
  <si>
    <t>Industry Use</t>
  </si>
  <si>
    <t>Waste post-consumer</t>
  </si>
  <si>
    <t>Data from Fig. 2 in Plastic packaging flows in Europe: A hybrid input‐output approach - Cimpan - 2021 - Journal of Industrial Ecology - Wiley Online Library</t>
  </si>
  <si>
    <t>Plastic packaging flows in Europe: A hybrid input‐output approach - Cimpan - 2021 - Journal of Industrial Ecology - Wiley Online Library</t>
  </si>
  <si>
    <t xml:space="preserve">Input EU consumption </t>
  </si>
  <si>
    <t xml:space="preserve">https://ec.europa.eu/eurostat/databrowser/bookmark/19fb9122-d657-402c-9caf-78be4e0aa7ea?lang=en </t>
  </si>
  <si>
    <t>Calculation based on EUROSTAT, polymer distribution based on Cimpan et al. (2021)</t>
  </si>
  <si>
    <t>https://ec.europa.eu/eurostat/databrowser/view/env_waspac/default/table?lang=en</t>
  </si>
  <si>
    <t>At the moment we use TCs from the WRAP Report and Plastic Packaging Composition (2011, 2013) - see Transfer coefficients sheet. But for a future version we will consider to include TCs from the study of Navarre et al. (2022). Joris has made a start on this:</t>
  </si>
  <si>
    <t>Minimum</t>
  </si>
  <si>
    <t>Maximum</t>
  </si>
  <si>
    <t>Food Packaging</t>
  </si>
  <si>
    <t>PE</t>
  </si>
  <si>
    <t>Navarre et al. (2022)</t>
  </si>
  <si>
    <t>Sum</t>
  </si>
  <si>
    <t>Figure from SI from Navarre et al. (2022)</t>
  </si>
  <si>
    <t>Minimum values</t>
  </si>
  <si>
    <t>Maximum values</t>
  </si>
  <si>
    <t>Average (kt/yr)</t>
  </si>
  <si>
    <t>Minimum (kt/yr)</t>
  </si>
  <si>
    <t>Maximum (kt/yr)</t>
  </si>
  <si>
    <t>TC</t>
  </si>
  <si>
    <t>(inter kTon)</t>
  </si>
  <si>
    <t>Food packaging</t>
  </si>
  <si>
    <t>Recycle</t>
  </si>
  <si>
    <t>Litter</t>
  </si>
  <si>
    <t>Outside ('Leaked'?)</t>
  </si>
  <si>
    <t>Figure from Navarre et al. (2022)</t>
  </si>
  <si>
    <t>From Lui et al 2022</t>
  </si>
  <si>
    <t>Average from figures</t>
  </si>
  <si>
    <t>AgriculturalPackagingBottles</t>
  </si>
  <si>
    <t>WRAP Report: PlasticFlow 2025, Plastic Packaging Flow Data Report, 2018</t>
  </si>
  <si>
    <t xml:space="preserve"> </t>
  </si>
  <si>
    <t>AgriculturalPackagingFilms</t>
  </si>
  <si>
    <t>BuildingPackagingFilms</t>
  </si>
  <si>
    <t>ConsumerBags</t>
  </si>
  <si>
    <t>ConsumerFilms</t>
  </si>
  <si>
    <t>NonConsumerBags</t>
  </si>
  <si>
    <t>NonConsumerOther</t>
  </si>
  <si>
    <t>OtherNonConsumerFilms</t>
  </si>
  <si>
    <t>Industrial storm water (micro)</t>
  </si>
  <si>
    <t>Construction and demolition recycling</t>
  </si>
  <si>
    <t>WEEP recycling</t>
  </si>
  <si>
    <t>Automotive large parts recycling</t>
  </si>
  <si>
    <t>ASR recycling</t>
  </si>
  <si>
    <t>Primary production</t>
  </si>
  <si>
    <t>Agricultural plastics recycling</t>
  </si>
  <si>
    <t>Mass collected organic waste</t>
  </si>
  <si>
    <t>For</t>
  </si>
  <si>
    <t>Mass (kt)</t>
  </si>
  <si>
    <t>Collected organic waste (from households)</t>
  </si>
  <si>
    <t>https://www.verenigingafvalbedrijven.nl/userfiles/files/VA_Meer_waarde_uit_gft-afval_Jaarverslag_Afdeling_Bioconversie.pdf</t>
  </si>
  <si>
    <t>Dutch: 'gft afval'</t>
  </si>
  <si>
    <t>Collected organic waste (from auctions, restaurants, and the agricultural sector)</t>
  </si>
  <si>
    <t>Sum:</t>
  </si>
  <si>
    <t>Plastic fraction in collected organic waste</t>
  </si>
  <si>
    <t>In</t>
  </si>
  <si>
    <t xml:space="preserve">Material </t>
  </si>
  <si>
    <t>Plastic fraction</t>
  </si>
  <si>
    <t>all</t>
  </si>
  <si>
    <t>https://nos.nl/artikel/2193860-plastic-afval-recyclen-heeft-weinig-effect-op-milieu</t>
  </si>
  <si>
    <t>For organic waste from households (assume same fraction for organic waste from other sectors)</t>
  </si>
  <si>
    <t>Plastic mass in collected compost and organic waste</t>
  </si>
  <si>
    <t>Plastic mass content (kt)</t>
  </si>
  <si>
    <t>Mean mass (modelled)</t>
  </si>
  <si>
    <t>Mean mass (kt)</t>
  </si>
  <si>
    <t>Mean mass inflow (kt)</t>
  </si>
  <si>
    <t>Mean mass ratio's</t>
  </si>
  <si>
    <t>Mass ratio</t>
  </si>
  <si>
    <t>Mean mass outflow</t>
  </si>
  <si>
    <t>Mass outflow (kt)</t>
  </si>
  <si>
    <t>Transfer Coefficient</t>
  </si>
  <si>
    <t>Scale factor from NL to EU</t>
  </si>
  <si>
    <t>https://ec.europa.eu/eurostat/databrowser/bookmark/63ebb7a5-64ae-4556-b52f-89336b710a52?lang=en</t>
  </si>
  <si>
    <t>Data extracted on 25/03/2024 10:05:36 from [ESTAT]</t>
  </si>
  <si>
    <t xml:space="preserve">Dataset: </t>
  </si>
  <si>
    <t>Population change - Demographic balance and crude rates at national level [demo_gind__custom_10549545]</t>
  </si>
  <si>
    <t xml:space="preserve">Last updated: </t>
  </si>
  <si>
    <t>27/11/2023 23:00</t>
  </si>
  <si>
    <t>Time frequency</t>
  </si>
  <si>
    <t>Annual</t>
  </si>
  <si>
    <t>Demographic indicator</t>
  </si>
  <si>
    <t>Average population - total</t>
  </si>
  <si>
    <t>TIME</t>
  </si>
  <si>
    <t>1990</t>
  </si>
  <si>
    <t>1995</t>
  </si>
  <si>
    <t>2000</t>
  </si>
  <si>
    <t>2014</t>
  </si>
  <si>
    <t>2015</t>
  </si>
  <si>
    <t>2016</t>
  </si>
  <si>
    <t>2017</t>
  </si>
  <si>
    <t>2018</t>
  </si>
  <si>
    <t>2019</t>
  </si>
  <si>
    <t>2020</t>
  </si>
  <si>
    <t>2021</t>
  </si>
  <si>
    <t>2022</t>
  </si>
  <si>
    <t>2023</t>
  </si>
  <si>
    <t>GEO (Labels)</t>
  </si>
  <si>
    <t>European Union - 27 countries (from 2020)</t>
  </si>
  <si>
    <t>b</t>
  </si>
  <si>
    <t>e</t>
  </si>
  <si>
    <t>bep</t>
  </si>
  <si>
    <t>ep</t>
  </si>
  <si>
    <t>:</t>
  </si>
  <si>
    <t>European Union - 28 countries (2013-2020)</t>
  </si>
  <si>
    <t>Netherlands</t>
  </si>
  <si>
    <t>Special value</t>
  </si>
  <si>
    <t>not available</t>
  </si>
  <si>
    <t>Available flags:</t>
  </si>
  <si>
    <t>break in time series, estimated, provisional</t>
  </si>
  <si>
    <t>break in time series</t>
  </si>
  <si>
    <t>estimated</t>
  </si>
  <si>
    <t>estimated, provisional</t>
  </si>
  <si>
    <t>Average population</t>
  </si>
  <si>
    <t>2005</t>
  </si>
  <si>
    <t>2010</t>
  </si>
  <si>
    <t>Plastics Use (mt)</t>
  </si>
  <si>
    <t>Growth compared to reference years for agriculture</t>
  </si>
  <si>
    <t>Agriculture Projection EU (kt)</t>
  </si>
  <si>
    <t>Agriculture Projection NL (kt) low</t>
  </si>
  <si>
    <t>Agriculture Projection NL (kt) high</t>
  </si>
  <si>
    <t>OECD relative growth</t>
  </si>
  <si>
    <t>Global Plastics Outlook : Policy Scenarios to 2060 | OECD iLibrary [WWW Document], n.d. URL https://www.oecd-ilibrary.org/environment/global-plastics-outlook_aa1edf33-en (accessed 3.27.24).</t>
  </si>
  <si>
    <t>AgriculturalFilmsDis</t>
  </si>
  <si>
    <t>AgriculturalPipesDis</t>
  </si>
  <si>
    <t>ConsumerBottles</t>
  </si>
  <si>
    <t>Household</t>
  </si>
  <si>
    <t>OtherOther</t>
  </si>
  <si>
    <t>PipesDucts</t>
  </si>
  <si>
    <t>InfillSportsFieldDis</t>
  </si>
  <si>
    <t>InfillSportsFieldU</t>
  </si>
  <si>
    <t>ClothingDis</t>
  </si>
  <si>
    <t>ClothingIUWearTear</t>
  </si>
  <si>
    <t>ClothingIUWashDry</t>
  </si>
  <si>
    <t>HomeTextilesDis</t>
  </si>
  <si>
    <t>HomeTextilesIU</t>
  </si>
  <si>
    <t>TechHomeTextilesDis</t>
  </si>
  <si>
    <t>TechHomeTextilesIU</t>
  </si>
  <si>
    <t>MedicalTextiles</t>
  </si>
  <si>
    <t>AgrotextilesDis</t>
  </si>
  <si>
    <t>AgrotextilesIU</t>
  </si>
  <si>
    <t>MobilityTextiles</t>
  </si>
  <si>
    <t>GeotextilesDis</t>
  </si>
  <si>
    <t>GeotextilesIU</t>
  </si>
  <si>
    <t>BuildingTextilesDis</t>
  </si>
  <si>
    <t>BuildingTextilesIU</t>
  </si>
  <si>
    <t>OtherTechnicalTextiles</t>
  </si>
  <si>
    <t>TextileCoatingDis</t>
  </si>
  <si>
    <t>TextileCoatingIU</t>
  </si>
  <si>
    <t>ConcreteProfInDis</t>
  </si>
  <si>
    <t>ConcreteProfInIU</t>
  </si>
  <si>
    <t>ConcreteProfOutDis</t>
  </si>
  <si>
    <t>ConcreteProfOutIU</t>
  </si>
  <si>
    <t>LacquerDiyInDis</t>
  </si>
  <si>
    <t>LacquerDiyInIU</t>
  </si>
  <si>
    <t>LacquerDiyOutDis</t>
  </si>
  <si>
    <t>LacquerDiyOutIU</t>
  </si>
  <si>
    <t>LacquerProfInDis</t>
  </si>
  <si>
    <t>LacquerProfInIU</t>
  </si>
  <si>
    <t>LacquerProfOutDis</t>
  </si>
  <si>
    <t>LacquerProfOutIU</t>
  </si>
  <si>
    <t>OtherPaintUsesDiyInDis</t>
  </si>
  <si>
    <t>OtherPaintUsesDiyInIU</t>
  </si>
  <si>
    <t>OtherPaintUsesDiyOutDis</t>
  </si>
  <si>
    <t>OtherPaintUsesDiyOutIU</t>
  </si>
  <si>
    <t>OtherPaintUsesProfInDis</t>
  </si>
  <si>
    <t>OtherPaintUsesProfInIU</t>
  </si>
  <si>
    <t>OtherPaintUsesProfOutDis</t>
  </si>
  <si>
    <t>OtherPaintUsesProfOutIU</t>
  </si>
  <si>
    <t>PaintsPreMadeWoodInDis</t>
  </si>
  <si>
    <t>PaintsPreMadeWoodInIU</t>
  </si>
  <si>
    <t>PaintsPreMadeWoodOutDis</t>
  </si>
  <si>
    <t>PaintsPreMadeWoodOutIU</t>
  </si>
  <si>
    <t>PlasterDiyInDis</t>
  </si>
  <si>
    <t>PlasterDiyInIU</t>
  </si>
  <si>
    <t>PlasterDiyOutDis</t>
  </si>
  <si>
    <t>PlasterDiyOutIU</t>
  </si>
  <si>
    <t>PlasterProfInDis</t>
  </si>
  <si>
    <t>PlasterProfInIU</t>
  </si>
  <si>
    <t>PlasterProfOutDis</t>
  </si>
  <si>
    <t>PlasterProfOutIU</t>
  </si>
  <si>
    <t>ShipProfDis</t>
  </si>
  <si>
    <t>ShipProfIU</t>
  </si>
  <si>
    <t>ShipDiyDis</t>
  </si>
  <si>
    <t>ShipDiyIU</t>
  </si>
  <si>
    <t>WallPaintDiyIndoorAppliedDis</t>
  </si>
  <si>
    <t>WallPaintDiyIndoorAppliedIU</t>
  </si>
  <si>
    <t>WallPaintDiyOutDis</t>
  </si>
  <si>
    <t>WallPaintDiyOutIU</t>
  </si>
  <si>
    <t>WallPaintProfInDis</t>
  </si>
  <si>
    <t>WallPaintProfInIU</t>
  </si>
  <si>
    <t>WallPaintProfOutDis</t>
  </si>
  <si>
    <t>WallPaintProfOutIU</t>
  </si>
  <si>
    <t>WoodStainDiyInDis</t>
  </si>
  <si>
    <t>WoodStainDiyInIU</t>
  </si>
  <si>
    <t>WoodStainDiyOutDis</t>
  </si>
  <si>
    <t>WoodStainDiyOutIU</t>
  </si>
  <si>
    <t>WoodStainProfInDis</t>
  </si>
  <si>
    <t>WoodStainProfInIU</t>
  </si>
  <si>
    <t>WoodStainProfOutDis</t>
  </si>
  <si>
    <t>WoodStainProfOutIU</t>
  </si>
  <si>
    <t>Stock compartment</t>
  </si>
  <si>
    <t>Lifetime category</t>
  </si>
  <si>
    <t>Check</t>
  </si>
  <si>
    <t>Categories present in Lifetimes</t>
  </si>
  <si>
    <t>Stock compartments</t>
  </si>
  <si>
    <t>Stock compartments short name</t>
  </si>
  <si>
    <t>Check if every stock comp is in column A</t>
  </si>
  <si>
    <t>Fulllabel</t>
  </si>
  <si>
    <t>Short name</t>
  </si>
  <si>
    <t>Lifetime (calculation)</t>
  </si>
  <si>
    <t>Reference or assumption</t>
  </si>
  <si>
    <r>
      <t xml:space="preserve">The same lifetime factors that are used for 'ApparelPC': </t>
    </r>
    <r>
      <rPr>
        <b/>
        <sz val="11"/>
        <color theme="1"/>
        <rFont val="Calibri"/>
        <family val="2"/>
      </rPr>
      <t>5 years</t>
    </r>
    <r>
      <rPr>
        <sz val="11"/>
        <color theme="1"/>
        <rFont val="Calibri"/>
        <family val="2"/>
      </rPr>
      <t>.</t>
    </r>
  </si>
  <si>
    <t>Clothing (in use) wear and tear</t>
  </si>
  <si>
    <t>In a study the microfiber emissions due to 10000 wearing cycles were tested. "Approximately 66% of microfibers were released during the first 1000 wearing cycles, whereas the rate was 24% at 1001–5000 cycles and 10% at 5001–10000 cycles". It is unclear how 1 cycle is related to time of wearing. So we had to make an assumption. We assume that the 10000 cylces represent a lifetime of wearing, so 5 years (2000 cycles per year). Then the first year release fraction = 0.66 + (0.24/4) = 0.72. For the 2nd year: 2*(0.24/4) = 0.12. For the 3th year: 1*(0.24/4) + 1*(0.10/5) = 0.08. For the 4th and 5th year: 2*(0.10/5) = 0.04.</t>
  </si>
  <si>
    <t>Lim, J., Choi, J., Won, A., Kim, M., Kim, S., &amp; Yun, C. (2022). Cause of microfibers found in the domestic washing process of clothing; focusing on the manufacturing, wearing, and washing processes. Fashion and Textiles, 9(1), 24.</t>
  </si>
  <si>
    <t>Clothing (in use) wash and dry</t>
  </si>
  <si>
    <t>In a study by Pirc et al. (2016) the microfiber emissions due to washing and tumble drying were measured. For the first 10 washing and drying cycles the mass weigth fraction emissions were reported (Table 1 in Pirc et al. (2016)). We assumed 'no additives' (meaning no detergents). Kawecki and Nowack (2019) reported that clothing is washed 20 times per year. So for a lifetime of 5 years: 100 washing cycles. Also, Kawecki and Nowack (2019) reported that 25% of the washed clothes are tumble dried. So 25 tumble dry cycles for a lifetime of 5 years. We assume that those are equally divided over the lifetime, so 5 dry cycles per year. In summary: for each year of a clothings lifetime there are 20 wash cycles and 5 dry cycles. The fiber emissions in Table 1 from Pric et al. (2016) were used to calculate the release factors for 5 years of uding clothing. The total release during one lifetime (washing and drying) was calculated as follows:  (sum fractions of washing cycles 1 to 10 (see Table 1 of Pirc)) + (90*0.00108) + (sum fractions of drying cycles 1 to 10 (see table of Pirc)) + (15*0.00464) = 0.29336. Release factor of the 1st year: ((sum fractions of washing cycles 1 to 10) + (10*0.00108) + (sum fraction of drying cycles 1 to 5)) / 0.29336. Release factor of the 2nd year: ((20*0.00108) + (sum of fractions of drying cycles 6 to 10)) / 0.29336. Release factors of the 3th, 4th and 5th year: ((20*0.00108) + (5*0.00464)) / 0.29336.</t>
  </si>
  <si>
    <r>
      <t>Pirc, U., Vidmar, M., Mozer, A., &amp; Kržan, A. (2016). Emissions of microplastic fibers from microfiber fleece during domestic washing. </t>
    </r>
    <r>
      <rPr>
        <i/>
        <sz val="8"/>
        <color rgb="FF222222"/>
        <rFont val="Arial"/>
        <family val="2"/>
      </rPr>
      <t>Environmental Science and Pollution Research</t>
    </r>
    <r>
      <rPr>
        <sz val="8"/>
        <color rgb="FF222222"/>
        <rFont val="Arial"/>
        <family val="2"/>
      </rPr>
      <t>, </t>
    </r>
    <r>
      <rPr>
        <i/>
        <sz val="8"/>
        <color rgb="FF222222"/>
        <rFont val="Arial"/>
        <family val="2"/>
      </rPr>
      <t>23</t>
    </r>
    <r>
      <rPr>
        <sz val="8"/>
        <color rgb="FF222222"/>
        <rFont val="Arial"/>
        <family val="2"/>
      </rPr>
      <t>, 22206-22211.</t>
    </r>
  </si>
  <si>
    <t>The same lifetime factors that are used for 'HousehouldTextilesPC'</t>
  </si>
  <si>
    <t>Constant weathering rate during lifetime</t>
  </si>
  <si>
    <t>Assumed</t>
  </si>
  <si>
    <t>The same lifetime factors that are used for 'TechnicalHouseholdTextiles'</t>
  </si>
  <si>
    <t>The same lifetime factors that are used for 'HygieneMedicalTextiles'</t>
  </si>
  <si>
    <t>The same lifetime factors that are used for 'Agrotextiles'</t>
  </si>
  <si>
    <t>The same lifetime factors that are used for 'Mobility'</t>
  </si>
  <si>
    <t>The same lifetime factors that are used for 'Geotextiles'</t>
  </si>
  <si>
    <t>The same lifetime factors that are used for 'BuildingTextiles'</t>
  </si>
  <si>
    <t>OtherTechTextiles</t>
  </si>
  <si>
    <t>The same lifetime factors that are used for 'OtherTechnicalTextiles'</t>
  </si>
  <si>
    <t>The same lifetime factors that are used for 'FabricCoatings'</t>
  </si>
  <si>
    <t>In general: lifetime_indoor = 1.4 * lifetime_outdoor. Thus, lifetime of indoor concrete paint is 1.4 * 8 ≈ 11 years.</t>
  </si>
  <si>
    <t>https://www.verfwinkel.nl/blog/hoe-vaak-je-huis-schilderen-binnen-and-buiten/</t>
  </si>
  <si>
    <t>Lifetime of outdoor concrete paint is 5 to 8 years. We adopt the upper limit: 8 years.</t>
  </si>
  <si>
    <t>https://www.wovar.be/betonverf-voor-buiten/</t>
  </si>
  <si>
    <t>In general: lifetime_indoor = 1.4 * lifetime_outdoor. Thus, lifetime of indoor lacquer (DIY) is 1.4 * 3 ≈ 4 years.</t>
  </si>
  <si>
    <t>Average lifetime of outdoor applied lacquer is 3 years.</t>
  </si>
  <si>
    <t>https://verfhandelnatte.nl/tip-4-wanneer-zijn-deuren-en-kozijnen-toe-aan-nieuwe-buitenlak/</t>
  </si>
  <si>
    <t>In general: lifetime_indoor = 1.4 * lifetime_outdoor. Thus, lifetime of indoor lacquer (DIY) is 1.4 * 8 ≈ 11 years.</t>
  </si>
  <si>
    <t>Average lifetime of outdoor applied lacquer is 8 years.</t>
  </si>
  <si>
    <t>Average lifetime for indoor paint is 7 years.</t>
  </si>
  <si>
    <t>Average lifetime for outdoor paint is 5 years.</t>
  </si>
  <si>
    <t>https://www.verfwinkel.nl/blog/hoe-vaak-is-buitenschilderwerk-en-kozijnen-schilderen-nodig/</t>
  </si>
  <si>
    <t>Lifetime of a wooden chair is 10 to 15 year. Adopt upper limit: 15 years.</t>
  </si>
  <si>
    <t>How Long Does Wood Furniture Last: A Comprehensive Guide (woodmodo.com)</t>
  </si>
  <si>
    <t>Lifetime of a wooden chair is 10 to 15 year. Adopt lower limit: 10 years.</t>
  </si>
  <si>
    <t>Estimated lifetime of 15 years.</t>
  </si>
  <si>
    <t>Estimated lifetime of 10 years.</t>
  </si>
  <si>
    <t>Estimated lifetime of 20 years.</t>
  </si>
  <si>
    <t>Lifetime of marine ship paint is 2 to 5 years. We adopt the upper limit: 5 years.</t>
  </si>
  <si>
    <t>Lagerström et al. (2022)</t>
  </si>
  <si>
    <t>Lifetime of recreational ship paint is 2 years.</t>
  </si>
  <si>
    <t>Lifetime of indoor wall paint is 5 to 10 years. For indoor wall paint (DIY) we adopt the lower limit: 5 years.</t>
  </si>
  <si>
    <t>https://elitepropainting.com/how-long-does-paint-last-lifespan-of-paint/</t>
  </si>
  <si>
    <t>Lifetime of outdoor wall paint is 5 to 7 years. For outdoor wall paint (DIY) we adopt the lower limit: 5 years.</t>
  </si>
  <si>
    <t>Lifetime of indoor wall paint is 5 to 10 years. For indoor wall paint (prof) we adopt the upper limit: 10 years.</t>
  </si>
  <si>
    <t>Lifetime of outdoor wall paint is 5 to 7 years. For outdoor wall paint (prof) we adopt the upper limit: 7 years.</t>
  </si>
  <si>
    <t>Lifetime of wood stain is 2 to 8 on horizontal and 4 to 10 on vertical surfaces. Assume indoor applications are only on horizontal surfaces (furniture) and for DIY we adopt the lower limit: 2 years.</t>
  </si>
  <si>
    <t>Lifetime of wood stain is 2 to 8 on horizontal and 4 to 10 on vertical surfaces. Assume outdoor applications are only on vertical surfaces (fences) and for DIY we adopt the lower limit: 4 years.</t>
  </si>
  <si>
    <t>Lifetime of wood stain is 2 to 8 on horizontal and 4 to 10 on vertical surfaces. Assume indoor applications are only on horizontal surfaces (furniture) and for prof we adopt the upper limit: 8 years.</t>
  </si>
  <si>
    <t>Lifetime of wood stain is 2 to 8 on horizontal and 4 to 10 on vertical surfaces. Assume outdoor applications are only on vertical surfaces (fences) and for prof we adopt the upper limit: 10 years.</t>
  </si>
  <si>
    <t>Refill is reduced as pile length is reducced so in use emission are gradually up to 5  - 12 year life span</t>
  </si>
  <si>
    <t>Based on Kole et al. 2023 (https://doi.org/10.1016/j.scitotenv.2023.166221)</t>
  </si>
  <si>
    <t>An average life span is assumed of 10 years with about 11% loss based on yearly refill of fields</t>
  </si>
  <si>
    <t xml:space="preserve">Hoeke etal. 2024 (https://doi.org/10.1016/j.resconrec.2023.107389) and Sieber et al. </t>
  </si>
  <si>
    <t>fulllabel</t>
  </si>
  <si>
    <t>type</t>
  </si>
  <si>
    <t>name</t>
  </si>
  <si>
    <t>Adopted from Kawecki &amp; Nowack (2019) or added/changed</t>
  </si>
  <si>
    <t>All compartments mentioned in the Input_NL sheet</t>
  </si>
  <si>
    <t>All compartments mentioned in the Transfer coefficients sheet</t>
  </si>
  <si>
    <t>Stack all compartments mentioned in input and transfer coefficients sheets</t>
  </si>
  <si>
    <t>STACKING column</t>
  </si>
  <si>
    <t>Compartments used by Kawecki &amp; Nowack (2019)</t>
  </si>
  <si>
    <t>Type of compartment</t>
  </si>
  <si>
    <t>Shorter name of the compartment (for modelling purposes)</t>
  </si>
  <si>
    <t>CHECK</t>
  </si>
  <si>
    <t>If B = Stock, then check if it has a lifetime</t>
  </si>
  <si>
    <t>Does this error need attention?</t>
  </si>
  <si>
    <t>Lifetimes defined</t>
  </si>
  <si>
    <t>Flow</t>
  </si>
  <si>
    <t>AgriculturalFilms</t>
  </si>
  <si>
    <t>AgriculturalOther</t>
  </si>
  <si>
    <t>Stock</t>
  </si>
  <si>
    <t>AgriculturalPipes</t>
  </si>
  <si>
    <t>AgricultureRecycling</t>
  </si>
  <si>
    <t>Sink</t>
  </si>
  <si>
    <t>AgriculturalSoilMacro</t>
  </si>
  <si>
    <t>AgriculturalSoilMicro</t>
  </si>
  <si>
    <t>AgricultureCollection</t>
  </si>
  <si>
    <t>ASRRecycling</t>
  </si>
  <si>
    <t>Automotive</t>
  </si>
  <si>
    <t>Automotive (product sector)</t>
  </si>
  <si>
    <t>AutomotivePC</t>
  </si>
  <si>
    <t>LargePartRecycling</t>
  </si>
  <si>
    <t>Automotive parts reuse</t>
  </si>
  <si>
    <t>PartReuse</t>
  </si>
  <si>
    <t>Building and Construction</t>
  </si>
  <si>
    <t>BuildingConstruction</t>
  </si>
  <si>
    <t>No, we don't include this product sector in our model</t>
  </si>
  <si>
    <t>BuildingTextiles</t>
  </si>
  <si>
    <t>Clothing</t>
  </si>
  <si>
    <t>Apparel</t>
  </si>
  <si>
    <t>ClothingProdSec</t>
  </si>
  <si>
    <t>Combined Sewer Overflow (macro)</t>
  </si>
  <si>
    <t>CSOMacro</t>
  </si>
  <si>
    <t>Combined Sewer Overflow (micro)</t>
  </si>
  <si>
    <t>CSOMicro</t>
  </si>
  <si>
    <t>Combined Sewer Overflow (small macro)</t>
  </si>
  <si>
    <t>CSOMacroSmall</t>
  </si>
  <si>
    <t>CompostMacro</t>
  </si>
  <si>
    <t>CompostMicro</t>
  </si>
  <si>
    <t>Compost collection (smaller than 1 mm)</t>
  </si>
  <si>
    <t>CompostCollectionSmall</t>
  </si>
  <si>
    <t>Compost collection (larger than 1 mm)</t>
  </si>
  <si>
    <t>CompostCollectionLarge</t>
  </si>
  <si>
    <t>CompostingSizeSep</t>
  </si>
  <si>
    <t>CDIncinerableCollection</t>
  </si>
  <si>
    <t>CDRecycling</t>
  </si>
  <si>
    <t>Construction and demolition waste collection</t>
  </si>
  <si>
    <t>CDCollection</t>
  </si>
  <si>
    <t>Construction pipes (and ducts)</t>
  </si>
  <si>
    <t>YES</t>
  </si>
  <si>
    <t>Cotton swabs</t>
  </si>
  <si>
    <t>CottonBudSticks</t>
  </si>
  <si>
    <t>Coverings (construction)</t>
  </si>
  <si>
    <t>WallFloorCoverings</t>
  </si>
  <si>
    <t>Cutlery</t>
  </si>
  <si>
    <t>DisposCleanCloths</t>
  </si>
  <si>
    <t>EEE</t>
  </si>
  <si>
    <t>EEE (product sector)</t>
  </si>
  <si>
    <t>EEEPC</t>
  </si>
  <si>
    <t>ELV collection</t>
  </si>
  <si>
    <t>ELVCollection</t>
  </si>
  <si>
    <t>ELVTextilesCollection</t>
  </si>
  <si>
    <t>Fabric coatings</t>
  </si>
  <si>
    <t>FabricCoatings</t>
  </si>
  <si>
    <t>Fibre production</t>
  </si>
  <si>
    <t>FibreProduction</t>
  </si>
  <si>
    <t>Furniture</t>
  </si>
  <si>
    <t>Household plastics</t>
  </si>
  <si>
    <t>Household textiles</t>
  </si>
  <si>
    <t>HouseholdTextiles</t>
  </si>
  <si>
    <t>HouseholdTextilesPC</t>
  </si>
  <si>
    <t>Hygiene and medical textiles</t>
  </si>
  <si>
    <t>HygieneMedicalTextiles</t>
  </si>
  <si>
    <t>IndoorAirMicro</t>
  </si>
  <si>
    <t>FloorCleaning</t>
  </si>
  <si>
    <t>IndusStormWaterMicro</t>
  </si>
  <si>
    <t>Insulation (construction)</t>
  </si>
  <si>
    <t>Insulation</t>
  </si>
  <si>
    <t>Lining (construction)</t>
  </si>
  <si>
    <t>Lining</t>
  </si>
  <si>
    <t>RuralLitter</t>
  </si>
  <si>
    <t>UrbanLitter</t>
  </si>
  <si>
    <t>RoadSideLitter</t>
  </si>
  <si>
    <t>MixedCollection</t>
  </si>
  <si>
    <t>RuralSoilMacro</t>
  </si>
  <si>
    <t>RuralSoilMicro</t>
  </si>
  <si>
    <t>Non-textile manufacturing</t>
  </si>
  <si>
    <t>NonTextileManufact</t>
  </si>
  <si>
    <t>On-Site Sewage Facility (macro)</t>
  </si>
  <si>
    <t>OSSFMacro</t>
  </si>
  <si>
    <t>On-Site Sewage Facility (micro)</t>
  </si>
  <si>
    <t>OSSFMicro</t>
  </si>
  <si>
    <t>OnTheGo</t>
  </si>
  <si>
    <t>OnTheGoRural</t>
  </si>
  <si>
    <t>OnTheGoUrban</t>
  </si>
  <si>
    <t>OnTheGoTransport</t>
  </si>
  <si>
    <t>Other non-textile products</t>
  </si>
  <si>
    <t>Other plastic products (product sector)</t>
  </si>
  <si>
    <t>OutdoorAirMicro</t>
  </si>
  <si>
    <t>PackagingCollection</t>
  </si>
  <si>
    <t>PackagingRecycling</t>
  </si>
  <si>
    <t>PantyLiners</t>
  </si>
  <si>
    <t>Pre-consumer fibre collection</t>
  </si>
  <si>
    <t>PCFibreCollection</t>
  </si>
  <si>
    <t>Pre-consumer plastic collection</t>
  </si>
  <si>
    <t>PCPlasticCollection</t>
  </si>
  <si>
    <t>PrimProduction</t>
  </si>
  <si>
    <t>WWTPrimaryMacro</t>
  </si>
  <si>
    <t>WWTPrimaryMicro</t>
  </si>
  <si>
    <t>Primary water treatment (small macro)</t>
  </si>
  <si>
    <t>WWTPrimaryMacroSmall</t>
  </si>
  <si>
    <t>UrbanSoilMacro</t>
  </si>
  <si>
    <t>UrbanSoilMicro</t>
  </si>
  <si>
    <t>RoadSideMacro</t>
  </si>
  <si>
    <t>Sanitary napkins</t>
  </si>
  <si>
    <t>SanitaryNapkins</t>
  </si>
  <si>
    <t>Secondary material production</t>
  </si>
  <si>
    <t>SecMatProduction</t>
  </si>
  <si>
    <t>MaterialReuse</t>
  </si>
  <si>
    <t>WWTSecondaryMacro</t>
  </si>
  <si>
    <t>WWTSecondaryMicro</t>
  </si>
  <si>
    <t>Secondary water treatment (small macro)</t>
  </si>
  <si>
    <t>WWTSecondaryMacroSmall</t>
  </si>
  <si>
    <t>Shotgun cartridges</t>
  </si>
  <si>
    <t>ShotgunCartridges</t>
  </si>
  <si>
    <t>SludgeMacro</t>
  </si>
  <si>
    <t>SludgeMicro</t>
  </si>
  <si>
    <t>StormWaterMacro</t>
  </si>
  <si>
    <t>StormWaterMicro</t>
  </si>
  <si>
    <t>Straws</t>
  </si>
  <si>
    <t>DeepUrbanSoilMicro</t>
  </si>
  <si>
    <t>SurfaceWaterMacro</t>
  </si>
  <si>
    <t>SurfaceWaterMicro</t>
  </si>
  <si>
    <t>Tampon applicators</t>
  </si>
  <si>
    <t>TamponApplicators</t>
  </si>
  <si>
    <t>Technical clothing</t>
  </si>
  <si>
    <t>TechnicalClothing</t>
  </si>
  <si>
    <t>Technical household textiles</t>
  </si>
  <si>
    <t>TechnicalHouseholdTextiles</t>
  </si>
  <si>
    <t>Renamed to Technical home textiles (see Comp Added)</t>
  </si>
  <si>
    <t>TechnicalTextiles</t>
  </si>
  <si>
    <t>WWTTertiaryMacro</t>
  </si>
  <si>
    <t>WWTTertiaryMicro</t>
  </si>
  <si>
    <t>Textile manufacturing</t>
  </si>
  <si>
    <t>TextileManufacturing</t>
  </si>
  <si>
    <t>TextileReuse</t>
  </si>
  <si>
    <t>TextileCollection</t>
  </si>
  <si>
    <t>Transport</t>
  </si>
  <si>
    <t>WWTPMacro</t>
  </si>
  <si>
    <t>WWTPMicro</t>
  </si>
  <si>
    <t>WasteWaterMacro</t>
  </si>
  <si>
    <t>WasteWaterMicro</t>
  </si>
  <si>
    <t>Wastewater (small macro)</t>
  </si>
  <si>
    <t>WasteWaterMacroSmall</t>
  </si>
  <si>
    <t>WEEE collection</t>
  </si>
  <si>
    <t>WEEECollection</t>
  </si>
  <si>
    <t>WEEPRecycling</t>
  </si>
  <si>
    <t>WetWipes</t>
  </si>
  <si>
    <t>Windows, profiles and fitted furniture</t>
  </si>
  <si>
    <t>WindowsProfilesFittedFurniture</t>
  </si>
  <si>
    <t>WWTPMacroSmall</t>
  </si>
  <si>
    <t>Compartments added</t>
  </si>
  <si>
    <t>AgriMulching</t>
  </si>
  <si>
    <t>ClothingIU</t>
  </si>
  <si>
    <t>CollectedOrganicW</t>
  </si>
  <si>
    <t>CollectedOrganicWlarger1mm</t>
  </si>
  <si>
    <t>CollectedOrganicWsmaller1mm</t>
  </si>
  <si>
    <t>ConcreteProf</t>
  </si>
  <si>
    <t>ConcreteProfIn</t>
  </si>
  <si>
    <t>ConcreteProfOut</t>
  </si>
  <si>
    <t>ControlledFertilizer</t>
  </si>
  <si>
    <t>Detergents</t>
  </si>
  <si>
    <t>DomPrimaryProd</t>
  </si>
  <si>
    <t>ExportPrimPlastics</t>
  </si>
  <si>
    <t>FertilizerAdditive</t>
  </si>
  <si>
    <t>FoodAdditive</t>
  </si>
  <si>
    <t>HighwayDAB</t>
  </si>
  <si>
    <t>HighwayZOAB</t>
  </si>
  <si>
    <t>HighwayZOABnc</t>
  </si>
  <si>
    <t>HighwayDABnc</t>
  </si>
  <si>
    <t>HomeTextiles</t>
  </si>
  <si>
    <t>ImpPrimaryProd</t>
  </si>
  <si>
    <t>Indoor concrete paint (prof)</t>
  </si>
  <si>
    <t>IndoorConcretePaint</t>
  </si>
  <si>
    <t>Indoor lacquer (DIY)</t>
  </si>
  <si>
    <t>IndoorLacquerDiy</t>
  </si>
  <si>
    <t>Indoor lacquer (prof)</t>
  </si>
  <si>
    <t>IndoorLacquerProf</t>
  </si>
  <si>
    <t>Indoor other paint uses (DIY)</t>
  </si>
  <si>
    <t>IndoorPaintOtherDiy</t>
  </si>
  <si>
    <t>Indoor other paint uses (prof)</t>
  </si>
  <si>
    <t>IndoorPaintOtherProf</t>
  </si>
  <si>
    <t>Indoor plaster (DIY)</t>
  </si>
  <si>
    <t>IndoorPlasterDiy</t>
  </si>
  <si>
    <t>Indoor plaster (prof)</t>
  </si>
  <si>
    <t>IndoorPlasterProf</t>
  </si>
  <si>
    <t>Indoor wall paint (DIY)</t>
  </si>
  <si>
    <t>IndoorWallDiy</t>
  </si>
  <si>
    <t>Indoor wall paint (prof)</t>
  </si>
  <si>
    <t>IndoorWallProf</t>
  </si>
  <si>
    <t>Indoor wood stain (DIY)</t>
  </si>
  <si>
    <t>IndoorWoodStainDiy</t>
  </si>
  <si>
    <t>Indoor wood stain (prof)</t>
  </si>
  <si>
    <t>IndoorWoodProf</t>
  </si>
  <si>
    <t>IndustrialStormwaterMicro</t>
  </si>
  <si>
    <t>InfillSportsField</t>
  </si>
  <si>
    <t>IntProdMP</t>
  </si>
  <si>
    <t>In-use indoor paint</t>
  </si>
  <si>
    <t>UseIndoorPaint</t>
  </si>
  <si>
    <t>In-use outdoor paint</t>
  </si>
  <si>
    <t>UseOutdoorPaint</t>
  </si>
  <si>
    <t>In-use ship paint (prof)</t>
  </si>
  <si>
    <t>UseShipPaintProf</t>
  </si>
  <si>
    <t>In-use Ship paint (recr)</t>
  </si>
  <si>
    <t>UseShipPaintDiy</t>
  </si>
  <si>
    <t>IVD</t>
  </si>
  <si>
    <t>LacquerDiy</t>
  </si>
  <si>
    <t>LacquerDiyIn</t>
  </si>
  <si>
    <t>LacquerDiyOut</t>
  </si>
  <si>
    <t>LacquerProf</t>
  </si>
  <si>
    <t>LacquerProfIn</t>
  </si>
  <si>
    <t>LacquerProfOut</t>
  </si>
  <si>
    <t>Maintenance indoor paint emission</t>
  </si>
  <si>
    <t>MaintenanceIndoorPaint</t>
  </si>
  <si>
    <t>Maintenance outdoor paint emission</t>
  </si>
  <si>
    <t>MaintenanceOutdoorPaint</t>
  </si>
  <si>
    <t>Maintenance ship paint (prof) emission</t>
  </si>
  <si>
    <t>MaintenanceShipPaintProf</t>
  </si>
  <si>
    <t>Maintenance Ship paint (recr) emission</t>
  </si>
  <si>
    <t>MaintenanceShipPaintDiy</t>
  </si>
  <si>
    <t>MedicineDiff</t>
  </si>
  <si>
    <t>MixedCollectionMicro</t>
  </si>
  <si>
    <t>OilGasApplications</t>
  </si>
  <si>
    <t>OtherPaintUsesDiy</t>
  </si>
  <si>
    <t>OtherPaintUsesDiyIn</t>
  </si>
  <si>
    <t>OtherPaintUsesDiyOut</t>
  </si>
  <si>
    <t>OtherPaintUses</t>
  </si>
  <si>
    <t>OtherPaintUsesProfIn</t>
  </si>
  <si>
    <t>OtherPaintUsesProfOut</t>
  </si>
  <si>
    <t>Outdoor concrete paint (prof)</t>
  </si>
  <si>
    <t>OutdoorConcretePaint</t>
  </si>
  <si>
    <t>Outdoor lacquer (DIY)</t>
  </si>
  <si>
    <t>OutdoorLacquerDiy</t>
  </si>
  <si>
    <t>Outdoor lacquer (prof)</t>
  </si>
  <si>
    <t>OutdoorLacquerProf</t>
  </si>
  <si>
    <t>Outdoor other paint uses (DIY)</t>
  </si>
  <si>
    <t>OutdoorPaintOtherDiy</t>
  </si>
  <si>
    <t>Outdoor other paint uses (prof)</t>
  </si>
  <si>
    <t>OutdoorPaintOtherProf</t>
  </si>
  <si>
    <t>Outdoor plaster (DIY)</t>
  </si>
  <si>
    <t>OutdoorPlasterDiy</t>
  </si>
  <si>
    <t>Outdoor plaster (prof)</t>
  </si>
  <si>
    <t>OutdoorPlasterProf</t>
  </si>
  <si>
    <t>Outdoor wall paint (DIY)</t>
  </si>
  <si>
    <t>OutdoorWallDiy</t>
  </si>
  <si>
    <t>Outdoor wall paint (prof)</t>
  </si>
  <si>
    <t>OutdoorWallProf</t>
  </si>
  <si>
    <t>Outdoor wood stain (DIY)</t>
  </si>
  <si>
    <t>OutdoorWoodStainDiy</t>
  </si>
  <si>
    <t>Outdoor wood stain (prof)</t>
  </si>
  <si>
    <t>OutdoorWoodProf</t>
  </si>
  <si>
    <t>PaintsPreMadeWood</t>
  </si>
  <si>
    <t>PaintsPreMadeWoodIn</t>
  </si>
  <si>
    <t>PaintsPreMadeWoodOut</t>
  </si>
  <si>
    <t>PelletConversio</t>
  </si>
  <si>
    <t>PelletLossIndustrial</t>
  </si>
  <si>
    <t>PelletTransportLossesL</t>
  </si>
  <si>
    <t>PlantProtection</t>
  </si>
  <si>
    <t>PlasterDiy</t>
  </si>
  <si>
    <t>PlasterDiyIn</t>
  </si>
  <si>
    <t>PlasterDiyOut</t>
  </si>
  <si>
    <t>PlasterProf</t>
  </si>
  <si>
    <t>PlasterProfIn</t>
  </si>
  <si>
    <t>PlasterProfOut</t>
  </si>
  <si>
    <t>PlasticProduct</t>
  </si>
  <si>
    <t>Rinsing paint brushes emission</t>
  </si>
  <si>
    <t>RinsingBrushes</t>
  </si>
  <si>
    <t>RoadCleaning</t>
  </si>
  <si>
    <t>RoadRunoff</t>
  </si>
  <si>
    <t>RoadSideSoilMicro</t>
  </si>
  <si>
    <t>RuralRoads</t>
  </si>
  <si>
    <t>SanitaryPads</t>
  </si>
  <si>
    <t>SeaWaterMicro</t>
  </si>
  <si>
    <t>SeedCoating</t>
  </si>
  <si>
    <t>ShipProf</t>
  </si>
  <si>
    <t>ShipDiy</t>
  </si>
  <si>
    <t>TechHomeTextiles</t>
  </si>
  <si>
    <t>TextileCoating</t>
  </si>
  <si>
    <t>PelletTransport</t>
  </si>
  <si>
    <t>TyreWear</t>
  </si>
  <si>
    <t>UrbanRoads</t>
  </si>
  <si>
    <t>WallDiy</t>
  </si>
  <si>
    <t>WallDiyIn</t>
  </si>
  <si>
    <t>WallApplDiy</t>
  </si>
  <si>
    <t>WallBrushDiy</t>
  </si>
  <si>
    <t>WallDiyOut</t>
  </si>
  <si>
    <t>WallProf</t>
  </si>
  <si>
    <t>WallProfIn</t>
  </si>
  <si>
    <t>WallProfOut</t>
  </si>
  <si>
    <t>Weathering indoor paint emission</t>
  </si>
  <si>
    <t>WeatheringIndoorPaint</t>
  </si>
  <si>
    <t>Weathering outdoor paint emission</t>
  </si>
  <si>
    <t>WeatheringOutdoorPaint</t>
  </si>
  <si>
    <t>Weathering ship paint (prof) emission</t>
  </si>
  <si>
    <t>WeatheringShipPaintProf</t>
  </si>
  <si>
    <t>Weathering Ship paint (recr) emission</t>
  </si>
  <si>
    <t>WeatheringShipPaintDiy</t>
  </si>
  <si>
    <t>WoodDiy</t>
  </si>
  <si>
    <t>WoodDiyIn</t>
  </si>
  <si>
    <t>WoodDiyOut</t>
  </si>
  <si>
    <t>WoodProf</t>
  </si>
  <si>
    <t>WoodProfIn</t>
  </si>
  <si>
    <t>WoodProfOut</t>
  </si>
  <si>
    <t>AgriculturalWasteCollectionMicro</t>
  </si>
  <si>
    <t>TextileRecycling</t>
  </si>
  <si>
    <t>Input compartments</t>
  </si>
  <si>
    <t>All types of compartiments</t>
  </si>
  <si>
    <t>Also in NL inputs?</t>
  </si>
  <si>
    <t>Also in EU input?</t>
  </si>
  <si>
    <t>TC from</t>
  </si>
  <si>
    <r>
      <t xml:space="preserve">Do microplastics also flow </t>
    </r>
    <r>
      <rPr>
        <b/>
        <u/>
        <sz val="11"/>
        <color theme="1"/>
        <rFont val="Calibri"/>
        <family val="2"/>
        <scheme val="minor"/>
      </rPr>
      <t>to</t>
    </r>
    <r>
      <rPr>
        <b/>
        <sz val="11"/>
        <color theme="1"/>
        <rFont val="Calibri"/>
        <family val="2"/>
        <scheme val="minor"/>
      </rPr>
      <t xml:space="preserve"> this comparment (from another compartment)? If yes: OK. If not: this compartment is an input or data is missing.</t>
    </r>
  </si>
  <si>
    <t>TC to</t>
  </si>
  <si>
    <r>
      <t xml:space="preserve">Do microplastics also flow </t>
    </r>
    <r>
      <rPr>
        <b/>
        <u/>
        <sz val="11"/>
        <color theme="1"/>
        <rFont val="Calibri"/>
        <family val="2"/>
        <scheme val="minor"/>
      </rPr>
      <t>from</t>
    </r>
    <r>
      <rPr>
        <b/>
        <sz val="11"/>
        <color theme="1"/>
        <rFont val="Calibri"/>
        <family val="2"/>
        <scheme val="minor"/>
      </rPr>
      <t xml:space="preserve"> this comparment (to another compartment)? If yes: OK. If not: then this compartment is a sink or data is missing.</t>
    </r>
  </si>
  <si>
    <t>Lifetime Category</t>
  </si>
  <si>
    <t>Lifetime sheet collumn names (lifetime categories)</t>
  </si>
  <si>
    <t>Check if exists in Lifetime_pairs, if missing check or clean up lifetimes sheet</t>
  </si>
  <si>
    <t>Code for links to lifetimes header row</t>
  </si>
  <si>
    <t>kkqLifetimes!B1</t>
  </si>
  <si>
    <t>kkqLifetimes!C1</t>
  </si>
  <si>
    <t>kkqLifetimes!D1</t>
  </si>
  <si>
    <t>kkqLifetimes!E1</t>
  </si>
  <si>
    <t>kkqLifetimes!F1</t>
  </si>
  <si>
    <t>kkqLifetimes!G1</t>
  </si>
  <si>
    <t>kkqLifetimes!H1</t>
  </si>
  <si>
    <t>kkqLifetimes!I1</t>
  </si>
  <si>
    <t>kkqLifetimes!J1</t>
  </si>
  <si>
    <t>kkqLifetimes!K1</t>
  </si>
  <si>
    <t>kkqLifetimes!L1</t>
  </si>
  <si>
    <t>kkqLifetimes!M1</t>
  </si>
  <si>
    <t>kkqLifetimes!N1</t>
  </si>
  <si>
    <t>kkqLifetimes!O1</t>
  </si>
  <si>
    <t>kkqLifetimes!P1</t>
  </si>
  <si>
    <t>kkqLifetimes!Q1</t>
  </si>
  <si>
    <t>kkqLifetimes!R1</t>
  </si>
  <si>
    <t>kkqLifetimes!S1</t>
  </si>
  <si>
    <t>kkqLifetimes!T1</t>
  </si>
  <si>
    <t>kkqLifetimes!U1</t>
  </si>
  <si>
    <t>kkqLifetimes!V1</t>
  </si>
  <si>
    <t>kkqLifetimes!W1</t>
  </si>
  <si>
    <t>kkqLifetimes!X1</t>
  </si>
  <si>
    <t>kkqLifetimes!Y1</t>
  </si>
  <si>
    <t>kkqLifetimes!Z1</t>
  </si>
  <si>
    <t>kkqLifetimes!AA1</t>
  </si>
  <si>
    <t>kkqLifetimes!AB1</t>
  </si>
  <si>
    <t>kkqLifetimes!AC1</t>
  </si>
  <si>
    <t>kkqLifetimes!AD1</t>
  </si>
  <si>
    <t>kkqLifetimes!AE1</t>
  </si>
  <si>
    <t>kkqLifetimes!AF1</t>
  </si>
  <si>
    <t>kkqLifetimes!AG1</t>
  </si>
  <si>
    <t>kkqLifetimes!AH1</t>
  </si>
  <si>
    <t>kkqLifetimes!AI1</t>
  </si>
  <si>
    <t>kkqLifetimes!AJ1</t>
  </si>
  <si>
    <t>kkqLifetimes!AK1</t>
  </si>
  <si>
    <t>kkqLifetimes!AL1</t>
  </si>
  <si>
    <t>kkqLifetimes!AM1</t>
  </si>
  <si>
    <t>kkqLifetimes!AN1</t>
  </si>
  <si>
    <t>kkqLifetimes!AO1</t>
  </si>
  <si>
    <t>kkqLifetimes!AP1</t>
  </si>
  <si>
    <t>kkqLifetimes!AQ1</t>
  </si>
  <si>
    <t>kkqLifetimes!AR1</t>
  </si>
  <si>
    <t>kkqLifetimes!AS1</t>
  </si>
  <si>
    <t>kkqLifetimes!AT1</t>
  </si>
  <si>
    <t>kkqLifetimes!AU1</t>
  </si>
  <si>
    <t>kkqLifetimes!AV1</t>
  </si>
  <si>
    <t>kkqLifetimes!AW1</t>
  </si>
  <si>
    <t>kkqLifetimes!AX1</t>
  </si>
  <si>
    <t>kkqLifetimes!AY1</t>
  </si>
  <si>
    <t>kkqLifetimes!AZ1</t>
  </si>
  <si>
    <t>kkqLifetimes!BA1</t>
  </si>
  <si>
    <t>kkqLifetimes!BB1</t>
  </si>
  <si>
    <t>kkqLifetimes!BC1</t>
  </si>
  <si>
    <t>kkqLifetimes!BD1</t>
  </si>
  <si>
    <t>kkqLifetimes!BE1</t>
  </si>
  <si>
    <t>kkqLifetimes!BF1</t>
  </si>
  <si>
    <t>kkqLifetimes!BG1</t>
  </si>
  <si>
    <t>kkqLifetimes!BH1</t>
  </si>
  <si>
    <t>kkqLifetimes!BI1</t>
  </si>
  <si>
    <t>kkqLifetimes!BJ1</t>
  </si>
  <si>
    <t>kkqLifetimes!BK1</t>
  </si>
  <si>
    <t>kkqLifetimes!BL1</t>
  </si>
  <si>
    <t>kkqLifetimes!BM1</t>
  </si>
  <si>
    <t>kkqLifetimes!BN1</t>
  </si>
  <si>
    <t>kkqLifetimes!BO1</t>
  </si>
  <si>
    <t>kkqLifetimes!BP1</t>
  </si>
  <si>
    <t>kkqLifetimes!BQ1</t>
  </si>
  <si>
    <t>kkqLifetimes!BR1</t>
  </si>
  <si>
    <t>kkqLifetimes!BS1</t>
  </si>
  <si>
    <t>kkqLifetimes!BT1</t>
  </si>
  <si>
    <t>kkqLifetimes!BU1</t>
  </si>
  <si>
    <t>kkqLifetimes!BV1</t>
  </si>
  <si>
    <t>kkqLifetimes!BW1</t>
  </si>
  <si>
    <t>kkqLifetimes!BX1</t>
  </si>
  <si>
    <t>kkqLifetimes!BY1</t>
  </si>
  <si>
    <t>kkqLifetimes!BZ1</t>
  </si>
  <si>
    <t>kkqLifetimes!CA1</t>
  </si>
  <si>
    <t>kkqLifetimes!CB1</t>
  </si>
  <si>
    <t>kkqLifetimes!CC1</t>
  </si>
  <si>
    <t>kkqLifetimes!CD1</t>
  </si>
  <si>
    <t>kkqLifetimes!CE1</t>
  </si>
  <si>
    <t>kkqLifetimes!CF1</t>
  </si>
  <si>
    <t>kkqLifetimes!CG1</t>
  </si>
  <si>
    <t>kkqLifetimes!CH1</t>
  </si>
  <si>
    <t>kkqLifetimes!CI1</t>
  </si>
  <si>
    <t>kkqLifetimes!CJ1</t>
  </si>
  <si>
    <t>kkqLifetimes!CK1</t>
  </si>
  <si>
    <t>kkqLifetimes!CL1</t>
  </si>
  <si>
    <t>kkqLifetimes!CM1</t>
  </si>
  <si>
    <t>kkqLifetimes!CN1</t>
  </si>
  <si>
    <t>kkqLifetimes!CO1</t>
  </si>
  <si>
    <t>kkqLifetimes!CP1</t>
  </si>
  <si>
    <t>kkqLifetimes!CQ1</t>
  </si>
  <si>
    <t>kkqLifetimes!CR1</t>
  </si>
  <si>
    <t>kkqLifetimes!CS1</t>
  </si>
  <si>
    <t>kkqLifetimes!CT1</t>
  </si>
  <si>
    <t>kkqLifetimes!CU1</t>
  </si>
  <si>
    <t>kkqLifetimes!CV1</t>
  </si>
  <si>
    <t>kkqLifetimes!CW1</t>
  </si>
  <si>
    <t>kkqLifetimes!CX1</t>
  </si>
  <si>
    <t>kkqLifetimes!CY1</t>
  </si>
  <si>
    <t>kkqLifetimes!CZ1</t>
  </si>
  <si>
    <t>kkqLifetimes!DA1</t>
  </si>
  <si>
    <t>kkqLifetimes!DB1</t>
  </si>
  <si>
    <t>kkqLifetimes!DC1</t>
  </si>
  <si>
    <t>kkqLifetimes!DD1</t>
  </si>
  <si>
    <t>kkqLifetimes!DE1</t>
  </si>
  <si>
    <t>kkqLifetimes!DF1</t>
  </si>
  <si>
    <t>kkqLifetimes!DG1</t>
  </si>
  <si>
    <t>kkqLifetimes!DH1</t>
  </si>
  <si>
    <t>kkqLifetimes!DI1</t>
  </si>
  <si>
    <t>kkqLifetimes!DJ1</t>
  </si>
  <si>
    <t>kkqLifetimes!DK1</t>
  </si>
  <si>
    <t>kkqLifetimes!DL1</t>
  </si>
  <si>
    <t>kkqLifetimes!DM1</t>
  </si>
  <si>
    <t>kkqLifetimes!DN1</t>
  </si>
  <si>
    <t>kkqLifetimes!DO1</t>
  </si>
  <si>
    <t>kkqLifetimes!DP1</t>
  </si>
  <si>
    <t>kkqLifetimes!DQ1</t>
  </si>
  <si>
    <t>kkqLifetimes!DR1</t>
  </si>
  <si>
    <t>kkqLifetimes!DS1</t>
  </si>
  <si>
    <t>kkqLifetimes!DT1</t>
  </si>
  <si>
    <t>kkqLifetimes!DU1</t>
  </si>
  <si>
    <t>kkqLifetimes!DV1</t>
  </si>
  <si>
    <t>kkqLifetimes!DW1</t>
  </si>
  <si>
    <t>kkqLifetimes!DX1</t>
  </si>
  <si>
    <t>kkqLifetimes!DY1</t>
  </si>
  <si>
    <t>kkqLifetimes!DZ1</t>
  </si>
  <si>
    <t>kkqLifetimes!EA1</t>
  </si>
  <si>
    <t>kkqLifetimes!EB1</t>
  </si>
  <si>
    <t>kkqLifetimes!EC1</t>
  </si>
  <si>
    <t>kkqLifetimes!ED1</t>
  </si>
  <si>
    <t>kkqLifetimes!EE1</t>
  </si>
  <si>
    <t>kkqLifetimes!EF1</t>
  </si>
  <si>
    <t>kkqLifetimes!EG1</t>
  </si>
  <si>
    <t>kkqLifetimes!EH1</t>
  </si>
  <si>
    <t>kkqLifetimes!EI1</t>
  </si>
  <si>
    <t>kkqLifetimes!EJ1</t>
  </si>
  <si>
    <t>kkqLifetimes!EK1</t>
  </si>
  <si>
    <t>kkqLifetimes!EL1</t>
  </si>
  <si>
    <t>kkqLifetimes!EM1</t>
  </si>
  <si>
    <t>kkqLifetimes!EN1</t>
  </si>
  <si>
    <t>kkqLifetimes!EO1</t>
  </si>
  <si>
    <t>kkqLifetimes!EP1</t>
  </si>
  <si>
    <t>kkqLifetimes!EQ1</t>
  </si>
  <si>
    <t>kkqLifetimes!ER1</t>
  </si>
  <si>
    <t>kkqLifetimes!ES1</t>
  </si>
  <si>
    <t>kkqLifetimes!ET1</t>
  </si>
  <si>
    <t>kkqLifetimes!EU1</t>
  </si>
  <si>
    <t>kkqLifetimes!EV1</t>
  </si>
  <si>
    <t>kkqLifetimes!EW1</t>
  </si>
  <si>
    <t>kkqLifetimes!EX1</t>
  </si>
  <si>
    <t>kkqLifetimes!EY1</t>
  </si>
  <si>
    <t>kkqLifetimes!EZ1</t>
  </si>
  <si>
    <t>kkqLifetimes!FA1</t>
  </si>
  <si>
    <t>kkqLifetimes!FB1</t>
  </si>
  <si>
    <t>kkqLifetimes!FC1</t>
  </si>
  <si>
    <t>kkqLifetimes!FD1</t>
  </si>
  <si>
    <t>kkqLifetimes!FE1</t>
  </si>
  <si>
    <t>kkqLifetimes!FF1</t>
  </si>
  <si>
    <t>kkqLifetimes!FG1</t>
  </si>
  <si>
    <t>kkqLifetimes!FH1</t>
  </si>
  <si>
    <t>kkqLifetimes!FI1</t>
  </si>
  <si>
    <t>kkqLifetimes!FJ1</t>
  </si>
  <si>
    <t>kkqLifetimes!FK1</t>
  </si>
  <si>
    <t>kkqLifetimes!FL1</t>
  </si>
  <si>
    <t>kkqLifetimes!FM1</t>
  </si>
  <si>
    <t>kkqLifetimes!FN1</t>
  </si>
  <si>
    <t>kkqLifetimes!FO1</t>
  </si>
  <si>
    <t>kkqLifetimes!FP1</t>
  </si>
  <si>
    <t>kkqLifetimes!FQ1</t>
  </si>
  <si>
    <t>kkqLifetimes!FR1</t>
  </si>
  <si>
    <t>kkqLifetimes!FS1</t>
  </si>
  <si>
    <t>kkqLifetimes!FT1</t>
  </si>
  <si>
    <t>kkqLifetimes!FU1</t>
  </si>
  <si>
    <t>kkqLifetimes!FV1</t>
  </si>
  <si>
    <t>kkqLifetimes!FW1</t>
  </si>
  <si>
    <t>kkqLifetimes!FX1</t>
  </si>
  <si>
    <t>kkqLifetimes!FY1</t>
  </si>
  <si>
    <t>kkqLifetimes!FZ1</t>
  </si>
  <si>
    <t>kkqLifetimes!GA1</t>
  </si>
  <si>
    <t>kkqLifetimes!GB1</t>
  </si>
  <si>
    <t>kkqLifetimes!GC1</t>
  </si>
  <si>
    <t>kkqLifetimes!GD1</t>
  </si>
  <si>
    <t>kkqLifetimes!GE1</t>
  </si>
  <si>
    <t>kkqLifetimes!GF1</t>
  </si>
  <si>
    <t>kkqLifetimes!GG1</t>
  </si>
  <si>
    <t>kkqLifetimes!GH1</t>
  </si>
  <si>
    <t>kkqLifetimes!GI1</t>
  </si>
  <si>
    <t>kkqLifetimes!GJ1</t>
  </si>
  <si>
    <t>kkqLifetimes!GK1</t>
  </si>
  <si>
    <t>kkqLifetimes!GL1</t>
  </si>
  <si>
    <t>kkqLifetimes!GM1</t>
  </si>
  <si>
    <t>kkqLifetimes!GN1</t>
  </si>
  <si>
    <t>kkqLifetimes!GO1</t>
  </si>
  <si>
    <t>kkqLifetimes!GP1</t>
  </si>
  <si>
    <t>kkqLifetimes!GQ1</t>
  </si>
  <si>
    <t>kkqLifetimes!GR1</t>
  </si>
  <si>
    <t>kkqLifetimes!GS1</t>
  </si>
  <si>
    <t>kkqLifetimes!GT1</t>
  </si>
  <si>
    <t>kkqLifetimes!GU1</t>
  </si>
  <si>
    <t>kkqLifetimes!GV1</t>
  </si>
  <si>
    <t>kkqLifetimes!GW1</t>
  </si>
  <si>
    <t>kkqLifetimes!GX1</t>
  </si>
  <si>
    <t>kkqLifetimes!GY1</t>
  </si>
  <si>
    <t>kkqLifetimes!GZ1</t>
  </si>
  <si>
    <t>Assume that 5% of the microplastic emissions goes to outdoor air. This is the same fraction as tyre wear particles that go to outdoor air.</t>
  </si>
  <si>
    <t>The "overall value" for the discardedplastiemission on sewerage reported prof) Table 10 from Verschoor et al. (2016)</t>
  </si>
  <si>
    <t>The "overall value" for the microplastic emission ix sewerage reported discTable 10 from Verschoor et al. (2016)</t>
  </si>
  <si>
    <t>The "overall value" for the discardedplastiemission ac sewerage reported prof) Table 10 from Verschoor er al. (2016)</t>
  </si>
  <si>
    <t>The "overall value" for the microplastil indoor (emission ix sewerage reported discarTable 10 from Verschoor er al. (2016)</t>
  </si>
  <si>
    <t>The "overall value" for the discardedplastiemission oo sewerage reported prof) Table 10 from Verschoor st al. (2016)</t>
  </si>
  <si>
    <t>The "overall value" for the microplastiw emission ix sewerage reported discardeTable 10 from Verschoor st al. (2016)</t>
  </si>
  <si>
    <t>The "overall value" for the discardedplastiemission al sewerage reported prof) Table 10 from Verschoor pa al. (2016)</t>
  </si>
  <si>
    <t>The "overall value" for the microplastiw emission ix sewerage reported discardeTable 10 from Verschoor pa al. (2016)</t>
  </si>
  <si>
    <t>The "overall value" for the discardedplastiemission la sewerage reported prof) Table 10 from Verschoor er al. (2016)</t>
  </si>
  <si>
    <t>The "overall value" for the microplastip indoor (emission ix sewerage reported discarTable 10 from Verschoor er al. (2016)</t>
  </si>
  <si>
    <t>The "overall value" for the discardedplastiemission th sewerage reported prof) Table 10 from Verschoor  p al. (2016)</t>
  </si>
  <si>
    <t>The "overall value" for the microplastioemission ix sewerage reported diTable 10 from Verschoor  p al. (2016)</t>
  </si>
  <si>
    <t>The "overall value" for the discardedplastiemission )  sewerage reported DIY) Table 10 from Verschoor er al. (2016)</t>
  </si>
  <si>
    <t>The "overall value" for the microplastilemission ix sewerage reported discarTable 10 from Verschoor er al. (2016)</t>
  </si>
  <si>
    <t>The "overall value" for the discardedplastiemission )  sewerage reported DIY) Table 10 from Verschoor st al. (2016)</t>
  </si>
  <si>
    <t>The "overall value" for the microplastiw indoor (emission ix sewerage reported discardedTable 10 from Verschoor st al. (2016)</t>
  </si>
  <si>
    <t>The "overall value" for the discardedplastiemission )  sewerage reported DIY) Table 10 from Verschoor pa al. (2016)</t>
  </si>
  <si>
    <t>The "overall value" for the DIYplastiemission )  sewerage reported DIY) Table 10 from Verschoor pa al. (2016)</t>
  </si>
  <si>
    <t>The "overall value" for the discardedplastiemission )  sewerage reported DIY) indoor Table 10 from Verschoor pa al. (2016)</t>
  </si>
  <si>
    <t>The "overall value" for the microplastiw indoor emission ix sewerage reported dTable 10 from Verschoor pa al. (2016)</t>
  </si>
  <si>
    <t>The "overall value" for the microplastipemission ix sewerage reported discarTable 10 from Verschoor er al. (2016)</t>
  </si>
  <si>
    <t>The "overall value" for the discardedplastiemission )  sewerage reported DIY) Table 10 from Verschoor  p al. (2016)</t>
  </si>
  <si>
    <t>The "overall value" for the microplastio emission ix sewerage reported disTable 10 from Verschoor  p al. (2016)</t>
  </si>
  <si>
    <t>The "overall value" for the microplastic emission to sewerage reported in Table 10 from Verschoor et al. (2016) = 39.4%</t>
  </si>
  <si>
    <t>The "overall value" for the microplastic emission to soil reported in Table 10 from Verschoor et al. (2016) = 57%. However, the emission factors in Table 10 do not sum up to 100%. Therefore, we adjust the 57% to 57.2%. Then we assume 5% goes to air. Thus 57.2 - 5 = 52.2%.</t>
  </si>
  <si>
    <t>The "overall value" for the microplastic emission to surface water reported in Table 10 from Verschoor et al. (2016) = 3.4%.</t>
  </si>
  <si>
    <t>0% of microplastic emissions during removal/maintainance of outdoor plaster (DIY) (EF_removal = 0% in Table 8).</t>
  </si>
  <si>
    <t>0% of microplastic emissions during removal/maintainance of outdoor wall paint (DIY) (EF_removal = 0% in Table 8).</t>
  </si>
  <si>
    <t>0% of microplastic emissions during removal/maintainance of outdoor wood stain (DIY) (EF_removal = 0% in Table 8).</t>
  </si>
  <si>
    <t>0% of microplastic emissions during removal/maintainance of outdoor other paint uses (prof) (EF_removal = 0% in Table 8).</t>
  </si>
  <si>
    <t>0% of microplastic emissions during removal/maintainance of outdoor plaster (prof) (EF_removal = 0% in Table 8).</t>
  </si>
  <si>
    <t>0% of microplastic emissions during removal/maintainance of outdoor wall paint (prof) (EF_removal = 0% in Table 8).</t>
  </si>
  <si>
    <t>3.2% of microplastic emissions during removal/maintainance of outdoor wood stain (prof) (EF_removal = 3.2% in Table 8). Assume that the fraction going to air is 5%. Thus 0.032 * 0.05 = 0,0016.</t>
  </si>
  <si>
    <t>3.2% of microplastic emissions during removal/maintainance of outdoor wood stain (prof) (EF_removal = 3.2% in Table 8). The fraction going to wastewater equals 39.4% according to Table 10 in Verschoor et al. (2016). Thus 0.032 * 0.394 = 0,0126.</t>
  </si>
  <si>
    <t>3.2% of microplastic emissions during removal/maintainance of outdoor wood stain (prof) (EF_removal = 3.2% in Table 8). The fraction going to surfacewater equals 3.4% according to Table 10 in Verschoor et al. (2016). Thus 0.032 * 0.034 = 0,0126.</t>
  </si>
  <si>
    <t>3.2% of microplastic emissions during removal/maintainance of outdoor paints used in pre-made wooden products (EF_removal = 3.2% in Table 8). Assume that the fraction going to air is 5%. Thus 0.032 * 0.05 = 0,0016.</t>
  </si>
  <si>
    <t>3.2% of microplastic emissions during removal/maintainance of outdoor paints used in pre-made wooden products (EF_removal = 3.2% in Table 8). The fraction going to wastewater equals 39.4% according to Table 10 in Verschoor et al. (2016). Thus 0.032 * 0.394 = 0,0126.</t>
  </si>
  <si>
    <t>3.2% of microplastic emissions during removal/maintainance of outdoor paints used in pre-made wooden products (EF_removal = 3.2% in Table 8). The fraction going to surfacewater equals 3.4% according to Table 10 in Verschoor et al. (2016). Thus 0.032 * 0.034 = 0,0126.</t>
  </si>
  <si>
    <t>3.2% of microplastic emissions during removal/maintainance of outdoor lacquer (prof) (EF_removal = 3.2% in Table 8). Assume that the fraction going to air is 5%. Thus 0.032 * 0.05 = 0,0016.</t>
  </si>
  <si>
    <t>3.2% of microplastic emissions during removal/maintainance of outdoor lacquer (prof) (EF_removal = 3.2% in Table 8). The fraction going to wastewater equals 39.4% according to Table 10 in Verschoor et al. (2016). Thus 0.032 * 0.394 = 0,0126.</t>
  </si>
  <si>
    <t>3.2% of microplastic emissions during removal/maintainance of outdoor lacquer (prof) (EF_removal = 3.2% in Table 8). The fraction going to surfacewater equals 3.4% according to Table 10 in Verschoor et al. (2016). Thus 0.032 * 0.034 = 0,0126.</t>
  </si>
  <si>
    <t>0% of microplastic emissions during removal/maintainance of outdoor concrete paint (prof) (EF_removal = 0% in Table 8).</t>
  </si>
  <si>
    <t>3.2% of microplastic emissions during removal/maintainance of outdoor paints used in pre-made wooden products (EF_removal = 3.2% in Table 8). The fraction going to soil equals 57.2% (adjusted from Table 10 in Verschoor et al., 2016). We assume -5% that goes to air. Thus 52.2% to soil. Thus 0.032 * 0.522 = 0,0167.</t>
  </si>
  <si>
    <t>3.2% of microplastic emissions during removal/maintainance of outdoor lacquer (prof) (EF_removal = 3.2% in Table 8). The fraction going to soil equals 57.2% (adjusted from Table 10 in Verschoor et al., 2016). We assume -5% that goes to air. Thus 52.2% to soil. Thus 0.032 * 0.522 = 0,0167.</t>
  </si>
  <si>
    <t>3.2% of microplastic emissions during removal/maintainance of outdoor wood stain (prof) (EF_removal = 3.2% in Table 8). The fraction going to soil equals 57.2% (adjusted from Table 10 in Verschoor et al., 2016). We assume -5% that goes to air. Thus 52.2% to soil. Thus 0.032 * 0.522 = 0,0167.</t>
  </si>
  <si>
    <t>The "overall value" for the discardedplastiemission ai sewerage reported products Table 10 from Verschoor et  al. (2016)</t>
  </si>
  <si>
    <t>The "overall value" for the microplastiemission ix sewerage reported indoor Table 10 from Verschoor et  al. (2016)</t>
  </si>
  <si>
    <t>6.4% of microplastic emissions during removal/maintainance of outdoor laqcuer (DIY) (EF_removal = 6.4% in Table 8). Assume that the fraction going to air is 5%. Thus 0.064 * 0.05 = 0,0032.</t>
  </si>
  <si>
    <t>6.4% of microplastic emissions during removal/maintainance of outdoor laqcuer (DIY) (EF_removal = 6.4% in Table 8). The fraction going to soil equals 57.2% (adjusted from Table 10 in Verschoor et al., 2016). We assume -5% that goes to air. Thus 52.2% to soil. Thus 0.064 * 0.522 = 0,03341.</t>
  </si>
  <si>
    <t>6.4% of microplastic emissions during removal/maintainance of outdoor lacquer (DIY) (EF_removal = 6.4% in Table 8). The fraction going to surfacewater equals 3.4% according to Table 10 in Verschoor et al. (2016). Thus 0.064 * 0.034 = 0,00218.</t>
  </si>
  <si>
    <t>6.4% of microplastic emissions during removal/maintainance of outdoor laqcuer (DIY) (EF_removal = 6.4% in Table 8). The fraction going to wastewater equals 39.4% according to Table 10 in Verschoor et al. (2016). Thus 0.064 * 0.394 = 0,02522.</t>
  </si>
  <si>
    <t>6.4% of microplastic emissions during removal/maintainance of outdoor other paint uses (DIY) (EF_removal = 6.4% in Table 8). Assume that the fraction going to air is 5%. Thus 0.064 * 0.05 = 0,0032.</t>
  </si>
  <si>
    <t>6.4% of microplastic emissions during removal/maintainance of outdoor other paint uses (DIY) (EF_removal = 6.4% in Table 8). The fraction going to wastewater equals 39.4% according to Table 10 in Verschoor et al. (2016). Thus 0.064 * 0.394 = 0,02522.</t>
  </si>
  <si>
    <t>6.4% of microplastic emissions during removal/maintainance of outdoor other paint uses (DIY) (EF_removal = 6.4% in Table 8). The fraction going to soil equals 57.2% (adjusted from Table 10 in Verschoor et al., 2016). We assume -5% that goes to air. Thus 52.2% to soil. Thus 0.064 * 0.522 = 0,03341.</t>
  </si>
  <si>
    <t>6.4% of microplastic emissions during removal/maintainance of outdoor other paint uses (DIY) (EF_removal = 6.4% in Table 8). The fraction going to surfacewater equals 3.4% according to Table 10 in Verschoor et al. (2016). Thus 0.064 * 0.034 = 0,00218.</t>
  </si>
  <si>
    <t>EUNOMIA</t>
  </si>
  <si>
    <t>From Kawecki 2019</t>
  </si>
  <si>
    <t>Sherrington, D.C., Darrah, D.C., Hann, S., Cole, G., Corbin, M., n.d. Study to support the development of measures to combat a range of marine litter sources.</t>
  </si>
  <si>
    <t>Cole, G., Sherrington, D.C., 2016. Study to Quantify Pellet Emissions in the UK.</t>
  </si>
  <si>
    <t>Verschoor et al. (2016) + assumption</t>
  </si>
  <si>
    <t>Loss TCS</t>
  </si>
  <si>
    <t>Lassen, C., Foss Hansen, S., Magnusson, K., Norén, F., Bloch Hartmann, N.I., Rehne Jensen, P., Gissel Nielsen, T., Brinch, A., 2015. Microplastics - Occurrence, effects and sources of releases to the environment in Denmark. The Danish Environmental Protection Agency.</t>
  </si>
  <si>
    <t>8.8% loss to sea</t>
  </si>
  <si>
    <t xml:space="preserve">Same year (2019 reference year) </t>
  </si>
  <si>
    <t>1-3 year difference (2016-2018, 2020-2022)</t>
  </si>
  <si>
    <t>4-10 year difference (2009-2015)</t>
  </si>
  <si>
    <t>More than 10 year difference (prior to 2009)</t>
  </si>
  <si>
    <t xml:space="preserve">Extra information </t>
  </si>
  <si>
    <t>Recycling TCs</t>
  </si>
  <si>
    <t>Source: EC, 2023. Preliminary analysis of the main sources of microplastic emissions, ANNEX 1-14 of the IMPACT ASSESSMENT REPORT on Combatting microplastics pollution in the Eurpean Union.</t>
  </si>
  <si>
    <t>Note: as the losses from pellet proccesing plants are very uncertain (large range of estimates), a higher and a lower TC was used to estimate the microplastic losses during recycling.</t>
  </si>
  <si>
    <t>Rubber infill TCs</t>
  </si>
  <si>
    <t xml:space="preserve">Identical lifetimes as category 'construction pipes' from Kawecki et al. (2021). </t>
  </si>
  <si>
    <t>Same as for Agricultural pipes (discarded)</t>
  </si>
  <si>
    <t>Same as for Agricultural films (discarded)</t>
  </si>
  <si>
    <t>Assumed equally distributed emissions over 4 years.</t>
  </si>
  <si>
    <t>z</t>
  </si>
  <si>
    <t>Eurostat, 2024. Sewage sludge production and disposal from urban wastewater (in dry substance (d.s)). https://doi.org/10.2908/TEN00030</t>
  </si>
  <si>
    <t>Assumming "sludge disposal - other" means that the sludge has an other application, thus not ending up in the environment</t>
  </si>
  <si>
    <t>Factor</t>
  </si>
  <si>
    <t>Import (Global)</t>
  </si>
  <si>
    <t>Import (EU)</t>
  </si>
  <si>
    <t>Net import (EU)</t>
  </si>
  <si>
    <t>Net import (Global)</t>
  </si>
  <si>
    <t>Input NL (kt)</t>
  </si>
  <si>
    <t>Input EU (kt)</t>
  </si>
  <si>
    <t>Export factor (EU)</t>
  </si>
  <si>
    <t>Export factor (Global)</t>
  </si>
  <si>
    <t>Export factor import (Global)</t>
  </si>
  <si>
    <t>Export factor Production</t>
  </si>
  <si>
    <t>Net production</t>
  </si>
  <si>
    <t xml:space="preserve">Below, the exported mass is distributed over import from the EU and import outside the EU according to their respective masses. </t>
  </si>
  <si>
    <t xml:space="preserve">Below, the exported mass is distributed over global import and domestic production according to their respective masses. </t>
  </si>
  <si>
    <t>Loss during spinning</t>
  </si>
  <si>
    <t>Loss during knitting</t>
  </si>
  <si>
    <t>Loss during weaving</t>
  </si>
  <si>
    <t>Loss during dyeing</t>
  </si>
  <si>
    <t>Losss during finishing</t>
  </si>
  <si>
    <t>Loss during garment assembly (cutting, sewing)</t>
  </si>
  <si>
    <t>PEFCR (2021), Table 28</t>
  </si>
  <si>
    <t>Net import (EU) - Low estimate</t>
  </si>
  <si>
    <t>Net import (Global) - High estimate</t>
  </si>
  <si>
    <t>Net import (EU) - High estimate</t>
  </si>
  <si>
    <t>Net import (Global) - Low estimate</t>
  </si>
  <si>
    <t>https://ec.europa.eu/eurostat/databrowser/view/DS-056120__custom_15192557/default/table?lang=en</t>
  </si>
  <si>
    <t>Import of clothing (EU)</t>
  </si>
  <si>
    <t>https://ec.europa.eu/eurostat/databrowser/view/DS-056120__custom_15192557/default/table?lang=en - Low estimate</t>
  </si>
  <si>
    <t>https://ec.europa.eu/eurostat/databrowser/view/DS-056120__custom_15192557/default/table?lang=en - High estimate</t>
  </si>
  <si>
    <t>Import of clothing (Global)</t>
  </si>
  <si>
    <t>Margin to account for assumptions made during data preparation</t>
  </si>
  <si>
    <t>Margin to account for assumptions made during data preparation plus fractions for mass los during production</t>
  </si>
  <si>
    <t>High input estimate import</t>
  </si>
  <si>
    <t>Low input estimate import</t>
  </si>
  <si>
    <t>High input estimate production</t>
  </si>
  <si>
    <t>Low input estimate production</t>
  </si>
  <si>
    <t>Transfer coefficients NL</t>
  </si>
  <si>
    <t>Apparel accessories</t>
  </si>
  <si>
    <t>https://eeb.org/library/draft-product-environmental-footprint-category-rules-pefcr-apparel-and-footwear/</t>
  </si>
  <si>
    <t>Boots</t>
  </si>
  <si>
    <t>Closed-toed shoes</t>
  </si>
  <si>
    <t>Dresses, skirts and jumpsuits</t>
  </si>
  <si>
    <t>Jackets &amp; coats</t>
  </si>
  <si>
    <t>Leggings, stockings, tights and socks</t>
  </si>
  <si>
    <t>Open-toed shoes</t>
  </si>
  <si>
    <t>Pants &amp; shorts</t>
  </si>
  <si>
    <t>Shirts &amp; blouses</t>
  </si>
  <si>
    <t>Sweaters &amp; midlayers</t>
  </si>
  <si>
    <t>Swimwear</t>
  </si>
  <si>
    <t>T-shirts</t>
  </si>
  <si>
    <t>Underwear</t>
  </si>
  <si>
    <t>TCs to laundry, wear and EoL</t>
  </si>
  <si>
    <t>loss during washing</t>
  </si>
  <si>
    <t>loss during drying</t>
  </si>
  <si>
    <t>Average loss during wear, Kawecki et al. 2019, SI table 17</t>
  </si>
  <si>
    <t>Computed from available data from Kawecki et al. (2019) and CBS (2022)</t>
  </si>
  <si>
    <t>Computed from available data from Kawecki et al. (2019)</t>
  </si>
  <si>
    <t>Sum of loss during wearing, washing and drying</t>
  </si>
  <si>
    <t>Rest</t>
  </si>
  <si>
    <t>Massabalans textiel (2018)</t>
  </si>
  <si>
    <t xml:space="preserve">TCs for clothing that is washed </t>
  </si>
  <si>
    <t>Clothing category</t>
  </si>
  <si>
    <t xml:space="preserve">TCs for clothing that is not washed </t>
  </si>
  <si>
    <t>Discarded fraction non-washed</t>
  </si>
  <si>
    <t>Transfer coefficients EU</t>
  </si>
  <si>
    <t>Categories to subsequent compartments</t>
  </si>
  <si>
    <t>Clothing washing</t>
  </si>
  <si>
    <t>Clothing wearing</t>
  </si>
  <si>
    <t>Clothing drying</t>
  </si>
  <si>
    <t>Clothing washing machine (with external filter)</t>
  </si>
  <si>
    <t>Clothing washing machine (without external filter)</t>
  </si>
  <si>
    <t>Clothing washing by hand</t>
  </si>
  <si>
    <t>Clothing washed in machine</t>
  </si>
  <si>
    <t>Clothing washed by hand</t>
  </si>
  <si>
    <t>Fraction of washing machines with a filter</t>
  </si>
  <si>
    <t>Watergebruik CBS (2022)</t>
  </si>
  <si>
    <t>Clothing indoor drying</t>
  </si>
  <si>
    <t>Clothing outdoor drying</t>
  </si>
  <si>
    <t>Clothing drying VTD</t>
  </si>
  <si>
    <t>Clothing drying CHPTD</t>
  </si>
  <si>
    <t>Clothing drying CHETD</t>
  </si>
  <si>
    <t>Clothing washer-dryer combo</t>
  </si>
  <si>
    <t>Average number of washes during lifetime of clothing</t>
  </si>
  <si>
    <t>Average from Kawecki et al. (2019)</t>
  </si>
  <si>
    <t>Average mass fraction of fibers released during a washing cycle</t>
  </si>
  <si>
    <t>Average mass fraction of fibers released during hand wash</t>
  </si>
  <si>
    <t>Average number of drying cycles during lifetime of clothing</t>
  </si>
  <si>
    <t>Fraction of drying cycles performed by indoor cloth-line drying</t>
  </si>
  <si>
    <t>Fraction of drying cycles performed by outdoor cloth-line drying</t>
  </si>
  <si>
    <t>Fraction of drying cycles performed in a vented tumble dryer</t>
  </si>
  <si>
    <t>Fraction of drying cycles performed in a condenser heat pump tumble dryer</t>
  </si>
  <si>
    <t>Fraction of drying cycles performed in a condenser heat element tumble dryer</t>
  </si>
  <si>
    <t>Fraction of drying cycles performed in a washer-dryer combo machine</t>
  </si>
  <si>
    <t>Mass fraction fibres released during one drying cycle performed by indoor cloth-line drying</t>
  </si>
  <si>
    <t>Mass fraction fibres released during one drying cycle performed by outdoor cloth-line drying</t>
  </si>
  <si>
    <t>Mass fraction fibres released during one drying cycle performed by a vented tumble dryer</t>
  </si>
  <si>
    <t>Mass fraction fibres released during one drying cycle performed by a condenser heat pump tumble dryer</t>
  </si>
  <si>
    <t>Mass fraction fibres released during one drying cycle performed by condenser heat element tumble dryer</t>
  </si>
  <si>
    <t>Mass fraction fibres released during one drying cycle performed by a washer-dryer combo machine</t>
  </si>
  <si>
    <t>CBS, RIVM, &amp; Cummins et al. (2019)</t>
  </si>
  <si>
    <t>Table S17 from Kawecki et al. (2019)</t>
  </si>
  <si>
    <t xml:space="preserve">Assumption </t>
  </si>
  <si>
    <t>Lint filter (VTD)</t>
  </si>
  <si>
    <t>Lint filter (CHPTD)</t>
  </si>
  <si>
    <t>Lint filter (CHETD)</t>
  </si>
  <si>
    <t>Clean lint filter by hand</t>
  </si>
  <si>
    <t>Based on data from Cummins et al. (2023)</t>
  </si>
  <si>
    <t>Clean lint filter under running water</t>
  </si>
  <si>
    <t>Fraction of microplastics caught by external filter</t>
  </si>
  <si>
    <t>(Kimmel et al., 2024) - Highest reported fraction of captured fibers</t>
  </si>
  <si>
    <t>(Kimmel et al., 2024) - Lowest reported fraction of captured fibers</t>
  </si>
  <si>
    <t xml:space="preserve">Assumption Kawecki et al. 2019 (SI Table 17) </t>
  </si>
  <si>
    <t>Combined data from CBS, RIVM, and Cummins et al. (2023)</t>
  </si>
  <si>
    <t>Cant find sources, ask Yvette about DQIS</t>
  </si>
  <si>
    <t>ImportClothingEU</t>
  </si>
  <si>
    <t>ImportClothingGlobal</t>
  </si>
  <si>
    <t>LintFilterVTD</t>
  </si>
  <si>
    <t>LintFilterCHPTD</t>
  </si>
  <si>
    <t>LintFilterCHETD</t>
  </si>
  <si>
    <t>Tshirts</t>
  </si>
  <si>
    <t>ApparelAccessories</t>
  </si>
  <si>
    <t>ClothingWashing</t>
  </si>
  <si>
    <t>ClothingWearing</t>
  </si>
  <si>
    <t>ClothingDrying</t>
  </si>
  <si>
    <t>OpenToedShoes</t>
  </si>
  <si>
    <t>JacketsCoats</t>
  </si>
  <si>
    <t>PantsShorts</t>
  </si>
  <si>
    <t>ShirtsBlouses</t>
  </si>
  <si>
    <t>SweatersMidlayers</t>
  </si>
  <si>
    <t>CloseToedShoes</t>
  </si>
  <si>
    <t>ClothIndoorDrying</t>
  </si>
  <si>
    <t>ClothOutdoorDrying</t>
  </si>
  <si>
    <t>DressesSkirtsJumpsuits</t>
  </si>
  <si>
    <t>LeggingsStockingsTightsSocks</t>
  </si>
  <si>
    <t>ClothingExternalWithExternalFilter</t>
  </si>
  <si>
    <t>ClothingByWashingByHand</t>
  </si>
  <si>
    <t>CleanByFilterByHand</t>
  </si>
  <si>
    <t>CleanRunningUnderRunningWater</t>
  </si>
  <si>
    <t>ClothingExternalWithoutExternalFilter</t>
  </si>
  <si>
    <t>ClothDryingVTD</t>
  </si>
  <si>
    <t>ClothDryingCHPTD</t>
  </si>
  <si>
    <t>ClothDryingCHETD</t>
  </si>
  <si>
    <t>ClothingWasherDryerCombo</t>
  </si>
  <si>
    <t>Years</t>
  </si>
  <si>
    <t>Combined from Fair claims guide and Laitala et al. (2018)</t>
  </si>
  <si>
    <t>ClothingTwoYears</t>
  </si>
  <si>
    <t>ClothingThreeYears</t>
  </si>
  <si>
    <t>ClothingFourYears</t>
  </si>
  <si>
    <t>ClothingFiveYears</t>
  </si>
  <si>
    <t>ClothingSixYears</t>
  </si>
  <si>
    <t>ClothingSevenYears</t>
  </si>
  <si>
    <t>ClothingEightYears</t>
  </si>
  <si>
    <t>Original lifetime clothing</t>
  </si>
  <si>
    <t>Weight factor</t>
  </si>
  <si>
    <t xml:space="preserve">Distributing original  ClothingDis lifetimes over more years is not implemented yet! </t>
  </si>
  <si>
    <t>TCs to Clothing (product sector)</t>
  </si>
  <si>
    <t>Manufacturing of clothing</t>
  </si>
  <si>
    <t>PEFCR (2021), Table 28 - woven clothing</t>
  </si>
  <si>
    <t>PEFCR (2021), Table 28 - knit clothing</t>
  </si>
  <si>
    <t>Net fiber production - Low estimate</t>
  </si>
  <si>
    <t>Net fiber production - High estimate</t>
  </si>
  <si>
    <t>Import of yarn</t>
  </si>
  <si>
    <t>Import of plastic sheets</t>
  </si>
  <si>
    <t>Import of yarn/plastic sheets EU (because there is no import/domestic production of Acryl or Rubber pellets to/in the EU)</t>
  </si>
  <si>
    <t>Transfer coefficients EU (From pellets to manufacturing of clothing)</t>
  </si>
  <si>
    <t>ManufacturingOfClothing</t>
  </si>
  <si>
    <t>ImportPlasticSheets</t>
  </si>
  <si>
    <t>ImportYarn</t>
  </si>
  <si>
    <t>For clothing</t>
  </si>
  <si>
    <t>For footwear</t>
  </si>
  <si>
    <t>Ingre-Khans, E., Rudén, C., Breitholtz, M., 2010. Chemical risks and consumer products: The toxicity of shoe soles. Ecotoxicology and Environmental Safety 73, 1633–1640. https://doi.org/10.1016/j.ecoenv.2010.06.016</t>
  </si>
  <si>
    <t>Footwear loss Denmark in t/y - low</t>
  </si>
  <si>
    <t>Footwear loss Denmark in t/y - high</t>
  </si>
  <si>
    <t>t/y</t>
  </si>
  <si>
    <t>t/person/year</t>
  </si>
  <si>
    <t>Lassen, C., Hansen, S.F., Magnussen, K., Hartmann, N.B., Rehne Jensen, P., Nielsen, T.G., Brinch, A., 2015. Microplastics: Occurrence, effects and sources of releases to the environment in Denmark. Danish environmental protection agency.</t>
  </si>
  <si>
    <t>Footwear loss Germany in g/person/year</t>
  </si>
  <si>
    <t>Bertling, J., Hamann, L., Bertling, R., 2018. Kunststoffe in der Umwelt. https://doi.org/10.24406/UMSICHT-N-497117</t>
  </si>
  <si>
    <t>loss during wear (footwear)</t>
  </si>
  <si>
    <t>loss during wear (clothing)</t>
  </si>
  <si>
    <t>NL total/year</t>
  </si>
  <si>
    <t>Dresses skirts and jumpsuits</t>
  </si>
  <si>
    <t>Jackets and coats</t>
  </si>
  <si>
    <t>Leggings stockings tights and socks</t>
  </si>
  <si>
    <t>Pants and shorts</t>
  </si>
  <si>
    <t>Shirts and blouses</t>
  </si>
  <si>
    <t>Sweaters and midlayers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</si>
</sst>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quot;Fr.&quot;\ * #,##0.00_ ;_ &quot;Fr.&quot;\ * \-#,##0.00_ ;_ &quot;Fr.&quot;\ * &quot;-&quot;??_ ;_ @_ "/>
    <numFmt numFmtId="165" formatCode="0.000"/>
    <numFmt numFmtId="166" formatCode="0.0000"/>
    <numFmt numFmtId="167" formatCode="0.000000"/>
    <numFmt numFmtId="168" formatCode="0.00000000000000"/>
    <numFmt numFmtId="169" formatCode="0.00000"/>
    <numFmt numFmtId="170" formatCode="0.0%"/>
    <numFmt numFmtId="171" formatCode="0.0000000"/>
    <numFmt numFmtId="172" formatCode="0.00000000000"/>
    <numFmt numFmtId="173" formatCode="0.0"/>
    <numFmt numFmtId="174" formatCode="0.000000000"/>
  </numFmts>
  <fonts count="73">
    <font>
      <sz val="11"/>
      <color theme="1"/>
      <name val="Calibri"/>
      <family val="2"/>
      <scheme val="minor"/>
    </font>
    <font>
      <sz val="10"/>
      <color theme="1"/>
      <name val="Segoe UI"/>
      <family val="2"/>
    </font>
    <font>
      <sz val="10"/>
      <color theme="1"/>
      <name val="Segoe UI"/>
      <family val="2"/>
    </font>
    <font>
      <sz val="10"/>
      <color theme="1"/>
      <name val="Segoe UI"/>
      <family val="2"/>
    </font>
    <font>
      <sz val="10"/>
      <color theme="1"/>
      <name val="Segoe UI"/>
      <family val="2"/>
    </font>
    <font>
      <b/>
      <sz val="11"/>
      <color theme="1"/>
      <name val="Calibri"/>
      <family val="2"/>
      <scheme val="minor"/>
    </font>
    <font>
      <b/>
      <sz val="11"/>
      <name val="Calibri"/>
      <family val="2"/>
      <scheme val="minor"/>
    </font>
    <font>
      <sz val="11"/>
      <name val="Calibri"/>
      <family val="2"/>
      <scheme val="minor"/>
    </font>
    <font>
      <i/>
      <sz val="11"/>
      <color theme="0" tint="-0.499984740745262"/>
      <name val="Calibri"/>
      <family val="2"/>
      <scheme val="minor"/>
    </font>
    <font>
      <i/>
      <sz val="11"/>
      <color theme="1" tint="0.499984740745262"/>
      <name val="Calibri"/>
      <family val="2"/>
      <scheme val="minor"/>
    </font>
    <font>
      <i/>
      <sz val="11"/>
      <color theme="1"/>
      <name val="Calibri"/>
      <family val="2"/>
      <scheme val="minor"/>
    </font>
    <font>
      <sz val="11"/>
      <name val="Arial"/>
      <family val="2"/>
    </font>
    <font>
      <sz val="11"/>
      <color indexed="8"/>
      <name val="Calibri"/>
      <family val="2"/>
      <scheme val="minor"/>
    </font>
    <font>
      <sz val="14"/>
      <color theme="1"/>
      <name val="Calibri"/>
      <family val="2"/>
      <scheme val="minor"/>
    </font>
    <font>
      <sz val="11"/>
      <color theme="1"/>
      <name val="Calibri"/>
      <family val="2"/>
      <scheme val="minor"/>
    </font>
    <font>
      <sz val="11"/>
      <color theme="0"/>
      <name val="Calibri"/>
      <family val="2"/>
      <scheme val="minor"/>
    </font>
    <font>
      <b/>
      <sz val="22"/>
      <color theme="1" tint="0.34998626667073579"/>
      <name val="Cambria"/>
      <family val="2"/>
      <scheme val="major"/>
    </font>
    <font>
      <b/>
      <sz val="11"/>
      <color theme="0"/>
      <name val="Calibri"/>
      <family val="2"/>
      <scheme val="minor"/>
    </font>
    <font>
      <sz val="11"/>
      <color rgb="FFFF0000"/>
      <name val="Calibri"/>
      <family val="2"/>
      <scheme val="minor"/>
    </font>
    <font>
      <u/>
      <sz val="11"/>
      <color theme="10"/>
      <name val="Calibri"/>
      <family val="2"/>
      <scheme val="minor"/>
    </font>
    <font>
      <sz val="10"/>
      <color rgb="FF3F3F76"/>
      <name val="Times New Roman"/>
      <family val="2"/>
    </font>
    <font>
      <sz val="10"/>
      <color rgb="FF9C0006"/>
      <name val="Times New Roman"/>
      <family val="2"/>
    </font>
    <font>
      <sz val="8"/>
      <name val="Calibri"/>
      <family val="2"/>
      <scheme val="minor"/>
    </font>
    <font>
      <sz val="11"/>
      <color rgb="FF3F3F76"/>
      <name val="Calibri"/>
      <family val="2"/>
      <scheme val="minor"/>
    </font>
    <font>
      <b/>
      <sz val="11"/>
      <color theme="3"/>
      <name val="Calibri"/>
      <family val="2"/>
      <scheme val="minor"/>
    </font>
    <font>
      <b/>
      <i/>
      <sz val="11"/>
      <name val="Calibri"/>
      <family val="2"/>
      <scheme val="minor"/>
    </font>
    <font>
      <sz val="11"/>
      <color theme="1" tint="0.499984740745262"/>
      <name val="Calibri"/>
      <family val="2"/>
      <scheme val="minor"/>
    </font>
    <font>
      <sz val="11"/>
      <color rgb="FF000000"/>
      <name val="Calibri"/>
      <family val="2"/>
      <scheme val="minor"/>
    </font>
    <font>
      <u/>
      <sz val="11"/>
      <color theme="1"/>
      <name val="Calibri"/>
      <family val="2"/>
      <scheme val="minor"/>
    </font>
    <font>
      <sz val="11"/>
      <color rgb="FF222222"/>
      <name val="Calibri"/>
      <family val="2"/>
      <scheme val="minor"/>
    </font>
    <font>
      <b/>
      <u/>
      <sz val="11"/>
      <color theme="1"/>
      <name val="Calibri"/>
      <family val="2"/>
      <scheme val="minor"/>
    </font>
    <font>
      <b/>
      <sz val="12"/>
      <color rgb="FF000000"/>
      <name val="Calibri"/>
      <family val="2"/>
      <scheme val="minor"/>
    </font>
    <font>
      <b/>
      <sz val="14"/>
      <color theme="0"/>
      <name val="Calibri"/>
      <family val="2"/>
      <scheme val="minor"/>
    </font>
    <font>
      <b/>
      <sz val="14"/>
      <color theme="1"/>
      <name val="Calibri"/>
      <family val="2"/>
      <scheme val="minor"/>
    </font>
    <font>
      <u/>
      <sz val="11"/>
      <name val="Calibri"/>
      <family val="2"/>
      <scheme val="minor"/>
    </font>
    <font>
      <sz val="11"/>
      <color rgb="FF0066FF"/>
      <name val="Calibri"/>
      <family val="2"/>
      <scheme val="minor"/>
    </font>
    <font>
      <sz val="11"/>
      <color rgb="FF006100"/>
      <name val="Calibri"/>
      <family val="2"/>
      <scheme val="minor"/>
    </font>
    <font>
      <b/>
      <sz val="11"/>
      <color rgb="FFFF0000"/>
      <name val="Calibri"/>
      <family val="2"/>
      <scheme val="minor"/>
    </font>
    <font>
      <u/>
      <sz val="11"/>
      <color rgb="FFFF0000"/>
      <name val="Calibri"/>
      <family val="2"/>
      <scheme val="minor"/>
    </font>
    <font>
      <b/>
      <sz val="9"/>
      <name val="Arial"/>
      <family val="2"/>
    </font>
    <font>
      <sz val="9"/>
      <name val="Arial"/>
      <family val="2"/>
    </font>
    <font>
      <b/>
      <sz val="9"/>
      <color indexed="9"/>
      <name val="Arial"/>
      <family val="2"/>
    </font>
    <font>
      <sz val="10"/>
      <color rgb="FF000000"/>
      <name val="Arial"/>
      <family val="2"/>
    </font>
    <font>
      <b/>
      <sz val="11"/>
      <color rgb="FFFFFFFF"/>
      <name val="Calibri"/>
      <family val="2"/>
      <scheme val="minor"/>
    </font>
    <font>
      <sz val="11"/>
      <color rgb="FFFFFFFF"/>
      <name val="Calibri"/>
      <family val="2"/>
      <scheme val="minor"/>
    </font>
    <font>
      <b/>
      <sz val="20"/>
      <color theme="0"/>
      <name val="Calibri"/>
      <family val="2"/>
      <scheme val="minor"/>
    </font>
    <font>
      <sz val="11"/>
      <color rgb="FF9C0006"/>
      <name val="Calibri"/>
      <family val="2"/>
      <scheme val="minor"/>
    </font>
    <font>
      <b/>
      <sz val="11"/>
      <color rgb="FFC00000"/>
      <name val="Calibri"/>
      <family val="2"/>
      <scheme val="minor"/>
    </font>
    <font>
      <b/>
      <sz val="11"/>
      <color rgb="FFFF6600"/>
      <name val="Calibri"/>
      <family val="2"/>
      <scheme val="minor"/>
    </font>
    <font>
      <sz val="11"/>
      <color rgb="FF000000"/>
      <name val="Calibri"/>
      <family val="3"/>
      <charset val="134"/>
      <scheme val="minor"/>
    </font>
    <font>
      <b/>
      <sz val="11"/>
      <color rgb="FFFFC000"/>
      <name val="Calibri"/>
      <family val="2"/>
      <scheme val="minor"/>
    </font>
    <font>
      <b/>
      <sz val="11"/>
      <color rgb="FF92D050"/>
      <name val="Calibri"/>
      <family val="2"/>
      <scheme val="minor"/>
    </font>
    <font>
      <b/>
      <sz val="11"/>
      <color rgb="FF00B050"/>
      <name val="Calibri"/>
      <family val="2"/>
      <scheme val="minor"/>
    </font>
    <font>
      <sz val="11"/>
      <color theme="8"/>
      <name val="Calibri"/>
      <family val="2"/>
      <scheme val="minor"/>
    </font>
    <font>
      <sz val="11"/>
      <color theme="1"/>
      <name val="Calibri"/>
      <family val="2"/>
    </font>
    <font>
      <b/>
      <sz val="11"/>
      <color rgb="FFFFFFFF"/>
      <name val="Calibri"/>
      <family val="2"/>
    </font>
    <font>
      <sz val="11"/>
      <color theme="1"/>
      <name val="Calibri"/>
      <family val="2"/>
    </font>
    <font>
      <i/>
      <sz val="11"/>
      <name val="Calibri"/>
      <family val="2"/>
      <scheme val="minor"/>
    </font>
    <font>
      <b/>
      <sz val="11"/>
      <color rgb="FF000000"/>
      <name val="Calibri"/>
      <family val="2"/>
    </font>
    <font>
      <i/>
      <sz val="11"/>
      <color rgb="FF000000"/>
      <name val="Calibri"/>
      <family val="2"/>
    </font>
    <font>
      <u/>
      <sz val="11"/>
      <color rgb="FF0563C1"/>
      <name val="Calibri"/>
      <family val="2"/>
    </font>
    <font>
      <b/>
      <sz val="11"/>
      <color theme="1"/>
      <name val="Calibri"/>
      <family val="2"/>
    </font>
    <font>
      <i/>
      <sz val="8"/>
      <color rgb="FF222222"/>
      <name val="Arial"/>
      <family val="2"/>
    </font>
    <font>
      <sz val="8"/>
      <color rgb="FF222222"/>
      <name val="Arial"/>
      <family val="2"/>
    </font>
    <font>
      <sz val="11"/>
      <color rgb="FFFFFFFF"/>
      <name val="Courier New"/>
      <family val="3"/>
    </font>
    <font>
      <b/>
      <sz val="11"/>
      <name val="Calibri"/>
      <family val="2"/>
    </font>
    <font>
      <b/>
      <sz val="11"/>
      <name val="Calibri"/>
      <family val="2"/>
    </font>
    <font>
      <b/>
      <sz val="10"/>
      <name val="Segoe UI"/>
      <family val="2"/>
    </font>
    <font>
      <sz val="20"/>
      <color theme="0"/>
      <name val="Calibri"/>
      <family val="2"/>
      <scheme val="minor"/>
    </font>
    <font>
      <sz val="20"/>
      <color theme="1"/>
      <name val="Calibri"/>
      <family val="2"/>
      <scheme val="minor"/>
    </font>
    <font>
      <b/>
      <sz val="11"/>
      <color rgb="FFFA7D00"/>
      <name val="Calibri"/>
      <family val="2"/>
      <scheme val="minor"/>
    </font>
    <font>
      <b/>
      <sz val="22"/>
      <color theme="0"/>
      <name val="Calibri"/>
      <family val="2"/>
      <scheme val="minor"/>
    </font>
    <font>
      <sz val="11"/>
      <color rgb="FFC00000"/>
      <name val="Calibri"/>
      <family val="2"/>
      <scheme val="minor"/>
    </font>
  </fonts>
  <fills count="63">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3FCDFF"/>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B0F0"/>
        <bgColor indexed="64"/>
      </patternFill>
    </fill>
    <fill>
      <patternFill patternType="solid">
        <fgColor rgb="FFFFC7CE"/>
      </patternFill>
    </fill>
    <fill>
      <patternFill patternType="solid">
        <fgColor rgb="FFFFCC99"/>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8" tint="0.79998168889431442"/>
        <bgColor indexed="64"/>
      </patternFill>
    </fill>
    <fill>
      <patternFill patternType="solid">
        <fgColor theme="8" tint="0.39997558519241921"/>
        <bgColor indexed="64"/>
      </patternFill>
    </fill>
    <fill>
      <patternFill patternType="solid">
        <fgColor rgb="FF339933"/>
        <bgColor indexed="64"/>
      </patternFill>
    </fill>
    <fill>
      <patternFill patternType="solid">
        <fgColor rgb="FFD8EEC0"/>
        <bgColor indexed="64"/>
      </patternFill>
    </fill>
    <fill>
      <patternFill patternType="solid">
        <fgColor theme="7"/>
        <bgColor indexed="64"/>
      </patternFill>
    </fill>
    <fill>
      <patternFill patternType="solid">
        <fgColor theme="7" tint="0.79998168889431442"/>
        <bgColor indexed="64"/>
      </patternFill>
    </fill>
    <fill>
      <patternFill patternType="solid">
        <fgColor theme="1"/>
        <bgColor indexed="64"/>
      </patternFill>
    </fill>
    <fill>
      <patternFill patternType="solid">
        <fgColor rgb="FFE961AB"/>
        <bgColor indexed="64"/>
      </patternFill>
    </fill>
    <fill>
      <patternFill patternType="solid">
        <fgColor rgb="FFF19DCB"/>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bgColor indexed="64"/>
      </patternFill>
    </fill>
    <fill>
      <patternFill patternType="solid">
        <fgColor rgb="FFFFFF00"/>
        <bgColor indexed="64"/>
      </patternFill>
    </fill>
    <fill>
      <patternFill patternType="solid">
        <fgColor theme="9"/>
        <bgColor indexed="64"/>
      </patternFill>
    </fill>
    <fill>
      <patternFill patternType="solid">
        <fgColor rgb="FFC6EFCE"/>
      </patternFill>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
      <patternFill patternType="solid">
        <fgColor theme="5" tint="0.39997558519241921"/>
        <bgColor indexed="65"/>
      </patternFill>
    </fill>
    <fill>
      <patternFill patternType="solid">
        <fgColor theme="7" tint="0.39997558519241921"/>
        <bgColor indexed="65"/>
      </patternFill>
    </fill>
    <fill>
      <patternFill patternType="solid">
        <fgColor rgb="FF00B050"/>
        <bgColor indexed="64"/>
      </patternFill>
    </fill>
    <fill>
      <patternFill patternType="solid">
        <fgColor rgb="FF1F497D"/>
        <bgColor rgb="FF000000"/>
      </patternFill>
    </fill>
    <fill>
      <patternFill patternType="solid">
        <fgColor rgb="FFC5D9F1"/>
        <bgColor rgb="FF000000"/>
      </patternFill>
    </fill>
    <fill>
      <patternFill patternType="solid">
        <fgColor theme="4"/>
      </patternFill>
    </fill>
    <fill>
      <patternFill patternType="solid">
        <fgColor theme="2" tint="-9.9978637043366805E-2"/>
        <bgColor indexed="64"/>
      </patternFill>
    </fill>
    <fill>
      <patternFill patternType="solid">
        <fgColor theme="8"/>
        <bgColor theme="1"/>
      </patternFill>
    </fill>
    <fill>
      <patternFill patternType="solid">
        <fgColor theme="0"/>
        <bgColor theme="0" tint="-0.14999847407452621"/>
      </patternFill>
    </fill>
    <fill>
      <patternFill patternType="solid">
        <fgColor rgb="FFED7D31"/>
        <bgColor rgb="FF000000"/>
      </patternFill>
    </fill>
    <fill>
      <patternFill patternType="solid">
        <fgColor rgb="FF4472C4"/>
        <bgColor rgb="FF000000"/>
      </patternFill>
    </fill>
    <fill>
      <patternFill patternType="solid">
        <fgColor rgb="FFFCE4D6"/>
        <bgColor rgb="FF000000"/>
      </patternFill>
    </fill>
    <fill>
      <patternFill patternType="solid">
        <fgColor rgb="FFD9E1F2"/>
        <bgColor rgb="FF000000"/>
      </patternFill>
    </fill>
    <fill>
      <patternFill patternType="solid">
        <fgColor rgb="FF000000"/>
        <bgColor rgb="FF000000"/>
      </patternFill>
    </fill>
    <fill>
      <patternFill patternType="solid">
        <fgColor rgb="FFF2F2F2"/>
        <bgColor rgb="FF000000"/>
      </patternFill>
    </fill>
    <fill>
      <patternFill patternType="solid">
        <fgColor rgb="FFC5D9F1"/>
        <bgColor indexed="64"/>
      </patternFill>
    </fill>
    <fill>
      <patternFill patternType="solid">
        <fgColor theme="0" tint="-0.499984740745262"/>
        <bgColor indexed="64"/>
      </patternFill>
    </fill>
    <fill>
      <patternFill patternType="solid">
        <fgColor theme="3"/>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F2F2F2"/>
      </patternFill>
    </fill>
    <fill>
      <patternFill patternType="solid">
        <fgColor theme="7"/>
      </patternFill>
    </fill>
    <fill>
      <patternFill patternType="solid">
        <fgColor theme="8"/>
      </patternFill>
    </fill>
    <fill>
      <patternFill patternType="solid">
        <fgColor theme="1" tint="4.9989318521683403E-2"/>
        <bgColor indexed="64"/>
      </patternFill>
    </fill>
    <fill>
      <patternFill patternType="solid">
        <fgColor theme="9" tint="0.39997558519241921"/>
        <bgColor indexed="64"/>
      </patternFill>
    </fill>
  </fills>
  <borders count="87">
    <border>
      <left/>
      <right/>
      <top/>
      <bottom/>
      <diagonal/>
    </border>
    <border>
      <left style="medium">
        <color indexed="64"/>
      </left>
      <right style="medium">
        <color indexed="64"/>
      </right>
      <top/>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style="thin">
        <color indexed="64"/>
      </bottom>
      <diagonal/>
    </border>
    <border>
      <left/>
      <right/>
      <top/>
      <bottom style="medium">
        <color theme="4" tint="0.39997558519241921"/>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rgb="FFFF0000"/>
      </left>
      <right style="medium">
        <color rgb="FFFF0000"/>
      </right>
      <top style="thin">
        <color indexed="64"/>
      </top>
      <bottom style="thin">
        <color indexed="64"/>
      </bottom>
      <diagonal/>
    </border>
    <border>
      <left style="medium">
        <color rgb="FFFF0000"/>
      </left>
      <right style="medium">
        <color rgb="FFFF0000"/>
      </right>
      <top style="thin">
        <color indexed="64"/>
      </top>
      <bottom style="medium">
        <color rgb="FFFF0000"/>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thin">
        <color indexed="64"/>
      </left>
      <right/>
      <top style="medium">
        <color indexed="64"/>
      </top>
      <bottom style="medium">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B0B0B0"/>
      </left>
      <right style="thin">
        <color rgb="FFB0B0B0"/>
      </right>
      <top style="thin">
        <color rgb="FFB0B0B0"/>
      </top>
      <bottom style="thin">
        <color rgb="FFB0B0B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right/>
      <top/>
      <bottom style="thin">
        <color rgb="FF7F7F7F"/>
      </bottom>
      <diagonal/>
    </border>
    <border>
      <left/>
      <right style="thin">
        <color indexed="64"/>
      </right>
      <top style="medium">
        <color indexed="64"/>
      </top>
      <bottom/>
      <diagonal/>
    </border>
  </borders>
  <cellStyleXfs count="106">
    <xf numFmtId="0" fontId="0"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1" fillId="0" borderId="0"/>
    <xf numFmtId="164" fontId="1" fillId="0" borderId="0" applyFont="0" applyFill="0" applyBorder="0" applyAlignment="0" applyProtection="0"/>
    <xf numFmtId="0" fontId="11" fillId="0" borderId="0"/>
    <xf numFmtId="0" fontId="12" fillId="0" borderId="0"/>
    <xf numFmtId="0" fontId="13" fillId="0" borderId="0" applyNumberFormat="0" applyFill="0" applyAlignment="0" applyProtection="0"/>
    <xf numFmtId="0" fontId="15" fillId="0" borderId="0"/>
    <xf numFmtId="37" fontId="14" fillId="0" borderId="0" applyFont="0" applyFill="0" applyBorder="0" applyProtection="0">
      <alignment horizontal="center" vertical="center"/>
    </xf>
    <xf numFmtId="14" fontId="14" fillId="0" borderId="0" applyFont="0" applyFill="0" applyBorder="0">
      <alignment horizontal="center" vertical="center"/>
    </xf>
    <xf numFmtId="9" fontId="14" fillId="0" borderId="0" applyFont="0" applyFill="0" applyBorder="0" applyProtection="0">
      <alignment horizontal="center" vertical="center"/>
    </xf>
    <xf numFmtId="0" fontId="14" fillId="0" borderId="0" applyNumberFormat="0" applyFill="0" applyProtection="0">
      <alignment horizontal="right" vertical="center" indent="1"/>
    </xf>
    <xf numFmtId="0" fontId="16" fillId="0" borderId="0" applyNumberFormat="0" applyFill="0" applyBorder="0" applyAlignment="0" applyProtection="0"/>
    <xf numFmtId="0" fontId="19" fillId="0" borderId="0" applyNumberFormat="0" applyFill="0" applyBorder="0" applyAlignment="0" applyProtection="0"/>
    <xf numFmtId="0" fontId="20" fillId="9" borderId="12" applyNumberFormat="0" applyAlignment="0" applyProtection="0"/>
    <xf numFmtId="0" fontId="21" fillId="8" borderId="0" applyNumberFormat="0" applyBorder="0" applyAlignment="0" applyProtection="0"/>
    <xf numFmtId="0" fontId="23" fillId="9" borderId="12" applyNumberFormat="0" applyAlignment="0" applyProtection="0"/>
    <xf numFmtId="0" fontId="24" fillId="0" borderId="14" applyNumberFormat="0" applyFill="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36" fillId="30" borderId="0" applyNumberFormat="0" applyBorder="0" applyAlignment="0" applyProtection="0"/>
    <xf numFmtId="9" fontId="14" fillId="0" borderId="0" applyFont="0" applyFill="0" applyBorder="0" applyAlignment="0" applyProtection="0"/>
    <xf numFmtId="0" fontId="14" fillId="36" borderId="0" applyNumberFormat="0" applyBorder="0" applyAlignment="0" applyProtection="0"/>
    <xf numFmtId="0" fontId="14" fillId="37" borderId="0" applyNumberFormat="0" applyBorder="0" applyAlignment="0" applyProtection="0"/>
    <xf numFmtId="0" fontId="15" fillId="41" borderId="0" applyNumberFormat="0" applyBorder="0" applyAlignment="0" applyProtection="0"/>
    <xf numFmtId="0" fontId="46" fillId="8" borderId="0" applyNumberFormat="0" applyBorder="0" applyAlignment="0" applyProtection="0"/>
    <xf numFmtId="0" fontId="53" fillId="0" borderId="36"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0" fillId="58" borderId="12" applyNumberFormat="0" applyAlignment="0" applyProtection="0"/>
    <xf numFmtId="0" fontId="15" fillId="59" borderId="0" applyNumberFormat="0" applyBorder="0" applyAlignment="0" applyProtection="0"/>
    <xf numFmtId="0" fontId="15" fillId="60" borderId="0" applyNumberFormat="0" applyBorder="0" applyAlignment="0" applyProtection="0"/>
  </cellStyleXfs>
  <cellXfs count="1162">
    <xf numFmtId="0" fontId="0" fillId="0" borderId="0" xfId="0"/>
    <xf numFmtId="0" fontId="7"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5" fillId="0" borderId="0" xfId="0" applyFont="1" applyAlignment="1">
      <alignment horizontal="center" vertical="center"/>
    </xf>
    <xf numFmtId="0" fontId="0" fillId="0" borderId="0" xfId="0" applyAlignment="1">
      <alignment horizontal="left" vertical="center"/>
    </xf>
    <xf numFmtId="0" fontId="7" fillId="0" borderId="0" xfId="0" applyFont="1" applyAlignment="1">
      <alignment horizontal="left" vertical="center"/>
    </xf>
    <xf numFmtId="0" fontId="0" fillId="0" borderId="0" xfId="0" applyAlignment="1">
      <alignment horizontal="center" vertical="center"/>
    </xf>
    <xf numFmtId="0" fontId="7" fillId="0" borderId="9" xfId="0" applyFont="1" applyBorder="1" applyAlignment="1">
      <alignment horizontal="left" vertical="center"/>
    </xf>
    <xf numFmtId="0" fontId="7" fillId="0" borderId="9" xfId="0" applyFont="1" applyBorder="1" applyAlignment="1">
      <alignment vertical="center"/>
    </xf>
    <xf numFmtId="0" fontId="7" fillId="0" borderId="24" xfId="0" applyFont="1" applyBorder="1" applyAlignment="1">
      <alignment horizontal="left" vertical="center"/>
    </xf>
    <xf numFmtId="0" fontId="7" fillId="0" borderId="29" xfId="0" applyFont="1" applyBorder="1" applyAlignment="1">
      <alignment horizontal="left" vertical="center"/>
    </xf>
    <xf numFmtId="0" fontId="7" fillId="0" borderId="24" xfId="0" applyFont="1" applyBorder="1" applyAlignment="1">
      <alignment vertical="center"/>
    </xf>
    <xf numFmtId="0" fontId="7" fillId="0" borderId="29" xfId="0" applyFont="1" applyBorder="1" applyAlignment="1">
      <alignment vertical="center"/>
    </xf>
    <xf numFmtId="0" fontId="7" fillId="0" borderId="16" xfId="0" applyFont="1" applyBorder="1" applyAlignment="1">
      <alignment vertical="center"/>
    </xf>
    <xf numFmtId="0" fontId="0" fillId="0" borderId="0" xfId="0" applyAlignment="1">
      <alignment horizontal="left"/>
    </xf>
    <xf numFmtId="0" fontId="10" fillId="0" borderId="0" xfId="0" applyFont="1"/>
    <xf numFmtId="0" fontId="5" fillId="0" borderId="0" xfId="0" applyFont="1" applyAlignment="1">
      <alignment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15" borderId="38" xfId="41" applyFont="1" applyFill="1" applyBorder="1" applyAlignment="1">
      <alignment horizontal="left" vertical="center" wrapText="1"/>
    </xf>
    <xf numFmtId="0" fontId="7" fillId="15" borderId="36" xfId="41" applyFont="1" applyFill="1" applyBorder="1" applyAlignment="1">
      <alignment horizontal="left" vertical="center" wrapText="1"/>
    </xf>
    <xf numFmtId="0" fontId="7" fillId="15" borderId="37" xfId="41" applyFont="1" applyFill="1" applyBorder="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xf>
    <xf numFmtId="0" fontId="9" fillId="0" borderId="0" xfId="0" applyFont="1" applyAlignment="1">
      <alignment horizontal="left" vertical="center"/>
    </xf>
    <xf numFmtId="0" fontId="7" fillId="0" borderId="23" xfId="0" applyFont="1" applyBorder="1" applyAlignment="1">
      <alignment horizontal="left" vertical="center"/>
    </xf>
    <xf numFmtId="0" fontId="7" fillId="0" borderId="26" xfId="0" applyFont="1" applyBorder="1" applyAlignment="1">
      <alignment horizontal="left" vertical="center"/>
    </xf>
    <xf numFmtId="0" fontId="7" fillId="0" borderId="28" xfId="0" applyFont="1" applyBorder="1" applyAlignment="1">
      <alignment horizontal="left" vertical="center"/>
    </xf>
    <xf numFmtId="49" fontId="7" fillId="0" borderId="0" xfId="0" applyNumberFormat="1" applyFont="1" applyAlignment="1">
      <alignment horizontal="left" vertical="center"/>
    </xf>
    <xf numFmtId="0" fontId="5" fillId="2" borderId="40" xfId="0" applyFont="1" applyFill="1" applyBorder="1" applyAlignment="1">
      <alignment horizontal="left" vertical="center"/>
    </xf>
    <xf numFmtId="0" fontId="7" fillId="0" borderId="35" xfId="0" applyFont="1" applyBorder="1" applyAlignment="1">
      <alignment horizontal="left" vertical="center"/>
    </xf>
    <xf numFmtId="0" fontId="7" fillId="0" borderId="36" xfId="0" applyFont="1" applyBorder="1" applyAlignment="1">
      <alignment horizontal="left" vertical="center"/>
    </xf>
    <xf numFmtId="0" fontId="7" fillId="0" borderId="37" xfId="0" applyFont="1" applyBorder="1" applyAlignment="1">
      <alignment horizontal="left" vertical="center"/>
    </xf>
    <xf numFmtId="0" fontId="0" fillId="0" borderId="35" xfId="0" applyBorder="1" applyAlignment="1">
      <alignment horizontal="left" vertical="center"/>
    </xf>
    <xf numFmtId="0" fontId="0" fillId="0" borderId="36" xfId="0" applyBorder="1" applyAlignment="1">
      <alignment horizontal="left" vertical="center"/>
    </xf>
    <xf numFmtId="0" fontId="0" fillId="0" borderId="37" xfId="0" applyBorder="1" applyAlignment="1">
      <alignment horizontal="left" vertical="center"/>
    </xf>
    <xf numFmtId="0" fontId="7" fillId="0" borderId="20" xfId="0" applyFont="1" applyBorder="1" applyAlignment="1">
      <alignment horizontal="left" vertical="center"/>
    </xf>
    <xf numFmtId="0" fontId="7" fillId="0" borderId="7" xfId="0" applyFont="1" applyBorder="1" applyAlignment="1">
      <alignment horizontal="left" vertical="center"/>
    </xf>
    <xf numFmtId="0" fontId="7" fillId="0" borderId="48" xfId="0" applyFont="1" applyBorder="1" applyAlignment="1">
      <alignment horizontal="left" vertical="center"/>
    </xf>
    <xf numFmtId="0" fontId="7" fillId="0" borderId="25" xfId="0" applyFont="1" applyBorder="1" applyAlignment="1">
      <alignment horizontal="left" vertical="center"/>
    </xf>
    <xf numFmtId="0" fontId="7" fillId="0" borderId="27" xfId="0" applyFont="1" applyBorder="1" applyAlignment="1">
      <alignment horizontal="left" vertical="center"/>
    </xf>
    <xf numFmtId="0" fontId="7" fillId="0" borderId="30" xfId="0" applyFont="1" applyBorder="1" applyAlignment="1">
      <alignment horizontal="left" vertical="center"/>
    </xf>
    <xf numFmtId="0" fontId="6" fillId="3" borderId="45" xfId="0" applyFont="1" applyFill="1" applyBorder="1" applyAlignment="1">
      <alignment horizontal="left" vertical="center"/>
    </xf>
    <xf numFmtId="0" fontId="6" fillId="3" borderId="47" xfId="0" applyFont="1" applyFill="1" applyBorder="1" applyAlignment="1">
      <alignment horizontal="left" vertical="center"/>
    </xf>
    <xf numFmtId="0" fontId="6" fillId="3" borderId="46" xfId="0" applyFont="1" applyFill="1" applyBorder="1" applyAlignment="1">
      <alignment horizontal="left" vertical="center"/>
    </xf>
    <xf numFmtId="0" fontId="5" fillId="2" borderId="32" xfId="0" applyFont="1" applyFill="1" applyBorder="1" applyAlignment="1">
      <alignment horizontal="left" vertical="center"/>
    </xf>
    <xf numFmtId="49" fontId="6" fillId="16" borderId="10" xfId="0" applyNumberFormat="1" applyFont="1" applyFill="1" applyBorder="1" applyAlignment="1">
      <alignment horizontal="left" vertical="center"/>
    </xf>
    <xf numFmtId="0" fontId="6" fillId="4" borderId="32" xfId="0" applyFont="1" applyFill="1" applyBorder="1" applyAlignment="1">
      <alignment horizontal="left" vertical="center" wrapText="1"/>
    </xf>
    <xf numFmtId="49" fontId="7" fillId="0" borderId="21" xfId="0" applyNumberFormat="1" applyFont="1" applyBorder="1" applyAlignment="1">
      <alignment horizontal="left" vertical="center"/>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2" fontId="7" fillId="0" borderId="35" xfId="0" applyNumberFormat="1" applyFont="1" applyBorder="1" applyAlignment="1">
      <alignment horizontal="left" vertical="center"/>
    </xf>
    <xf numFmtId="2" fontId="7" fillId="0" borderId="36" xfId="0" applyNumberFormat="1" applyFont="1" applyBorder="1" applyAlignment="1">
      <alignment horizontal="left" vertical="center"/>
    </xf>
    <xf numFmtId="2" fontId="7" fillId="0" borderId="37" xfId="0" applyNumberFormat="1" applyFont="1" applyBorder="1" applyAlignment="1">
      <alignment horizontal="left" vertical="center"/>
    </xf>
    <xf numFmtId="49" fontId="26" fillId="0" borderId="0" xfId="0" applyNumberFormat="1" applyFont="1" applyAlignment="1">
      <alignment horizontal="left" vertical="center"/>
    </xf>
    <xf numFmtId="0" fontId="6" fillId="2" borderId="32" xfId="0" applyFont="1" applyFill="1" applyBorder="1" applyAlignment="1">
      <alignment horizontal="left" vertical="center"/>
    </xf>
    <xf numFmtId="0" fontId="7" fillId="0" borderId="36" xfId="0" applyFont="1" applyBorder="1" applyAlignment="1">
      <alignment horizontal="left"/>
    </xf>
    <xf numFmtId="0" fontId="7" fillId="0" borderId="38" xfId="0" applyFont="1" applyBorder="1" applyAlignment="1">
      <alignment horizontal="left" vertical="center"/>
    </xf>
    <xf numFmtId="49" fontId="7" fillId="0" borderId="5" xfId="0" applyNumberFormat="1" applyFont="1" applyBorder="1" applyAlignment="1">
      <alignment horizontal="left" vertical="center"/>
    </xf>
    <xf numFmtId="0" fontId="7" fillId="0" borderId="34" xfId="0" applyFont="1" applyBorder="1" applyAlignment="1">
      <alignment horizontal="left" vertical="center"/>
    </xf>
    <xf numFmtId="0" fontId="7" fillId="0" borderId="33" xfId="0" applyFont="1" applyBorder="1" applyAlignment="1">
      <alignment horizontal="left" vertical="center"/>
    </xf>
    <xf numFmtId="2" fontId="7" fillId="0" borderId="0" xfId="0" applyNumberFormat="1" applyFont="1" applyAlignment="1">
      <alignment horizontal="left" vertical="center"/>
    </xf>
    <xf numFmtId="0" fontId="6" fillId="2" borderId="40" xfId="0" applyFont="1" applyFill="1" applyBorder="1" applyAlignment="1">
      <alignment horizontal="left" vertical="center"/>
    </xf>
    <xf numFmtId="0" fontId="7" fillId="0" borderId="17" xfId="0" applyFont="1" applyBorder="1" applyAlignment="1">
      <alignment vertical="center"/>
    </xf>
    <xf numFmtId="0" fontId="0" fillId="0" borderId="38" xfId="0" applyBorder="1" applyAlignment="1">
      <alignment horizontal="left" vertical="center"/>
    </xf>
    <xf numFmtId="0" fontId="0" fillId="0" borderId="36" xfId="0" applyBorder="1"/>
    <xf numFmtId="0" fontId="0" fillId="0" borderId="36" xfId="0" applyBorder="1" applyAlignment="1">
      <alignment horizontal="left"/>
    </xf>
    <xf numFmtId="0" fontId="7" fillId="0" borderId="47" xfId="0" applyFont="1" applyBorder="1" applyAlignment="1">
      <alignment vertical="center"/>
    </xf>
    <xf numFmtId="0" fontId="7" fillId="0" borderId="31" xfId="0" applyFont="1" applyBorder="1" applyAlignment="1">
      <alignment vertical="center"/>
    </xf>
    <xf numFmtId="0" fontId="0" fillId="0" borderId="37" xfId="0" applyBorder="1"/>
    <xf numFmtId="0" fontId="0" fillId="17" borderId="19" xfId="0" applyFill="1" applyBorder="1"/>
    <xf numFmtId="0" fontId="0" fillId="17" borderId="50" xfId="0" applyFill="1" applyBorder="1"/>
    <xf numFmtId="0" fontId="0" fillId="17" borderId="51" xfId="0" applyFill="1" applyBorder="1"/>
    <xf numFmtId="0" fontId="0" fillId="0" borderId="0" xfId="0" applyAlignment="1">
      <alignment horizontal="left" vertical="center" wrapText="1"/>
    </xf>
    <xf numFmtId="0" fontId="0" fillId="0" borderId="38" xfId="0" applyBorder="1"/>
    <xf numFmtId="0" fontId="7" fillId="0" borderId="0" xfId="0" applyFont="1" applyAlignment="1">
      <alignment horizontal="left" vertical="center" wrapText="1"/>
    </xf>
    <xf numFmtId="0" fontId="10" fillId="0" borderId="32" xfId="0" applyFont="1" applyBorder="1" applyAlignment="1">
      <alignment horizontal="left" vertical="center"/>
    </xf>
    <xf numFmtId="0" fontId="10" fillId="0" borderId="39" xfId="0" applyFont="1" applyBorder="1" applyAlignment="1">
      <alignment horizontal="left" vertical="center"/>
    </xf>
    <xf numFmtId="0" fontId="0" fillId="0" borderId="4" xfId="0" applyBorder="1" applyAlignment="1">
      <alignment horizontal="left" vertical="center"/>
    </xf>
    <xf numFmtId="0" fontId="0" fillId="0" borderId="33" xfId="0" applyBorder="1" applyAlignment="1">
      <alignment horizontal="left" vertical="center"/>
    </xf>
    <xf numFmtId="0" fontId="0" fillId="0" borderId="34" xfId="0" applyBorder="1" applyAlignment="1">
      <alignment horizontal="left" vertical="center"/>
    </xf>
    <xf numFmtId="0" fontId="5" fillId="7" borderId="39" xfId="0" applyFont="1" applyFill="1" applyBorder="1" applyAlignment="1">
      <alignment horizontal="left" vertical="center"/>
    </xf>
    <xf numFmtId="0" fontId="0" fillId="0" borderId="32" xfId="0" applyBorder="1" applyAlignment="1">
      <alignment horizontal="left" vertical="center"/>
    </xf>
    <xf numFmtId="0" fontId="5" fillId="7" borderId="32" xfId="0" applyFont="1" applyFill="1" applyBorder="1" applyAlignment="1">
      <alignment horizontal="left" vertical="center"/>
    </xf>
    <xf numFmtId="0" fontId="10" fillId="0" borderId="32" xfId="0" applyFont="1" applyBorder="1" applyAlignment="1">
      <alignment horizontal="left"/>
    </xf>
    <xf numFmtId="0" fontId="0" fillId="0" borderId="38" xfId="0" applyBorder="1" applyAlignment="1">
      <alignment horizontal="left"/>
    </xf>
    <xf numFmtId="0" fontId="0" fillId="0" borderId="37" xfId="0" applyBorder="1" applyAlignment="1">
      <alignment horizontal="left"/>
    </xf>
    <xf numFmtId="0" fontId="0" fillId="0" borderId="32" xfId="0" applyBorder="1" applyAlignment="1">
      <alignment horizontal="left"/>
    </xf>
    <xf numFmtId="0" fontId="5" fillId="2" borderId="39" xfId="0" applyFont="1" applyFill="1" applyBorder="1" applyAlignment="1">
      <alignment horizontal="left" vertical="center"/>
    </xf>
    <xf numFmtId="0" fontId="0" fillId="0" borderId="39" xfId="0" applyBorder="1" applyAlignment="1">
      <alignment horizontal="left"/>
    </xf>
    <xf numFmtId="0" fontId="17" fillId="20" borderId="0" xfId="0" applyFont="1" applyFill="1" applyAlignment="1">
      <alignment horizontal="left" vertical="center"/>
    </xf>
    <xf numFmtId="0" fontId="5" fillId="4" borderId="32" xfId="0" applyFont="1" applyFill="1" applyBorder="1" applyAlignment="1">
      <alignment horizontal="left" vertical="center" wrapText="1"/>
    </xf>
    <xf numFmtId="0" fontId="0" fillId="0" borderId="35" xfId="0" applyBorder="1"/>
    <xf numFmtId="0" fontId="0" fillId="0" borderId="19" xfId="0" applyBorder="1"/>
    <xf numFmtId="0" fontId="0" fillId="0" borderId="50" xfId="0" applyBorder="1"/>
    <xf numFmtId="0" fontId="0" fillId="0" borderId="51" xfId="0" applyBorder="1"/>
    <xf numFmtId="0" fontId="0" fillId="0" borderId="21" xfId="0" applyBorder="1"/>
    <xf numFmtId="0" fontId="0" fillId="0" borderId="33" xfId="0" applyBorder="1"/>
    <xf numFmtId="0" fontId="0" fillId="0" borderId="35" xfId="0" applyBorder="1" applyAlignment="1">
      <alignment horizontal="left"/>
    </xf>
    <xf numFmtId="0" fontId="6" fillId="21" borderId="40" xfId="0" applyFont="1" applyFill="1" applyBorder="1" applyAlignment="1">
      <alignment horizontal="left" vertical="center" wrapText="1"/>
    </xf>
    <xf numFmtId="0" fontId="0" fillId="22" borderId="35" xfId="0" applyFill="1" applyBorder="1" applyAlignment="1">
      <alignment horizontal="left" vertical="center" wrapText="1"/>
    </xf>
    <xf numFmtId="0" fontId="0" fillId="22" borderId="36" xfId="0" applyFill="1" applyBorder="1" applyAlignment="1">
      <alignment horizontal="left" vertical="center" wrapText="1"/>
    </xf>
    <xf numFmtId="0" fontId="0" fillId="22" borderId="37" xfId="0" applyFill="1" applyBorder="1" applyAlignment="1">
      <alignment horizontal="left" vertical="center" wrapText="1"/>
    </xf>
    <xf numFmtId="2" fontId="0" fillId="0" borderId="0" xfId="0" applyNumberFormat="1" applyAlignment="1">
      <alignment horizontal="left" vertical="center"/>
    </xf>
    <xf numFmtId="0" fontId="6" fillId="2" borderId="18" xfId="0" applyFont="1" applyFill="1" applyBorder="1" applyAlignment="1">
      <alignment horizontal="left" vertical="center"/>
    </xf>
    <xf numFmtId="0" fontId="6" fillId="6" borderId="40" xfId="0" applyFont="1" applyFill="1" applyBorder="1" applyAlignment="1">
      <alignment horizontal="left" vertical="center"/>
    </xf>
    <xf numFmtId="0" fontId="6" fillId="6" borderId="18" xfId="0" applyFont="1" applyFill="1" applyBorder="1" applyAlignment="1">
      <alignment horizontal="left" vertical="center"/>
    </xf>
    <xf numFmtId="0" fontId="6" fillId="6" borderId="52" xfId="0" applyFont="1" applyFill="1" applyBorder="1" applyAlignment="1">
      <alignment horizontal="left" vertical="center"/>
    </xf>
    <xf numFmtId="0" fontId="6" fillId="3" borderId="55" xfId="0" applyFont="1" applyFill="1" applyBorder="1" applyAlignment="1">
      <alignment horizontal="left" vertical="center"/>
    </xf>
    <xf numFmtId="0" fontId="6" fillId="3" borderId="56" xfId="0" applyFont="1" applyFill="1" applyBorder="1" applyAlignment="1">
      <alignment horizontal="left" vertical="center"/>
    </xf>
    <xf numFmtId="0" fontId="6" fillId="3" borderId="54" xfId="0" applyFont="1" applyFill="1" applyBorder="1" applyAlignment="1">
      <alignment horizontal="left" vertical="center"/>
    </xf>
    <xf numFmtId="2" fontId="6" fillId="4" borderId="40" xfId="0" applyNumberFormat="1" applyFont="1" applyFill="1" applyBorder="1" applyAlignment="1">
      <alignment horizontal="center" vertical="center"/>
    </xf>
    <xf numFmtId="0" fontId="6" fillId="16" borderId="52" xfId="0" applyFont="1" applyFill="1" applyBorder="1" applyAlignment="1">
      <alignment horizontal="left" vertical="center"/>
    </xf>
    <xf numFmtId="1" fontId="0" fillId="0" borderId="9" xfId="0" applyNumberFormat="1" applyBorder="1" applyAlignment="1">
      <alignment horizontal="left" vertical="center"/>
    </xf>
    <xf numFmtId="0" fontId="0" fillId="0" borderId="9" xfId="0" applyBorder="1" applyAlignment="1">
      <alignment horizontal="left" vertical="center"/>
    </xf>
    <xf numFmtId="0" fontId="7" fillId="0" borderId="17" xfId="0" applyFont="1" applyBorder="1" applyAlignment="1">
      <alignment horizontal="left" vertical="center"/>
    </xf>
    <xf numFmtId="0" fontId="7" fillId="0" borderId="16" xfId="0" applyFont="1" applyBorder="1" applyAlignment="1">
      <alignment horizontal="left" vertical="center"/>
    </xf>
    <xf numFmtId="167" fontId="7" fillId="0" borderId="0" xfId="0" applyNumberFormat="1" applyFont="1" applyAlignment="1">
      <alignment horizontal="left" vertical="center"/>
    </xf>
    <xf numFmtId="0" fontId="7" fillId="0" borderId="53" xfId="0" applyFont="1" applyBorder="1" applyAlignment="1">
      <alignment horizontal="left" vertical="center"/>
    </xf>
    <xf numFmtId="0" fontId="7" fillId="0" borderId="13" xfId="0" applyFont="1" applyBorder="1" applyAlignment="1">
      <alignment horizontal="left" vertical="center"/>
    </xf>
    <xf numFmtId="0" fontId="7" fillId="0" borderId="11" xfId="0" applyFont="1" applyBorder="1" applyAlignment="1">
      <alignment horizontal="left" vertical="center"/>
    </xf>
    <xf numFmtId="0" fontId="7" fillId="0" borderId="10" xfId="0" applyFont="1" applyBorder="1" applyAlignment="1">
      <alignment horizontal="left" vertical="center"/>
    </xf>
    <xf numFmtId="167" fontId="6" fillId="6" borderId="32" xfId="0" applyNumberFormat="1" applyFont="1" applyFill="1" applyBorder="1" applyAlignment="1">
      <alignment horizontal="left" vertical="center"/>
    </xf>
    <xf numFmtId="0" fontId="0" fillId="0" borderId="17" xfId="0" applyBorder="1" applyAlignment="1">
      <alignment horizontal="left" vertical="center"/>
    </xf>
    <xf numFmtId="0" fontId="5" fillId="0" borderId="9" xfId="0" applyFont="1" applyBorder="1" applyAlignment="1">
      <alignment horizontal="left" vertical="center"/>
    </xf>
    <xf numFmtId="165" fontId="0" fillId="0" borderId="9" xfId="0" applyNumberFormat="1" applyBorder="1" applyAlignment="1">
      <alignment horizontal="left" vertical="center"/>
    </xf>
    <xf numFmtId="0" fontId="5" fillId="0" borderId="17" xfId="0" applyFont="1" applyBorder="1" applyAlignment="1">
      <alignment horizontal="left" vertical="center"/>
    </xf>
    <xf numFmtId="2" fontId="0" fillId="0" borderId="9" xfId="0" applyNumberFormat="1" applyBorder="1" applyAlignment="1">
      <alignment horizontal="left" vertical="center"/>
    </xf>
    <xf numFmtId="0" fontId="33" fillId="0" borderId="0" xfId="0" applyFont="1" applyAlignment="1">
      <alignment horizontal="left" vertical="center"/>
    </xf>
    <xf numFmtId="1" fontId="5" fillId="0" borderId="9" xfId="0" applyNumberFormat="1" applyFont="1" applyBorder="1" applyAlignment="1">
      <alignment horizontal="left" vertical="center"/>
    </xf>
    <xf numFmtId="165" fontId="5" fillId="0" borderId="9" xfId="0" applyNumberFormat="1" applyFont="1" applyBorder="1" applyAlignment="1">
      <alignment horizontal="left" vertical="center"/>
    </xf>
    <xf numFmtId="1" fontId="5" fillId="0" borderId="0" xfId="0" applyNumberFormat="1" applyFont="1" applyAlignment="1">
      <alignment horizontal="left" vertical="center"/>
    </xf>
    <xf numFmtId="165" fontId="5" fillId="0" borderId="0" xfId="0" applyNumberFormat="1" applyFont="1" applyAlignment="1">
      <alignment horizontal="left" vertical="center"/>
    </xf>
    <xf numFmtId="2" fontId="0" fillId="25" borderId="9" xfId="0" applyNumberFormat="1" applyFill="1" applyBorder="1" applyAlignment="1">
      <alignment horizontal="left" vertical="center"/>
    </xf>
    <xf numFmtId="2" fontId="5" fillId="0" borderId="9" xfId="0" applyNumberFormat="1" applyFont="1" applyBorder="1" applyAlignment="1">
      <alignment horizontal="left" vertical="center"/>
    </xf>
    <xf numFmtId="0" fontId="5" fillId="26" borderId="9" xfId="0" applyFont="1" applyFill="1" applyBorder="1" applyAlignment="1">
      <alignment horizontal="left" vertical="center"/>
    </xf>
    <xf numFmtId="0" fontId="5" fillId="27" borderId="17" xfId="0" applyFont="1" applyFill="1" applyBorder="1" applyAlignment="1">
      <alignment horizontal="left" vertical="center"/>
    </xf>
    <xf numFmtId="0" fontId="5" fillId="27" borderId="9" xfId="0" applyFont="1" applyFill="1" applyBorder="1" applyAlignment="1">
      <alignment horizontal="left" vertical="center"/>
    </xf>
    <xf numFmtId="0" fontId="5" fillId="27" borderId="17" xfId="0" applyFont="1" applyFill="1" applyBorder="1" applyAlignment="1">
      <alignment vertical="center"/>
    </xf>
    <xf numFmtId="0" fontId="0" fillId="26" borderId="9" xfId="0" applyFill="1" applyBorder="1" applyAlignment="1">
      <alignment horizontal="left" vertical="center"/>
    </xf>
    <xf numFmtId="0" fontId="7" fillId="26" borderId="9" xfId="0" applyFont="1" applyFill="1" applyBorder="1" applyAlignment="1">
      <alignment horizontal="left" vertical="center"/>
    </xf>
    <xf numFmtId="0" fontId="6" fillId="2" borderId="42" xfId="0" applyFont="1" applyFill="1" applyBorder="1" applyAlignment="1">
      <alignment horizontal="left" vertical="center"/>
    </xf>
    <xf numFmtId="0" fontId="6" fillId="2" borderId="52" xfId="0" applyFont="1" applyFill="1" applyBorder="1" applyAlignment="1">
      <alignment horizontal="left" vertical="center"/>
    </xf>
    <xf numFmtId="0" fontId="17" fillId="18" borderId="32" xfId="0" applyFont="1" applyFill="1" applyBorder="1" applyAlignment="1">
      <alignment horizontal="left" vertical="center"/>
    </xf>
    <xf numFmtId="0" fontId="7" fillId="19" borderId="35" xfId="0" applyFont="1" applyFill="1" applyBorder="1" applyAlignment="1">
      <alignment horizontal="left" vertical="center"/>
    </xf>
    <xf numFmtId="0" fontId="7" fillId="19" borderId="36" xfId="0" applyFont="1" applyFill="1" applyBorder="1" applyAlignment="1">
      <alignment horizontal="left" vertical="center"/>
    </xf>
    <xf numFmtId="0" fontId="7" fillId="19" borderId="37" xfId="0" applyFont="1" applyFill="1" applyBorder="1" applyAlignment="1">
      <alignment horizontal="left" vertical="center"/>
    </xf>
    <xf numFmtId="0" fontId="7" fillId="0" borderId="57" xfId="0" applyFont="1" applyBorder="1" applyAlignment="1">
      <alignment horizontal="left" vertical="center"/>
    </xf>
    <xf numFmtId="0" fontId="7" fillId="0" borderId="19" xfId="0" applyFont="1" applyBorder="1" applyAlignment="1">
      <alignment horizontal="left" vertical="center"/>
    </xf>
    <xf numFmtId="0" fontId="7" fillId="0" borderId="50" xfId="0" applyFont="1" applyBorder="1" applyAlignment="1">
      <alignment horizontal="left" vertical="center"/>
    </xf>
    <xf numFmtId="0" fontId="7" fillId="0" borderId="51" xfId="0" applyFont="1" applyBorder="1" applyAlignment="1">
      <alignment horizontal="left" vertical="center"/>
    </xf>
    <xf numFmtId="0" fontId="7" fillId="0" borderId="2" xfId="0" applyFont="1" applyBorder="1" applyAlignment="1">
      <alignment horizontal="left" vertical="center"/>
    </xf>
    <xf numFmtId="0" fontId="7" fillId="0" borderId="70" xfId="0" applyFont="1" applyBorder="1" applyAlignment="1">
      <alignment horizontal="left" vertical="center"/>
    </xf>
    <xf numFmtId="0" fontId="7" fillId="0" borderId="71" xfId="0" applyFont="1" applyBorder="1" applyAlignment="1">
      <alignment horizontal="left" vertical="center"/>
    </xf>
    <xf numFmtId="2" fontId="7" fillId="0" borderId="57" xfId="0" applyNumberFormat="1" applyFont="1" applyBorder="1" applyAlignment="1">
      <alignment horizontal="left" vertical="center"/>
    </xf>
    <xf numFmtId="2" fontId="7" fillId="0" borderId="38" xfId="0" applyNumberFormat="1" applyFont="1" applyBorder="1" applyAlignment="1">
      <alignment horizontal="left" vertical="center"/>
    </xf>
    <xf numFmtId="2" fontId="7" fillId="0" borderId="25" xfId="0" applyNumberFormat="1" applyFont="1" applyBorder="1" applyAlignment="1">
      <alignment horizontal="left" vertical="center"/>
    </xf>
    <xf numFmtId="2" fontId="7" fillId="0" borderId="27" xfId="0" applyNumberFormat="1" applyFont="1" applyBorder="1" applyAlignment="1">
      <alignment horizontal="left" vertical="center"/>
    </xf>
    <xf numFmtId="2" fontId="7" fillId="0" borderId="30" xfId="0" applyNumberFormat="1" applyFont="1" applyBorder="1" applyAlignment="1">
      <alignment horizontal="left" vertical="center"/>
    </xf>
    <xf numFmtId="0" fontId="7" fillId="0" borderId="3" xfId="0" applyFont="1" applyBorder="1" applyAlignment="1">
      <alignment horizontal="left" vertical="center"/>
    </xf>
    <xf numFmtId="49" fontId="7" fillId="0" borderId="35" xfId="0" applyNumberFormat="1" applyFont="1" applyBorder="1" applyAlignment="1">
      <alignment horizontal="left" vertical="center"/>
    </xf>
    <xf numFmtId="49" fontId="7" fillId="0" borderId="36" xfId="0" applyNumberFormat="1" applyFont="1" applyBorder="1" applyAlignment="1">
      <alignment horizontal="left" vertical="center"/>
    </xf>
    <xf numFmtId="49" fontId="7" fillId="0" borderId="37" xfId="0" applyNumberFormat="1" applyFont="1" applyBorder="1" applyAlignment="1">
      <alignment horizontal="left" vertical="center"/>
    </xf>
    <xf numFmtId="0" fontId="7" fillId="0" borderId="32" xfId="0" applyFont="1" applyBorder="1" applyAlignment="1">
      <alignment horizontal="left" vertical="center"/>
    </xf>
    <xf numFmtId="0" fontId="7" fillId="0" borderId="6" xfId="0" applyFont="1" applyBorder="1" applyAlignment="1">
      <alignment horizontal="left" vertical="center"/>
    </xf>
    <xf numFmtId="1" fontId="7" fillId="0" borderId="20" xfId="0" applyNumberFormat="1" applyFont="1" applyBorder="1" applyAlignment="1">
      <alignment horizontal="left" vertical="center"/>
    </xf>
    <xf numFmtId="1" fontId="7" fillId="0" borderId="7" xfId="0" applyNumberFormat="1" applyFont="1" applyBorder="1" applyAlignment="1">
      <alignment horizontal="left" vertical="center"/>
    </xf>
    <xf numFmtId="1" fontId="7" fillId="0" borderId="48" xfId="0" applyNumberFormat="1" applyFont="1" applyBorder="1" applyAlignment="1">
      <alignment horizontal="left" vertical="center"/>
    </xf>
    <xf numFmtId="1" fontId="7" fillId="0" borderId="2" xfId="0" applyNumberFormat="1" applyFont="1" applyBorder="1" applyAlignment="1">
      <alignment horizontal="left" vertical="center"/>
    </xf>
    <xf numFmtId="1" fontId="7" fillId="0" borderId="50" xfId="0" applyNumberFormat="1" applyFont="1" applyBorder="1" applyAlignment="1">
      <alignment horizontal="left" vertical="center"/>
    </xf>
    <xf numFmtId="0" fontId="7" fillId="0" borderId="13" xfId="0" applyFont="1" applyBorder="1" applyAlignment="1">
      <alignment vertical="center"/>
    </xf>
    <xf numFmtId="0" fontId="7" fillId="0" borderId="11" xfId="0" applyFont="1" applyBorder="1" applyAlignment="1">
      <alignment vertical="center"/>
    </xf>
    <xf numFmtId="0" fontId="7" fillId="0" borderId="8" xfId="0" applyFont="1" applyBorder="1" applyAlignment="1">
      <alignment vertical="center"/>
    </xf>
    <xf numFmtId="0" fontId="7" fillId="0" borderId="10" xfId="0" applyFont="1" applyBorder="1" applyAlignment="1">
      <alignment vertical="center"/>
    </xf>
    <xf numFmtId="2" fontId="7" fillId="0" borderId="58" xfId="0" applyNumberFormat="1" applyFont="1" applyBorder="1" applyAlignment="1">
      <alignment horizontal="center" vertical="center"/>
    </xf>
    <xf numFmtId="2" fontId="7" fillId="0" borderId="59" xfId="0" applyNumberFormat="1" applyFont="1" applyBorder="1" applyAlignment="1">
      <alignment horizontal="center" vertical="center"/>
    </xf>
    <xf numFmtId="2" fontId="7" fillId="0" borderId="60" xfId="0" applyNumberFormat="1" applyFont="1" applyBorder="1" applyAlignment="1">
      <alignment horizontal="center" vertical="center"/>
    </xf>
    <xf numFmtId="2" fontId="7" fillId="0" borderId="63" xfId="0" applyNumberFormat="1" applyFont="1" applyBorder="1" applyAlignment="1">
      <alignment horizontal="center" vertical="center"/>
    </xf>
    <xf numFmtId="2" fontId="7" fillId="0" borderId="64" xfId="0" applyNumberFormat="1" applyFont="1" applyBorder="1" applyAlignment="1">
      <alignment horizontal="center" vertical="center"/>
    </xf>
    <xf numFmtId="0" fontId="5" fillId="27" borderId="9" xfId="0" applyFont="1" applyFill="1" applyBorder="1" applyAlignment="1">
      <alignment horizontal="left" vertical="center" wrapText="1"/>
    </xf>
    <xf numFmtId="165" fontId="0" fillId="0" borderId="17" xfId="0" applyNumberFormat="1" applyBorder="1" applyAlignment="1">
      <alignment horizontal="left" vertical="center"/>
    </xf>
    <xf numFmtId="2" fontId="7" fillId="0" borderId="9" xfId="0" applyNumberFormat="1" applyFont="1" applyBorder="1" applyAlignment="1">
      <alignment horizontal="left" vertical="center" readingOrder="1"/>
    </xf>
    <xf numFmtId="2" fontId="6" fillId="0" borderId="9" xfId="0" applyNumberFormat="1" applyFont="1" applyBorder="1" applyAlignment="1">
      <alignment horizontal="left" vertical="center"/>
    </xf>
    <xf numFmtId="2" fontId="7" fillId="0" borderId="9" xfId="0" applyNumberFormat="1" applyFont="1" applyBorder="1" applyAlignment="1">
      <alignment horizontal="left" vertical="center"/>
    </xf>
    <xf numFmtId="0" fontId="0" fillId="0" borderId="9" xfId="0" applyBorder="1" applyAlignment="1">
      <alignment vertical="center"/>
    </xf>
    <xf numFmtId="0" fontId="6" fillId="27" borderId="17" xfId="0" applyFont="1" applyFill="1" applyBorder="1" applyAlignment="1">
      <alignment horizontal="left" vertical="center"/>
    </xf>
    <xf numFmtId="2" fontId="7" fillId="0" borderId="9" xfId="40" applyNumberFormat="1" applyFont="1" applyFill="1" applyBorder="1" applyAlignment="1">
      <alignment horizontal="left" vertical="center"/>
    </xf>
    <xf numFmtId="0" fontId="6" fillId="27" borderId="9" xfId="0" applyFont="1" applyFill="1" applyBorder="1" applyAlignment="1">
      <alignment horizontal="left" vertical="center"/>
    </xf>
    <xf numFmtId="166" fontId="0" fillId="25" borderId="9" xfId="0" applyNumberFormat="1" applyFill="1" applyBorder="1" applyAlignment="1">
      <alignment horizontal="left" vertical="center"/>
    </xf>
    <xf numFmtId="166" fontId="0" fillId="0" borderId="9" xfId="0" applyNumberFormat="1" applyBorder="1" applyAlignment="1">
      <alignment horizontal="left" vertical="center"/>
    </xf>
    <xf numFmtId="166" fontId="5" fillId="0" borderId="9" xfId="0" applyNumberFormat="1" applyFont="1" applyBorder="1" applyAlignment="1">
      <alignment horizontal="left" vertical="center"/>
    </xf>
    <xf numFmtId="0" fontId="13" fillId="0" borderId="0" xfId="0" applyFont="1" applyAlignment="1">
      <alignment horizontal="left" vertical="center"/>
    </xf>
    <xf numFmtId="0" fontId="19" fillId="0" borderId="0" xfId="37" applyAlignment="1">
      <alignment horizontal="left" vertical="center"/>
    </xf>
    <xf numFmtId="0" fontId="5" fillId="24" borderId="18" xfId="0" applyFont="1" applyFill="1" applyBorder="1" applyAlignment="1">
      <alignment horizontal="left" vertical="center"/>
    </xf>
    <xf numFmtId="0" fontId="5" fillId="24" borderId="0" xfId="0" applyFont="1" applyFill="1" applyAlignment="1">
      <alignment horizontal="left" vertical="center"/>
    </xf>
    <xf numFmtId="0" fontId="5" fillId="24" borderId="68" xfId="0" applyFont="1" applyFill="1" applyBorder="1" applyAlignment="1">
      <alignment horizontal="left" vertical="center"/>
    </xf>
    <xf numFmtId="0" fontId="5" fillId="0" borderId="68" xfId="0" applyFont="1" applyBorder="1" applyAlignment="1">
      <alignment horizontal="left" vertical="center"/>
    </xf>
    <xf numFmtId="0" fontId="6" fillId="26" borderId="9" xfId="0" applyFont="1" applyFill="1" applyBorder="1" applyAlignment="1">
      <alignment horizontal="left" vertical="center"/>
    </xf>
    <xf numFmtId="0" fontId="0" fillId="24" borderId="42" xfId="0" applyFill="1" applyBorder="1" applyAlignment="1">
      <alignment horizontal="left" vertical="center"/>
    </xf>
    <xf numFmtId="0" fontId="0" fillId="24" borderId="18" xfId="0" applyFill="1" applyBorder="1" applyAlignment="1">
      <alignment horizontal="left" vertical="center"/>
    </xf>
    <xf numFmtId="0" fontId="0" fillId="24" borderId="66" xfId="0" applyFill="1" applyBorder="1" applyAlignment="1">
      <alignment horizontal="left" vertical="center"/>
    </xf>
    <xf numFmtId="0" fontId="0" fillId="24" borderId="0" xfId="0" applyFill="1" applyAlignment="1">
      <alignment horizontal="left" vertical="center"/>
    </xf>
    <xf numFmtId="0" fontId="31" fillId="0" borderId="66" xfId="0" applyFont="1" applyBorder="1" applyAlignment="1">
      <alignment horizontal="left" vertical="center"/>
    </xf>
    <xf numFmtId="0" fontId="5" fillId="24" borderId="66" xfId="0" applyFont="1" applyFill="1" applyBorder="1" applyAlignment="1">
      <alignment horizontal="left" vertical="center"/>
    </xf>
    <xf numFmtId="0" fontId="5" fillId="24" borderId="22" xfId="0" applyFont="1" applyFill="1" applyBorder="1" applyAlignment="1">
      <alignment horizontal="left" vertical="center"/>
    </xf>
    <xf numFmtId="0" fontId="0" fillId="24" borderId="68" xfId="0" applyFill="1" applyBorder="1" applyAlignment="1">
      <alignment horizontal="left" vertical="center"/>
    </xf>
    <xf numFmtId="0" fontId="31" fillId="0" borderId="0" xfId="0" applyFont="1" applyAlignment="1">
      <alignment horizontal="left" vertical="center"/>
    </xf>
    <xf numFmtId="0" fontId="0" fillId="0" borderId="22" xfId="0" applyBorder="1" applyAlignment="1">
      <alignment horizontal="left" vertical="center"/>
    </xf>
    <xf numFmtId="0" fontId="0" fillId="0" borderId="68" xfId="0" applyBorder="1" applyAlignment="1">
      <alignment horizontal="left" vertical="center"/>
    </xf>
    <xf numFmtId="0" fontId="0" fillId="24" borderId="22" xfId="0" applyFill="1" applyBorder="1" applyAlignment="1">
      <alignment horizontal="left" vertical="center"/>
    </xf>
    <xf numFmtId="0" fontId="7" fillId="26" borderId="9" xfId="0" applyFont="1" applyFill="1" applyBorder="1" applyAlignment="1">
      <alignment horizontal="left" vertical="center" readingOrder="1"/>
    </xf>
    <xf numFmtId="165" fontId="7" fillId="0" borderId="9" xfId="0" applyNumberFormat="1" applyFont="1" applyBorder="1" applyAlignment="1">
      <alignment horizontal="left" vertical="center" readingOrder="1"/>
    </xf>
    <xf numFmtId="0" fontId="5" fillId="27" borderId="0" xfId="0" applyFont="1" applyFill="1" applyAlignment="1">
      <alignment horizontal="left" vertical="center"/>
    </xf>
    <xf numFmtId="2" fontId="7" fillId="26" borderId="9" xfId="0" applyNumberFormat="1" applyFont="1" applyFill="1" applyBorder="1" applyAlignment="1">
      <alignment horizontal="left" vertical="center"/>
    </xf>
    <xf numFmtId="11" fontId="7" fillId="0" borderId="36" xfId="0" applyNumberFormat="1" applyFont="1" applyBorder="1" applyAlignment="1">
      <alignment horizontal="left" vertical="center"/>
    </xf>
    <xf numFmtId="11" fontId="0" fillId="0" borderId="0" xfId="0" applyNumberFormat="1"/>
    <xf numFmtId="11" fontId="7" fillId="0" borderId="61" xfId="0" applyNumberFormat="1" applyFont="1" applyBorder="1" applyAlignment="1">
      <alignment horizontal="left" vertical="center"/>
    </xf>
    <xf numFmtId="11" fontId="7" fillId="0" borderId="62" xfId="0" applyNumberFormat="1" applyFont="1" applyBorder="1" applyAlignment="1">
      <alignment horizontal="left" vertical="center"/>
    </xf>
    <xf numFmtId="10" fontId="0" fillId="0" borderId="0" xfId="0" applyNumberFormat="1"/>
    <xf numFmtId="11" fontId="0" fillId="25" borderId="9" xfId="0" applyNumberFormat="1" applyFill="1" applyBorder="1" applyAlignment="1">
      <alignment horizontal="left" vertical="center"/>
    </xf>
    <xf numFmtId="0" fontId="0" fillId="28" borderId="9" xfId="0" applyFill="1" applyBorder="1" applyAlignment="1">
      <alignment horizontal="left" vertical="center"/>
    </xf>
    <xf numFmtId="0" fontId="0" fillId="20" borderId="0" xfId="0" applyFill="1"/>
    <xf numFmtId="0" fontId="5" fillId="0" borderId="0" xfId="0" applyFont="1"/>
    <xf numFmtId="9" fontId="0" fillId="0" borderId="0" xfId="0" applyNumberFormat="1"/>
    <xf numFmtId="0" fontId="0" fillId="0" borderId="9" xfId="0" applyBorder="1"/>
    <xf numFmtId="0" fontId="5" fillId="27" borderId="9" xfId="0" applyFont="1" applyFill="1" applyBorder="1" applyAlignment="1">
      <alignment vertical="center"/>
    </xf>
    <xf numFmtId="167" fontId="6" fillId="6" borderId="40" xfId="0" applyNumberFormat="1" applyFont="1" applyFill="1" applyBorder="1" applyAlignment="1">
      <alignment horizontal="left" vertical="center"/>
    </xf>
    <xf numFmtId="0" fontId="7" fillId="0" borderId="72" xfId="0" applyFont="1" applyBorder="1" applyAlignment="1">
      <alignment horizontal="left" vertical="center"/>
    </xf>
    <xf numFmtId="0" fontId="7" fillId="0" borderId="15" xfId="0" applyFont="1" applyBorder="1" applyAlignment="1">
      <alignment horizontal="left" vertical="center"/>
    </xf>
    <xf numFmtId="0" fontId="7" fillId="0" borderId="4" xfId="0" applyFont="1" applyBorder="1" applyAlignment="1">
      <alignment horizontal="left" vertical="center"/>
    </xf>
    <xf numFmtId="0" fontId="7" fillId="0" borderId="49" xfId="0" applyFont="1" applyBorder="1" applyAlignment="1">
      <alignment horizontal="left" vertical="center"/>
    </xf>
    <xf numFmtId="1" fontId="7" fillId="0" borderId="35" xfId="0" applyNumberFormat="1" applyFont="1" applyBorder="1" applyAlignment="1">
      <alignment horizontal="left" vertical="center"/>
    </xf>
    <xf numFmtId="1" fontId="7" fillId="0" borderId="36" xfId="0" applyNumberFormat="1" applyFont="1" applyBorder="1" applyAlignment="1">
      <alignment horizontal="left" vertical="center"/>
    </xf>
    <xf numFmtId="1" fontId="7" fillId="0" borderId="37" xfId="0" applyNumberFormat="1" applyFont="1" applyBorder="1" applyAlignment="1">
      <alignment horizontal="left" vertical="center"/>
    </xf>
    <xf numFmtId="1" fontId="7" fillId="0" borderId="38" xfId="0" applyNumberFormat="1" applyFont="1" applyBorder="1" applyAlignment="1">
      <alignment horizontal="left" vertical="center"/>
    </xf>
    <xf numFmtId="1" fontId="7" fillId="0" borderId="57" xfId="0" applyNumberFormat="1" applyFont="1" applyBorder="1" applyAlignment="1">
      <alignment horizontal="left" vertical="center"/>
    </xf>
    <xf numFmtId="1" fontId="7" fillId="0" borderId="32" xfId="0" applyNumberFormat="1" applyFont="1" applyBorder="1" applyAlignment="1">
      <alignment horizontal="left" vertical="center"/>
    </xf>
    <xf numFmtId="169" fontId="7" fillId="0" borderId="36" xfId="0" applyNumberFormat="1" applyFont="1" applyBorder="1" applyAlignment="1">
      <alignment horizontal="left" vertical="center"/>
    </xf>
    <xf numFmtId="169" fontId="7" fillId="0" borderId="37" xfId="0" applyNumberFormat="1" applyFont="1" applyBorder="1" applyAlignment="1">
      <alignment horizontal="left" vertical="center"/>
    </xf>
    <xf numFmtId="11" fontId="7" fillId="0" borderId="20" xfId="0" applyNumberFormat="1" applyFont="1" applyBorder="1" applyAlignment="1">
      <alignment horizontal="left" vertical="center"/>
    </xf>
    <xf numFmtId="11" fontId="7" fillId="0" borderId="7" xfId="0" applyNumberFormat="1" applyFont="1" applyBorder="1" applyAlignment="1">
      <alignment horizontal="left" vertical="center"/>
    </xf>
    <xf numFmtId="169" fontId="7" fillId="25" borderId="9" xfId="0" applyNumberFormat="1" applyFont="1" applyFill="1" applyBorder="1" applyAlignment="1">
      <alignment horizontal="left" vertical="center"/>
    </xf>
    <xf numFmtId="169" fontId="7" fillId="0" borderId="9" xfId="0" applyNumberFormat="1" applyFont="1" applyBorder="1" applyAlignment="1">
      <alignment horizontal="left" vertical="center"/>
    </xf>
    <xf numFmtId="2" fontId="6" fillId="27" borderId="9" xfId="0" applyNumberFormat="1" applyFont="1" applyFill="1" applyBorder="1" applyAlignment="1">
      <alignment horizontal="left" vertical="center"/>
    </xf>
    <xf numFmtId="2" fontId="6" fillId="27" borderId="9" xfId="0" applyNumberFormat="1" applyFont="1" applyFill="1" applyBorder="1" applyAlignment="1">
      <alignment vertical="center" wrapText="1"/>
    </xf>
    <xf numFmtId="1" fontId="7" fillId="0" borderId="9" xfId="0" applyNumberFormat="1" applyFont="1" applyBorder="1" applyAlignment="1">
      <alignment horizontal="left" vertical="center"/>
    </xf>
    <xf numFmtId="169" fontId="7" fillId="0" borderId="0" xfId="0" applyNumberFormat="1" applyFont="1" applyAlignment="1">
      <alignment horizontal="left" vertical="center"/>
    </xf>
    <xf numFmtId="0" fontId="7" fillId="0" borderId="59" xfId="0" applyFont="1" applyBorder="1" applyAlignment="1">
      <alignment horizontal="left" vertical="center"/>
    </xf>
    <xf numFmtId="0" fontId="7" fillId="0" borderId="70" xfId="0" applyFont="1" applyBorder="1" applyAlignment="1">
      <alignment vertical="center"/>
    </xf>
    <xf numFmtId="0" fontId="7" fillId="0" borderId="26" xfId="0" applyFont="1" applyBorder="1" applyAlignment="1">
      <alignment vertical="center"/>
    </xf>
    <xf numFmtId="0" fontId="7" fillId="0" borderId="23" xfId="0" applyFont="1" applyBorder="1" applyAlignment="1">
      <alignment vertical="center"/>
    </xf>
    <xf numFmtId="0" fontId="7" fillId="0" borderId="43" xfId="0" applyFont="1" applyBorder="1" applyAlignment="1">
      <alignment vertical="center"/>
    </xf>
    <xf numFmtId="0" fontId="7" fillId="0" borderId="28" xfId="0" applyFont="1" applyBorder="1" applyAlignment="1">
      <alignment vertical="center"/>
    </xf>
    <xf numFmtId="0" fontId="7" fillId="0" borderId="45" xfId="0" applyFont="1" applyBorder="1" applyAlignment="1">
      <alignment vertical="center"/>
    </xf>
    <xf numFmtId="171" fontId="7" fillId="0" borderId="9" xfId="0" applyNumberFormat="1" applyFont="1" applyBorder="1" applyAlignment="1">
      <alignment horizontal="left" vertical="center"/>
    </xf>
    <xf numFmtId="172" fontId="7" fillId="0" borderId="9" xfId="0" applyNumberFormat="1" applyFont="1" applyBorder="1" applyAlignment="1">
      <alignment horizontal="left" vertical="center"/>
    </xf>
    <xf numFmtId="169" fontId="7" fillId="0" borderId="20" xfId="0" applyNumberFormat="1" applyFont="1" applyBorder="1" applyAlignment="1">
      <alignment horizontal="left" vertical="center"/>
    </xf>
    <xf numFmtId="169" fontId="7" fillId="0" borderId="7" xfId="0" applyNumberFormat="1" applyFont="1" applyBorder="1" applyAlignment="1">
      <alignment horizontal="left" vertical="center"/>
    </xf>
    <xf numFmtId="169" fontId="7" fillId="0" borderId="48" xfId="0" applyNumberFormat="1" applyFont="1" applyBorder="1" applyAlignment="1">
      <alignment horizontal="left" vertical="center"/>
    </xf>
    <xf numFmtId="169" fontId="7" fillId="0" borderId="2" xfId="0" applyNumberFormat="1" applyFont="1" applyBorder="1" applyAlignment="1">
      <alignment horizontal="left" vertical="center"/>
    </xf>
    <xf numFmtId="169" fontId="7" fillId="0" borderId="3" xfId="0" applyNumberFormat="1" applyFont="1" applyBorder="1" applyAlignment="1">
      <alignment horizontal="left" vertical="center"/>
    </xf>
    <xf numFmtId="2" fontId="7" fillId="0" borderId="20" xfId="0" applyNumberFormat="1" applyFont="1" applyBorder="1" applyAlignment="1">
      <alignment horizontal="left" vertical="center"/>
    </xf>
    <xf numFmtId="2" fontId="7" fillId="0" borderId="7" xfId="0" applyNumberFormat="1" applyFont="1" applyBorder="1" applyAlignment="1">
      <alignment horizontal="left" vertical="center"/>
    </xf>
    <xf numFmtId="2" fontId="7" fillId="0" borderId="48" xfId="0" applyNumberFormat="1" applyFont="1" applyBorder="1" applyAlignment="1">
      <alignment horizontal="left" vertical="center"/>
    </xf>
    <xf numFmtId="0" fontId="6" fillId="15" borderId="40" xfId="41" applyFont="1" applyFill="1" applyBorder="1" applyAlignment="1">
      <alignment horizontal="center" vertical="center" wrapText="1"/>
    </xf>
    <xf numFmtId="0" fontId="6" fillId="15" borderId="41" xfId="41" applyFont="1" applyFill="1" applyBorder="1" applyAlignment="1">
      <alignment horizontal="center" vertical="center" wrapText="1"/>
    </xf>
    <xf numFmtId="0" fontId="7" fillId="15" borderId="49" xfId="41" applyFont="1" applyFill="1" applyBorder="1" applyAlignment="1">
      <alignment horizontal="center" vertical="center" wrapText="1"/>
    </xf>
    <xf numFmtId="0" fontId="7" fillId="15" borderId="50" xfId="41" applyFont="1" applyFill="1" applyBorder="1" applyAlignment="1">
      <alignment horizontal="center" vertical="center" wrapText="1"/>
    </xf>
    <xf numFmtId="0" fontId="7" fillId="15" borderId="51" xfId="41" applyFont="1" applyFill="1" applyBorder="1" applyAlignment="1">
      <alignment horizontal="center" vertical="center" wrapText="1"/>
    </xf>
    <xf numFmtId="0" fontId="6" fillId="15" borderId="18" xfId="41" applyFont="1" applyFill="1" applyBorder="1" applyAlignment="1">
      <alignment horizontal="center" vertical="center"/>
    </xf>
    <xf numFmtId="0" fontId="6" fillId="15" borderId="68" xfId="41" applyFont="1" applyFill="1" applyBorder="1" applyAlignment="1">
      <alignment horizontal="center" vertical="center"/>
    </xf>
    <xf numFmtId="0" fontId="6" fillId="15" borderId="40" xfId="41" applyFont="1" applyFill="1" applyBorder="1" applyAlignment="1">
      <alignment horizontal="center" vertical="center"/>
    </xf>
    <xf numFmtId="0" fontId="6" fillId="15" borderId="41" xfId="41" applyFont="1" applyFill="1" applyBorder="1" applyAlignment="1">
      <alignment horizontal="center" vertical="center"/>
    </xf>
    <xf numFmtId="0" fontId="7" fillId="14" borderId="38" xfId="43" applyFont="1" applyFill="1" applyBorder="1" applyAlignment="1">
      <alignment horizontal="center" vertical="center" wrapText="1"/>
    </xf>
    <xf numFmtId="0" fontId="7" fillId="14" borderId="36" xfId="43" applyFont="1" applyFill="1" applyBorder="1" applyAlignment="1">
      <alignment horizontal="center" vertical="center" wrapText="1"/>
    </xf>
    <xf numFmtId="0" fontId="7" fillId="14" borderId="37" xfId="43" applyFont="1" applyFill="1" applyBorder="1" applyAlignment="1">
      <alignment horizontal="center" vertical="center" wrapText="1"/>
    </xf>
    <xf numFmtId="0" fontId="7" fillId="14" borderId="3" xfId="44" applyFont="1" applyFill="1" applyBorder="1" applyAlignment="1">
      <alignment horizontal="center" vertical="center" wrapText="1"/>
    </xf>
    <xf numFmtId="0" fontId="7" fillId="14" borderId="7" xfId="44" applyFont="1" applyFill="1" applyBorder="1" applyAlignment="1">
      <alignment horizontal="center" vertical="center" wrapText="1"/>
    </xf>
    <xf numFmtId="0" fontId="7" fillId="14" borderId="48" xfId="44" applyFont="1" applyFill="1" applyBorder="1" applyAlignment="1">
      <alignment horizontal="center" vertical="center" wrapText="1"/>
    </xf>
    <xf numFmtId="0" fontId="6" fillId="15" borderId="52" xfId="41" applyFont="1" applyFill="1" applyBorder="1" applyAlignment="1">
      <alignment horizontal="center" vertical="center"/>
    </xf>
    <xf numFmtId="0" fontId="6" fillId="15" borderId="69" xfId="41" applyFont="1" applyFill="1" applyBorder="1" applyAlignment="1">
      <alignment horizontal="center" vertical="center"/>
    </xf>
    <xf numFmtId="0" fontId="7" fillId="14" borderId="4" xfId="42" applyFont="1" applyFill="1" applyBorder="1" applyAlignment="1">
      <alignment horizontal="center" vertical="center" wrapText="1"/>
    </xf>
    <xf numFmtId="0" fontId="7" fillId="14" borderId="33" xfId="42" applyFont="1" applyFill="1" applyBorder="1" applyAlignment="1">
      <alignment horizontal="center" vertical="center" wrapText="1"/>
    </xf>
    <xf numFmtId="0" fontId="7" fillId="14" borderId="34" xfId="42" applyFont="1" applyFill="1" applyBorder="1" applyAlignment="1">
      <alignment horizontal="center" vertical="center" wrapText="1"/>
    </xf>
    <xf numFmtId="0" fontId="7" fillId="14" borderId="38" xfId="45" applyFont="1" applyFill="1" applyBorder="1" applyAlignment="1">
      <alignment horizontal="center" vertical="center" wrapText="1"/>
    </xf>
    <xf numFmtId="0" fontId="7" fillId="14" borderId="36" xfId="45" applyFont="1" applyFill="1" applyBorder="1" applyAlignment="1">
      <alignment horizontal="center" vertical="center" wrapText="1"/>
    </xf>
    <xf numFmtId="0" fontId="7" fillId="14" borderId="37" xfId="45" applyFont="1" applyFill="1" applyBorder="1" applyAlignment="1">
      <alignment horizontal="center" vertical="center" wrapText="1"/>
    </xf>
    <xf numFmtId="0" fontId="7" fillId="0" borderId="46" xfId="0" applyFont="1" applyBorder="1" applyAlignment="1">
      <alignment vertical="center"/>
    </xf>
    <xf numFmtId="0" fontId="7" fillId="0" borderId="50" xfId="0" applyFont="1" applyBorder="1" applyAlignment="1">
      <alignment vertical="center"/>
    </xf>
    <xf numFmtId="2" fontId="7" fillId="0" borderId="50" xfId="0" applyNumberFormat="1" applyFont="1" applyBorder="1" applyAlignment="1">
      <alignment horizontal="left" vertical="center"/>
    </xf>
    <xf numFmtId="2" fontId="7" fillId="0" borderId="2" xfId="0" applyNumberFormat="1" applyFont="1" applyBorder="1" applyAlignment="1">
      <alignment horizontal="left" vertical="center"/>
    </xf>
    <xf numFmtId="2" fontId="7" fillId="0" borderId="19" xfId="0" applyNumberFormat="1" applyFont="1" applyBorder="1" applyAlignment="1">
      <alignment horizontal="left" vertical="center"/>
    </xf>
    <xf numFmtId="2" fontId="7" fillId="0" borderId="72" xfId="0" applyNumberFormat="1" applyFont="1" applyBorder="1" applyAlignment="1">
      <alignment horizontal="left" vertical="center"/>
    </xf>
    <xf numFmtId="169" fontId="7" fillId="0" borderId="6" xfId="0" applyNumberFormat="1" applyFont="1" applyBorder="1" applyAlignment="1">
      <alignment horizontal="left" vertical="center"/>
    </xf>
    <xf numFmtId="0" fontId="7" fillId="0" borderId="25" xfId="0" applyFont="1" applyBorder="1" applyAlignment="1">
      <alignment vertical="center"/>
    </xf>
    <xf numFmtId="0" fontId="7" fillId="0" borderId="27" xfId="0" applyFont="1" applyBorder="1" applyAlignment="1">
      <alignment vertical="center"/>
    </xf>
    <xf numFmtId="0" fontId="7" fillId="0" borderId="30" xfId="0" applyFont="1" applyBorder="1" applyAlignment="1">
      <alignment vertical="center"/>
    </xf>
    <xf numFmtId="0" fontId="7" fillId="0" borderId="44" xfId="0" applyFont="1" applyBorder="1" applyAlignment="1">
      <alignment vertical="center"/>
    </xf>
    <xf numFmtId="0" fontId="7" fillId="0" borderId="71" xfId="0" applyFont="1" applyBorder="1" applyAlignment="1">
      <alignment vertical="center"/>
    </xf>
    <xf numFmtId="2" fontId="7" fillId="0" borderId="20"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48" xfId="0" applyNumberFormat="1" applyFont="1" applyBorder="1" applyAlignment="1">
      <alignment horizontal="center" vertical="center"/>
    </xf>
    <xf numFmtId="2" fontId="7" fillId="0" borderId="2" xfId="0" applyNumberFormat="1" applyFont="1" applyBorder="1" applyAlignment="1">
      <alignment horizontal="center" vertical="center"/>
    </xf>
    <xf numFmtId="0" fontId="0" fillId="0" borderId="50" xfId="0" applyBorder="1" applyAlignment="1">
      <alignment horizontal="left" vertical="center"/>
    </xf>
    <xf numFmtId="0" fontId="0" fillId="0" borderId="19" xfId="0" applyBorder="1" applyAlignment="1">
      <alignment horizontal="left" vertical="center"/>
    </xf>
    <xf numFmtId="0" fontId="5" fillId="0" borderId="52" xfId="0" applyFont="1" applyBorder="1" applyAlignment="1">
      <alignment horizontal="left" vertical="center" wrapText="1"/>
    </xf>
    <xf numFmtId="0" fontId="0" fillId="0" borderId="51" xfId="0" applyBorder="1" applyAlignment="1">
      <alignment horizontal="left"/>
    </xf>
    <xf numFmtId="0" fontId="5" fillId="0" borderId="40" xfId="0" applyFont="1" applyBorder="1" applyAlignment="1">
      <alignment horizontal="left" vertical="center"/>
    </xf>
    <xf numFmtId="0" fontId="0" fillId="23" borderId="36" xfId="0" applyFill="1" applyBorder="1" applyAlignment="1">
      <alignment horizontal="left" vertical="center"/>
    </xf>
    <xf numFmtId="0" fontId="0" fillId="0" borderId="7" xfId="0" applyBorder="1"/>
    <xf numFmtId="169" fontId="0" fillId="0" borderId="7" xfId="0" applyNumberFormat="1" applyBorder="1" applyAlignment="1">
      <alignment horizontal="left" vertical="center"/>
    </xf>
    <xf numFmtId="1" fontId="0" fillId="0" borderId="36" xfId="0" applyNumberFormat="1" applyBorder="1" applyAlignment="1">
      <alignment horizontal="left" vertical="center"/>
    </xf>
    <xf numFmtId="0" fontId="0" fillId="0" borderId="9" xfId="0" applyBorder="1" applyAlignment="1">
      <alignment horizontal="left"/>
    </xf>
    <xf numFmtId="0" fontId="5" fillId="27" borderId="9" xfId="0" applyFont="1" applyFill="1" applyBorder="1"/>
    <xf numFmtId="0" fontId="7" fillId="0" borderId="64" xfId="0" applyFont="1" applyBorder="1" applyAlignment="1">
      <alignment horizontal="left" vertical="center"/>
    </xf>
    <xf numFmtId="0" fontId="7" fillId="0" borderId="9" xfId="0" applyFont="1" applyBorder="1"/>
    <xf numFmtId="49" fontId="7" fillId="0" borderId="36" xfId="0" quotePrefix="1" applyNumberFormat="1" applyFont="1" applyBorder="1" applyAlignment="1">
      <alignment horizontal="left" vertical="center"/>
    </xf>
    <xf numFmtId="173" fontId="0" fillId="0" borderId="9" xfId="0" applyNumberFormat="1" applyBorder="1" applyAlignment="1">
      <alignment horizontal="left" vertical="center"/>
    </xf>
    <xf numFmtId="0" fontId="5" fillId="29" borderId="9" xfId="0" applyFont="1" applyFill="1" applyBorder="1"/>
    <xf numFmtId="0" fontId="7" fillId="0" borderId="58" xfId="0" applyFont="1" applyBorder="1" applyAlignment="1">
      <alignment vertical="center"/>
    </xf>
    <xf numFmtId="0" fontId="7" fillId="0" borderId="59" xfId="0" applyFont="1" applyBorder="1" applyAlignment="1">
      <alignment vertical="center"/>
    </xf>
    <xf numFmtId="0" fontId="0" fillId="0" borderId="20" xfId="0" applyBorder="1"/>
    <xf numFmtId="0" fontId="0" fillId="0" borderId="48" xfId="0" applyBorder="1"/>
    <xf numFmtId="0" fontId="0" fillId="0" borderId="3" xfId="0" applyBorder="1"/>
    <xf numFmtId="0" fontId="0" fillId="0" borderId="2" xfId="0" applyBorder="1"/>
    <xf numFmtId="0" fontId="0" fillId="0" borderId="57" xfId="0" applyBorder="1"/>
    <xf numFmtId="0" fontId="0" fillId="17" borderId="72" xfId="0" applyFill="1" applyBorder="1"/>
    <xf numFmtId="0" fontId="7" fillId="17" borderId="50" xfId="0" applyFont="1" applyFill="1" applyBorder="1" applyAlignment="1">
      <alignment vertical="center"/>
    </xf>
    <xf numFmtId="0" fontId="0" fillId="0" borderId="5" xfId="0" applyBorder="1"/>
    <xf numFmtId="0" fontId="6" fillId="26" borderId="0" xfId="0" applyFont="1" applyFill="1" applyAlignment="1">
      <alignment horizontal="left" vertical="center"/>
    </xf>
    <xf numFmtId="2" fontId="5" fillId="0" borderId="0" xfId="0" applyNumberFormat="1" applyFont="1" applyAlignment="1">
      <alignment horizontal="left" vertical="center"/>
    </xf>
    <xf numFmtId="0" fontId="7" fillId="5" borderId="16" xfId="0" applyFont="1" applyFill="1" applyBorder="1" applyAlignment="1">
      <alignment horizontal="left" vertical="center"/>
    </xf>
    <xf numFmtId="0" fontId="7" fillId="5" borderId="31" xfId="0" applyFont="1" applyFill="1" applyBorder="1" applyAlignment="1">
      <alignment horizontal="left" vertical="center"/>
    </xf>
    <xf numFmtId="0" fontId="7" fillId="5" borderId="63" xfId="0" applyFont="1" applyFill="1" applyBorder="1" applyAlignment="1">
      <alignment horizontal="left" vertical="center"/>
    </xf>
    <xf numFmtId="0" fontId="7" fillId="5" borderId="3" xfId="0" applyFont="1" applyFill="1" applyBorder="1" applyAlignment="1">
      <alignment horizontal="left" vertical="center"/>
    </xf>
    <xf numFmtId="0" fontId="7" fillId="5" borderId="8" xfId="0" applyFont="1" applyFill="1" applyBorder="1" applyAlignment="1">
      <alignment horizontal="left" vertical="center"/>
    </xf>
    <xf numFmtId="0" fontId="7" fillId="5" borderId="0" xfId="0" applyFont="1" applyFill="1" applyAlignment="1">
      <alignment horizontal="left" vertical="center"/>
    </xf>
    <xf numFmtId="0" fontId="0" fillId="0" borderId="50" xfId="0" applyBorder="1" applyAlignment="1">
      <alignment horizontal="left"/>
    </xf>
    <xf numFmtId="0" fontId="0" fillId="0" borderId="72" xfId="0" applyBorder="1" applyAlignment="1">
      <alignment horizontal="left"/>
    </xf>
    <xf numFmtId="0" fontId="5" fillId="29" borderId="9" xfId="0" applyFont="1" applyFill="1" applyBorder="1" applyAlignment="1">
      <alignment horizontal="left" vertical="center"/>
    </xf>
    <xf numFmtId="173" fontId="0" fillId="25" borderId="9" xfId="0" applyNumberFormat="1" applyFill="1" applyBorder="1" applyAlignment="1">
      <alignment horizontal="left" vertical="center"/>
    </xf>
    <xf numFmtId="0" fontId="7" fillId="0" borderId="7" xfId="0" applyFont="1" applyBorder="1" applyAlignment="1">
      <alignment horizontal="left"/>
    </xf>
    <xf numFmtId="0" fontId="35" fillId="0" borderId="51" xfId="0" applyFont="1" applyBorder="1" applyAlignment="1">
      <alignment horizontal="left" vertical="center"/>
    </xf>
    <xf numFmtId="0" fontId="35" fillId="0" borderId="37" xfId="0" applyFont="1" applyBorder="1" applyAlignment="1">
      <alignment horizontal="left" vertical="center"/>
    </xf>
    <xf numFmtId="0" fontId="35" fillId="0" borderId="48" xfId="0" applyFont="1" applyBorder="1" applyAlignment="1">
      <alignment horizontal="left" vertical="center"/>
    </xf>
    <xf numFmtId="1" fontId="35" fillId="0" borderId="37" xfId="0" applyNumberFormat="1" applyFont="1" applyBorder="1" applyAlignment="1">
      <alignment horizontal="left" vertical="center"/>
    </xf>
    <xf numFmtId="0" fontId="35" fillId="0" borderId="28" xfId="0" applyFont="1" applyBorder="1" applyAlignment="1">
      <alignment vertical="center"/>
    </xf>
    <xf numFmtId="0" fontId="35" fillId="0" borderId="29" xfId="0" applyFont="1" applyBorder="1" applyAlignment="1">
      <alignment vertical="center"/>
    </xf>
    <xf numFmtId="0" fontId="7" fillId="0" borderId="21" xfId="0" applyFont="1" applyBorder="1" applyAlignment="1">
      <alignment horizontal="left" vertical="center"/>
    </xf>
    <xf numFmtId="1" fontId="7" fillId="0" borderId="19" xfId="0" applyNumberFormat="1" applyFont="1" applyBorder="1" applyAlignment="1">
      <alignment horizontal="left" vertical="center"/>
    </xf>
    <xf numFmtId="1" fontId="35" fillId="0" borderId="51" xfId="0" applyNumberFormat="1" applyFont="1" applyBorder="1" applyAlignment="1">
      <alignment horizontal="left" vertical="center"/>
    </xf>
    <xf numFmtId="0" fontId="35" fillId="0" borderId="60" xfId="0" applyFont="1" applyBorder="1" applyAlignment="1">
      <alignment vertical="center"/>
    </xf>
    <xf numFmtId="2" fontId="7" fillId="0" borderId="19" xfId="0" applyNumberFormat="1" applyFont="1" applyBorder="1" applyAlignment="1">
      <alignment horizontal="center" vertical="center"/>
    </xf>
    <xf numFmtId="0" fontId="7" fillId="0" borderId="39" xfId="0" applyFont="1" applyBorder="1" applyAlignment="1">
      <alignment horizontal="left" vertical="center"/>
    </xf>
    <xf numFmtId="0" fontId="7" fillId="0" borderId="64" xfId="0" applyFont="1" applyBorder="1" applyAlignment="1">
      <alignment vertical="center"/>
    </xf>
    <xf numFmtId="0" fontId="6" fillId="27" borderId="9" xfId="0" applyFont="1" applyFill="1" applyBorder="1" applyAlignment="1">
      <alignment horizontal="center" vertical="center"/>
    </xf>
    <xf numFmtId="0" fontId="6" fillId="27" borderId="9" xfId="0" applyFont="1" applyFill="1" applyBorder="1" applyAlignment="1">
      <alignment vertical="center"/>
    </xf>
    <xf numFmtId="0" fontId="19" fillId="0" borderId="0" xfId="37" applyFill="1" applyBorder="1" applyAlignment="1">
      <alignment horizontal="left" vertical="center"/>
    </xf>
    <xf numFmtId="0" fontId="5" fillId="27" borderId="9" xfId="0" applyFont="1" applyFill="1" applyBorder="1" applyAlignment="1">
      <alignment horizontal="center" vertical="center"/>
    </xf>
    <xf numFmtId="0" fontId="6" fillId="0" borderId="9" xfId="0" applyFont="1" applyBorder="1" applyAlignment="1">
      <alignment horizontal="left" vertical="center"/>
    </xf>
    <xf numFmtId="0" fontId="7" fillId="0" borderId="9" xfId="0" applyFont="1" applyBorder="1" applyAlignment="1">
      <alignment horizontal="center" vertical="center"/>
    </xf>
    <xf numFmtId="0" fontId="6" fillId="0" borderId="9" xfId="0" applyFont="1" applyBorder="1" applyAlignment="1">
      <alignment horizontal="center" vertical="center"/>
    </xf>
    <xf numFmtId="0" fontId="7" fillId="0" borderId="59" xfId="0" applyFont="1" applyBorder="1" applyAlignment="1">
      <alignment horizontal="center" vertical="center"/>
    </xf>
    <xf numFmtId="0" fontId="0" fillId="0" borderId="9" xfId="0" applyBorder="1" applyAlignment="1">
      <alignment horizontal="center" vertical="center"/>
    </xf>
    <xf numFmtId="0" fontId="5" fillId="27" borderId="16" xfId="0" applyFont="1" applyFill="1" applyBorder="1" applyAlignment="1">
      <alignment vertical="center"/>
    </xf>
    <xf numFmtId="0" fontId="7" fillId="17" borderId="50" xfId="0" applyFont="1" applyFill="1" applyBorder="1"/>
    <xf numFmtId="0" fontId="6" fillId="27" borderId="16" xfId="0" applyFont="1" applyFill="1" applyBorder="1" applyAlignment="1">
      <alignment horizontal="center" vertical="center"/>
    </xf>
    <xf numFmtId="0" fontId="7" fillId="0" borderId="36" xfId="0" applyFont="1" applyBorder="1"/>
    <xf numFmtId="0" fontId="5" fillId="27" borderId="31" xfId="0" applyFont="1" applyFill="1" applyBorder="1" applyAlignment="1">
      <alignment horizontal="center" vertical="center"/>
    </xf>
    <xf numFmtId="166" fontId="7" fillId="0" borderId="9" xfId="0" applyNumberFormat="1" applyFont="1" applyBorder="1" applyAlignment="1">
      <alignment horizontal="center" vertical="center"/>
    </xf>
    <xf numFmtId="0" fontId="19" fillId="0" borderId="0" xfId="37"/>
    <xf numFmtId="0" fontId="0" fillId="0" borderId="77" xfId="0" applyBorder="1"/>
    <xf numFmtId="0" fontId="0" fillId="0" borderId="78" xfId="0" applyBorder="1"/>
    <xf numFmtId="0" fontId="35" fillId="0" borderId="0" xfId="0" applyFont="1" applyAlignment="1">
      <alignment horizontal="left"/>
    </xf>
    <xf numFmtId="2" fontId="35" fillId="0" borderId="9" xfId="40" applyNumberFormat="1" applyFont="1" applyFill="1" applyBorder="1" applyAlignment="1">
      <alignment horizontal="left" vertical="center"/>
    </xf>
    <xf numFmtId="165" fontId="0" fillId="0" borderId="9" xfId="0" applyNumberFormat="1" applyBorder="1" applyAlignment="1">
      <alignment horizontal="center" vertical="center"/>
    </xf>
    <xf numFmtId="0" fontId="5" fillId="27" borderId="59" xfId="0" applyFont="1" applyFill="1" applyBorder="1" applyAlignment="1">
      <alignment horizontal="left" vertical="center"/>
    </xf>
    <xf numFmtId="2" fontId="0" fillId="24" borderId="9" xfId="0" applyNumberFormat="1" applyFill="1" applyBorder="1" applyAlignment="1">
      <alignment horizontal="left" vertical="center"/>
    </xf>
    <xf numFmtId="2" fontId="6" fillId="0" borderId="0" xfId="0" applyNumberFormat="1" applyFont="1" applyAlignment="1">
      <alignment horizontal="left" vertical="center"/>
    </xf>
    <xf numFmtId="0" fontId="19" fillId="0" borderId="0" xfId="37" applyBorder="1" applyAlignment="1">
      <alignment horizontal="left" vertical="center"/>
    </xf>
    <xf numFmtId="2" fontId="7" fillId="24" borderId="9" xfId="0" applyNumberFormat="1" applyFont="1" applyFill="1" applyBorder="1" applyAlignment="1">
      <alignment horizontal="left" vertical="center"/>
    </xf>
    <xf numFmtId="0" fontId="18" fillId="0" borderId="0" xfId="0" applyFont="1" applyAlignment="1">
      <alignment horizontal="left" vertical="center"/>
    </xf>
    <xf numFmtId="166" fontId="18" fillId="25" borderId="0" xfId="0" applyNumberFormat="1" applyFont="1" applyFill="1" applyAlignment="1">
      <alignment horizontal="left" vertical="center"/>
    </xf>
    <xf numFmtId="0" fontId="18" fillId="0" borderId="0" xfId="0" applyFont="1"/>
    <xf numFmtId="0" fontId="38" fillId="0" borderId="0" xfId="37" applyFont="1" applyBorder="1" applyAlignment="1">
      <alignment horizontal="left" vertical="center"/>
    </xf>
    <xf numFmtId="0" fontId="32" fillId="20" borderId="9" xfId="0" applyFont="1" applyFill="1" applyBorder="1" applyAlignment="1">
      <alignment vertical="center"/>
    </xf>
    <xf numFmtId="0" fontId="15" fillId="0" borderId="0" xfId="31"/>
    <xf numFmtId="9" fontId="0" fillId="0" borderId="0" xfId="47" applyFont="1"/>
    <xf numFmtId="0" fontId="0" fillId="0" borderId="31" xfId="0" applyBorder="1" applyAlignment="1">
      <alignment horizontal="center" vertical="center"/>
    </xf>
    <xf numFmtId="0" fontId="0" fillId="26" borderId="16" xfId="0" applyFill="1" applyBorder="1" applyAlignment="1">
      <alignment horizontal="center" vertical="center"/>
    </xf>
    <xf numFmtId="0" fontId="0" fillId="0" borderId="16" xfId="0" applyBorder="1" applyAlignment="1">
      <alignment horizontal="center" vertical="center"/>
    </xf>
    <xf numFmtId="0" fontId="19" fillId="0" borderId="64" xfId="37" applyFill="1" applyBorder="1" applyAlignment="1">
      <alignment horizontal="center" vertical="center"/>
    </xf>
    <xf numFmtId="0" fontId="19" fillId="0" borderId="65" xfId="37" applyFill="1" applyBorder="1" applyAlignment="1">
      <alignment horizontal="center" vertical="center"/>
    </xf>
    <xf numFmtId="11" fontId="0" fillId="0" borderId="9" xfId="0" applyNumberFormat="1" applyBorder="1" applyAlignment="1">
      <alignment horizontal="center" vertical="center"/>
    </xf>
    <xf numFmtId="0" fontId="12" fillId="0" borderId="0" xfId="29"/>
    <xf numFmtId="0" fontId="39" fillId="0" borderId="0" xfId="29" applyFont="1" applyAlignment="1">
      <alignment horizontal="left" vertical="center"/>
    </xf>
    <xf numFmtId="0" fontId="40" fillId="0" borderId="0" xfId="29" applyFont="1" applyAlignment="1">
      <alignment horizontal="left" vertical="center"/>
    </xf>
    <xf numFmtId="0" fontId="41" fillId="31" borderId="79" xfId="29" applyFont="1" applyFill="1" applyBorder="1" applyAlignment="1">
      <alignment horizontal="right" vertical="center"/>
    </xf>
    <xf numFmtId="0" fontId="39" fillId="32" borderId="79" xfId="29" applyFont="1" applyFill="1" applyBorder="1" applyAlignment="1">
      <alignment horizontal="left" vertical="center"/>
    </xf>
    <xf numFmtId="0" fontId="39" fillId="33" borderId="79" xfId="29" applyFont="1" applyFill="1" applyBorder="1" applyAlignment="1">
      <alignment horizontal="left" vertical="center"/>
    </xf>
    <xf numFmtId="0" fontId="12" fillId="34" borderId="0" xfId="29" applyFill="1"/>
    <xf numFmtId="3" fontId="40" fillId="0" borderId="0" xfId="29" applyNumberFormat="1" applyFont="1" applyAlignment="1">
      <alignment horizontal="right" vertical="center" shrinkToFit="1"/>
    </xf>
    <xf numFmtId="3" fontId="40" fillId="35" borderId="0" xfId="29" applyNumberFormat="1" applyFont="1" applyFill="1" applyAlignment="1">
      <alignment horizontal="right" vertical="center" shrinkToFit="1"/>
    </xf>
    <xf numFmtId="0" fontId="41" fillId="31" borderId="79" xfId="29" applyFont="1" applyFill="1" applyBorder="1" applyAlignment="1">
      <alignment vertical="center"/>
    </xf>
    <xf numFmtId="0" fontId="7" fillId="0" borderId="53" xfId="0" applyFont="1" applyBorder="1" applyAlignment="1">
      <alignment vertical="center"/>
    </xf>
    <xf numFmtId="3" fontId="40" fillId="35" borderId="0" xfId="0" applyNumberFormat="1" applyFont="1" applyFill="1" applyAlignment="1">
      <alignment horizontal="right" vertical="center" shrinkToFit="1"/>
    </xf>
    <xf numFmtId="3" fontId="40" fillId="0" borderId="0" xfId="0" applyNumberFormat="1" applyFont="1" applyAlignment="1">
      <alignment horizontal="right" vertical="center" shrinkToFit="1"/>
    </xf>
    <xf numFmtId="0" fontId="41" fillId="31" borderId="79" xfId="0" applyFont="1" applyFill="1" applyBorder="1" applyAlignment="1">
      <alignment vertical="center"/>
    </xf>
    <xf numFmtId="2" fontId="7" fillId="0" borderId="9" xfId="0" applyNumberFormat="1" applyFont="1" applyBorder="1" applyAlignment="1">
      <alignment horizontal="center" vertical="center"/>
    </xf>
    <xf numFmtId="0" fontId="8" fillId="0" borderId="67" xfId="0" applyFont="1" applyBorder="1" applyAlignment="1">
      <alignment horizontal="left" vertical="center"/>
    </xf>
    <xf numFmtId="2" fontId="0" fillId="0" borderId="0" xfId="0" applyNumberFormat="1"/>
    <xf numFmtId="2" fontId="0" fillId="25" borderId="59" xfId="0" applyNumberFormat="1" applyFill="1" applyBorder="1" applyAlignment="1">
      <alignment horizontal="left" vertical="center"/>
    </xf>
    <xf numFmtId="0" fontId="17" fillId="20" borderId="0" xfId="0" applyFont="1" applyFill="1"/>
    <xf numFmtId="0" fontId="0" fillId="28" borderId="13" xfId="0" applyFill="1" applyBorder="1" applyAlignment="1">
      <alignment horizontal="left" vertical="center"/>
    </xf>
    <xf numFmtId="0" fontId="7" fillId="26" borderId="16" xfId="0" applyFont="1" applyFill="1" applyBorder="1" applyAlignment="1">
      <alignment horizontal="left" vertical="center"/>
    </xf>
    <xf numFmtId="0" fontId="7" fillId="26" borderId="13" xfId="0" applyFont="1" applyFill="1" applyBorder="1" applyAlignment="1">
      <alignment horizontal="left" vertical="center"/>
    </xf>
    <xf numFmtId="2" fontId="0" fillId="0" borderId="59" xfId="0" applyNumberFormat="1" applyBorder="1" applyAlignment="1">
      <alignment horizontal="left" vertical="center"/>
    </xf>
    <xf numFmtId="0" fontId="14" fillId="37" borderId="0" xfId="49"/>
    <xf numFmtId="0" fontId="42" fillId="0" borderId="0" xfId="0" applyFont="1"/>
    <xf numFmtId="0" fontId="14" fillId="36" borderId="0" xfId="48"/>
    <xf numFmtId="2" fontId="14" fillId="36" borderId="0" xfId="48" applyNumberFormat="1"/>
    <xf numFmtId="1" fontId="7" fillId="0" borderId="3" xfId="0" applyNumberFormat="1" applyFont="1" applyBorder="1" applyAlignment="1">
      <alignment horizontal="left" vertical="center"/>
    </xf>
    <xf numFmtId="0" fontId="6" fillId="3" borderId="80" xfId="0" applyFont="1" applyFill="1" applyBorder="1" applyAlignment="1">
      <alignment horizontal="left" vertical="center"/>
    </xf>
    <xf numFmtId="0" fontId="6" fillId="3" borderId="81" xfId="0" applyFont="1" applyFill="1" applyBorder="1" applyAlignment="1">
      <alignment horizontal="left" vertical="center"/>
    </xf>
    <xf numFmtId="0" fontId="6" fillId="3" borderId="82" xfId="0" applyFont="1" applyFill="1" applyBorder="1" applyAlignment="1">
      <alignment horizontal="left" vertical="center"/>
    </xf>
    <xf numFmtId="0" fontId="6" fillId="4" borderId="40" xfId="0" applyFont="1" applyFill="1" applyBorder="1" applyAlignment="1">
      <alignment horizontal="left" vertical="center" wrapText="1"/>
    </xf>
    <xf numFmtId="49" fontId="6" fillId="16" borderId="52" xfId="0" applyNumberFormat="1" applyFont="1" applyFill="1" applyBorder="1" applyAlignment="1">
      <alignment horizontal="left" vertical="center"/>
    </xf>
    <xf numFmtId="2" fontId="7" fillId="0" borderId="16" xfId="0" applyNumberFormat="1" applyFont="1" applyBorder="1" applyAlignment="1">
      <alignment horizontal="center" vertical="center"/>
    </xf>
    <xf numFmtId="2" fontId="7" fillId="0" borderId="24" xfId="0" applyNumberFormat="1" applyFont="1" applyBorder="1" applyAlignment="1">
      <alignment horizontal="center" vertical="center"/>
    </xf>
    <xf numFmtId="2" fontId="7" fillId="0" borderId="25" xfId="0" applyNumberFormat="1" applyFont="1" applyBorder="1" applyAlignment="1">
      <alignment horizontal="center" vertical="center"/>
    </xf>
    <xf numFmtId="2" fontId="7" fillId="0" borderId="27"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2" fontId="7" fillId="0" borderId="49" xfId="0" applyNumberFormat="1" applyFont="1" applyBorder="1" applyAlignment="1">
      <alignment horizontal="center" vertical="center"/>
    </xf>
    <xf numFmtId="0" fontId="35" fillId="0" borderId="16" xfId="0" applyFont="1" applyBorder="1" applyAlignment="1">
      <alignment vertical="center"/>
    </xf>
    <xf numFmtId="2" fontId="7" fillId="0" borderId="71" xfId="0" applyNumberFormat="1" applyFont="1" applyBorder="1" applyAlignment="1">
      <alignment horizontal="center" vertical="center"/>
    </xf>
    <xf numFmtId="1" fontId="0" fillId="0" borderId="2" xfId="0" applyNumberFormat="1" applyBorder="1"/>
    <xf numFmtId="0" fontId="7" fillId="0" borderId="35" xfId="0" applyFont="1" applyBorder="1"/>
    <xf numFmtId="0" fontId="7" fillId="0" borderId="37" xfId="0" applyFont="1" applyBorder="1"/>
    <xf numFmtId="0" fontId="7" fillId="0" borderId="38" xfId="0" applyFont="1" applyBorder="1"/>
    <xf numFmtId="0" fontId="7" fillId="0" borderId="0" xfId="0" applyFont="1"/>
    <xf numFmtId="0" fontId="7" fillId="0" borderId="19" xfId="0" applyFont="1" applyBorder="1"/>
    <xf numFmtId="2" fontId="7" fillId="0" borderId="17" xfId="0" applyNumberFormat="1" applyFont="1" applyBorder="1" applyAlignment="1">
      <alignment horizontal="center" vertical="center"/>
    </xf>
    <xf numFmtId="2" fontId="7" fillId="0" borderId="47" xfId="0" applyNumberFormat="1" applyFont="1" applyBorder="1" applyAlignment="1">
      <alignment horizontal="center" vertical="center"/>
    </xf>
    <xf numFmtId="0" fontId="0" fillId="17" borderId="66" xfId="0" applyFill="1" applyBorder="1"/>
    <xf numFmtId="0" fontId="0" fillId="0" borderId="19" xfId="0" applyBorder="1" applyAlignment="1">
      <alignment horizontal="left"/>
    </xf>
    <xf numFmtId="0" fontId="0" fillId="0" borderId="66" xfId="0" applyBorder="1" applyAlignment="1">
      <alignment horizontal="left"/>
    </xf>
    <xf numFmtId="0" fontId="7" fillId="17" borderId="51" xfId="0" applyFont="1" applyFill="1" applyBorder="1" applyAlignment="1">
      <alignment vertical="center"/>
    </xf>
    <xf numFmtId="0" fontId="35" fillId="0" borderId="70" xfId="0" applyFont="1" applyBorder="1" applyAlignment="1">
      <alignment vertical="center"/>
    </xf>
    <xf numFmtId="2" fontId="6" fillId="4" borderId="19" xfId="0" applyNumberFormat="1" applyFont="1" applyFill="1" applyBorder="1" applyAlignment="1">
      <alignment horizontal="center" vertical="center"/>
    </xf>
    <xf numFmtId="2" fontId="7" fillId="0" borderId="50" xfId="0" applyNumberFormat="1" applyFont="1" applyBorder="1" applyAlignment="1">
      <alignment horizontal="center" vertical="center"/>
    </xf>
    <xf numFmtId="2" fontId="7" fillId="0" borderId="51" xfId="0" applyNumberFormat="1" applyFont="1" applyBorder="1" applyAlignment="1">
      <alignment horizontal="center" vertical="center"/>
    </xf>
    <xf numFmtId="0" fontId="6" fillId="38" borderId="35" xfId="0" applyFont="1" applyFill="1" applyBorder="1" applyAlignment="1">
      <alignment horizontal="left" vertical="center"/>
    </xf>
    <xf numFmtId="169" fontId="7" fillId="0" borderId="38" xfId="0" applyNumberFormat="1" applyFont="1" applyBorder="1" applyAlignment="1">
      <alignment horizontal="left" vertical="center"/>
    </xf>
    <xf numFmtId="169" fontId="0" fillId="0" borderId="35" xfId="0" applyNumberFormat="1" applyBorder="1"/>
    <xf numFmtId="169" fontId="0" fillId="0" borderId="36" xfId="0" applyNumberFormat="1" applyBorder="1"/>
    <xf numFmtId="169" fontId="0" fillId="0" borderId="57" xfId="0" applyNumberFormat="1" applyBorder="1"/>
    <xf numFmtId="1" fontId="0" fillId="0" borderId="20" xfId="0" applyNumberFormat="1" applyBorder="1"/>
    <xf numFmtId="1" fontId="0" fillId="0" borderId="7" xfId="0" applyNumberFormat="1" applyBorder="1"/>
    <xf numFmtId="2" fontId="6" fillId="4" borderId="18" xfId="0" applyNumberFormat="1" applyFont="1" applyFill="1" applyBorder="1" applyAlignment="1">
      <alignment horizontal="center" vertical="center"/>
    </xf>
    <xf numFmtId="0" fontId="35" fillId="0" borderId="71" xfId="0" applyFont="1" applyBorder="1" applyAlignment="1">
      <alignment vertical="center"/>
    </xf>
    <xf numFmtId="0" fontId="43" fillId="39" borderId="0" xfId="0" applyFont="1" applyFill="1" applyAlignment="1">
      <alignment horizontal="left" vertical="center"/>
    </xf>
    <xf numFmtId="0" fontId="27" fillId="40" borderId="9" xfId="0" applyFont="1" applyFill="1" applyBorder="1" applyAlignment="1">
      <alignment horizontal="left" vertical="top"/>
    </xf>
    <xf numFmtId="0" fontId="27" fillId="0" borderId="0" xfId="0" applyFont="1"/>
    <xf numFmtId="0" fontId="44" fillId="39" borderId="9" xfId="0" applyFont="1" applyFill="1" applyBorder="1" applyAlignment="1">
      <alignment horizontal="center" vertical="center"/>
    </xf>
    <xf numFmtId="0" fontId="32" fillId="20" borderId="7" xfId="0" applyFont="1" applyFill="1" applyBorder="1" applyAlignment="1">
      <alignment horizontal="left" vertical="center"/>
    </xf>
    <xf numFmtId="0" fontId="32" fillId="20" borderId="13" xfId="0" applyFont="1" applyFill="1" applyBorder="1" applyAlignment="1">
      <alignment horizontal="left" vertical="center"/>
    </xf>
    <xf numFmtId="0" fontId="7" fillId="5" borderId="2" xfId="0" applyFont="1" applyFill="1" applyBorder="1" applyAlignment="1">
      <alignment horizontal="left" vertical="center"/>
    </xf>
    <xf numFmtId="0" fontId="7" fillId="5" borderId="10" xfId="0" applyFont="1" applyFill="1" applyBorder="1" applyAlignment="1">
      <alignment horizontal="left" vertical="center"/>
    </xf>
    <xf numFmtId="0" fontId="7" fillId="42" borderId="9" xfId="0" applyFont="1" applyFill="1" applyBorder="1" applyAlignment="1">
      <alignment horizontal="left" vertical="center"/>
    </xf>
    <xf numFmtId="170" fontId="0" fillId="0" borderId="0" xfId="0" applyNumberFormat="1"/>
    <xf numFmtId="9" fontId="23" fillId="9" borderId="12" xfId="40" applyNumberFormat="1"/>
    <xf numFmtId="11" fontId="23" fillId="9" borderId="12" xfId="40" applyNumberFormat="1"/>
    <xf numFmtId="0" fontId="45" fillId="20" borderId="0" xfId="0" applyFont="1" applyFill="1"/>
    <xf numFmtId="0" fontId="0" fillId="20" borderId="0" xfId="0" applyFill="1" applyAlignment="1">
      <alignment vertical="center"/>
    </xf>
    <xf numFmtId="11" fontId="0" fillId="44" borderId="9" xfId="0" applyNumberFormat="1" applyFill="1" applyBorder="1"/>
    <xf numFmtId="0" fontId="15" fillId="41" borderId="0" xfId="50"/>
    <xf numFmtId="0" fontId="17" fillId="41" borderId="0" xfId="50" applyFont="1"/>
    <xf numFmtId="0" fontId="0" fillId="27" borderId="9" xfId="0" applyFill="1" applyBorder="1"/>
    <xf numFmtId="0" fontId="0" fillId="26" borderId="9" xfId="0" applyFill="1" applyBorder="1"/>
    <xf numFmtId="9" fontId="5" fillId="27" borderId="9" xfId="0" applyNumberFormat="1" applyFont="1" applyFill="1" applyBorder="1"/>
    <xf numFmtId="0" fontId="0" fillId="24" borderId="9" xfId="0" applyFill="1" applyBorder="1"/>
    <xf numFmtId="10" fontId="0" fillId="24" borderId="9" xfId="47" applyNumberFormat="1" applyFont="1" applyFill="1" applyBorder="1"/>
    <xf numFmtId="170" fontId="0" fillId="24" borderId="9" xfId="47" applyNumberFormat="1" applyFont="1" applyFill="1" applyBorder="1"/>
    <xf numFmtId="10" fontId="0" fillId="24" borderId="9" xfId="0" applyNumberFormat="1" applyFill="1" applyBorder="1"/>
    <xf numFmtId="0" fontId="6" fillId="43" borderId="9" xfId="0" applyFont="1" applyFill="1" applyBorder="1"/>
    <xf numFmtId="0" fontId="0" fillId="26" borderId="9" xfId="0" applyFill="1" applyBorder="1" applyAlignment="1">
      <alignment horizontal="right"/>
    </xf>
    <xf numFmtId="0" fontId="5" fillId="27" borderId="9" xfId="0" applyFont="1" applyFill="1" applyBorder="1" applyAlignment="1">
      <alignment horizontal="right"/>
    </xf>
    <xf numFmtId="11" fontId="0" fillId="24" borderId="9" xfId="0" applyNumberFormat="1" applyFill="1" applyBorder="1"/>
    <xf numFmtId="1" fontId="0" fillId="24" borderId="9" xfId="0" applyNumberFormat="1" applyFill="1" applyBorder="1"/>
    <xf numFmtId="9" fontId="0" fillId="0" borderId="9" xfId="47" applyFont="1" applyBorder="1"/>
    <xf numFmtId="9" fontId="0" fillId="0" borderId="9" xfId="0" applyNumberFormat="1" applyBorder="1"/>
    <xf numFmtId="11" fontId="0" fillId="0" borderId="9" xfId="0" applyNumberFormat="1" applyBorder="1"/>
    <xf numFmtId="11" fontId="5" fillId="0" borderId="0" xfId="0" applyNumberFormat="1" applyFont="1"/>
    <xf numFmtId="0" fontId="0" fillId="0" borderId="59" xfId="0" applyBorder="1" applyAlignment="1">
      <alignment horizontal="left" vertical="center"/>
    </xf>
    <xf numFmtId="11" fontId="7" fillId="0" borderId="38" xfId="0" applyNumberFormat="1" applyFont="1" applyBorder="1" applyAlignment="1">
      <alignment horizontal="left" vertical="center"/>
    </xf>
    <xf numFmtId="11" fontId="7" fillId="0" borderId="49" xfId="0" applyNumberFormat="1" applyFont="1" applyBorder="1" applyAlignment="1">
      <alignment horizontal="left" vertical="center"/>
    </xf>
    <xf numFmtId="2" fontId="6" fillId="0" borderId="17" xfId="0" applyNumberFormat="1" applyFont="1" applyBorder="1" applyAlignment="1">
      <alignment horizontal="center" vertical="center"/>
    </xf>
    <xf numFmtId="0" fontId="7" fillId="17" borderId="19" xfId="0" applyFont="1" applyFill="1" applyBorder="1" applyAlignment="1">
      <alignment vertical="center"/>
    </xf>
    <xf numFmtId="0" fontId="7" fillId="17" borderId="50" xfId="0" applyFont="1" applyFill="1" applyBorder="1" applyAlignment="1">
      <alignment horizontal="left" vertical="center"/>
    </xf>
    <xf numFmtId="0" fontId="7" fillId="0" borderId="50" xfId="0" applyFont="1" applyBorder="1"/>
    <xf numFmtId="2" fontId="7" fillId="0" borderId="35" xfId="0" applyNumberFormat="1" applyFont="1" applyBorder="1" applyAlignment="1">
      <alignment horizontal="center" vertical="center"/>
    </xf>
    <xf numFmtId="2" fontId="7" fillId="0" borderId="32" xfId="0" applyNumberFormat="1" applyFont="1" applyBorder="1" applyAlignment="1">
      <alignment horizontal="center" vertical="center"/>
    </xf>
    <xf numFmtId="0" fontId="5" fillId="27" borderId="31" xfId="0" applyFont="1" applyFill="1" applyBorder="1" applyAlignment="1">
      <alignment horizontal="left" vertical="center"/>
    </xf>
    <xf numFmtId="0" fontId="5" fillId="27" borderId="16" xfId="0" applyFont="1" applyFill="1" applyBorder="1" applyAlignment="1">
      <alignment horizontal="left" vertical="center"/>
    </xf>
    <xf numFmtId="0" fontId="7" fillId="0" borderId="21" xfId="0" applyFont="1" applyBorder="1"/>
    <xf numFmtId="0" fontId="0" fillId="0" borderId="27" xfId="0" applyBorder="1"/>
    <xf numFmtId="0" fontId="0" fillId="0" borderId="30" xfId="0" applyBorder="1"/>
    <xf numFmtId="0" fontId="0" fillId="0" borderId="68" xfId="0" applyBorder="1"/>
    <xf numFmtId="0" fontId="7" fillId="0" borderId="5" xfId="0" applyFont="1" applyBorder="1" applyAlignment="1">
      <alignment horizontal="left" vertical="center"/>
    </xf>
    <xf numFmtId="2" fontId="7" fillId="0" borderId="40" xfId="0" applyNumberFormat="1" applyFont="1" applyBorder="1" applyAlignment="1">
      <alignment horizontal="center" vertical="center"/>
    </xf>
    <xf numFmtId="0" fontId="5" fillId="27" borderId="31" xfId="0" applyFont="1" applyFill="1" applyBorder="1"/>
    <xf numFmtId="0" fontId="46" fillId="8" borderId="9" xfId="51" applyBorder="1"/>
    <xf numFmtId="0" fontId="0" fillId="0" borderId="0" xfId="47" applyNumberFormat="1" applyFont="1"/>
    <xf numFmtId="0" fontId="14" fillId="36" borderId="0" xfId="48" applyNumberFormat="1"/>
    <xf numFmtId="0" fontId="27" fillId="40" borderId="0" xfId="0" applyFont="1" applyFill="1" applyAlignment="1">
      <alignment horizontal="left" vertical="top"/>
    </xf>
    <xf numFmtId="0" fontId="5" fillId="27" borderId="65" xfId="0" applyFont="1" applyFill="1" applyBorder="1" applyAlignment="1">
      <alignment vertical="center"/>
    </xf>
    <xf numFmtId="0" fontId="6" fillId="27" borderId="31" xfId="0" applyFont="1" applyFill="1" applyBorder="1" applyAlignment="1">
      <alignment horizontal="left" vertical="center"/>
    </xf>
    <xf numFmtId="0" fontId="0" fillId="0" borderId="20" xfId="0" applyBorder="1" applyAlignment="1">
      <alignment horizontal="left" vertical="center"/>
    </xf>
    <xf numFmtId="0" fontId="0" fillId="0" borderId="7" xfId="0" applyBorder="1" applyAlignment="1">
      <alignment horizontal="left" vertical="center"/>
    </xf>
    <xf numFmtId="0" fontId="0" fillId="0" borderId="48" xfId="0" applyBorder="1" applyAlignment="1">
      <alignment horizontal="left" vertical="center"/>
    </xf>
    <xf numFmtId="2" fontId="0" fillId="0" borderId="35" xfId="0" applyNumberFormat="1" applyBorder="1"/>
    <xf numFmtId="2" fontId="0" fillId="0" borderId="36" xfId="0" applyNumberFormat="1" applyBorder="1"/>
    <xf numFmtId="2" fontId="0" fillId="0" borderId="37" xfId="0" applyNumberFormat="1" applyBorder="1"/>
    <xf numFmtId="0" fontId="0" fillId="0" borderId="35" xfId="0" applyBorder="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20" xfId="0" applyBorder="1" applyAlignment="1">
      <alignment vertical="center"/>
    </xf>
    <xf numFmtId="0" fontId="0" fillId="0" borderId="7" xfId="0" applyBorder="1" applyAlignment="1">
      <alignment vertical="center"/>
    </xf>
    <xf numFmtId="0" fontId="19" fillId="0" borderId="7" xfId="37" applyBorder="1" applyAlignment="1">
      <alignment vertical="center"/>
    </xf>
    <xf numFmtId="0" fontId="47" fillId="0" borderId="65" xfId="0" applyFont="1" applyBorder="1" applyAlignment="1">
      <alignment vertical="center"/>
    </xf>
    <xf numFmtId="0" fontId="48" fillId="0" borderId="67" xfId="0" applyFont="1" applyBorder="1" applyAlignment="1">
      <alignment horizontal="left" vertical="center"/>
    </xf>
    <xf numFmtId="0" fontId="37" fillId="0" borderId="73" xfId="0" applyFont="1" applyBorder="1" applyAlignment="1">
      <alignment horizontal="left" vertical="center"/>
    </xf>
    <xf numFmtId="0" fontId="0" fillId="5" borderId="0" xfId="0" applyFill="1"/>
    <xf numFmtId="0" fontId="0" fillId="0" borderId="1" xfId="0" applyBorder="1"/>
    <xf numFmtId="0" fontId="7" fillId="5" borderId="66" xfId="0" applyFont="1" applyFill="1" applyBorder="1" applyAlignment="1">
      <alignment vertical="center"/>
    </xf>
    <xf numFmtId="0" fontId="7" fillId="5" borderId="0" xfId="0" applyFont="1" applyFill="1" applyAlignment="1">
      <alignment vertical="center"/>
    </xf>
    <xf numFmtId="0" fontId="7" fillId="5" borderId="67" xfId="0" applyFont="1" applyFill="1" applyBorder="1" applyAlignment="1">
      <alignment vertical="center"/>
    </xf>
    <xf numFmtId="2" fontId="7" fillId="5" borderId="66" xfId="0" applyNumberFormat="1" applyFont="1" applyFill="1" applyBorder="1" applyAlignment="1">
      <alignment vertical="center"/>
    </xf>
    <xf numFmtId="2" fontId="7" fillId="5" borderId="67" xfId="0" applyNumberFormat="1" applyFont="1" applyFill="1" applyBorder="1" applyAlignment="1">
      <alignment vertical="center"/>
    </xf>
    <xf numFmtId="0" fontId="8" fillId="0" borderId="0" xfId="0" applyFont="1" applyAlignment="1">
      <alignment vertical="center"/>
    </xf>
    <xf numFmtId="165" fontId="49" fillId="0" borderId="0" xfId="0" applyNumberFormat="1" applyFont="1"/>
    <xf numFmtId="0" fontId="7" fillId="0" borderId="66" xfId="0" applyFont="1" applyBorder="1" applyAlignment="1">
      <alignment vertical="center"/>
    </xf>
    <xf numFmtId="0" fontId="7" fillId="0" borderId="67" xfId="0" applyFont="1" applyBorder="1" applyAlignment="1">
      <alignment vertical="center"/>
    </xf>
    <xf numFmtId="165" fontId="0" fillId="0" borderId="0" xfId="0" applyNumberFormat="1"/>
    <xf numFmtId="2" fontId="7" fillId="0" borderId="66" xfId="0" applyNumberFormat="1" applyFont="1" applyBorder="1" applyAlignment="1">
      <alignment vertical="center"/>
    </xf>
    <xf numFmtId="2" fontId="7" fillId="0" borderId="67" xfId="0" applyNumberFormat="1" applyFont="1" applyBorder="1" applyAlignment="1">
      <alignment vertical="center"/>
    </xf>
    <xf numFmtId="0" fontId="50" fillId="0" borderId="73" xfId="0" applyFont="1" applyBorder="1" applyAlignment="1">
      <alignment horizontal="left" vertical="center"/>
    </xf>
    <xf numFmtId="0" fontId="8" fillId="0" borderId="0" xfId="0" applyFont="1"/>
    <xf numFmtId="0" fontId="47" fillId="0" borderId="0" xfId="0" applyFont="1" applyAlignment="1">
      <alignment vertical="center"/>
    </xf>
    <xf numFmtId="0" fontId="51" fillId="0" borderId="73" xfId="0" applyFont="1" applyBorder="1" applyAlignment="1">
      <alignment horizontal="left" vertical="center"/>
    </xf>
    <xf numFmtId="0" fontId="52" fillId="0" borderId="73" xfId="0" applyFont="1" applyBorder="1" applyAlignment="1">
      <alignment horizontal="left" vertical="center"/>
    </xf>
    <xf numFmtId="0" fontId="47" fillId="0" borderId="43" xfId="0" applyFont="1" applyBorder="1" applyAlignment="1">
      <alignment horizontal="left" vertical="center"/>
    </xf>
    <xf numFmtId="0" fontId="47" fillId="0" borderId="63" xfId="0" applyFont="1" applyBorder="1" applyAlignment="1">
      <alignment vertical="center"/>
    </xf>
    <xf numFmtId="0" fontId="48" fillId="0" borderId="4" xfId="0" applyFont="1" applyBorder="1" applyAlignment="1">
      <alignment horizontal="left" vertical="center"/>
    </xf>
    <xf numFmtId="0" fontId="8" fillId="0" borderId="3" xfId="0" applyFont="1" applyBorder="1" applyAlignment="1">
      <alignment vertical="center"/>
    </xf>
    <xf numFmtId="0" fontId="0" fillId="0" borderId="3" xfId="0" applyBorder="1" applyAlignment="1">
      <alignment vertical="center"/>
    </xf>
    <xf numFmtId="11" fontId="0" fillId="0" borderId="0" xfId="0" applyNumberFormat="1" applyAlignment="1">
      <alignment horizontal="left" vertical="center"/>
    </xf>
    <xf numFmtId="169" fontId="0" fillId="24" borderId="7" xfId="0" applyNumberFormat="1" applyFill="1" applyBorder="1" applyAlignment="1">
      <alignment horizontal="left" vertical="center"/>
    </xf>
    <xf numFmtId="0" fontId="43" fillId="39" borderId="9" xfId="0" applyFont="1" applyFill="1" applyBorder="1" applyAlignment="1">
      <alignment horizontal="center" vertical="center" wrapText="1"/>
    </xf>
    <xf numFmtId="0" fontId="55" fillId="45" borderId="55" xfId="0" applyFont="1" applyFill="1" applyBorder="1" applyAlignment="1">
      <alignment horizontal="center" vertical="center"/>
    </xf>
    <xf numFmtId="0" fontId="55" fillId="45" borderId="54" xfId="0" applyFont="1" applyFill="1" applyBorder="1" applyAlignment="1">
      <alignment horizontal="center" vertical="center"/>
    </xf>
    <xf numFmtId="0" fontId="55" fillId="45" borderId="45" xfId="0" applyFont="1" applyFill="1" applyBorder="1" applyAlignment="1">
      <alignment horizontal="center" vertical="center"/>
    </xf>
    <xf numFmtId="0" fontId="55" fillId="45" borderId="46" xfId="0" applyFont="1" applyFill="1" applyBorder="1" applyAlignment="1">
      <alignment horizontal="center" vertical="center"/>
    </xf>
    <xf numFmtId="0" fontId="55" fillId="46" borderId="45" xfId="0" applyFont="1" applyFill="1" applyBorder="1" applyAlignment="1">
      <alignment horizontal="center" vertical="center"/>
    </xf>
    <xf numFmtId="0" fontId="55" fillId="46" borderId="46" xfId="0" applyFont="1" applyFill="1" applyBorder="1" applyAlignment="1">
      <alignment horizontal="center" vertical="center"/>
    </xf>
    <xf numFmtId="0" fontId="55" fillId="46" borderId="55" xfId="0" applyFont="1" applyFill="1" applyBorder="1" applyAlignment="1">
      <alignment horizontal="center" vertical="center"/>
    </xf>
    <xf numFmtId="0" fontId="55" fillId="46" borderId="54" xfId="0" applyFont="1" applyFill="1" applyBorder="1" applyAlignment="1">
      <alignment horizontal="center" vertical="center"/>
    </xf>
    <xf numFmtId="0" fontId="0" fillId="17" borderId="63" xfId="46" applyFont="1" applyFill="1" applyBorder="1"/>
    <xf numFmtId="0" fontId="0" fillId="17" borderId="59" xfId="46" applyFont="1" applyFill="1" applyBorder="1" applyAlignment="1">
      <alignment vertical="center"/>
    </xf>
    <xf numFmtId="0" fontId="0" fillId="17" borderId="59" xfId="46" applyFont="1" applyFill="1" applyBorder="1"/>
    <xf numFmtId="0" fontId="7" fillId="0" borderId="7" xfId="52" applyFont="1" applyBorder="1"/>
    <xf numFmtId="0" fontId="0" fillId="0" borderId="51" xfId="0" applyBorder="1" applyAlignment="1">
      <alignment horizontal="left" vertical="center"/>
    </xf>
    <xf numFmtId="0" fontId="0" fillId="0" borderId="21" xfId="0" applyBorder="1" applyAlignment="1">
      <alignment horizontal="left" vertical="center"/>
    </xf>
    <xf numFmtId="11" fontId="7" fillId="0" borderId="48" xfId="0" applyNumberFormat="1" applyFont="1" applyBorder="1" applyAlignment="1">
      <alignment horizontal="left" vertical="center"/>
    </xf>
    <xf numFmtId="11" fontId="7" fillId="0" borderId="3" xfId="0" applyNumberFormat="1" applyFont="1" applyBorder="1" applyAlignment="1">
      <alignment horizontal="left" vertical="center"/>
    </xf>
    <xf numFmtId="11" fontId="7" fillId="0" borderId="2" xfId="0" applyNumberFormat="1" applyFont="1" applyBorder="1" applyAlignment="1">
      <alignment horizontal="left" vertical="center"/>
    </xf>
    <xf numFmtId="2" fontId="7" fillId="0" borderId="36" xfId="0" applyNumberFormat="1" applyFont="1" applyBorder="1" applyAlignment="1">
      <alignment horizontal="center" vertical="center"/>
    </xf>
    <xf numFmtId="2" fontId="7" fillId="0" borderId="37" xfId="0" applyNumberFormat="1" applyFont="1" applyBorder="1" applyAlignment="1">
      <alignment horizontal="center" vertical="center"/>
    </xf>
    <xf numFmtId="2" fontId="7" fillId="0" borderId="35" xfId="0" applyNumberFormat="1" applyFont="1" applyBorder="1" applyAlignment="1">
      <alignment vertical="center"/>
    </xf>
    <xf numFmtId="2" fontId="7" fillId="0" borderId="20" xfId="0" applyNumberFormat="1" applyFont="1" applyBorder="1" applyAlignment="1">
      <alignment vertical="center"/>
    </xf>
    <xf numFmtId="2" fontId="7" fillId="0" borderId="36" xfId="0" applyNumberFormat="1" applyFont="1" applyBorder="1" applyAlignment="1">
      <alignment vertical="center"/>
    </xf>
    <xf numFmtId="2" fontId="7" fillId="0" borderId="7" xfId="0" applyNumberFormat="1" applyFont="1" applyBorder="1" applyAlignment="1">
      <alignment vertical="center"/>
    </xf>
    <xf numFmtId="2" fontId="7" fillId="0" borderId="57" xfId="0" applyNumberFormat="1" applyFont="1" applyBorder="1" applyAlignment="1">
      <alignment vertical="center"/>
    </xf>
    <xf numFmtId="2" fontId="7" fillId="0" borderId="2" xfId="0" applyNumberFormat="1" applyFont="1" applyBorder="1" applyAlignment="1">
      <alignment vertical="center"/>
    </xf>
    <xf numFmtId="2" fontId="7" fillId="0" borderId="3" xfId="0" applyNumberFormat="1" applyFont="1" applyBorder="1" applyAlignment="1">
      <alignment horizontal="left" vertical="center"/>
    </xf>
    <xf numFmtId="2" fontId="7" fillId="0" borderId="32" xfId="0" applyNumberFormat="1" applyFont="1" applyBorder="1" applyAlignment="1">
      <alignment horizontal="left" vertical="center"/>
    </xf>
    <xf numFmtId="0" fontId="7" fillId="0" borderId="65" xfId="0" applyFont="1" applyBorder="1" applyAlignment="1">
      <alignment vertical="center"/>
    </xf>
    <xf numFmtId="0" fontId="57" fillId="0" borderId="0" xfId="0" applyFont="1" applyAlignment="1">
      <alignment horizontal="left" vertical="center"/>
    </xf>
    <xf numFmtId="0" fontId="5" fillId="2" borderId="32" xfId="0" applyFont="1" applyFill="1" applyBorder="1" applyAlignment="1">
      <alignment horizontal="left" vertical="center" wrapText="1"/>
    </xf>
    <xf numFmtId="0" fontId="5" fillId="3" borderId="32" xfId="0" applyFont="1" applyFill="1" applyBorder="1" applyAlignment="1">
      <alignment horizontal="left" vertical="center"/>
    </xf>
    <xf numFmtId="0" fontId="15" fillId="0" borderId="36" xfId="0" applyFont="1" applyBorder="1" applyAlignment="1">
      <alignment horizontal="left" vertical="center"/>
    </xf>
    <xf numFmtId="2" fontId="27" fillId="40" borderId="9" xfId="0" applyNumberFormat="1" applyFont="1" applyFill="1" applyBorder="1" applyAlignment="1">
      <alignment horizontal="center" vertical="center"/>
    </xf>
    <xf numFmtId="0" fontId="55" fillId="45" borderId="18" xfId="0" applyFont="1" applyFill="1" applyBorder="1" applyAlignment="1">
      <alignment horizontal="center" vertical="center"/>
    </xf>
    <xf numFmtId="169" fontId="0" fillId="0" borderId="0" xfId="0" applyNumberFormat="1" applyAlignment="1">
      <alignment horizontal="left" vertical="center"/>
    </xf>
    <xf numFmtId="0" fontId="56" fillId="0" borderId="0" xfId="0" applyFont="1"/>
    <xf numFmtId="0" fontId="58" fillId="0" borderId="0" xfId="0" applyFont="1" applyAlignment="1">
      <alignment horizontal="left" vertical="center"/>
    </xf>
    <xf numFmtId="0" fontId="56" fillId="0" borderId="0" xfId="0" applyFont="1" applyAlignment="1">
      <alignment horizontal="left" vertical="center"/>
    </xf>
    <xf numFmtId="0" fontId="55" fillId="49" borderId="16" xfId="0" applyFont="1" applyFill="1" applyBorder="1" applyAlignment="1">
      <alignment horizontal="left" vertical="center"/>
    </xf>
    <xf numFmtId="0" fontId="59" fillId="0" borderId="30" xfId="0" applyFont="1" applyBorder="1" applyAlignment="1">
      <alignment horizontal="left" vertical="center"/>
    </xf>
    <xf numFmtId="0" fontId="60" fillId="50" borderId="25" xfId="37" applyFont="1" applyFill="1" applyBorder="1" applyAlignment="1">
      <alignment horizontal="left" vertical="center"/>
    </xf>
    <xf numFmtId="0" fontId="59" fillId="50" borderId="27" xfId="0" applyFont="1" applyFill="1" applyBorder="1" applyAlignment="1">
      <alignment horizontal="left" vertical="center"/>
    </xf>
    <xf numFmtId="0" fontId="60" fillId="0" borderId="27" xfId="37" applyFont="1" applyBorder="1" applyAlignment="1">
      <alignment horizontal="left" vertical="center"/>
    </xf>
    <xf numFmtId="0" fontId="59" fillId="0" borderId="27" xfId="0" applyFont="1" applyBorder="1" applyAlignment="1">
      <alignment horizontal="left" vertical="center"/>
    </xf>
    <xf numFmtId="0" fontId="60" fillId="50" borderId="27" xfId="37" applyFont="1" applyFill="1" applyBorder="1" applyAlignment="1">
      <alignment horizontal="left" vertical="center"/>
    </xf>
    <xf numFmtId="0" fontId="59" fillId="0" borderId="71" xfId="0" applyFont="1" applyBorder="1" applyAlignment="1">
      <alignment horizontal="left" vertical="center"/>
    </xf>
    <xf numFmtId="0" fontId="59" fillId="50" borderId="25" xfId="0" applyFont="1" applyFill="1" applyBorder="1" applyAlignment="1">
      <alignment horizontal="left" vertical="center"/>
    </xf>
    <xf numFmtId="2" fontId="27" fillId="40" borderId="3" xfId="0" applyNumberFormat="1" applyFont="1" applyFill="1" applyBorder="1" applyAlignment="1">
      <alignment horizontal="center" vertical="center"/>
    </xf>
    <xf numFmtId="2" fontId="27" fillId="40" borderId="7" xfId="0" applyNumberFormat="1" applyFont="1" applyFill="1" applyBorder="1" applyAlignment="1">
      <alignment horizontal="center" vertical="center"/>
    </xf>
    <xf numFmtId="0" fontId="43" fillId="39" borderId="9" xfId="0" applyFont="1" applyFill="1" applyBorder="1" applyAlignment="1">
      <alignment horizontal="left" vertical="center"/>
    </xf>
    <xf numFmtId="0" fontId="43" fillId="39" borderId="64" xfId="0" applyFont="1" applyFill="1" applyBorder="1" applyAlignment="1">
      <alignment horizontal="left" vertical="center"/>
    </xf>
    <xf numFmtId="0" fontId="5" fillId="2" borderId="0" xfId="0" applyFont="1" applyFill="1" applyAlignment="1">
      <alignment horizontal="center" vertical="center"/>
    </xf>
    <xf numFmtId="0" fontId="0" fillId="0" borderId="59" xfId="0" applyBorder="1"/>
    <xf numFmtId="0" fontId="6" fillId="2" borderId="32" xfId="0" applyFont="1" applyFill="1" applyBorder="1" applyAlignment="1">
      <alignment horizontal="left" vertical="center" wrapText="1"/>
    </xf>
    <xf numFmtId="0" fontId="27" fillId="51" borderId="21" xfId="0" applyFont="1" applyFill="1" applyBorder="1" applyAlignment="1">
      <alignment horizontal="left" vertical="center"/>
    </xf>
    <xf numFmtId="0" fontId="27" fillId="51" borderId="33" xfId="0" applyFont="1" applyFill="1" applyBorder="1" applyAlignment="1">
      <alignment horizontal="left" vertical="center"/>
    </xf>
    <xf numFmtId="0" fontId="0" fillId="51" borderId="33" xfId="0" applyFill="1" applyBorder="1" applyAlignment="1">
      <alignment horizontal="left" vertical="center"/>
    </xf>
    <xf numFmtId="0" fontId="0" fillId="51" borderId="34" xfId="0" applyFill="1" applyBorder="1" applyAlignment="1">
      <alignment horizontal="left" vertical="center"/>
    </xf>
    <xf numFmtId="0" fontId="27" fillId="51" borderId="35" xfId="0" applyFont="1" applyFill="1" applyBorder="1" applyAlignment="1">
      <alignment horizontal="left" vertical="center"/>
    </xf>
    <xf numFmtId="0" fontId="27" fillId="51" borderId="36" xfId="0" applyFont="1" applyFill="1" applyBorder="1" applyAlignment="1">
      <alignment horizontal="left" vertical="center"/>
    </xf>
    <xf numFmtId="0" fontId="0" fillId="51" borderId="36" xfId="0" applyFill="1" applyBorder="1" applyAlignment="1">
      <alignment horizontal="left" vertical="center"/>
    </xf>
    <xf numFmtId="0" fontId="0" fillId="51" borderId="37" xfId="0" applyFill="1" applyBorder="1" applyAlignment="1">
      <alignment horizontal="left" vertical="center"/>
    </xf>
    <xf numFmtId="0" fontId="7" fillId="0" borderId="50" xfId="0" applyFont="1" applyBorder="1" applyAlignment="1">
      <alignment horizontal="left"/>
    </xf>
    <xf numFmtId="0" fontId="0" fillId="0" borderId="66" xfId="0" applyBorder="1"/>
    <xf numFmtId="0" fontId="5" fillId="7" borderId="32" xfId="0" applyFont="1" applyFill="1" applyBorder="1" applyAlignment="1">
      <alignment horizontal="left" vertical="center" wrapText="1"/>
    </xf>
    <xf numFmtId="0" fontId="0" fillId="17" borderId="9" xfId="0" applyFill="1" applyBorder="1"/>
    <xf numFmtId="0" fontId="19" fillId="24" borderId="9" xfId="37" applyFill="1" applyBorder="1"/>
    <xf numFmtId="0" fontId="7" fillId="0" borderId="8" xfId="0" applyFont="1" applyBorder="1" applyAlignment="1">
      <alignment horizontal="left" vertical="center"/>
    </xf>
    <xf numFmtId="0" fontId="6" fillId="2" borderId="9" xfId="0" applyFont="1" applyFill="1" applyBorder="1" applyAlignment="1">
      <alignment horizontal="left" vertical="center"/>
    </xf>
    <xf numFmtId="0" fontId="6" fillId="6" borderId="9" xfId="0" applyFont="1" applyFill="1" applyBorder="1" applyAlignment="1">
      <alignment horizontal="left" vertical="center"/>
    </xf>
    <xf numFmtId="0" fontId="6" fillId="3" borderId="9" xfId="0" applyFont="1" applyFill="1" applyBorder="1" applyAlignment="1">
      <alignment horizontal="left" vertical="center"/>
    </xf>
    <xf numFmtId="0" fontId="0" fillId="0" borderId="4" xfId="0" applyBorder="1"/>
    <xf numFmtId="2" fontId="0" fillId="0" borderId="9" xfId="0" applyNumberFormat="1" applyBorder="1" applyAlignment="1">
      <alignment horizontal="left"/>
    </xf>
    <xf numFmtId="0" fontId="7" fillId="0" borderId="9" xfId="0" applyFont="1" applyBorder="1" applyAlignment="1">
      <alignment horizontal="left"/>
    </xf>
    <xf numFmtId="165" fontId="7" fillId="0" borderId="9" xfId="0" applyNumberFormat="1" applyFont="1" applyBorder="1" applyAlignment="1">
      <alignment horizontal="left" vertical="center"/>
    </xf>
    <xf numFmtId="0" fontId="5" fillId="29" borderId="9" xfId="0" applyFont="1" applyFill="1" applyBorder="1" applyAlignment="1">
      <alignment horizontal="left" vertical="center" wrapText="1"/>
    </xf>
    <xf numFmtId="0" fontId="5" fillId="29" borderId="31" xfId="0" applyFont="1" applyFill="1" applyBorder="1" applyAlignment="1">
      <alignment horizontal="left" vertical="center" wrapText="1"/>
    </xf>
    <xf numFmtId="0" fontId="6" fillId="4" borderId="9" xfId="0" applyFont="1" applyFill="1" applyBorder="1" applyAlignment="1">
      <alignment horizontal="left" vertical="center" wrapText="1"/>
    </xf>
    <xf numFmtId="0" fontId="6" fillId="2" borderId="13" xfId="0" applyFont="1" applyFill="1" applyBorder="1" applyAlignment="1">
      <alignment horizontal="left" vertical="center"/>
    </xf>
    <xf numFmtId="0" fontId="64" fillId="0" borderId="0" xfId="0" applyFont="1"/>
    <xf numFmtId="0" fontId="17" fillId="53" borderId="0" xfId="0" applyFont="1" applyFill="1" applyAlignment="1">
      <alignment horizontal="center" vertical="center"/>
    </xf>
    <xf numFmtId="0" fontId="27" fillId="0" borderId="9" xfId="0" applyFont="1" applyBorder="1"/>
    <xf numFmtId="0" fontId="27" fillId="0" borderId="9" xfId="0" applyFont="1" applyBorder="1" applyAlignment="1">
      <alignment horizontal="left"/>
    </xf>
    <xf numFmtId="0" fontId="43" fillId="39" borderId="16" xfId="0" applyFont="1" applyFill="1" applyBorder="1" applyAlignment="1">
      <alignment horizontal="left" vertical="center"/>
    </xf>
    <xf numFmtId="0" fontId="64" fillId="0" borderId="9" xfId="0" applyFont="1" applyBorder="1"/>
    <xf numFmtId="169" fontId="7" fillId="0" borderId="24" xfId="0" applyNumberFormat="1" applyFont="1" applyBorder="1" applyAlignment="1">
      <alignment horizontal="left" vertical="center"/>
    </xf>
    <xf numFmtId="0" fontId="7" fillId="0" borderId="45" xfId="0" applyFont="1" applyBorder="1"/>
    <xf numFmtId="0" fontId="7" fillId="0" borderId="23" xfId="0" applyFont="1" applyBorder="1"/>
    <xf numFmtId="0" fontId="7" fillId="0" borderId="28" xfId="0" applyFont="1" applyBorder="1"/>
    <xf numFmtId="0" fontId="7" fillId="0" borderId="26" xfId="0" applyFont="1" applyBorder="1"/>
    <xf numFmtId="0" fontId="7" fillId="0" borderId="17" xfId="0" applyFont="1" applyBorder="1"/>
    <xf numFmtId="0" fontId="7" fillId="0" borderId="16" xfId="0" applyFont="1" applyBorder="1"/>
    <xf numFmtId="0" fontId="57" fillId="0" borderId="9" xfId="0" applyFont="1" applyBorder="1" applyAlignment="1">
      <alignment horizontal="left" vertical="center"/>
    </xf>
    <xf numFmtId="169" fontId="18" fillId="0" borderId="2" xfId="0" applyNumberFormat="1" applyFont="1" applyBorder="1" applyAlignment="1">
      <alignment horizontal="left" vertical="center"/>
    </xf>
    <xf numFmtId="174" fontId="0" fillId="0" borderId="0" xfId="0" applyNumberFormat="1"/>
    <xf numFmtId="0" fontId="7" fillId="0" borderId="20" xfId="0" applyFont="1" applyBorder="1" applyAlignment="1">
      <alignment horizontal="left"/>
    </xf>
    <xf numFmtId="0" fontId="7" fillId="0" borderId="2" xfId="0" applyFont="1" applyBorder="1" applyAlignment="1">
      <alignment horizontal="left"/>
    </xf>
    <xf numFmtId="0" fontId="0" fillId="0" borderId="0" xfId="0" applyAlignment="1">
      <alignment horizontal="center"/>
    </xf>
    <xf numFmtId="0" fontId="66" fillId="0" borderId="9" xfId="0" applyFont="1" applyBorder="1" applyAlignment="1">
      <alignment horizontal="center" vertical="top"/>
    </xf>
    <xf numFmtId="0" fontId="17" fillId="20" borderId="0" xfId="0" applyFont="1" applyFill="1" applyAlignment="1">
      <alignment horizontal="left"/>
    </xf>
    <xf numFmtId="0" fontId="65" fillId="0" borderId="16" xfId="0" applyFont="1" applyBorder="1" applyAlignment="1">
      <alignment horizontal="center" vertical="top"/>
    </xf>
    <xf numFmtId="0" fontId="0" fillId="0" borderId="13" xfId="0" applyBorder="1"/>
    <xf numFmtId="0" fontId="0" fillId="0" borderId="49" xfId="0" applyBorder="1"/>
    <xf numFmtId="0" fontId="0" fillId="0" borderId="8" xfId="0" applyBorder="1"/>
    <xf numFmtId="0" fontId="0" fillId="0" borderId="44" xfId="0" applyBorder="1"/>
    <xf numFmtId="0" fontId="0" fillId="0" borderId="34" xfId="0" applyBorder="1"/>
    <xf numFmtId="49" fontId="7" fillId="0" borderId="38" xfId="0" applyNumberFormat="1" applyFont="1" applyBorder="1" applyAlignment="1">
      <alignment horizontal="left" vertical="center"/>
    </xf>
    <xf numFmtId="0" fontId="7" fillId="52" borderId="9" xfId="0" applyFont="1" applyFill="1" applyBorder="1" applyAlignment="1">
      <alignment vertical="center"/>
    </xf>
    <xf numFmtId="0" fontId="7" fillId="56" borderId="17" xfId="0" applyFont="1" applyFill="1" applyBorder="1" applyAlignment="1">
      <alignment vertical="center"/>
    </xf>
    <xf numFmtId="0" fontId="7" fillId="56" borderId="9" xfId="0" applyFont="1" applyFill="1" applyBorder="1" applyAlignment="1">
      <alignment vertical="center"/>
    </xf>
    <xf numFmtId="0" fontId="5" fillId="0" borderId="9" xfId="0" applyFont="1" applyBorder="1"/>
    <xf numFmtId="0" fontId="67" fillId="0" borderId="9" xfId="0" applyFont="1" applyBorder="1"/>
    <xf numFmtId="0" fontId="0" fillId="0" borderId="59" xfId="0" applyBorder="1" applyAlignment="1">
      <alignment horizontal="left"/>
    </xf>
    <xf numFmtId="0" fontId="7" fillId="0" borderId="43" xfId="0" applyFont="1" applyBorder="1" applyAlignment="1">
      <alignment horizontal="left" vertical="center"/>
    </xf>
    <xf numFmtId="0" fontId="7" fillId="0" borderId="44" xfId="0" applyFont="1" applyBorder="1" applyAlignment="1">
      <alignment horizontal="left" vertical="center"/>
    </xf>
    <xf numFmtId="49" fontId="7" fillId="0" borderId="4" xfId="0" applyNumberFormat="1" applyFont="1" applyBorder="1" applyAlignment="1">
      <alignment horizontal="left" vertical="center"/>
    </xf>
    <xf numFmtId="11" fontId="7" fillId="0" borderId="19" xfId="0" applyNumberFormat="1" applyFont="1" applyBorder="1" applyAlignment="1">
      <alignment horizontal="left" vertical="center"/>
    </xf>
    <xf numFmtId="11" fontId="36" fillId="30" borderId="50" xfId="46" applyNumberFormat="1" applyBorder="1" applyAlignment="1">
      <alignment horizontal="left" vertical="center"/>
    </xf>
    <xf numFmtId="11" fontId="7" fillId="0" borderId="50" xfId="0" applyNumberFormat="1" applyFont="1" applyBorder="1" applyAlignment="1">
      <alignment horizontal="left" vertical="center"/>
    </xf>
    <xf numFmtId="11" fontId="35" fillId="0" borderId="51" xfId="0" applyNumberFormat="1" applyFont="1" applyBorder="1" applyAlignment="1">
      <alignment horizontal="left" vertical="center"/>
    </xf>
    <xf numFmtId="11" fontId="36" fillId="30" borderId="7" xfId="46" applyNumberFormat="1" applyBorder="1" applyAlignment="1">
      <alignment horizontal="left" vertical="center"/>
    </xf>
    <xf numFmtId="0" fontId="15" fillId="41" borderId="0" xfId="50" applyAlignment="1">
      <alignment horizontal="left" vertical="top"/>
    </xf>
    <xf numFmtId="169" fontId="0" fillId="0" borderId="20" xfId="0" applyNumberFormat="1" applyBorder="1" applyAlignment="1">
      <alignment horizontal="right"/>
    </xf>
    <xf numFmtId="0" fontId="0" fillId="0" borderId="7" xfId="0" applyBorder="1" applyAlignment="1">
      <alignment horizontal="right"/>
    </xf>
    <xf numFmtId="169" fontId="0" fillId="0" borderId="7" xfId="0" applyNumberFormat="1" applyBorder="1" applyAlignment="1">
      <alignment horizontal="right"/>
    </xf>
    <xf numFmtId="169" fontId="0" fillId="0" borderId="2" xfId="0" applyNumberFormat="1" applyBorder="1" applyAlignment="1">
      <alignment horizontal="right"/>
    </xf>
    <xf numFmtId="1" fontId="0" fillId="0" borderId="35" xfId="0" applyNumberFormat="1" applyBorder="1" applyAlignment="1">
      <alignment horizontal="right"/>
    </xf>
    <xf numFmtId="0" fontId="0" fillId="0" borderId="36" xfId="0" applyBorder="1" applyAlignment="1">
      <alignment horizontal="right"/>
    </xf>
    <xf numFmtId="1" fontId="0" fillId="0" borderId="36" xfId="0" applyNumberFormat="1" applyBorder="1" applyAlignment="1">
      <alignment horizontal="right"/>
    </xf>
    <xf numFmtId="1" fontId="0" fillId="0" borderId="37" xfId="0" applyNumberFormat="1" applyBorder="1" applyAlignment="1">
      <alignment horizontal="right"/>
    </xf>
    <xf numFmtId="2" fontId="54" fillId="47" borderId="23" xfId="0" applyNumberFormat="1" applyFont="1" applyFill="1" applyBorder="1" applyAlignment="1">
      <alignment horizontal="center" vertical="center"/>
    </xf>
    <xf numFmtId="2" fontId="54" fillId="47" borderId="24" xfId="0" applyNumberFormat="1" applyFont="1" applyFill="1" applyBorder="1" applyAlignment="1">
      <alignment horizontal="center" vertical="center"/>
    </xf>
    <xf numFmtId="2" fontId="54" fillId="47" borderId="25" xfId="0" applyNumberFormat="1" applyFont="1" applyFill="1" applyBorder="1" applyAlignment="1">
      <alignment horizontal="center" vertical="center"/>
    </xf>
    <xf numFmtId="2" fontId="54" fillId="47" borderId="53" xfId="0" applyNumberFormat="1" applyFont="1" applyFill="1" applyBorder="1" applyAlignment="1">
      <alignment horizontal="center" vertical="center"/>
    </xf>
    <xf numFmtId="2" fontId="54" fillId="47" borderId="35" xfId="0" applyNumberFormat="1" applyFont="1" applyFill="1" applyBorder="1" applyAlignment="1">
      <alignment horizontal="center" vertical="center"/>
    </xf>
    <xf numFmtId="2" fontId="54" fillId="47" borderId="21" xfId="0" applyNumberFormat="1" applyFont="1" applyFill="1" applyBorder="1" applyAlignment="1">
      <alignment horizontal="center" vertical="center"/>
    </xf>
    <xf numFmtId="2" fontId="54" fillId="48" borderId="23" xfId="0" applyNumberFormat="1" applyFont="1" applyFill="1" applyBorder="1" applyAlignment="1">
      <alignment horizontal="center" vertical="center"/>
    </xf>
    <xf numFmtId="2" fontId="54" fillId="48" borderId="25" xfId="0" applyNumberFormat="1" applyFont="1" applyFill="1" applyBorder="1" applyAlignment="1">
      <alignment horizontal="center" vertical="center"/>
    </xf>
    <xf numFmtId="2" fontId="54" fillId="48" borderId="53" xfId="0" applyNumberFormat="1" applyFont="1" applyFill="1" applyBorder="1" applyAlignment="1">
      <alignment horizontal="center" vertical="center"/>
    </xf>
    <xf numFmtId="2" fontId="54" fillId="48" borderId="58" xfId="0" applyNumberFormat="1" applyFont="1" applyFill="1" applyBorder="1" applyAlignment="1">
      <alignment horizontal="center" vertical="center"/>
    </xf>
    <xf numFmtId="2" fontId="54" fillId="47" borderId="26" xfId="0" applyNumberFormat="1" applyFont="1" applyFill="1" applyBorder="1" applyAlignment="1">
      <alignment horizontal="center" vertical="center"/>
    </xf>
    <xf numFmtId="2" fontId="54" fillId="47" borderId="9" xfId="0" applyNumberFormat="1" applyFont="1" applyFill="1" applyBorder="1" applyAlignment="1">
      <alignment horizontal="center" vertical="center"/>
    </xf>
    <xf numFmtId="2" fontId="54" fillId="47" borderId="27" xfId="0" applyNumberFormat="1" applyFont="1" applyFill="1" applyBorder="1" applyAlignment="1">
      <alignment horizontal="center" vertical="center"/>
    </xf>
    <xf numFmtId="2" fontId="54" fillId="47" borderId="13" xfId="0" applyNumberFormat="1" applyFont="1" applyFill="1" applyBorder="1" applyAlignment="1">
      <alignment horizontal="center" vertical="center"/>
    </xf>
    <xf numFmtId="2" fontId="54" fillId="47" borderId="38" xfId="0" applyNumberFormat="1" applyFont="1" applyFill="1" applyBorder="1" applyAlignment="1">
      <alignment horizontal="center" vertical="center"/>
    </xf>
    <xf numFmtId="2" fontId="54" fillId="47" borderId="43" xfId="0" applyNumberFormat="1" applyFont="1" applyFill="1" applyBorder="1" applyAlignment="1">
      <alignment horizontal="center" vertical="center"/>
    </xf>
    <xf numFmtId="2" fontId="54" fillId="47" borderId="4" xfId="0" applyNumberFormat="1" applyFont="1" applyFill="1" applyBorder="1" applyAlignment="1">
      <alignment horizontal="center" vertical="center"/>
    </xf>
    <xf numFmtId="2" fontId="54" fillId="48" borderId="26" xfId="0" applyNumberFormat="1" applyFont="1" applyFill="1" applyBorder="1" applyAlignment="1">
      <alignment horizontal="center" vertical="center"/>
    </xf>
    <xf numFmtId="2" fontId="54" fillId="48" borderId="27" xfId="0" applyNumberFormat="1" applyFont="1" applyFill="1" applyBorder="1" applyAlignment="1">
      <alignment horizontal="center" vertical="center"/>
    </xf>
    <xf numFmtId="2" fontId="54" fillId="48" borderId="13" xfId="0" applyNumberFormat="1" applyFont="1" applyFill="1" applyBorder="1" applyAlignment="1">
      <alignment horizontal="center" vertical="center"/>
    </xf>
    <xf numFmtId="2" fontId="54" fillId="48" borderId="59" xfId="0" applyNumberFormat="1" applyFont="1" applyFill="1" applyBorder="1" applyAlignment="1">
      <alignment horizontal="center" vertical="center"/>
    </xf>
    <xf numFmtId="2" fontId="54" fillId="47" borderId="28" xfId="0" applyNumberFormat="1" applyFont="1" applyFill="1" applyBorder="1" applyAlignment="1">
      <alignment horizontal="center" vertical="center"/>
    </xf>
    <xf numFmtId="2" fontId="54" fillId="47" borderId="29" xfId="0" applyNumberFormat="1" applyFont="1" applyFill="1" applyBorder="1" applyAlignment="1">
      <alignment horizontal="center" vertical="center"/>
    </xf>
    <xf numFmtId="2" fontId="54" fillId="47" borderId="30" xfId="0" applyNumberFormat="1" applyFont="1" applyFill="1" applyBorder="1" applyAlignment="1">
      <alignment horizontal="center" vertical="center"/>
    </xf>
    <xf numFmtId="2" fontId="54" fillId="47" borderId="11" xfId="0" applyNumberFormat="1" applyFont="1" applyFill="1" applyBorder="1" applyAlignment="1">
      <alignment horizontal="center" vertical="center"/>
    </xf>
    <xf numFmtId="2" fontId="54" fillId="47" borderId="41" xfId="0" applyNumberFormat="1" applyFont="1" applyFill="1" applyBorder="1" applyAlignment="1">
      <alignment horizontal="center" vertical="center"/>
    </xf>
    <xf numFmtId="2" fontId="54" fillId="47" borderId="83" xfId="0" applyNumberFormat="1" applyFont="1" applyFill="1" applyBorder="1" applyAlignment="1">
      <alignment horizontal="center" vertical="center"/>
    </xf>
    <xf numFmtId="2" fontId="54" fillId="47" borderId="69" xfId="0" applyNumberFormat="1" applyFont="1" applyFill="1" applyBorder="1" applyAlignment="1">
      <alignment horizontal="center" vertical="center"/>
    </xf>
    <xf numFmtId="2" fontId="54" fillId="48" borderId="28" xfId="0" applyNumberFormat="1" applyFont="1" applyFill="1" applyBorder="1" applyAlignment="1">
      <alignment horizontal="center" vertical="center"/>
    </xf>
    <xf numFmtId="2" fontId="54" fillId="48" borderId="30" xfId="0" applyNumberFormat="1" applyFont="1" applyFill="1" applyBorder="1" applyAlignment="1">
      <alignment horizontal="center" vertical="center"/>
    </xf>
    <xf numFmtId="2" fontId="54" fillId="48" borderId="11" xfId="0" applyNumberFormat="1" applyFont="1" applyFill="1" applyBorder="1" applyAlignment="1">
      <alignment horizontal="center" vertical="center"/>
    </xf>
    <xf numFmtId="2" fontId="54" fillId="48" borderId="60" xfId="0" applyNumberFormat="1" applyFont="1" applyFill="1" applyBorder="1" applyAlignment="1">
      <alignment horizontal="center" vertical="center"/>
    </xf>
    <xf numFmtId="0" fontId="54" fillId="0" borderId="23" xfId="0" applyFont="1" applyBorder="1" applyAlignment="1">
      <alignment horizontal="left" vertical="center"/>
    </xf>
    <xf numFmtId="0" fontId="54" fillId="0" borderId="24" xfId="0" applyFont="1" applyBorder="1" applyAlignment="1">
      <alignment horizontal="left" vertical="center"/>
    </xf>
    <xf numFmtId="0" fontId="54" fillId="0" borderId="25" xfId="0" applyFont="1" applyBorder="1" applyAlignment="1">
      <alignment horizontal="left" vertical="center"/>
    </xf>
    <xf numFmtId="0" fontId="54" fillId="0" borderId="26" xfId="0" applyFont="1" applyBorder="1" applyAlignment="1">
      <alignment horizontal="left" vertical="center"/>
    </xf>
    <xf numFmtId="0" fontId="54" fillId="0" borderId="9" xfId="0" applyFont="1" applyBorder="1" applyAlignment="1">
      <alignment horizontal="left" vertical="center"/>
    </xf>
    <xf numFmtId="0" fontId="54" fillId="0" borderId="9" xfId="0" applyFont="1" applyBorder="1" applyAlignment="1">
      <alignment horizontal="left" vertical="center" wrapText="1"/>
    </xf>
    <xf numFmtId="0" fontId="54" fillId="0" borderId="27" xfId="0" applyFont="1" applyBorder="1" applyAlignment="1">
      <alignment horizontal="left" vertical="center" wrapText="1"/>
    </xf>
    <xf numFmtId="0" fontId="54" fillId="0" borderId="28" xfId="0" applyFont="1" applyBorder="1" applyAlignment="1">
      <alignment horizontal="left" vertical="center"/>
    </xf>
    <xf numFmtId="0" fontId="54" fillId="0" borderId="29" xfId="0" applyFont="1" applyBorder="1" applyAlignment="1">
      <alignment horizontal="left" vertical="center"/>
    </xf>
    <xf numFmtId="0" fontId="54" fillId="0" borderId="29" xfId="0" applyFont="1" applyBorder="1" applyAlignment="1">
      <alignment horizontal="left" vertical="center" wrapText="1"/>
    </xf>
    <xf numFmtId="0" fontId="54" fillId="0" borderId="30" xfId="0" applyFont="1" applyBorder="1" applyAlignment="1">
      <alignment horizontal="left" vertical="center" wrapText="1"/>
    </xf>
    <xf numFmtId="0" fontId="54" fillId="0" borderId="43" xfId="0" applyFont="1" applyBorder="1" applyAlignment="1">
      <alignment horizontal="left" vertical="center"/>
    </xf>
    <xf numFmtId="0" fontId="54" fillId="0" borderId="17" xfId="0" applyFont="1" applyBorder="1" applyAlignment="1">
      <alignment horizontal="left" vertical="center"/>
    </xf>
    <xf numFmtId="0" fontId="54" fillId="0" borderId="44" xfId="0" applyFont="1" applyBorder="1" applyAlignment="1">
      <alignment horizontal="left" vertical="center"/>
    </xf>
    <xf numFmtId="0" fontId="54" fillId="0" borderId="45" xfId="0" applyFont="1" applyBorder="1" applyAlignment="1">
      <alignment horizontal="left" vertical="center"/>
    </xf>
    <xf numFmtId="0" fontId="54" fillId="0" borderId="47" xfId="0" applyFont="1" applyBorder="1" applyAlignment="1">
      <alignment horizontal="left" vertical="center"/>
    </xf>
    <xf numFmtId="0" fontId="54" fillId="0" borderId="46" xfId="0" applyFont="1" applyBorder="1" applyAlignment="1">
      <alignment horizontal="left" vertical="center"/>
    </xf>
    <xf numFmtId="167" fontId="54" fillId="0" borderId="29" xfId="0" applyNumberFormat="1" applyFont="1" applyBorder="1" applyAlignment="1">
      <alignment horizontal="left" vertical="center"/>
    </xf>
    <xf numFmtId="0" fontId="54" fillId="0" borderId="30" xfId="0" applyFont="1" applyBorder="1" applyAlignment="1">
      <alignment horizontal="left" vertical="center"/>
    </xf>
    <xf numFmtId="0" fontId="54" fillId="0" borderId="73" xfId="0" applyFont="1" applyBorder="1" applyAlignment="1">
      <alignment horizontal="left" vertical="center"/>
    </xf>
    <xf numFmtId="0" fontId="54" fillId="0" borderId="31" xfId="0" applyFont="1" applyBorder="1" applyAlignment="1">
      <alignment horizontal="left" vertical="center"/>
    </xf>
    <xf numFmtId="0" fontId="54" fillId="0" borderId="74" xfId="0" applyFont="1" applyBorder="1" applyAlignment="1">
      <alignment horizontal="left" vertical="center"/>
    </xf>
    <xf numFmtId="0" fontId="54" fillId="0" borderId="70" xfId="0" applyFont="1" applyBorder="1" applyAlignment="1">
      <alignment horizontal="left" vertical="center"/>
    </xf>
    <xf numFmtId="0" fontId="54" fillId="0" borderId="16" xfId="0" applyFont="1" applyBorder="1" applyAlignment="1">
      <alignment horizontal="left" vertical="center"/>
    </xf>
    <xf numFmtId="0" fontId="54" fillId="50" borderId="23" xfId="0" applyFont="1" applyFill="1" applyBorder="1" applyAlignment="1">
      <alignment horizontal="left" vertical="center"/>
    </xf>
    <xf numFmtId="0" fontId="54" fillId="50" borderId="24" xfId="0" applyFont="1" applyFill="1" applyBorder="1" applyAlignment="1">
      <alignment horizontal="left" vertical="center"/>
    </xf>
    <xf numFmtId="0" fontId="54" fillId="50" borderId="26" xfId="0" applyFont="1" applyFill="1" applyBorder="1" applyAlignment="1">
      <alignment horizontal="left" vertical="center"/>
    </xf>
    <xf numFmtId="0" fontId="54" fillId="50" borderId="9" xfId="0" applyFont="1" applyFill="1" applyBorder="1" applyAlignment="1">
      <alignment horizontal="left" vertical="center"/>
    </xf>
    <xf numFmtId="0" fontId="54" fillId="50" borderId="27" xfId="0" applyFont="1" applyFill="1" applyBorder="1" applyAlignment="1">
      <alignment horizontal="left" vertical="center"/>
    </xf>
    <xf numFmtId="0" fontId="54" fillId="0" borderId="27" xfId="0" applyFont="1" applyBorder="1" applyAlignment="1">
      <alignment horizontal="left" vertical="center"/>
    </xf>
    <xf numFmtId="0" fontId="54" fillId="50" borderId="24" xfId="0" applyFont="1" applyFill="1" applyBorder="1" applyAlignment="1">
      <alignment horizontal="left" vertical="center" wrapText="1"/>
    </xf>
    <xf numFmtId="0" fontId="54" fillId="50" borderId="9" xfId="0" applyFont="1" applyFill="1" applyBorder="1" applyAlignment="1">
      <alignment horizontal="left" vertical="center" wrapText="1"/>
    </xf>
    <xf numFmtId="0" fontId="6" fillId="2" borderId="16" xfId="0" applyFont="1" applyFill="1" applyBorder="1" applyAlignment="1">
      <alignment horizontal="left" vertical="center"/>
    </xf>
    <xf numFmtId="0" fontId="6" fillId="6" borderId="16" xfId="0" applyFont="1" applyFill="1" applyBorder="1" applyAlignment="1">
      <alignment horizontal="left" vertical="center"/>
    </xf>
    <xf numFmtId="167" fontId="6" fillId="6" borderId="16" xfId="0" applyNumberFormat="1" applyFont="1" applyFill="1" applyBorder="1" applyAlignment="1">
      <alignment horizontal="left" vertical="center"/>
    </xf>
    <xf numFmtId="0" fontId="6" fillId="3" borderId="16" xfId="0" applyFont="1" applyFill="1" applyBorder="1" applyAlignment="1">
      <alignment horizontal="left" vertical="center"/>
    </xf>
    <xf numFmtId="2" fontId="6" fillId="4" borderId="16" xfId="0" applyNumberFormat="1" applyFont="1" applyFill="1" applyBorder="1" applyAlignment="1">
      <alignment horizontal="center" vertical="center"/>
    </xf>
    <xf numFmtId="0" fontId="6" fillId="16" borderId="16" xfId="0" applyFont="1" applyFill="1" applyBorder="1" applyAlignment="1">
      <alignment horizontal="left" vertical="center"/>
    </xf>
    <xf numFmtId="169" fontId="7" fillId="0" borderId="17" xfId="0" applyNumberFormat="1" applyFont="1" applyBorder="1" applyAlignment="1">
      <alignment horizontal="left" vertical="center"/>
    </xf>
    <xf numFmtId="165" fontId="7" fillId="0" borderId="24" xfId="0" applyNumberFormat="1" applyFont="1" applyBorder="1" applyAlignment="1">
      <alignment horizontal="left" vertical="center"/>
    </xf>
    <xf numFmtId="169" fontId="7" fillId="0" borderId="27" xfId="0" applyNumberFormat="1" applyFont="1" applyBorder="1" applyAlignment="1">
      <alignment horizontal="left" vertical="center"/>
    </xf>
    <xf numFmtId="173" fontId="7" fillId="0" borderId="27" xfId="0" applyNumberFormat="1" applyFont="1" applyBorder="1" applyAlignment="1">
      <alignment horizontal="left" vertical="center"/>
    </xf>
    <xf numFmtId="165" fontId="7" fillId="0" borderId="29" xfId="0" applyNumberFormat="1" applyFont="1" applyBorder="1" applyAlignment="1">
      <alignment horizontal="left" vertical="center"/>
    </xf>
    <xf numFmtId="169" fontId="7" fillId="0" borderId="16" xfId="0" applyNumberFormat="1" applyFont="1" applyBorder="1" applyAlignment="1">
      <alignment horizontal="left" vertical="center"/>
    </xf>
    <xf numFmtId="0" fontId="7" fillId="0" borderId="47" xfId="0" applyFont="1" applyBorder="1" applyAlignment="1">
      <alignment horizontal="left" vertical="center"/>
    </xf>
    <xf numFmtId="169" fontId="7" fillId="0" borderId="47" xfId="0" applyNumberFormat="1" applyFont="1" applyBorder="1" applyAlignment="1">
      <alignment horizontal="left" vertical="center"/>
    </xf>
    <xf numFmtId="0" fontId="7" fillId="0" borderId="46" xfId="0" applyFont="1" applyBorder="1" applyAlignment="1">
      <alignment horizontal="left" vertical="center"/>
    </xf>
    <xf numFmtId="169" fontId="7" fillId="0" borderId="29" xfId="0" applyNumberFormat="1" applyFont="1" applyBorder="1" applyAlignment="1">
      <alignment horizontal="left" vertical="center"/>
    </xf>
    <xf numFmtId="0" fontId="7" fillId="0" borderId="31" xfId="0" applyFont="1" applyBorder="1" applyAlignment="1">
      <alignment horizontal="left" vertical="center"/>
    </xf>
    <xf numFmtId="169" fontId="7" fillId="0" borderId="31" xfId="0" applyNumberFormat="1" applyFont="1" applyBorder="1" applyAlignment="1">
      <alignment horizontal="left" vertical="center"/>
    </xf>
    <xf numFmtId="167" fontId="7" fillId="0" borderId="0" xfId="0" applyNumberFormat="1" applyFont="1"/>
    <xf numFmtId="171" fontId="7" fillId="0" borderId="0" xfId="0" applyNumberFormat="1" applyFont="1"/>
    <xf numFmtId="0" fontId="7" fillId="0" borderId="31" xfId="0" applyFont="1" applyBorder="1"/>
    <xf numFmtId="2" fontId="7" fillId="0" borderId="31" xfId="0" applyNumberFormat="1" applyFont="1" applyBorder="1" applyAlignment="1">
      <alignment horizontal="center" vertical="center"/>
    </xf>
    <xf numFmtId="0" fontId="7" fillId="0" borderId="54" xfId="0" applyFont="1" applyBorder="1" applyAlignment="1">
      <alignment horizontal="left" vertical="center"/>
    </xf>
    <xf numFmtId="0" fontId="7" fillId="0" borderId="0" xfId="0" applyFont="1" applyAlignment="1">
      <alignment horizontal="center" vertical="center"/>
    </xf>
    <xf numFmtId="0" fontId="0" fillId="0" borderId="9" xfId="0" applyBorder="1" applyAlignment="1">
      <alignment horizontal="left" vertical="top"/>
    </xf>
    <xf numFmtId="2" fontId="7" fillId="0" borderId="0" xfId="0" applyNumberFormat="1" applyFont="1" applyAlignment="1">
      <alignment horizontal="center" vertical="center"/>
    </xf>
    <xf numFmtId="0" fontId="14" fillId="37" borderId="0" xfId="49" applyBorder="1" applyAlignment="1">
      <alignment horizontal="left" vertical="center"/>
    </xf>
    <xf numFmtId="0" fontId="14" fillId="37" borderId="0" xfId="49" applyBorder="1" applyAlignment="1">
      <alignment vertical="center"/>
    </xf>
    <xf numFmtId="167" fontId="14" fillId="37" borderId="0" xfId="49" applyNumberFormat="1" applyBorder="1" applyAlignment="1">
      <alignment horizontal="left" vertical="center"/>
    </xf>
    <xf numFmtId="0" fontId="5" fillId="37" borderId="0" xfId="49" applyFont="1" applyBorder="1" applyAlignment="1">
      <alignment horizontal="left" vertical="center"/>
    </xf>
    <xf numFmtId="167" fontId="0" fillId="0" borderId="9" xfId="0" applyNumberFormat="1" applyBorder="1" applyAlignment="1">
      <alignment horizontal="left" vertical="top"/>
    </xf>
    <xf numFmtId="167" fontId="7" fillId="0" borderId="9" xfId="0" applyNumberFormat="1" applyFont="1" applyBorder="1" applyAlignment="1">
      <alignment horizontal="left" vertical="center"/>
    </xf>
    <xf numFmtId="169" fontId="7" fillId="0" borderId="56" xfId="0" applyNumberFormat="1" applyFont="1" applyBorder="1" applyAlignment="1">
      <alignment horizontal="left" vertical="center"/>
    </xf>
    <xf numFmtId="0" fontId="7" fillId="0" borderId="56" xfId="0" applyFont="1" applyBorder="1" applyAlignment="1">
      <alignment horizontal="left" vertical="center"/>
    </xf>
    <xf numFmtId="0" fontId="7" fillId="0" borderId="56" xfId="0" applyFont="1" applyBorder="1" applyAlignment="1">
      <alignment vertical="center"/>
    </xf>
    <xf numFmtId="0" fontId="7" fillId="0" borderId="51" xfId="0" applyFont="1" applyBorder="1"/>
    <xf numFmtId="0" fontId="7" fillId="0" borderId="63" xfId="0" applyFont="1" applyBorder="1"/>
    <xf numFmtId="0" fontId="7" fillId="0" borderId="64" xfId="0" applyFont="1" applyBorder="1"/>
    <xf numFmtId="0" fontId="7" fillId="0" borderId="74" xfId="0" applyFont="1" applyBorder="1" applyAlignment="1">
      <alignment horizontal="left" vertical="center"/>
    </xf>
    <xf numFmtId="0" fontId="7" fillId="0" borderId="65" xfId="0" applyFont="1" applyBorder="1"/>
    <xf numFmtId="167" fontId="7" fillId="0" borderId="16" xfId="0" applyNumberFormat="1" applyFont="1" applyBorder="1" applyAlignment="1">
      <alignment horizontal="left" vertical="center"/>
    </xf>
    <xf numFmtId="0" fontId="7" fillId="0" borderId="45" xfId="0" applyFont="1" applyBorder="1" applyAlignment="1">
      <alignment horizontal="left" vertical="center"/>
    </xf>
    <xf numFmtId="0" fontId="7" fillId="0" borderId="59" xfId="0" applyFont="1" applyBorder="1"/>
    <xf numFmtId="0" fontId="7" fillId="0" borderId="84" xfId="0" applyFont="1" applyBorder="1" applyAlignment="1">
      <alignment horizontal="left" vertical="center"/>
    </xf>
    <xf numFmtId="0" fontId="7" fillId="0" borderId="72" xfId="0" applyFont="1" applyBorder="1"/>
    <xf numFmtId="0" fontId="7" fillId="0" borderId="58" xfId="0" applyFont="1" applyBorder="1"/>
    <xf numFmtId="0" fontId="7" fillId="0" borderId="60" xfId="0" applyFont="1" applyBorder="1"/>
    <xf numFmtId="0" fontId="7" fillId="0" borderId="76" xfId="0" applyFont="1" applyBorder="1"/>
    <xf numFmtId="0" fontId="7" fillId="0" borderId="15" xfId="0" applyFont="1" applyBorder="1"/>
    <xf numFmtId="0" fontId="7" fillId="0" borderId="75" xfId="0" applyFont="1" applyBorder="1" applyAlignment="1">
      <alignment horizontal="left" vertical="center"/>
    </xf>
    <xf numFmtId="0" fontId="7" fillId="0" borderId="49" xfId="0" applyFont="1" applyBorder="1"/>
    <xf numFmtId="0" fontId="45" fillId="20" borderId="0" xfId="0" applyFont="1" applyFill="1" applyAlignment="1">
      <alignment horizontal="left"/>
    </xf>
    <xf numFmtId="165" fontId="7" fillId="0" borderId="7" xfId="0" applyNumberFormat="1" applyFont="1" applyBorder="1" applyAlignment="1">
      <alignment horizontal="left" vertical="center" readingOrder="1"/>
    </xf>
    <xf numFmtId="0" fontId="6" fillId="16" borderId="65" xfId="0" applyFont="1" applyFill="1" applyBorder="1" applyAlignment="1">
      <alignment horizontal="center" vertical="center"/>
    </xf>
    <xf numFmtId="173" fontId="7" fillId="0" borderId="35" xfId="0" applyNumberFormat="1" applyFont="1" applyBorder="1" applyAlignment="1">
      <alignment horizontal="left" vertical="center"/>
    </xf>
    <xf numFmtId="173" fontId="7" fillId="0" borderId="36" xfId="0" applyNumberFormat="1" applyFont="1" applyBorder="1" applyAlignment="1">
      <alignment horizontal="left" vertical="center"/>
    </xf>
    <xf numFmtId="173" fontId="7" fillId="0" borderId="9" xfId="0" applyNumberFormat="1" applyFont="1" applyBorder="1" applyAlignment="1">
      <alignment horizontal="left" vertical="center"/>
    </xf>
    <xf numFmtId="173" fontId="7" fillId="0" borderId="38" xfId="0" applyNumberFormat="1" applyFont="1" applyBorder="1" applyAlignment="1">
      <alignment horizontal="left" vertical="center"/>
    </xf>
    <xf numFmtId="173" fontId="7" fillId="0" borderId="37" xfId="0" applyNumberFormat="1" applyFont="1" applyBorder="1" applyAlignment="1">
      <alignment horizontal="left" vertical="center"/>
    </xf>
    <xf numFmtId="0" fontId="6" fillId="4" borderId="52" xfId="0" applyFont="1" applyFill="1" applyBorder="1" applyAlignment="1">
      <alignment horizontal="left" vertical="center" wrapText="1"/>
    </xf>
    <xf numFmtId="173" fontId="7" fillId="0" borderId="57" xfId="0" applyNumberFormat="1" applyFont="1" applyBorder="1" applyAlignment="1">
      <alignment horizontal="left" vertical="center"/>
    </xf>
    <xf numFmtId="49" fontId="7" fillId="0" borderId="57" xfId="0" applyNumberFormat="1" applyFont="1" applyBorder="1" applyAlignment="1">
      <alignment horizontal="left" vertical="center"/>
    </xf>
    <xf numFmtId="49" fontId="7" fillId="0" borderId="35" xfId="0" quotePrefix="1" applyNumberFormat="1" applyFont="1" applyBorder="1" applyAlignment="1">
      <alignment horizontal="left" vertical="center"/>
    </xf>
    <xf numFmtId="49" fontId="7" fillId="0" borderId="37" xfId="0" quotePrefix="1" applyNumberFormat="1" applyFont="1" applyBorder="1" applyAlignment="1">
      <alignment horizontal="left" vertical="center"/>
    </xf>
    <xf numFmtId="0" fontId="7" fillId="0" borderId="57" xfId="0" applyFont="1" applyBorder="1" applyAlignment="1">
      <alignment horizontal="left"/>
    </xf>
    <xf numFmtId="0" fontId="7" fillId="0" borderId="35" xfId="0" applyFont="1" applyBorder="1" applyAlignment="1">
      <alignment horizontal="left"/>
    </xf>
    <xf numFmtId="0" fontId="7" fillId="0" borderId="3" xfId="0" applyFont="1" applyBorder="1" applyAlignment="1">
      <alignment horizontal="left"/>
    </xf>
    <xf numFmtId="0" fontId="7" fillId="0" borderId="38" xfId="0" applyFont="1" applyBorder="1" applyAlignment="1">
      <alignment horizontal="left"/>
    </xf>
    <xf numFmtId="0" fontId="7" fillId="0" borderId="19" xfId="0" applyFont="1" applyBorder="1" applyAlignment="1">
      <alignment horizontal="left"/>
    </xf>
    <xf numFmtId="0" fontId="7" fillId="0" borderId="51" xfId="0" applyFont="1" applyBorder="1" applyAlignment="1">
      <alignment horizontal="left"/>
    </xf>
    <xf numFmtId="0" fontId="7" fillId="0" borderId="0" xfId="0" applyFont="1" applyAlignment="1">
      <alignment horizontal="left"/>
    </xf>
    <xf numFmtId="2" fontId="6" fillId="6" borderId="18" xfId="0" applyNumberFormat="1" applyFont="1" applyFill="1" applyBorder="1" applyAlignment="1">
      <alignment horizontal="left" vertical="center"/>
    </xf>
    <xf numFmtId="2" fontId="7" fillId="0" borderId="24" xfId="0" applyNumberFormat="1" applyFont="1" applyBorder="1" applyAlignment="1">
      <alignment horizontal="left" vertical="center"/>
    </xf>
    <xf numFmtId="0" fontId="7" fillId="0" borderId="26" xfId="0" applyFont="1" applyBorder="1" applyAlignment="1">
      <alignment horizontal="left"/>
    </xf>
    <xf numFmtId="165" fontId="7" fillId="0" borderId="2" xfId="0" applyNumberFormat="1" applyFont="1" applyBorder="1" applyAlignment="1">
      <alignment horizontal="left" vertical="center" readingOrder="1"/>
    </xf>
    <xf numFmtId="2" fontId="7" fillId="0" borderId="71" xfId="0" applyNumberFormat="1" applyFont="1" applyBorder="1" applyAlignment="1">
      <alignment horizontal="left" vertical="center"/>
    </xf>
    <xf numFmtId="165" fontId="7" fillId="0" borderId="3" xfId="0" applyNumberFormat="1" applyFont="1" applyBorder="1" applyAlignment="1">
      <alignment horizontal="left" vertical="center" readingOrder="1"/>
    </xf>
    <xf numFmtId="2" fontId="7" fillId="0" borderId="44" xfId="0" applyNumberFormat="1" applyFont="1" applyBorder="1" applyAlignment="1">
      <alignment horizontal="left" vertical="center"/>
    </xf>
    <xf numFmtId="2" fontId="7" fillId="0" borderId="46" xfId="0" applyNumberFormat="1" applyFont="1" applyBorder="1" applyAlignment="1">
      <alignment horizontal="left" vertical="center"/>
    </xf>
    <xf numFmtId="49" fontId="7" fillId="0" borderId="39" xfId="0" quotePrefix="1" applyNumberFormat="1" applyFont="1" applyBorder="1" applyAlignment="1">
      <alignment horizontal="left" vertical="center"/>
    </xf>
    <xf numFmtId="165" fontId="7" fillId="0" borderId="48" xfId="0" applyNumberFormat="1" applyFont="1" applyBorder="1" applyAlignment="1">
      <alignment horizontal="left" vertical="center" readingOrder="1"/>
    </xf>
    <xf numFmtId="166" fontId="7" fillId="0" borderId="9" xfId="0" applyNumberFormat="1" applyFont="1" applyBorder="1" applyAlignment="1">
      <alignment horizontal="left" vertical="center"/>
    </xf>
    <xf numFmtId="166" fontId="7" fillId="0" borderId="27" xfId="0" applyNumberFormat="1" applyFont="1" applyBorder="1" applyAlignment="1">
      <alignment horizontal="left" vertical="center"/>
    </xf>
    <xf numFmtId="0" fontId="57" fillId="0" borderId="26" xfId="0" applyFont="1" applyBorder="1" applyAlignment="1">
      <alignment horizontal="left" vertical="center"/>
    </xf>
    <xf numFmtId="2" fontId="6" fillId="4" borderId="40" xfId="0" applyNumberFormat="1" applyFont="1" applyFill="1" applyBorder="1" applyAlignment="1">
      <alignment horizontal="left" vertical="center"/>
    </xf>
    <xf numFmtId="0" fontId="35"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left" vertical="center"/>
    </xf>
    <xf numFmtId="9" fontId="0" fillId="0" borderId="0" xfId="0" applyNumberFormat="1" applyAlignment="1">
      <alignment horizontal="left"/>
    </xf>
    <xf numFmtId="10" fontId="0" fillId="0" borderId="0" xfId="0" applyNumberFormat="1" applyAlignment="1">
      <alignment horizontal="left"/>
    </xf>
    <xf numFmtId="0" fontId="7" fillId="17" borderId="26" xfId="0" applyFont="1" applyFill="1" applyBorder="1" applyAlignment="1">
      <alignment horizontal="left" vertical="center"/>
    </xf>
    <xf numFmtId="0" fontId="7" fillId="17" borderId="9" xfId="0" applyFont="1" applyFill="1" applyBorder="1" applyAlignment="1">
      <alignment horizontal="left" vertical="center"/>
    </xf>
    <xf numFmtId="2" fontId="57" fillId="0" borderId="9" xfId="0" applyNumberFormat="1" applyFont="1" applyBorder="1" applyAlignment="1">
      <alignment horizontal="left" vertical="center"/>
    </xf>
    <xf numFmtId="2" fontId="57" fillId="0" borderId="27" xfId="0" applyNumberFormat="1" applyFont="1" applyBorder="1" applyAlignment="1">
      <alignment horizontal="left" vertical="center"/>
    </xf>
    <xf numFmtId="0" fontId="27" fillId="0" borderId="0" xfId="0" applyFont="1" applyAlignment="1">
      <alignment horizontal="left" vertical="center"/>
    </xf>
    <xf numFmtId="0" fontId="0" fillId="0" borderId="18" xfId="0" applyBorder="1" applyAlignment="1">
      <alignment horizontal="left" vertical="center"/>
    </xf>
    <xf numFmtId="0" fontId="0" fillId="0" borderId="27" xfId="0" applyBorder="1" applyAlignment="1">
      <alignment horizontal="left"/>
    </xf>
    <xf numFmtId="0" fontId="0" fillId="0" borderId="26" xfId="0" applyBorder="1" applyAlignment="1">
      <alignment horizontal="left"/>
    </xf>
    <xf numFmtId="167" fontId="7" fillId="0" borderId="0" xfId="0" applyNumberFormat="1" applyFont="1" applyAlignment="1">
      <alignment horizontal="left"/>
    </xf>
    <xf numFmtId="171" fontId="7" fillId="0" borderId="0" xfId="0" applyNumberFormat="1" applyFont="1" applyAlignment="1">
      <alignment horizontal="left"/>
    </xf>
    <xf numFmtId="0" fontId="57" fillId="0" borderId="33" xfId="0" applyFont="1" applyBorder="1" applyAlignment="1">
      <alignment horizontal="left" vertical="center"/>
    </xf>
    <xf numFmtId="166" fontId="7" fillId="0" borderId="33" xfId="0" applyNumberFormat="1" applyFont="1" applyBorder="1" applyAlignment="1">
      <alignment horizontal="left" vertical="center"/>
    </xf>
    <xf numFmtId="168" fontId="7" fillId="0" borderId="33" xfId="0" applyNumberFormat="1" applyFont="1" applyBorder="1" applyAlignment="1">
      <alignment horizontal="left" vertical="center"/>
    </xf>
    <xf numFmtId="0" fontId="0" fillId="0" borderId="33" xfId="0" applyBorder="1" applyAlignment="1">
      <alignment horizontal="left"/>
    </xf>
    <xf numFmtId="0" fontId="0" fillId="0" borderId="33" xfId="0" applyBorder="1" applyAlignment="1">
      <alignment horizontal="left" vertical="top"/>
    </xf>
    <xf numFmtId="169" fontId="7" fillId="0" borderId="33" xfId="0" applyNumberFormat="1" applyFont="1" applyBorder="1" applyAlignment="1">
      <alignment horizontal="left" vertical="center"/>
    </xf>
    <xf numFmtId="173" fontId="7" fillId="0" borderId="33" xfId="0" applyNumberFormat="1" applyFont="1" applyBorder="1" applyAlignment="1">
      <alignment horizontal="left" vertical="center"/>
    </xf>
    <xf numFmtId="166" fontId="7" fillId="0" borderId="20" xfId="0" applyNumberFormat="1" applyFont="1" applyBorder="1" applyAlignment="1">
      <alignment horizontal="left" vertical="center"/>
    </xf>
    <xf numFmtId="166" fontId="7" fillId="0" borderId="7" xfId="0" applyNumberFormat="1" applyFont="1" applyBorder="1" applyAlignment="1">
      <alignment horizontal="left" vertical="center"/>
    </xf>
    <xf numFmtId="168" fontId="7" fillId="0" borderId="7" xfId="0" applyNumberFormat="1" applyFont="1" applyBorder="1" applyAlignment="1">
      <alignment horizontal="left" vertical="center"/>
    </xf>
    <xf numFmtId="0" fontId="0" fillId="0" borderId="7" xfId="0" applyBorder="1" applyAlignment="1">
      <alignment horizontal="left"/>
    </xf>
    <xf numFmtId="169" fontId="0" fillId="0" borderId="7" xfId="0" applyNumberFormat="1" applyBorder="1" applyAlignment="1">
      <alignment horizontal="left"/>
    </xf>
    <xf numFmtId="1" fontId="0" fillId="0" borderId="36" xfId="0" applyNumberFormat="1" applyBorder="1" applyAlignment="1">
      <alignment horizontal="left"/>
    </xf>
    <xf numFmtId="167" fontId="7" fillId="0" borderId="7" xfId="0" applyNumberFormat="1" applyFont="1" applyBorder="1" applyAlignment="1">
      <alignment horizontal="left" vertical="center"/>
    </xf>
    <xf numFmtId="0" fontId="34" fillId="0" borderId="7" xfId="37" applyFont="1" applyFill="1" applyBorder="1" applyAlignment="1">
      <alignment horizontal="left" vertical="center"/>
    </xf>
    <xf numFmtId="0" fontId="57" fillId="0" borderId="50" xfId="0" applyFont="1" applyBorder="1" applyAlignment="1">
      <alignment horizontal="left" vertical="center"/>
    </xf>
    <xf numFmtId="0" fontId="57" fillId="0" borderId="36" xfId="0" applyFont="1" applyBorder="1" applyAlignment="1">
      <alignment horizontal="left" vertical="center"/>
    </xf>
    <xf numFmtId="0" fontId="57" fillId="0" borderId="7" xfId="0" applyFont="1" applyBorder="1" applyAlignment="1">
      <alignment horizontal="left" vertical="center"/>
    </xf>
    <xf numFmtId="169" fontId="57" fillId="0" borderId="7" xfId="0" applyNumberFormat="1" applyFont="1" applyBorder="1" applyAlignment="1">
      <alignment horizontal="left" vertical="center"/>
    </xf>
    <xf numFmtId="1" fontId="57" fillId="0" borderId="36" xfId="0" applyNumberFormat="1" applyFont="1" applyBorder="1" applyAlignment="1">
      <alignment horizontal="left" vertical="center"/>
    </xf>
    <xf numFmtId="2" fontId="18" fillId="0" borderId="7" xfId="0" applyNumberFormat="1" applyFont="1" applyBorder="1" applyAlignment="1">
      <alignment horizontal="left" vertical="center"/>
    </xf>
    <xf numFmtId="167" fontId="0" fillId="0" borderId="7" xfId="0" applyNumberFormat="1" applyBorder="1" applyAlignment="1">
      <alignment horizontal="left" vertical="top"/>
    </xf>
    <xf numFmtId="165" fontId="7" fillId="0" borderId="7" xfId="0" applyNumberFormat="1" applyFont="1" applyBorder="1" applyAlignment="1">
      <alignment horizontal="left" vertical="center"/>
    </xf>
    <xf numFmtId="0" fontId="7" fillId="0" borderId="37" xfId="0" applyFont="1" applyBorder="1" applyAlignment="1">
      <alignment horizontal="left"/>
    </xf>
    <xf numFmtId="0" fontId="0" fillId="20" borderId="0" xfId="0" applyFill="1" applyAlignment="1">
      <alignment horizontal="left" vertical="center"/>
    </xf>
    <xf numFmtId="0" fontId="7" fillId="26" borderId="0" xfId="0" applyFont="1" applyFill="1" applyAlignment="1">
      <alignment horizontal="left" vertical="center"/>
    </xf>
    <xf numFmtId="173" fontId="0" fillId="25" borderId="0" xfId="0" applyNumberFormat="1" applyFill="1" applyAlignment="1">
      <alignment horizontal="left" vertical="center"/>
    </xf>
    <xf numFmtId="0" fontId="7" fillId="20" borderId="0" xfId="0" applyFont="1" applyFill="1" applyAlignment="1">
      <alignment horizontal="left" vertical="center"/>
    </xf>
    <xf numFmtId="0" fontId="6" fillId="20" borderId="0" xfId="0" applyFont="1" applyFill="1" applyAlignment="1">
      <alignment horizontal="left" vertical="center"/>
    </xf>
    <xf numFmtId="2" fontId="0" fillId="20" borderId="0" xfId="0" applyNumberFormat="1" applyFill="1" applyAlignment="1">
      <alignment horizontal="left" vertical="center"/>
    </xf>
    <xf numFmtId="2" fontId="0" fillId="0" borderId="9" xfId="0" applyNumberFormat="1" applyBorder="1"/>
    <xf numFmtId="0" fontId="0" fillId="0" borderId="9" xfId="0" quotePrefix="1" applyBorder="1"/>
    <xf numFmtId="2" fontId="0" fillId="0" borderId="9" xfId="0" quotePrefix="1" applyNumberFormat="1" applyBorder="1"/>
    <xf numFmtId="0" fontId="0" fillId="0" borderId="17" xfId="0" applyBorder="1"/>
    <xf numFmtId="169" fontId="0" fillId="0" borderId="37" xfId="0" applyNumberFormat="1" applyBorder="1"/>
    <xf numFmtId="0" fontId="6" fillId="0" borderId="0" xfId="0" applyFont="1"/>
    <xf numFmtId="0" fontId="5" fillId="26" borderId="0" xfId="0" applyFont="1" applyFill="1" applyAlignment="1">
      <alignment horizontal="left" vertical="center"/>
    </xf>
    <xf numFmtId="166" fontId="7" fillId="25" borderId="0" xfId="0" applyNumberFormat="1" applyFont="1" applyFill="1" applyAlignment="1">
      <alignment horizontal="left" vertical="center"/>
    </xf>
    <xf numFmtId="0" fontId="0" fillId="26" borderId="0" xfId="0" applyFill="1" applyAlignment="1">
      <alignment horizontal="left" vertical="center"/>
    </xf>
    <xf numFmtId="165" fontId="0" fillId="25" borderId="0" xfId="0" applyNumberFormat="1" applyFill="1" applyAlignment="1">
      <alignment horizontal="left" vertical="center"/>
    </xf>
    <xf numFmtId="169" fontId="0" fillId="24" borderId="3" xfId="0" applyNumberFormat="1" applyFill="1" applyBorder="1" applyAlignment="1">
      <alignment horizontal="left" vertical="center"/>
    </xf>
    <xf numFmtId="1" fontId="0" fillId="0" borderId="3" xfId="0" applyNumberFormat="1" applyBorder="1" applyAlignment="1">
      <alignment horizontal="left" vertical="center"/>
    </xf>
    <xf numFmtId="0" fontId="7" fillId="0" borderId="75" xfId="0" applyFont="1" applyBorder="1" applyAlignment="1">
      <alignment vertical="center"/>
    </xf>
    <xf numFmtId="2" fontId="7" fillId="0" borderId="31" xfId="0" applyNumberFormat="1" applyFont="1" applyBorder="1" applyAlignment="1">
      <alignment horizontal="left" vertical="center"/>
    </xf>
    <xf numFmtId="0" fontId="54" fillId="57" borderId="0" xfId="0" applyFont="1" applyFill="1" applyAlignment="1">
      <alignment horizontal="left" vertical="center"/>
    </xf>
    <xf numFmtId="0" fontId="56" fillId="57" borderId="0" xfId="0" applyFont="1" applyFill="1"/>
    <xf numFmtId="0" fontId="0" fillId="57" borderId="9" xfId="0" applyFill="1" applyBorder="1"/>
    <xf numFmtId="0" fontId="7" fillId="57" borderId="9" xfId="0" applyFont="1" applyFill="1" applyBorder="1" applyAlignment="1">
      <alignment horizontal="left" vertical="center"/>
    </xf>
    <xf numFmtId="0" fontId="54" fillId="57" borderId="9" xfId="0" applyFont="1" applyFill="1" applyBorder="1"/>
    <xf numFmtId="0" fontId="54" fillId="57" borderId="2" xfId="0" applyFont="1" applyFill="1" applyBorder="1" applyAlignment="1">
      <alignment horizontal="left" vertical="center"/>
    </xf>
    <xf numFmtId="0" fontId="7" fillId="57" borderId="29" xfId="0" applyFont="1" applyFill="1" applyBorder="1" applyAlignment="1">
      <alignment horizontal="left" vertical="center"/>
    </xf>
    <xf numFmtId="0" fontId="54" fillId="57" borderId="29" xfId="0" applyFont="1" applyFill="1" applyBorder="1"/>
    <xf numFmtId="0" fontId="54" fillId="57" borderId="68" xfId="0" applyFont="1" applyFill="1" applyBorder="1" applyAlignment="1">
      <alignment horizontal="left" vertical="center"/>
    </xf>
    <xf numFmtId="0" fontId="54" fillId="0" borderId="17" xfId="0" applyFont="1" applyBorder="1"/>
    <xf numFmtId="0" fontId="54" fillId="0" borderId="24" xfId="0" applyFont="1" applyBorder="1"/>
    <xf numFmtId="0" fontId="54" fillId="0" borderId="58" xfId="0" applyFont="1" applyBorder="1" applyAlignment="1">
      <alignment horizontal="left" vertical="center"/>
    </xf>
    <xf numFmtId="0" fontId="54" fillId="57" borderId="9" xfId="0" applyFont="1" applyFill="1" applyBorder="1" applyAlignment="1">
      <alignment horizontal="left" vertical="center"/>
    </xf>
    <xf numFmtId="2" fontId="7" fillId="0" borderId="16" xfId="0" applyNumberFormat="1" applyFont="1" applyBorder="1" applyAlignment="1">
      <alignment horizontal="left" vertical="center"/>
    </xf>
    <xf numFmtId="0" fontId="0" fillId="17" borderId="0" xfId="0" applyFill="1"/>
    <xf numFmtId="165" fontId="0" fillId="0" borderId="0" xfId="47" applyNumberFormat="1" applyFont="1"/>
    <xf numFmtId="166" fontId="0" fillId="0" borderId="0" xfId="47" applyNumberFormat="1" applyFont="1"/>
    <xf numFmtId="0" fontId="14" fillId="10" borderId="0" xfId="42" applyAlignment="1">
      <alignment horizontal="left" vertical="center"/>
    </xf>
    <xf numFmtId="2" fontId="14" fillId="10" borderId="0" xfId="42" applyNumberFormat="1" applyAlignment="1">
      <alignment horizontal="left" vertical="center"/>
    </xf>
    <xf numFmtId="0" fontId="14" fillId="10" borderId="0" xfId="42"/>
    <xf numFmtId="167" fontId="14" fillId="10" borderId="0" xfId="42" applyNumberFormat="1" applyAlignment="1">
      <alignment horizontal="left" vertical="center"/>
    </xf>
    <xf numFmtId="0" fontId="14" fillId="10" borderId="26" xfId="42" applyBorder="1" applyAlignment="1">
      <alignment horizontal="left" vertical="center"/>
    </xf>
    <xf numFmtId="0" fontId="14" fillId="10" borderId="9" xfId="42" applyBorder="1" applyAlignment="1">
      <alignment horizontal="left" vertical="center"/>
    </xf>
    <xf numFmtId="0" fontId="14" fillId="10" borderId="33" xfId="42" applyBorder="1" applyAlignment="1">
      <alignment horizontal="left" vertical="center"/>
    </xf>
    <xf numFmtId="0" fontId="14" fillId="10" borderId="0" xfId="42" applyAlignment="1">
      <alignment horizontal="left"/>
    </xf>
    <xf numFmtId="0" fontId="70" fillId="58" borderId="12" xfId="103"/>
    <xf numFmtId="0" fontId="15" fillId="60" borderId="12" xfId="105" applyBorder="1"/>
    <xf numFmtId="0" fontId="17" fillId="60" borderId="12" xfId="105" applyFont="1" applyBorder="1"/>
    <xf numFmtId="0" fontId="72" fillId="0" borderId="0" xfId="0" applyFont="1"/>
    <xf numFmtId="0" fontId="0" fillId="62" borderId="0" xfId="0" applyFill="1"/>
    <xf numFmtId="0" fontId="14" fillId="10" borderId="43" xfId="42" applyBorder="1" applyAlignment="1">
      <alignment horizontal="left" vertical="center"/>
    </xf>
    <xf numFmtId="2" fontId="7" fillId="0" borderId="17" xfId="0" applyNumberFormat="1" applyFont="1" applyBorder="1" applyAlignment="1">
      <alignment horizontal="left" vertical="center"/>
    </xf>
    <xf numFmtId="0" fontId="14" fillId="10" borderId="68" xfId="42" applyBorder="1" applyAlignment="1">
      <alignment horizontal="left" vertical="center"/>
    </xf>
    <xf numFmtId="0" fontId="14" fillId="10" borderId="28" xfId="42" applyBorder="1" applyAlignment="1">
      <alignment horizontal="left" vertical="center"/>
    </xf>
    <xf numFmtId="2" fontId="7" fillId="0" borderId="29" xfId="0" applyNumberFormat="1" applyFont="1" applyBorder="1" applyAlignment="1">
      <alignment horizontal="left" vertical="center"/>
    </xf>
    <xf numFmtId="167" fontId="14" fillId="10" borderId="68" xfId="42" applyNumberFormat="1" applyBorder="1" applyAlignment="1">
      <alignment horizontal="left" vertical="center"/>
    </xf>
    <xf numFmtId="0" fontId="14" fillId="10" borderId="2" xfId="42" applyBorder="1" applyAlignment="1">
      <alignment horizontal="left" vertical="center"/>
    </xf>
    <xf numFmtId="167" fontId="14" fillId="10" borderId="2" xfId="42" applyNumberFormat="1" applyBorder="1" applyAlignment="1">
      <alignment horizontal="left" vertical="center"/>
    </xf>
    <xf numFmtId="0" fontId="14" fillId="10" borderId="0" xfId="42" applyBorder="1" applyAlignment="1">
      <alignment horizontal="left" vertical="center"/>
    </xf>
    <xf numFmtId="0" fontId="14" fillId="10" borderId="18" xfId="42" applyBorder="1" applyAlignment="1">
      <alignment horizontal="left" vertical="center"/>
    </xf>
    <xf numFmtId="0" fontId="14" fillId="10" borderId="23" xfId="42" applyBorder="1" applyAlignment="1">
      <alignment horizontal="left" vertical="center"/>
    </xf>
    <xf numFmtId="0" fontId="0" fillId="0" borderId="21" xfId="0" applyBorder="1" applyAlignment="1">
      <alignment horizontal="left"/>
    </xf>
    <xf numFmtId="0" fontId="7" fillId="17" borderId="66" xfId="0" applyFont="1" applyFill="1" applyBorder="1" applyAlignment="1">
      <alignment horizontal="left" vertical="center"/>
    </xf>
    <xf numFmtId="0" fontId="7" fillId="0" borderId="66" xfId="0" applyFont="1" applyBorder="1" applyAlignment="1">
      <alignment horizontal="left" vertical="center"/>
    </xf>
    <xf numFmtId="2" fontId="7" fillId="17" borderId="9" xfId="0" applyNumberFormat="1" applyFont="1" applyFill="1" applyBorder="1" applyAlignment="1">
      <alignment vertical="center"/>
    </xf>
    <xf numFmtId="0" fontId="0" fillId="17" borderId="9" xfId="0" applyFill="1" applyBorder="1" applyAlignment="1">
      <alignment horizontal="left"/>
    </xf>
    <xf numFmtId="0" fontId="55" fillId="45" borderId="47" xfId="0" applyFont="1" applyFill="1" applyBorder="1" applyAlignment="1">
      <alignment horizontal="center" vertical="center"/>
    </xf>
    <xf numFmtId="2" fontId="54" fillId="47" borderId="8" xfId="0" applyNumberFormat="1" applyFont="1" applyFill="1" applyBorder="1" applyAlignment="1">
      <alignment horizontal="center" vertical="center"/>
    </xf>
    <xf numFmtId="2" fontId="54" fillId="47" borderId="56" xfId="0" applyNumberFormat="1" applyFont="1" applyFill="1" applyBorder="1" applyAlignment="1">
      <alignment horizontal="center" vertical="center"/>
    </xf>
    <xf numFmtId="2" fontId="54" fillId="47" borderId="86" xfId="0" applyNumberFormat="1" applyFont="1" applyFill="1" applyBorder="1" applyAlignment="1">
      <alignment horizontal="center" vertical="center"/>
    </xf>
    <xf numFmtId="166" fontId="54" fillId="47" borderId="86" xfId="0" applyNumberFormat="1" applyFont="1" applyFill="1" applyBorder="1" applyAlignment="1">
      <alignment horizontal="center" vertical="center"/>
    </xf>
    <xf numFmtId="166" fontId="54" fillId="47" borderId="9" xfId="0" applyNumberFormat="1" applyFont="1" applyFill="1" applyBorder="1" applyAlignment="1">
      <alignment horizontal="center" vertical="center"/>
    </xf>
    <xf numFmtId="2" fontId="61" fillId="47" borderId="13" xfId="0" applyNumberFormat="1" applyFont="1" applyFill="1" applyBorder="1" applyAlignment="1">
      <alignment horizontal="center" vertical="center"/>
    </xf>
    <xf numFmtId="2" fontId="61" fillId="47" borderId="8" xfId="0" applyNumberFormat="1" applyFont="1" applyFill="1" applyBorder="1" applyAlignment="1">
      <alignment horizontal="center" vertical="center"/>
    </xf>
    <xf numFmtId="2" fontId="61" fillId="47" borderId="9" xfId="0" applyNumberFormat="1" applyFont="1" applyFill="1" applyBorder="1" applyAlignment="1">
      <alignment horizontal="center" vertical="center"/>
    </xf>
    <xf numFmtId="0" fontId="27" fillId="40" borderId="59" xfId="0" applyFont="1" applyFill="1" applyBorder="1" applyAlignment="1">
      <alignment horizontal="left" vertical="top"/>
    </xf>
    <xf numFmtId="0" fontId="6" fillId="3" borderId="0" xfId="0" applyFont="1" applyFill="1"/>
    <xf numFmtId="0" fontId="0" fillId="3" borderId="0" xfId="0" applyFill="1"/>
    <xf numFmtId="0" fontId="0" fillId="17" borderId="16" xfId="0" applyFill="1" applyBorder="1"/>
    <xf numFmtId="0" fontId="0" fillId="0" borderId="16" xfId="0" applyBorder="1" applyAlignment="1">
      <alignment horizontal="left"/>
    </xf>
    <xf numFmtId="0" fontId="0" fillId="0" borderId="40" xfId="0" applyBorder="1"/>
    <xf numFmtId="0" fontId="15" fillId="20" borderId="0" xfId="0" applyFont="1" applyFill="1"/>
    <xf numFmtId="0" fontId="0" fillId="17" borderId="42" xfId="0" applyFill="1" applyBorder="1"/>
    <xf numFmtId="0" fontId="0" fillId="17" borderId="18" xfId="0" applyFill="1" applyBorder="1"/>
    <xf numFmtId="0" fontId="0" fillId="0" borderId="18" xfId="0" applyBorder="1"/>
    <xf numFmtId="0" fontId="0" fillId="0" borderId="52" xfId="0" applyBorder="1"/>
    <xf numFmtId="0" fontId="0" fillId="0" borderId="67" xfId="0" applyBorder="1"/>
    <xf numFmtId="0" fontId="0" fillId="17" borderId="22" xfId="0" applyFill="1" applyBorder="1"/>
    <xf numFmtId="0" fontId="0" fillId="17" borderId="68" xfId="0" applyFill="1" applyBorder="1"/>
    <xf numFmtId="0" fontId="0" fillId="0" borderId="69" xfId="0" applyBorder="1"/>
    <xf numFmtId="11" fontId="0" fillId="17" borderId="0" xfId="0" applyNumberFormat="1" applyFill="1"/>
    <xf numFmtId="11" fontId="0" fillId="0" borderId="18" xfId="0" applyNumberFormat="1" applyBorder="1"/>
    <xf numFmtId="11" fontId="0" fillId="17" borderId="18" xfId="0" applyNumberFormat="1" applyFill="1" applyBorder="1"/>
    <xf numFmtId="11" fontId="0" fillId="0" borderId="68" xfId="0" applyNumberFormat="1" applyBorder="1"/>
    <xf numFmtId="11" fontId="0" fillId="17" borderId="68" xfId="0" applyNumberFormat="1" applyFill="1" applyBorder="1"/>
    <xf numFmtId="11" fontId="0" fillId="20" borderId="0" xfId="0" applyNumberFormat="1" applyFill="1"/>
    <xf numFmtId="11" fontId="7" fillId="0" borderId="0" xfId="0" applyNumberFormat="1" applyFont="1"/>
    <xf numFmtId="11" fontId="72" fillId="0" borderId="0" xfId="0" applyNumberFormat="1" applyFont="1"/>
    <xf numFmtId="0" fontId="14" fillId="10" borderId="83" xfId="42" applyBorder="1" applyAlignment="1">
      <alignment horizontal="left" vertical="center"/>
    </xf>
    <xf numFmtId="0" fontId="57" fillId="0" borderId="68" xfId="0" applyFont="1" applyBorder="1" applyAlignment="1">
      <alignment horizontal="left" vertical="center"/>
    </xf>
    <xf numFmtId="0" fontId="0" fillId="0" borderId="68" xfId="0" applyBorder="1" applyAlignment="1">
      <alignment horizontal="left"/>
    </xf>
    <xf numFmtId="165" fontId="70" fillId="58" borderId="12" xfId="103" applyNumberFormat="1"/>
    <xf numFmtId="0" fontId="25" fillId="21" borderId="15" xfId="0" applyFont="1" applyFill="1" applyBorder="1" applyAlignment="1">
      <alignment horizontal="left" vertical="center" wrapText="1"/>
    </xf>
    <xf numFmtId="0" fontId="25" fillId="21" borderId="6" xfId="0" applyFont="1" applyFill="1" applyBorder="1" applyAlignment="1">
      <alignment horizontal="left" vertical="center" wrapText="1"/>
    </xf>
    <xf numFmtId="0" fontId="25" fillId="21" borderId="39" xfId="0" applyFont="1" applyFill="1" applyBorder="1" applyAlignment="1">
      <alignment horizontal="left" vertical="center" wrapText="1"/>
    </xf>
    <xf numFmtId="0" fontId="0" fillId="0" borderId="13" xfId="0" applyBorder="1" applyAlignment="1">
      <alignment horizontal="left" vertical="center" wrapText="1"/>
    </xf>
    <xf numFmtId="0" fontId="0" fillId="0" borderId="27" xfId="0" applyBorder="1" applyAlignment="1">
      <alignment horizontal="left" vertical="center" wrapText="1"/>
    </xf>
    <xf numFmtId="0" fontId="0" fillId="0" borderId="9" xfId="0" applyBorder="1" applyAlignment="1">
      <alignment horizontal="left" vertical="center" wrapText="1"/>
    </xf>
    <xf numFmtId="0" fontId="6" fillId="21" borderId="15" xfId="0" applyFont="1" applyFill="1" applyBorder="1" applyAlignment="1">
      <alignment horizontal="left" vertical="center" wrapText="1"/>
    </xf>
    <xf numFmtId="0" fontId="6" fillId="21" borderId="6" xfId="0" applyFont="1" applyFill="1" applyBorder="1" applyAlignment="1">
      <alignment horizontal="left" vertical="center" wrapText="1"/>
    </xf>
    <xf numFmtId="0" fontId="6" fillId="21" borderId="39" xfId="0" applyFont="1" applyFill="1" applyBorder="1" applyAlignment="1">
      <alignment horizontal="left" vertical="center" wrapText="1"/>
    </xf>
    <xf numFmtId="0" fontId="0" fillId="0" borderId="5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3" xfId="0" applyBorder="1" applyAlignment="1">
      <alignment horizontal="left" vertical="center" wrapText="1"/>
    </xf>
    <xf numFmtId="0" fontId="6" fillId="21" borderId="42" xfId="0" applyFont="1" applyFill="1" applyBorder="1" applyAlignment="1">
      <alignment horizontal="left" vertical="center" wrapText="1"/>
    </xf>
    <xf numFmtId="0" fontId="6" fillId="21" borderId="18" xfId="0" applyFont="1" applyFill="1" applyBorder="1" applyAlignment="1">
      <alignment horizontal="left" vertical="center" wrapText="1"/>
    </xf>
    <xf numFmtId="0" fontId="6" fillId="21" borderId="52" xfId="0" applyFont="1" applyFill="1" applyBorder="1" applyAlignment="1">
      <alignment horizontal="left" vertical="center" wrapText="1"/>
    </xf>
    <xf numFmtId="0" fontId="0" fillId="0" borderId="11" xfId="0" applyBorder="1" applyAlignment="1">
      <alignment horizontal="left" vertical="center" wrapText="1"/>
    </xf>
    <xf numFmtId="0" fontId="0" fillId="0" borderId="30" xfId="0" applyBorder="1" applyAlignment="1">
      <alignment horizontal="left" vertical="center" wrapText="1"/>
    </xf>
    <xf numFmtId="0" fontId="0" fillId="0" borderId="29" xfId="0" applyBorder="1" applyAlignment="1">
      <alignment horizontal="left" vertical="center" wrapText="1"/>
    </xf>
    <xf numFmtId="0" fontId="6" fillId="15" borderId="40" xfId="41" applyFont="1" applyFill="1" applyBorder="1" applyAlignment="1">
      <alignment horizontal="center" vertical="center" wrapText="1"/>
    </xf>
    <xf numFmtId="0" fontId="6" fillId="15" borderId="41" xfId="41" applyFont="1" applyFill="1" applyBorder="1" applyAlignment="1">
      <alignment horizontal="center" vertical="center" wrapText="1"/>
    </xf>
    <xf numFmtId="0" fontId="71" fillId="20" borderId="0" xfId="0" applyFont="1" applyFill="1" applyAlignment="1">
      <alignment horizontal="left"/>
    </xf>
    <xf numFmtId="0" fontId="0" fillId="20" borderId="0" xfId="0" applyFill="1" applyAlignment="1">
      <alignment horizontal="left"/>
    </xf>
    <xf numFmtId="0" fontId="71" fillId="59" borderId="0" xfId="104" applyFont="1" applyAlignment="1">
      <alignment horizontal="left"/>
    </xf>
    <xf numFmtId="0" fontId="45" fillId="61" borderId="0" xfId="0" applyFont="1" applyFill="1" applyAlignment="1">
      <alignment horizontal="left"/>
    </xf>
    <xf numFmtId="0" fontId="0" fillId="61" borderId="0" xfId="0" applyFill="1" applyAlignment="1">
      <alignment horizontal="left"/>
    </xf>
    <xf numFmtId="0" fontId="15" fillId="61" borderId="0" xfId="0" applyFont="1" applyFill="1" applyAlignment="1">
      <alignment horizontal="left"/>
    </xf>
    <xf numFmtId="0" fontId="45" fillId="20" borderId="0" xfId="0" applyFont="1" applyFill="1" applyAlignment="1">
      <alignment horizontal="left"/>
    </xf>
    <xf numFmtId="0" fontId="71" fillId="20" borderId="85" xfId="0" applyFont="1" applyFill="1" applyBorder="1" applyAlignment="1">
      <alignment horizontal="left"/>
    </xf>
    <xf numFmtId="0" fontId="17" fillId="20" borderId="0" xfId="0" applyFont="1" applyFill="1" applyAlignment="1">
      <alignment horizontal="left"/>
    </xf>
    <xf numFmtId="0" fontId="68" fillId="20" borderId="0" xfId="0" applyFont="1" applyFill="1" applyAlignment="1">
      <alignment horizontal="left"/>
    </xf>
    <xf numFmtId="0" fontId="45" fillId="54" borderId="0" xfId="0" applyFont="1" applyFill="1" applyAlignment="1">
      <alignment horizontal="left"/>
    </xf>
    <xf numFmtId="0" fontId="45" fillId="55" borderId="0" xfId="0" applyFont="1" applyFill="1" applyAlignment="1">
      <alignment horizontal="left"/>
    </xf>
    <xf numFmtId="0" fontId="32" fillId="20" borderId="0" xfId="0" applyFont="1" applyFill="1" applyAlignment="1">
      <alignment horizontal="left" vertical="center"/>
    </xf>
    <xf numFmtId="0" fontId="32" fillId="20" borderId="3" xfId="0" applyFont="1" applyFill="1" applyBorder="1" applyAlignment="1">
      <alignment horizontal="left" vertical="center"/>
    </xf>
    <xf numFmtId="0" fontId="0" fillId="0" borderId="9" xfId="0" applyBorder="1" applyAlignment="1">
      <alignment horizontal="left"/>
    </xf>
    <xf numFmtId="0" fontId="0" fillId="0" borderId="0" xfId="0"/>
    <xf numFmtId="0" fontId="19" fillId="0" borderId="9" xfId="37" applyBorder="1" applyAlignment="1">
      <alignment horizontal="left" vertical="center"/>
    </xf>
    <xf numFmtId="0" fontId="32" fillId="20" borderId="9" xfId="0" applyFont="1" applyFill="1" applyBorder="1" applyAlignment="1">
      <alignment horizontal="left" vertical="center"/>
    </xf>
    <xf numFmtId="49" fontId="6" fillId="16" borderId="59" xfId="0" applyNumberFormat="1" applyFont="1" applyFill="1" applyBorder="1" applyAlignment="1">
      <alignment horizontal="left" vertical="center"/>
    </xf>
    <xf numFmtId="49" fontId="6" fillId="16" borderId="7" xfId="0" applyNumberFormat="1" applyFont="1" applyFill="1" applyBorder="1" applyAlignment="1">
      <alignment horizontal="left" vertical="center"/>
    </xf>
    <xf numFmtId="49" fontId="6" fillId="16" borderId="13" xfId="0" applyNumberFormat="1" applyFont="1" applyFill="1" applyBorder="1" applyAlignment="1">
      <alignment horizontal="left" vertical="center"/>
    </xf>
    <xf numFmtId="49" fontId="7" fillId="0" borderId="59" xfId="0" quotePrefix="1" applyNumberFormat="1" applyFont="1" applyBorder="1" applyAlignment="1">
      <alignment horizontal="left" vertical="center"/>
    </xf>
    <xf numFmtId="49" fontId="7" fillId="0" borderId="7" xfId="0" quotePrefix="1" applyNumberFormat="1" applyFont="1" applyBorder="1" applyAlignment="1">
      <alignment horizontal="left" vertical="center"/>
    </xf>
    <xf numFmtId="49" fontId="7" fillId="0" borderId="13" xfId="0" quotePrefix="1" applyNumberFormat="1" applyFont="1" applyBorder="1" applyAlignment="1">
      <alignment horizontal="left" vertical="center"/>
    </xf>
    <xf numFmtId="0" fontId="17" fillId="52" borderId="59" xfId="0" applyFont="1" applyFill="1" applyBorder="1" applyAlignment="1">
      <alignment horizontal="left" vertical="center"/>
    </xf>
    <xf numFmtId="0" fontId="17" fillId="52" borderId="7" xfId="0" applyFont="1" applyFill="1" applyBorder="1" applyAlignment="1">
      <alignment horizontal="left" vertical="center"/>
    </xf>
    <xf numFmtId="0" fontId="17" fillId="52" borderId="13" xfId="0" applyFont="1" applyFill="1" applyBorder="1" applyAlignment="1">
      <alignment horizontal="left" vertical="center"/>
    </xf>
    <xf numFmtId="0" fontId="0" fillId="0" borderId="59" xfId="0" applyBorder="1" applyAlignment="1">
      <alignment horizontal="left"/>
    </xf>
    <xf numFmtId="0" fontId="0" fillId="0" borderId="13" xfId="0" applyBorder="1" applyAlignment="1">
      <alignment horizontal="left"/>
    </xf>
    <xf numFmtId="0" fontId="5" fillId="27" borderId="9" xfId="0" applyFont="1" applyFill="1" applyBorder="1" applyAlignment="1">
      <alignment horizontal="left" vertical="center" wrapText="1"/>
    </xf>
    <xf numFmtId="0" fontId="0" fillId="0" borderId="64" xfId="0" applyBorder="1" applyAlignment="1">
      <alignment horizontal="left" vertical="center" wrapText="1"/>
    </xf>
    <xf numFmtId="0" fontId="0" fillId="0" borderId="10" xfId="0" applyBorder="1" applyAlignment="1">
      <alignment horizontal="left" vertical="center" wrapText="1"/>
    </xf>
    <xf numFmtId="0" fontId="0" fillId="0" borderId="65" xfId="0" applyBorder="1" applyAlignment="1">
      <alignment horizontal="left" vertical="center" wrapText="1"/>
    </xf>
    <xf numFmtId="0" fontId="0" fillId="0" borderId="75" xfId="0" applyBorder="1" applyAlignment="1">
      <alignment horizontal="left" vertical="center" wrapText="1"/>
    </xf>
    <xf numFmtId="0" fontId="0" fillId="0" borderId="63" xfId="0" applyBorder="1" applyAlignment="1">
      <alignment horizontal="left" vertical="center" wrapText="1"/>
    </xf>
    <xf numFmtId="0" fontId="0" fillId="0" borderId="8" xfId="0" applyBorder="1" applyAlignment="1">
      <alignment horizontal="left" vertical="center" wrapText="1"/>
    </xf>
    <xf numFmtId="0" fontId="7" fillId="0" borderId="59" xfId="0" applyFont="1" applyBorder="1" applyAlignment="1">
      <alignment horizontal="left"/>
    </xf>
    <xf numFmtId="0" fontId="7" fillId="0" borderId="13" xfId="0" applyFont="1" applyBorder="1" applyAlignment="1">
      <alignment horizontal="left"/>
    </xf>
    <xf numFmtId="0" fontId="5" fillId="29" borderId="64" xfId="0" applyFont="1" applyFill="1" applyBorder="1" applyAlignment="1">
      <alignment horizontal="left" vertical="center"/>
    </xf>
    <xf numFmtId="0" fontId="5" fillId="29" borderId="2" xfId="0" applyFont="1" applyFill="1" applyBorder="1" applyAlignment="1">
      <alignment horizontal="left" vertical="center"/>
    </xf>
    <xf numFmtId="2" fontId="7" fillId="0" borderId="59" xfId="0" applyNumberFormat="1" applyFont="1" applyBorder="1" applyAlignment="1">
      <alignment horizontal="left" vertical="center"/>
    </xf>
    <xf numFmtId="2" fontId="7" fillId="0" borderId="13" xfId="0" applyNumberFormat="1" applyFont="1" applyBorder="1" applyAlignment="1">
      <alignment horizontal="left" vertical="center"/>
    </xf>
    <xf numFmtId="2" fontId="7" fillId="26" borderId="9" xfId="0" applyNumberFormat="1" applyFont="1" applyFill="1" applyBorder="1" applyAlignment="1">
      <alignment horizontal="left" vertical="center"/>
    </xf>
    <xf numFmtId="2" fontId="7" fillId="0" borderId="9" xfId="0" applyNumberFormat="1" applyFont="1" applyBorder="1" applyAlignment="1">
      <alignment horizontal="left" vertical="center"/>
    </xf>
    <xf numFmtId="2" fontId="7" fillId="26" borderId="59" xfId="0" applyNumberFormat="1" applyFont="1" applyFill="1" applyBorder="1" applyAlignment="1">
      <alignment horizontal="left" vertical="center"/>
    </xf>
    <xf numFmtId="2" fontId="7" fillId="26" borderId="13" xfId="0" applyNumberFormat="1" applyFont="1" applyFill="1" applyBorder="1" applyAlignment="1">
      <alignment horizontal="left" vertical="center"/>
    </xf>
    <xf numFmtId="2" fontId="6" fillId="27" borderId="9" xfId="0" applyNumberFormat="1" applyFont="1" applyFill="1" applyBorder="1" applyAlignment="1">
      <alignment horizontal="left" vertical="center"/>
    </xf>
    <xf numFmtId="0" fontId="5" fillId="27" borderId="9" xfId="0" applyFont="1" applyFill="1" applyBorder="1" applyAlignment="1">
      <alignment horizontal="left" vertical="center"/>
    </xf>
    <xf numFmtId="169" fontId="7" fillId="25" borderId="9" xfId="0" applyNumberFormat="1" applyFont="1" applyFill="1" applyBorder="1" applyAlignment="1">
      <alignment horizontal="center" vertical="center"/>
    </xf>
    <xf numFmtId="0" fontId="0" fillId="0" borderId="9" xfId="0" applyBorder="1" applyAlignment="1">
      <alignment horizontal="left" vertical="center"/>
    </xf>
    <xf numFmtId="169" fontId="7" fillId="25" borderId="59" xfId="0" applyNumberFormat="1" applyFont="1" applyFill="1" applyBorder="1" applyAlignment="1">
      <alignment horizontal="center" vertical="center"/>
    </xf>
    <xf numFmtId="169" fontId="7" fillId="25" borderId="13" xfId="0" applyNumberFormat="1" applyFont="1" applyFill="1" applyBorder="1" applyAlignment="1">
      <alignment horizontal="center" vertical="center"/>
    </xf>
    <xf numFmtId="2" fontId="6" fillId="27" borderId="59" xfId="0" applyNumberFormat="1" applyFont="1" applyFill="1" applyBorder="1" applyAlignment="1">
      <alignment horizontal="left" vertical="center"/>
    </xf>
    <xf numFmtId="2" fontId="6" fillId="27" borderId="13" xfId="0" applyNumberFormat="1" applyFont="1" applyFill="1" applyBorder="1" applyAlignment="1">
      <alignment horizontal="left" vertical="center"/>
    </xf>
    <xf numFmtId="0" fontId="0" fillId="26" borderId="9" xfId="0" applyFill="1" applyBorder="1" applyAlignment="1">
      <alignment horizontal="left" vertical="center"/>
    </xf>
    <xf numFmtId="0" fontId="0" fillId="5" borderId="9" xfId="0" applyFill="1" applyBorder="1" applyAlignment="1">
      <alignment horizontal="left" vertical="center"/>
    </xf>
    <xf numFmtId="0" fontId="5" fillId="27" borderId="59" xfId="0" applyFont="1" applyFill="1" applyBorder="1" applyAlignment="1">
      <alignment horizontal="left" vertical="center"/>
    </xf>
    <xf numFmtId="0" fontId="5" fillId="27" borderId="13" xfId="0" applyFont="1" applyFill="1" applyBorder="1" applyAlignment="1">
      <alignment horizontal="left" vertical="center"/>
    </xf>
    <xf numFmtId="2" fontId="7" fillId="0" borderId="9" xfId="0" quotePrefix="1" applyNumberFormat="1" applyFont="1" applyBorder="1" applyAlignment="1">
      <alignment horizontal="left" vertical="center" readingOrder="1"/>
    </xf>
    <xf numFmtId="2" fontId="0" fillId="25" borderId="59" xfId="0" applyNumberFormat="1" applyFill="1" applyBorder="1" applyAlignment="1">
      <alignment horizontal="left" vertical="center"/>
    </xf>
    <xf numFmtId="0" fontId="0" fillId="25" borderId="7" xfId="0" applyFill="1" applyBorder="1" applyAlignment="1">
      <alignment horizontal="left" vertical="center"/>
    </xf>
    <xf numFmtId="0" fontId="0" fillId="25" borderId="13" xfId="0" applyFill="1" applyBorder="1" applyAlignment="1">
      <alignment horizontal="left" vertical="center"/>
    </xf>
    <xf numFmtId="0" fontId="5" fillId="27" borderId="7" xfId="0" applyFont="1" applyFill="1" applyBorder="1" applyAlignment="1">
      <alignment horizontal="left" vertical="center"/>
    </xf>
    <xf numFmtId="2" fontId="7" fillId="0" borderId="59" xfId="0" quotePrefix="1" applyNumberFormat="1" applyFont="1" applyBorder="1" applyAlignment="1">
      <alignment horizontal="left" vertical="center" readingOrder="1"/>
    </xf>
    <xf numFmtId="2" fontId="7" fillId="0" borderId="7" xfId="0" quotePrefix="1" applyNumberFormat="1" applyFont="1" applyBorder="1" applyAlignment="1">
      <alignment horizontal="left" vertical="center" readingOrder="1"/>
    </xf>
    <xf numFmtId="2" fontId="7" fillId="0" borderId="13" xfId="0" quotePrefix="1" applyNumberFormat="1" applyFont="1" applyBorder="1" applyAlignment="1">
      <alignment horizontal="left" vertical="center" readingOrder="1"/>
    </xf>
    <xf numFmtId="166" fontId="0" fillId="25" borderId="59" xfId="0" applyNumberFormat="1" applyFill="1" applyBorder="1" applyAlignment="1">
      <alignment horizontal="left" vertical="center"/>
    </xf>
    <xf numFmtId="166" fontId="0" fillId="25" borderId="7" xfId="0" applyNumberFormat="1" applyFill="1" applyBorder="1" applyAlignment="1">
      <alignment horizontal="left" vertical="center"/>
    </xf>
    <xf numFmtId="166" fontId="0" fillId="25" borderId="13" xfId="0" applyNumberFormat="1" applyFill="1" applyBorder="1" applyAlignment="1">
      <alignment horizontal="left" vertical="center"/>
    </xf>
    <xf numFmtId="165" fontId="7" fillId="0" borderId="59" xfId="0" applyNumberFormat="1" applyFont="1" applyBorder="1" applyAlignment="1">
      <alignment horizontal="left" vertical="center" readingOrder="1"/>
    </xf>
    <xf numFmtId="165" fontId="7" fillId="0" borderId="7" xfId="0" applyNumberFormat="1" applyFont="1" applyBorder="1" applyAlignment="1">
      <alignment horizontal="left" vertical="center" readingOrder="1"/>
    </xf>
    <xf numFmtId="165" fontId="7" fillId="0" borderId="13" xfId="0" applyNumberFormat="1" applyFont="1" applyBorder="1" applyAlignment="1">
      <alignment horizontal="left" vertical="center" readingOrder="1"/>
    </xf>
    <xf numFmtId="0" fontId="5" fillId="27" borderId="63" xfId="0" applyFont="1" applyFill="1" applyBorder="1" applyAlignment="1">
      <alignment horizontal="left" vertical="center"/>
    </xf>
    <xf numFmtId="0" fontId="5" fillId="27" borderId="3" xfId="0" applyFont="1" applyFill="1" applyBorder="1" applyAlignment="1">
      <alignment horizontal="left" vertical="center"/>
    </xf>
    <xf numFmtId="0" fontId="5" fillId="27" borderId="8" xfId="0" applyFont="1" applyFill="1" applyBorder="1" applyAlignment="1">
      <alignment horizontal="left" vertical="center"/>
    </xf>
    <xf numFmtId="0" fontId="5" fillId="27" borderId="17" xfId="0" applyFont="1" applyFill="1" applyBorder="1" applyAlignment="1">
      <alignment horizontal="left" vertical="center"/>
    </xf>
    <xf numFmtId="0" fontId="7" fillId="0" borderId="9" xfId="0" applyFont="1" applyBorder="1" applyAlignment="1">
      <alignment horizontal="left" vertical="center" readingOrder="1"/>
    </xf>
    <xf numFmtId="165" fontId="7" fillId="0" borderId="9" xfId="0" applyNumberFormat="1" applyFont="1" applyBorder="1" applyAlignment="1">
      <alignment horizontal="left" vertical="center" readingOrder="1"/>
    </xf>
    <xf numFmtId="165" fontId="6" fillId="0" borderId="9" xfId="0" applyNumberFormat="1" applyFont="1" applyBorder="1" applyAlignment="1">
      <alignment horizontal="left" vertical="center" readingOrder="1"/>
    </xf>
    <xf numFmtId="0" fontId="7" fillId="0" borderId="9" xfId="37" applyFont="1" applyFill="1" applyBorder="1" applyAlignment="1">
      <alignment horizontal="left" vertical="center" readingOrder="1"/>
    </xf>
    <xf numFmtId="0" fontId="32" fillId="20" borderId="65" xfId="0" applyFont="1" applyFill="1" applyBorder="1" applyAlignment="1">
      <alignment horizontal="left" vertical="center"/>
    </xf>
    <xf numFmtId="0" fontId="34" fillId="0" borderId="9" xfId="37" applyFont="1" applyFill="1" applyBorder="1" applyAlignment="1">
      <alignment horizontal="left" vertical="center" readingOrder="1"/>
    </xf>
    <xf numFmtId="0" fontId="0" fillId="24" borderId="9" xfId="0" applyFill="1" applyBorder="1" applyAlignment="1">
      <alignment horizontal="left" vertical="center"/>
    </xf>
    <xf numFmtId="0" fontId="5" fillId="0" borderId="9" xfId="0" applyFont="1" applyBorder="1" applyAlignment="1">
      <alignment horizontal="left" vertical="center"/>
    </xf>
    <xf numFmtId="0" fontId="35" fillId="0" borderId="0" xfId="0" applyFont="1"/>
    <xf numFmtId="0" fontId="7" fillId="0" borderId="59" xfId="37" applyFont="1" applyBorder="1" applyAlignment="1">
      <alignment horizontal="left" vertical="center"/>
    </xf>
    <xf numFmtId="0" fontId="7" fillId="0" borderId="7" xfId="37" applyFont="1" applyBorder="1" applyAlignment="1">
      <alignment horizontal="left" vertical="center"/>
    </xf>
    <xf numFmtId="0" fontId="7" fillId="0" borderId="13" xfId="37" applyFont="1" applyBorder="1" applyAlignment="1">
      <alignment horizontal="left" vertical="center"/>
    </xf>
    <xf numFmtId="0" fontId="68" fillId="20" borderId="0" xfId="0" applyFont="1" applyFill="1" applyAlignment="1">
      <alignment horizontal="left" vertical="center"/>
    </xf>
    <xf numFmtId="0" fontId="69" fillId="20" borderId="0" xfId="0" applyFont="1" applyFill="1" applyAlignment="1">
      <alignment horizontal="left" vertical="center"/>
    </xf>
    <xf numFmtId="0" fontId="7" fillId="0" borderId="9" xfId="0" applyFont="1" applyBorder="1" applyAlignment="1">
      <alignment horizontal="left" vertical="center"/>
    </xf>
    <xf numFmtId="0" fontId="7" fillId="0" borderId="59" xfId="0" applyFont="1" applyBorder="1" applyAlignment="1">
      <alignment horizontal="left" vertical="center"/>
    </xf>
    <xf numFmtId="0" fontId="7" fillId="0" borderId="13" xfId="0" applyFont="1" applyBorder="1" applyAlignment="1">
      <alignment horizontal="left" vertical="center"/>
    </xf>
    <xf numFmtId="0" fontId="7" fillId="0" borderId="63" xfId="0" applyFont="1" applyBorder="1" applyAlignment="1">
      <alignment horizontal="left" vertical="center"/>
    </xf>
    <xf numFmtId="0" fontId="7" fillId="0" borderId="3" xfId="0" applyFont="1" applyBorder="1" applyAlignment="1">
      <alignment horizontal="left" vertical="center"/>
    </xf>
    <xf numFmtId="0" fontId="7" fillId="0" borderId="8" xfId="0" applyFont="1" applyBorder="1" applyAlignment="1">
      <alignment horizontal="left" vertical="center"/>
    </xf>
    <xf numFmtId="0" fontId="35" fillId="0" borderId="59" xfId="0" applyFont="1"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19" fillId="0" borderId="64" xfId="37" applyFill="1" applyBorder="1" applyAlignment="1">
      <alignment horizontal="left" vertical="center"/>
    </xf>
    <xf numFmtId="0" fontId="19" fillId="0" borderId="2" xfId="37" applyFill="1" applyBorder="1" applyAlignment="1">
      <alignment horizontal="left" vertical="center"/>
    </xf>
    <xf numFmtId="0" fontId="19" fillId="0" borderId="10" xfId="37" applyFill="1" applyBorder="1" applyAlignment="1">
      <alignment horizontal="left" vertical="center"/>
    </xf>
    <xf numFmtId="0" fontId="19" fillId="0" borderId="63" xfId="37" applyFill="1" applyBorder="1" applyAlignment="1">
      <alignment horizontal="left" vertical="center"/>
    </xf>
    <xf numFmtId="0" fontId="19" fillId="0" borderId="3" xfId="37" applyFill="1" applyBorder="1" applyAlignment="1">
      <alignment horizontal="left" vertical="center"/>
    </xf>
    <xf numFmtId="0" fontId="19" fillId="0" borderId="8" xfId="37" applyFill="1" applyBorder="1" applyAlignment="1">
      <alignment horizontal="left" vertical="center"/>
    </xf>
    <xf numFmtId="0" fontId="19" fillId="24" borderId="64" xfId="37" applyFill="1" applyBorder="1" applyAlignment="1">
      <alignment horizontal="left" vertical="center"/>
    </xf>
    <xf numFmtId="0" fontId="19" fillId="24" borderId="2" xfId="37" applyFill="1" applyBorder="1" applyAlignment="1">
      <alignment horizontal="left" vertical="center"/>
    </xf>
    <xf numFmtId="0" fontId="19" fillId="24" borderId="10" xfId="37" applyFill="1" applyBorder="1" applyAlignment="1">
      <alignment horizontal="left" vertical="center"/>
    </xf>
    <xf numFmtId="0" fontId="19" fillId="24" borderId="63" xfId="37" applyFill="1" applyBorder="1" applyAlignment="1">
      <alignment horizontal="left" vertical="center"/>
    </xf>
    <xf numFmtId="0" fontId="19" fillId="24" borderId="3" xfId="37" applyFill="1" applyBorder="1" applyAlignment="1">
      <alignment horizontal="left" vertical="center"/>
    </xf>
    <xf numFmtId="0" fontId="19" fillId="24" borderId="8" xfId="37" applyFill="1" applyBorder="1" applyAlignment="1">
      <alignment horizontal="left" vertical="center"/>
    </xf>
    <xf numFmtId="165" fontId="0" fillId="0" borderId="9" xfId="0" applyNumberFormat="1" applyBorder="1" applyAlignment="1">
      <alignment horizontal="left" vertical="center"/>
    </xf>
    <xf numFmtId="0" fontId="0" fillId="26" borderId="16" xfId="0" applyFill="1" applyBorder="1" applyAlignment="1">
      <alignment horizontal="left" vertical="center"/>
    </xf>
    <xf numFmtId="0" fontId="0" fillId="26" borderId="17" xfId="0" applyFill="1" applyBorder="1" applyAlignment="1">
      <alignment horizontal="left" vertical="center"/>
    </xf>
    <xf numFmtId="0" fontId="0" fillId="5" borderId="59" xfId="0" applyFill="1" applyBorder="1" applyAlignment="1">
      <alignment horizontal="left" vertical="center"/>
    </xf>
    <xf numFmtId="0" fontId="0" fillId="5" borderId="7" xfId="0" applyFill="1" applyBorder="1" applyAlignment="1">
      <alignment horizontal="left" vertical="center"/>
    </xf>
    <xf numFmtId="165" fontId="0" fillId="25" borderId="9" xfId="0" applyNumberFormat="1" applyFill="1" applyBorder="1" applyAlignment="1">
      <alignment horizontal="left" vertical="center"/>
    </xf>
    <xf numFmtId="0" fontId="45" fillId="20" borderId="0" xfId="0" applyFont="1" applyFill="1" applyAlignment="1">
      <alignment horizontal="left" vertical="center"/>
    </xf>
    <xf numFmtId="0" fontId="6" fillId="3" borderId="31" xfId="0" applyFont="1" applyFill="1" applyBorder="1" applyAlignment="1">
      <alignment horizontal="left" vertical="center"/>
    </xf>
    <xf numFmtId="0" fontId="6" fillId="3" borderId="17" xfId="0" applyFont="1" applyFill="1" applyBorder="1" applyAlignment="1">
      <alignment horizontal="left" vertical="center"/>
    </xf>
    <xf numFmtId="0" fontId="32" fillId="20" borderId="59" xfId="0" applyFont="1" applyFill="1" applyBorder="1" applyAlignment="1">
      <alignment horizontal="left" vertical="center"/>
    </xf>
    <xf numFmtId="0" fontId="32" fillId="20" borderId="7" xfId="0" applyFont="1" applyFill="1" applyBorder="1" applyAlignment="1">
      <alignment horizontal="left" vertical="center"/>
    </xf>
    <xf numFmtId="0" fontId="32" fillId="20" borderId="13" xfId="0" applyFont="1" applyFill="1" applyBorder="1" applyAlignment="1">
      <alignment horizontal="left" vertical="center"/>
    </xf>
    <xf numFmtId="0" fontId="19" fillId="0" borderId="9" xfId="37" applyFill="1" applyBorder="1" applyAlignment="1">
      <alignment horizontal="left" vertical="center"/>
    </xf>
    <xf numFmtId="0" fontId="5" fillId="27" borderId="16" xfId="0" applyFont="1" applyFill="1" applyBorder="1" applyAlignment="1">
      <alignment horizontal="left" vertical="center"/>
    </xf>
    <xf numFmtId="0" fontId="0" fillId="24" borderId="42" xfId="0" applyFill="1" applyBorder="1" applyAlignment="1">
      <alignment horizontal="left" vertical="center"/>
    </xf>
    <xf numFmtId="0" fontId="0" fillId="24" borderId="52" xfId="0" applyFill="1" applyBorder="1" applyAlignment="1">
      <alignment horizontal="left" vertical="center"/>
    </xf>
    <xf numFmtId="0" fontId="0" fillId="24" borderId="66" xfId="0" applyFill="1" applyBorder="1" applyAlignment="1">
      <alignment horizontal="left" vertical="center"/>
    </xf>
    <xf numFmtId="0" fontId="0" fillId="24" borderId="67" xfId="0" applyFill="1" applyBorder="1" applyAlignment="1">
      <alignment horizontal="left" vertical="center"/>
    </xf>
    <xf numFmtId="0" fontId="0" fillId="24" borderId="22" xfId="0" applyFill="1" applyBorder="1" applyAlignment="1">
      <alignment horizontal="left" vertical="center"/>
    </xf>
    <xf numFmtId="0" fontId="0" fillId="24" borderId="69" xfId="0" applyFill="1" applyBorder="1" applyAlignment="1">
      <alignment horizontal="left" vertical="center"/>
    </xf>
    <xf numFmtId="0" fontId="7" fillId="5" borderId="64" xfId="0" applyFont="1" applyFill="1" applyBorder="1" applyAlignment="1">
      <alignment horizontal="left" vertical="center"/>
    </xf>
    <xf numFmtId="0" fontId="7" fillId="5" borderId="2" xfId="0" applyFont="1" applyFill="1" applyBorder="1" applyAlignment="1">
      <alignment horizontal="left" vertical="center"/>
    </xf>
    <xf numFmtId="0" fontId="7" fillId="5" borderId="10" xfId="0" applyFont="1" applyFill="1" applyBorder="1" applyAlignment="1">
      <alignment horizontal="left" vertical="center"/>
    </xf>
    <xf numFmtId="0" fontId="6" fillId="4" borderId="31" xfId="0" applyFont="1" applyFill="1" applyBorder="1" applyAlignment="1">
      <alignment horizontal="left" vertical="center" wrapText="1"/>
    </xf>
    <xf numFmtId="0" fontId="6" fillId="4" borderId="17" xfId="0" applyFont="1" applyFill="1" applyBorder="1" applyAlignment="1">
      <alignment horizontal="left" vertical="center" wrapText="1"/>
    </xf>
    <xf numFmtId="0" fontId="5" fillId="27" borderId="31" xfId="0" applyFont="1" applyFill="1" applyBorder="1" applyAlignment="1">
      <alignment horizontal="left" vertical="center"/>
    </xf>
    <xf numFmtId="165" fontId="0" fillId="0" borderId="9" xfId="0" applyNumberFormat="1" applyBorder="1" applyAlignment="1">
      <alignment horizontal="center" vertical="center"/>
    </xf>
    <xf numFmtId="0" fontId="6" fillId="27" borderId="9" xfId="0" applyFont="1" applyFill="1" applyBorder="1" applyAlignment="1">
      <alignment horizontal="center" vertical="center"/>
    </xf>
    <xf numFmtId="0" fontId="6" fillId="27" borderId="9" xfId="0" applyFont="1" applyFill="1" applyBorder="1" applyAlignment="1">
      <alignment horizontal="left" vertical="center"/>
    </xf>
    <xf numFmtId="0" fontId="7" fillId="0" borderId="7" xfId="0" applyFont="1" applyBorder="1" applyAlignment="1">
      <alignment horizontal="left" vertical="center"/>
    </xf>
    <xf numFmtId="0" fontId="19" fillId="0" borderId="59" xfId="37" applyFill="1" applyBorder="1" applyAlignment="1">
      <alignment horizontal="left" vertical="center"/>
    </xf>
    <xf numFmtId="0" fontId="19" fillId="0" borderId="7" xfId="37" applyFill="1" applyBorder="1" applyAlignment="1">
      <alignment horizontal="left" vertical="center"/>
    </xf>
    <xf numFmtId="0" fontId="19" fillId="0" borderId="13" xfId="37" applyFill="1" applyBorder="1" applyAlignment="1">
      <alignment horizontal="left" vertical="center"/>
    </xf>
    <xf numFmtId="0" fontId="6" fillId="27" borderId="59" xfId="0" applyFont="1" applyFill="1" applyBorder="1" applyAlignment="1">
      <alignment horizontal="left" vertical="center"/>
    </xf>
    <xf numFmtId="0" fontId="6" fillId="27" borderId="7" xfId="0" applyFont="1" applyFill="1" applyBorder="1" applyAlignment="1">
      <alignment horizontal="left" vertical="center"/>
    </xf>
    <xf numFmtId="0" fontId="6" fillId="27" borderId="13" xfId="0" applyFont="1" applyFill="1" applyBorder="1" applyAlignment="1">
      <alignment horizontal="left" vertical="center"/>
    </xf>
    <xf numFmtId="0" fontId="41" fillId="31" borderId="79" xfId="29" applyFont="1" applyFill="1" applyBorder="1" applyAlignment="1">
      <alignment horizontal="left" vertical="center"/>
    </xf>
    <xf numFmtId="0" fontId="5" fillId="7" borderId="15" xfId="0" applyFont="1" applyFill="1" applyBorder="1" applyAlignment="1">
      <alignment horizontal="left" vertical="center"/>
    </xf>
    <xf numFmtId="0" fontId="5" fillId="7" borderId="39" xfId="0" applyFont="1" applyFill="1" applyBorder="1" applyAlignment="1">
      <alignment horizontal="left" vertical="center"/>
    </xf>
    <xf numFmtId="0" fontId="17" fillId="20" borderId="42" xfId="0" applyFont="1" applyFill="1" applyBorder="1" applyAlignment="1">
      <alignment horizontal="left" vertical="center"/>
    </xf>
    <xf numFmtId="0" fontId="17" fillId="20" borderId="18" xfId="0" applyFont="1" applyFill="1" applyBorder="1" applyAlignment="1">
      <alignment horizontal="left" vertical="center"/>
    </xf>
    <xf numFmtId="0" fontId="17" fillId="20" borderId="52" xfId="0" applyFont="1" applyFill="1" applyBorder="1" applyAlignment="1">
      <alignment horizontal="left" vertical="center"/>
    </xf>
    <xf numFmtId="0" fontId="17" fillId="20" borderId="55" xfId="0" applyFont="1" applyFill="1" applyBorder="1" applyAlignment="1">
      <alignment horizontal="left" vertical="center"/>
    </xf>
    <xf numFmtId="0" fontId="17" fillId="20" borderId="56" xfId="0" applyFont="1" applyFill="1" applyBorder="1" applyAlignment="1">
      <alignment horizontal="left" vertical="center"/>
    </xf>
    <xf numFmtId="0" fontId="17" fillId="20" borderId="54" xfId="0" applyFont="1" applyFill="1" applyBorder="1" applyAlignment="1">
      <alignment horizontal="left" vertical="center"/>
    </xf>
    <xf numFmtId="169" fontId="18" fillId="0" borderId="7" xfId="0" applyNumberFormat="1" applyFont="1" applyBorder="1" applyAlignment="1">
      <alignment horizontal="left" vertical="center"/>
    </xf>
  </cellXfs>
  <cellStyles count="106">
    <cellStyle name="20% - Accent2" xfId="42" builtinId="34"/>
    <cellStyle name="20% - Accent3" xfId="43" builtinId="38"/>
    <cellStyle name="20% - Accent5" xfId="44" builtinId="46"/>
    <cellStyle name="20% - Accent6" xfId="45" builtinId="50"/>
    <cellStyle name="60% - Accent2" xfId="48" builtinId="36"/>
    <cellStyle name="60% - Accent4" xfId="49" builtinId="44"/>
    <cellStyle name="Accent1" xfId="50" builtinId="29"/>
    <cellStyle name="Accent4" xfId="104" builtinId="41"/>
    <cellStyle name="Accent5" xfId="105" builtinId="45"/>
    <cellStyle name="Bad" xfId="51" builtinId="27"/>
    <cellStyle name="Bad 2" xfId="39" xr:uid="{999C7675-14EA-484B-B14F-118DFBF2E243}"/>
    <cellStyle name="Calculation" xfId="103" builtinId="22"/>
    <cellStyle name="Changed by RIVM" xfId="52" xr:uid="{0121584D-CBBB-4C96-8FF9-0183C72D5AAA}"/>
    <cellStyle name="Comma [0] 2" xfId="32" xr:uid="{62CC1D3C-E6DD-4FB3-86A4-51ECDCBE8EC1}"/>
    <cellStyle name="Currency 2" xfId="2" xr:uid="{00000000-0005-0000-0000-000000000000}"/>
    <cellStyle name="Currency 2 2" xfId="8" xr:uid="{00000000-0005-0000-0000-000001000000}"/>
    <cellStyle name="Currency 2 2 2" xfId="21" xr:uid="{00000000-0005-0000-0000-000002000000}"/>
    <cellStyle name="Currency 2 2 2 2" xfId="53" xr:uid="{4441205C-3B7A-495D-AFBE-4E2049E32149}"/>
    <cellStyle name="Currency 2 2 2 3" xfId="54" xr:uid="{60B32AEC-D421-4305-8D4A-A04B07998DF6}"/>
    <cellStyle name="Currency 2 2 3" xfId="55" xr:uid="{27E1AC30-1DC6-41C3-AB76-2398B6228A2F}"/>
    <cellStyle name="Currency 2 2 4" xfId="56" xr:uid="{CBC3413C-C3C1-45E2-9841-0A09983030F1}"/>
    <cellStyle name="Currency 2 3" xfId="15" xr:uid="{00000000-0005-0000-0000-000003000000}"/>
    <cellStyle name="Currency 2 3 2" xfId="57" xr:uid="{74DE03F8-22DD-40DC-AEAD-722AF3FB58FF}"/>
    <cellStyle name="Currency 2 3 3" xfId="58" xr:uid="{4984B169-95D6-48E5-91C9-B8E19198EE23}"/>
    <cellStyle name="Currency 2 4" xfId="59" xr:uid="{0959CB29-3440-4E89-86FF-5C40D6D7266A}"/>
    <cellStyle name="Currency 2 5" xfId="60" xr:uid="{F68C8184-8D59-4E32-B65F-D270B821B5F7}"/>
    <cellStyle name="Currency 3" xfId="4" xr:uid="{00000000-0005-0000-0000-000004000000}"/>
    <cellStyle name="Currency 3 2" xfId="10" xr:uid="{00000000-0005-0000-0000-000005000000}"/>
    <cellStyle name="Currency 3 2 2" xfId="23" xr:uid="{00000000-0005-0000-0000-000006000000}"/>
    <cellStyle name="Currency 3 2 2 2" xfId="61" xr:uid="{DDF48D6B-F1C0-460F-B791-E5EA31AA32F3}"/>
    <cellStyle name="Currency 3 2 2 3" xfId="62" xr:uid="{A7CE5E41-0174-44D8-965D-B43EA05B197C}"/>
    <cellStyle name="Currency 3 2 3" xfId="63" xr:uid="{03486E3C-0332-4131-8002-8D4E743E71C2}"/>
    <cellStyle name="Currency 3 2 4" xfId="64" xr:uid="{85BB50D6-2467-4946-A9A2-52AFD9AC33B6}"/>
    <cellStyle name="Currency 3 3" xfId="17" xr:uid="{00000000-0005-0000-0000-000007000000}"/>
    <cellStyle name="Currency 3 3 2" xfId="65" xr:uid="{E18267B4-0C12-4B1B-9BD2-69E3A5DF2ED7}"/>
    <cellStyle name="Currency 3 3 3" xfId="66" xr:uid="{B9F06E45-141F-492A-AE19-2D72202C687C}"/>
    <cellStyle name="Currency 3 4" xfId="67" xr:uid="{3CAAA311-4B1B-4177-9207-CCF0D17503BC}"/>
    <cellStyle name="Currency 3 5" xfId="68" xr:uid="{B23DEDAF-59F5-47B5-B174-A0F0D1FBEB9C}"/>
    <cellStyle name="Currency 4" xfId="6" xr:uid="{00000000-0005-0000-0000-000008000000}"/>
    <cellStyle name="Currency 4 2" xfId="12" xr:uid="{00000000-0005-0000-0000-000009000000}"/>
    <cellStyle name="Currency 4 2 2" xfId="25" xr:uid="{00000000-0005-0000-0000-00000A000000}"/>
    <cellStyle name="Currency 4 2 2 2" xfId="69" xr:uid="{0366D073-CB18-45D0-AEE3-BD9E914E56D3}"/>
    <cellStyle name="Currency 4 2 2 3" xfId="70" xr:uid="{3AD37EF5-5284-4151-9FC2-3E6E1E48CEBA}"/>
    <cellStyle name="Currency 4 2 3" xfId="71" xr:uid="{84BFB6E3-31CC-4FF8-B601-64C74C199081}"/>
    <cellStyle name="Currency 4 2 4" xfId="72" xr:uid="{4E891575-5A0C-4099-A05C-141B9B49841A}"/>
    <cellStyle name="Currency 4 3" xfId="19" xr:uid="{00000000-0005-0000-0000-00000B000000}"/>
    <cellStyle name="Currency 4 3 2" xfId="73" xr:uid="{193A46AC-5524-4F58-8F33-0F13CEDB3E76}"/>
    <cellStyle name="Currency 4 3 3" xfId="74" xr:uid="{5993F58F-307F-493C-935B-8D6BD365F461}"/>
    <cellStyle name="Currency 4 4" xfId="75" xr:uid="{82FE1CE1-743F-4EA1-87D0-623D97632C0D}"/>
    <cellStyle name="Currency 4 5" xfId="76" xr:uid="{E9C9E295-AD09-4BA6-8178-65E9D7B08B8F}"/>
    <cellStyle name="Currency 5" xfId="27" xr:uid="{00000000-0005-0000-0000-00000C000000}"/>
    <cellStyle name="Date" xfId="33" xr:uid="{13227656-C606-451B-8B04-9D8807AEEF1A}"/>
    <cellStyle name="Good" xfId="46" builtinId="26"/>
    <cellStyle name="Heading 1 2" xfId="30" xr:uid="{876D29DD-4C64-4561-A70C-9CE8D1664B51}"/>
    <cellStyle name="Heading 3" xfId="41" builtinId="18"/>
    <cellStyle name="Heading 3 2" xfId="35" xr:uid="{ED55513B-6757-4B3C-A9BA-E3C360FD61ED}"/>
    <cellStyle name="Hyperlink" xfId="37" builtinId="8"/>
    <cellStyle name="Input" xfId="40" builtinId="20"/>
    <cellStyle name="Input 2" xfId="38" xr:uid="{8234E3CA-C7DF-4E75-9602-9530D3E8936D}"/>
    <cellStyle name="Normal" xfId="0" builtinId="0"/>
    <cellStyle name="Normal 2" xfId="1" xr:uid="{00000000-0005-0000-0000-00000E000000}"/>
    <cellStyle name="Normal 2 2" xfId="7" xr:uid="{00000000-0005-0000-0000-00000F000000}"/>
    <cellStyle name="Normal 2 2 2" xfId="20" xr:uid="{00000000-0005-0000-0000-000010000000}"/>
    <cellStyle name="Normal 2 2 2 2" xfId="77" xr:uid="{E836C89C-45D5-445B-AB9A-615B358D42FE}"/>
    <cellStyle name="Normal 2 2 2 3" xfId="78" xr:uid="{18567EEB-6217-4532-B132-F0F2B2CAFE14}"/>
    <cellStyle name="Normal 2 2 3" xfId="79" xr:uid="{95ABDB91-3660-4DB5-8BA0-BA80D59FE0B7}"/>
    <cellStyle name="Normal 2 2 4" xfId="80" xr:uid="{8EF4B5A1-9792-4C8A-9ABB-0408691BB355}"/>
    <cellStyle name="Normal 2 3" xfId="14" xr:uid="{00000000-0005-0000-0000-000011000000}"/>
    <cellStyle name="Normal 2 3 2" xfId="81" xr:uid="{74117AA4-DDA2-475E-84C3-37CC1352F486}"/>
    <cellStyle name="Normal 2 3 3" xfId="82" xr:uid="{05DA02C7-89FE-4948-837F-ED0DC3A7B735}"/>
    <cellStyle name="Normal 2 4" xfId="83" xr:uid="{76F614EB-C017-4E58-B6E6-33EBB7B0B5AF}"/>
    <cellStyle name="Normal 2 5" xfId="84" xr:uid="{7BC5996F-3FE1-405A-80FE-A65F233C61A0}"/>
    <cellStyle name="Normal 3" xfId="3" xr:uid="{00000000-0005-0000-0000-000012000000}"/>
    <cellStyle name="Normal 3 2" xfId="9" xr:uid="{00000000-0005-0000-0000-000013000000}"/>
    <cellStyle name="Normal 3 2 2" xfId="22" xr:uid="{00000000-0005-0000-0000-000014000000}"/>
    <cellStyle name="Normal 3 2 2 2" xfId="85" xr:uid="{865AF574-C291-4933-B65D-984FF88818F0}"/>
    <cellStyle name="Normal 3 2 2 3" xfId="86" xr:uid="{02B8EA34-8B49-4724-8A15-CBEDF1DE82EB}"/>
    <cellStyle name="Normal 3 2 3" xfId="87" xr:uid="{469B2650-0A74-4A51-B7D9-D34FCF951FFD}"/>
    <cellStyle name="Normal 3 2 4" xfId="88" xr:uid="{E982FF70-C631-4BAE-91C9-84E44D2BD653}"/>
    <cellStyle name="Normal 3 3" xfId="16" xr:uid="{00000000-0005-0000-0000-000015000000}"/>
    <cellStyle name="Normal 3 3 2" xfId="89" xr:uid="{825ADFB2-E216-479C-AAFD-7A0DFA357924}"/>
    <cellStyle name="Normal 3 3 3" xfId="90" xr:uid="{EBCF7A3E-550A-4C56-A796-2089C76AD245}"/>
    <cellStyle name="Normal 3 4" xfId="91" xr:uid="{6652DF51-2510-48DB-8F87-FE44ECAD6D80}"/>
    <cellStyle name="Normal 3 5" xfId="92" xr:uid="{EEE6786F-A1C6-42AE-A090-48494A364C5C}"/>
    <cellStyle name="Normal 4" xfId="5" xr:uid="{00000000-0005-0000-0000-000016000000}"/>
    <cellStyle name="Normal 4 2" xfId="11" xr:uid="{00000000-0005-0000-0000-000017000000}"/>
    <cellStyle name="Normal 4 2 2" xfId="24" xr:uid="{00000000-0005-0000-0000-000018000000}"/>
    <cellStyle name="Normal 4 2 2 2" xfId="93" xr:uid="{13AF8EBC-B479-4878-A31F-19061B7E878D}"/>
    <cellStyle name="Normal 4 2 2 3" xfId="94" xr:uid="{7E251151-D736-4ABD-B2A1-5C0AB1B56D0E}"/>
    <cellStyle name="Normal 4 2 3" xfId="95" xr:uid="{EA1F5AA3-770F-476F-A773-C89FF900E622}"/>
    <cellStyle name="Normal 4 2 4" xfId="96" xr:uid="{FEA09008-00B8-4B1E-9C55-4E4C8A087C61}"/>
    <cellStyle name="Normal 4 3" xfId="18" xr:uid="{00000000-0005-0000-0000-000019000000}"/>
    <cellStyle name="Normal 4 3 2" xfId="97" xr:uid="{5520A197-3206-4DB1-BE82-443130DDA858}"/>
    <cellStyle name="Normal 4 3 3" xfId="98" xr:uid="{CE62EDDD-A5BC-4863-B705-58713BAFAB18}"/>
    <cellStyle name="Normal 4 4" xfId="99" xr:uid="{8F1D38D5-0E19-4412-B4D1-1A9F09120DC6}"/>
    <cellStyle name="Normal 4 5" xfId="100" xr:uid="{83B47DFA-4E31-45B4-9A2F-F84370CE9403}"/>
    <cellStyle name="Normal 5" xfId="13" xr:uid="{00000000-0005-0000-0000-00001A000000}"/>
    <cellStyle name="Normal 5 2" xfId="101" xr:uid="{9EFEC55F-3A26-48C7-A5F0-6DBBB5559648}"/>
    <cellStyle name="Normal 5 3" xfId="102" xr:uid="{7069C1FE-9643-4B92-ABDE-ADA7866002F8}"/>
    <cellStyle name="Normal 6" xfId="26" xr:uid="{00000000-0005-0000-0000-00001B000000}"/>
    <cellStyle name="Normal 7" xfId="28" xr:uid="{00000000-0005-0000-0000-00001C000000}"/>
    <cellStyle name="Normal 8" xfId="29" xr:uid="{00000000-0005-0000-0000-00001D000000}"/>
    <cellStyle name="Percent" xfId="47" builtinId="5"/>
    <cellStyle name="Percent 2" xfId="34" xr:uid="{F57E4D53-A540-4A00-B516-07E1180C4A88}"/>
    <cellStyle name="Title 2" xfId="36" xr:uid="{935189B4-4036-4BC7-A04A-71E74F62010F}"/>
    <cellStyle name="zHiddenText" xfId="31" xr:uid="{B105E5D3-1F8C-4131-A627-6C32EDDF3257}"/>
  </cellStyles>
  <dxfs count="205">
    <dxf>
      <font>
        <color rgb="FF9C0006"/>
      </font>
      <fill>
        <patternFill>
          <bgColor rgb="FFFFC7CE"/>
        </patternFill>
      </fill>
    </dxf>
    <dxf>
      <font>
        <color rgb="FF9C0006"/>
      </font>
      <fill>
        <patternFill>
          <bgColor rgb="FFFFC7CE"/>
        </patternFill>
      </fill>
    </dxf>
    <dxf>
      <font>
        <color theme="7" tint="-0.499984740745262"/>
      </font>
      <fill>
        <patternFill>
          <bgColor theme="7"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theme="7" tint="-0.499984740745262"/>
      </font>
      <fill>
        <patternFill>
          <bgColor theme="7" tint="0.59996337778862885"/>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theme="7" tint="-0.499984740745262"/>
      </font>
      <fill>
        <patternFill>
          <bgColor theme="7" tint="0.79998168889431442"/>
        </patternFill>
      </fill>
    </dxf>
    <dxf>
      <font>
        <color rgb="FF006100"/>
      </font>
      <fill>
        <patternFill>
          <bgColor rgb="FFC6EFCE"/>
        </patternFill>
      </fill>
    </dxf>
    <dxf>
      <fill>
        <patternFill>
          <bgColor rgb="FFFF0000"/>
        </patternFill>
      </fill>
    </dxf>
    <dxf>
      <fill>
        <patternFill>
          <bgColor theme="0" tint="-0.24994659260841701"/>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0" tint="-0.24994659260841701"/>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theme="0" tint="-0.14996795556505021"/>
        </patternFill>
      </fill>
    </dxf>
    <dxf>
      <numFmt numFmtId="1" formatCode="0"/>
      <fill>
        <patternFill>
          <bgColor theme="0" tint="-0.14996795556505021"/>
        </patternFill>
      </fill>
    </dxf>
    <dxf>
      <numFmt numFmtId="1" formatCode="0"/>
      <fill>
        <patternFill>
          <bgColor theme="0" tint="-0.14996795556505021"/>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theme="0" tint="-0.24994659260841701"/>
        </patternFill>
      </fill>
    </dxf>
    <dxf>
      <numFmt numFmtId="0" formatCode="General"/>
    </dxf>
    <dxf>
      <numFmt numFmtId="175" formatCode="0.0E+00"/>
    </dxf>
    <dxf>
      <numFmt numFmtId="0" formatCode="General"/>
    </dxf>
    <dxf>
      <numFmt numFmtId="175" formatCode="0.0E+00"/>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9"/>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numFmt numFmtId="0" formatCode="General"/>
    </dxf>
    <dxf>
      <numFmt numFmtId="175" formatCode="0.0E+00"/>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fill>
        <patternFill>
          <bgColor theme="0" tint="-0.24994659260841701"/>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FF0000"/>
        </patternFill>
      </fill>
    </dxf>
    <dxf>
      <numFmt numFmtId="0" formatCode="General"/>
    </dxf>
    <dxf>
      <numFmt numFmtId="175" formatCode="0.0E+00"/>
    </dxf>
    <dxf>
      <fill>
        <patternFill>
          <bgColor theme="0" tint="-0.24994659260841701"/>
        </patternFill>
      </fill>
    </dxf>
    <dxf>
      <fill>
        <patternFill>
          <bgColor theme="0" tint="-0.24994659260841701"/>
        </patternFill>
      </fill>
    </dxf>
    <dxf>
      <fill>
        <patternFill>
          <bgColor rgb="FFFF0000"/>
        </patternFill>
      </fill>
    </dxf>
    <dxf>
      <numFmt numFmtId="0" formatCode="General"/>
    </dxf>
    <dxf>
      <numFmt numFmtId="175" formatCode="0.0E+00"/>
    </dxf>
    <dxf>
      <numFmt numFmtId="0" formatCode="General"/>
    </dxf>
    <dxf>
      <numFmt numFmtId="175" formatCode="0.0E+00"/>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3" defaultTableStyle="TableStyleMedium2" defaultPivotStyle="PivotStyleMedium9">
    <tableStyle name="Gantt Table Style" pivot="0" count="4" xr9:uid="{F8DC52C3-8AC9-49BD-B488-7203B235AAFB}">
      <tableStyleElement type="wholeTable" dxfId="204"/>
      <tableStyleElement type="headerRow" dxfId="203"/>
      <tableStyleElement type="firstRowStripe" dxfId="202"/>
      <tableStyleElement type="secondRowStripe" dxfId="201"/>
    </tableStyle>
    <tableStyle name="ToDoList" pivot="0" count="9" xr9:uid="{2DF133CA-7C3F-4FCB-A221-9418C1D283ED}">
      <tableStyleElement type="wholeTable" dxfId="200"/>
      <tableStyleElement type="headerRow" dxfId="199"/>
      <tableStyleElement type="totalRow" dxfId="198"/>
      <tableStyleElement type="firstColumn" dxfId="197"/>
      <tableStyleElement type="lastColumn" dxfId="196"/>
      <tableStyleElement type="firstRowStripe" dxfId="195"/>
      <tableStyleElement type="secondRowStripe" dxfId="194"/>
      <tableStyleElement type="firstColumnStripe" dxfId="193"/>
      <tableStyleElement type="secondColumnStripe" dxfId="192"/>
    </tableStyle>
    <tableStyle name="ToDoList 2" pivot="0" count="9" xr9:uid="{9535B582-56B3-4FB6-A5DA-8DE3CB0C9DCB}">
      <tableStyleElement type="wholeTable" dxfId="191"/>
      <tableStyleElement type="headerRow" dxfId="190"/>
      <tableStyleElement type="totalRow" dxfId="189"/>
      <tableStyleElement type="firstColumn" dxfId="188"/>
      <tableStyleElement type="lastColumn" dxfId="187"/>
      <tableStyleElement type="firstRowStripe" dxfId="186"/>
      <tableStyleElement type="secondRowStripe" dxfId="185"/>
      <tableStyleElement type="firstColumnStripe" dxfId="184"/>
      <tableStyleElement type="secondColumnStripe" dxfId="183"/>
    </tableStyle>
  </tableStyles>
  <colors>
    <mruColors>
      <color rgb="FFD8EEC0"/>
      <color rgb="FFFFA7A7"/>
      <color rgb="FF123EB7"/>
      <color rgb="FFFF0066"/>
      <color rgb="FF0066FF"/>
      <color rgb="FF3FCDFF"/>
      <color rgb="FFF19DCB"/>
      <color rgb="FFE961AB"/>
      <color rgb="FFE0248B"/>
      <color rgb="FFFF8B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87085</xdr:colOff>
      <xdr:row>3</xdr:row>
      <xdr:rowOff>97971</xdr:rowOff>
    </xdr:from>
    <xdr:to>
      <xdr:col>6</xdr:col>
      <xdr:colOff>411480</xdr:colOff>
      <xdr:row>3</xdr:row>
      <xdr:rowOff>2964180</xdr:rowOff>
    </xdr:to>
    <xdr:pic>
      <xdr:nvPicPr>
        <xdr:cNvPr id="3" name="Picture 2">
          <a:extLst>
            <a:ext uri="{FF2B5EF4-FFF2-40B4-BE49-F238E27FC236}">
              <a16:creationId xmlns:a16="http://schemas.microsoft.com/office/drawing/2014/main" id="{BCD9A301-CB43-44DF-BB3C-B7AD247EAC0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972" b="1371"/>
        <a:stretch/>
      </xdr:blipFill>
      <xdr:spPr bwMode="auto">
        <a:xfrm>
          <a:off x="7768045" y="1492431"/>
          <a:ext cx="3547655" cy="2866209"/>
        </a:xfrm>
        <a:prstGeom prst="rect">
          <a:avLst/>
        </a:prstGeom>
        <a:noFill/>
        <a:ln w="28575">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88899</xdr:colOff>
      <xdr:row>230</xdr:row>
      <xdr:rowOff>15874</xdr:rowOff>
    </xdr:from>
    <xdr:to>
      <xdr:col>6</xdr:col>
      <xdr:colOff>702316</xdr:colOff>
      <xdr:row>262</xdr:row>
      <xdr:rowOff>76198</xdr:rowOff>
    </xdr:to>
    <xdr:pic>
      <xdr:nvPicPr>
        <xdr:cNvPr id="4" name="Picture 1">
          <a:extLst>
            <a:ext uri="{FF2B5EF4-FFF2-40B4-BE49-F238E27FC236}">
              <a16:creationId xmlns:a16="http://schemas.microsoft.com/office/drawing/2014/main" id="{C013A948-D6A9-4434-B70A-E0D714D95C04}"/>
            </a:ext>
          </a:extLst>
        </xdr:cNvPr>
        <xdr:cNvPicPr>
          <a:picLocks noChangeAspect="1"/>
        </xdr:cNvPicPr>
      </xdr:nvPicPr>
      <xdr:blipFill>
        <a:blip xmlns:r="http://schemas.openxmlformats.org/officeDocument/2006/relationships" r:embed="rId1"/>
        <a:stretch>
          <a:fillRect/>
        </a:stretch>
      </xdr:blipFill>
      <xdr:spPr>
        <a:xfrm>
          <a:off x="88899" y="17877154"/>
          <a:ext cx="13727914" cy="5912485"/>
        </a:xfrm>
        <a:prstGeom prst="rect">
          <a:avLst/>
        </a:prstGeom>
      </xdr:spPr>
    </xdr:pic>
    <xdr:clientData/>
  </xdr:twoCellAnchor>
  <xdr:twoCellAnchor editAs="oneCell">
    <xdr:from>
      <xdr:col>0</xdr:col>
      <xdr:colOff>181771</xdr:colOff>
      <xdr:row>191</xdr:row>
      <xdr:rowOff>138175</xdr:rowOff>
    </xdr:from>
    <xdr:to>
      <xdr:col>4</xdr:col>
      <xdr:colOff>451310</xdr:colOff>
      <xdr:row>224</xdr:row>
      <xdr:rowOff>4104</xdr:rowOff>
    </xdr:to>
    <xdr:pic>
      <xdr:nvPicPr>
        <xdr:cNvPr id="2" name="Picture 1" descr="Chart&#10;&#10;Description automatically generated">
          <a:extLst>
            <a:ext uri="{FF2B5EF4-FFF2-40B4-BE49-F238E27FC236}">
              <a16:creationId xmlns:a16="http://schemas.microsoft.com/office/drawing/2014/main" id="{6106E21E-EE4D-0875-BE8D-4D3B9F25F6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771" y="39821706"/>
          <a:ext cx="9175414" cy="6152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1308101</xdr:colOff>
      <xdr:row>191</xdr:row>
      <xdr:rowOff>76200</xdr:rowOff>
    </xdr:from>
    <xdr:to>
      <xdr:col>13</xdr:col>
      <xdr:colOff>856144</xdr:colOff>
      <xdr:row>223</xdr:row>
      <xdr:rowOff>130724</xdr:rowOff>
    </xdr:to>
    <xdr:pic>
      <xdr:nvPicPr>
        <xdr:cNvPr id="3" name="Picture 2" descr="Chart&#10;&#10;Description automatically generated">
          <a:extLst>
            <a:ext uri="{FF2B5EF4-FFF2-40B4-BE49-F238E27FC236}">
              <a16:creationId xmlns:a16="http://schemas.microsoft.com/office/drawing/2014/main" id="{D1A56E22-E608-94FC-9A99-114F5CA74C7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02901" y="3657600"/>
          <a:ext cx="9579773"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254001</xdr:colOff>
      <xdr:row>145</xdr:row>
      <xdr:rowOff>50800</xdr:rowOff>
    </xdr:from>
    <xdr:to>
      <xdr:col>4</xdr:col>
      <xdr:colOff>856257</xdr:colOff>
      <xdr:row>177</xdr:row>
      <xdr:rowOff>97071</xdr:rowOff>
    </xdr:to>
    <xdr:pic>
      <xdr:nvPicPr>
        <xdr:cNvPr id="7" name="Picture 6" descr="Chart, diagram&#10;&#10;Description automatically generated">
          <a:extLst>
            <a:ext uri="{FF2B5EF4-FFF2-40B4-BE49-F238E27FC236}">
              <a16:creationId xmlns:a16="http://schemas.microsoft.com/office/drawing/2014/main" id="{E567960D-425E-CD78-71EA-62307EFE664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4001" y="2006600"/>
          <a:ext cx="9829441"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1308100</xdr:colOff>
      <xdr:row>145</xdr:row>
      <xdr:rowOff>114300</xdr:rowOff>
    </xdr:from>
    <xdr:to>
      <xdr:col>13</xdr:col>
      <xdr:colOff>970096</xdr:colOff>
      <xdr:row>177</xdr:row>
      <xdr:rowOff>149141</xdr:rowOff>
    </xdr:to>
    <xdr:pic>
      <xdr:nvPicPr>
        <xdr:cNvPr id="8" name="Picture 7" descr="Chart, diagram&#10;&#10;Description automatically generated">
          <a:extLst>
            <a:ext uri="{FF2B5EF4-FFF2-40B4-BE49-F238E27FC236}">
              <a16:creationId xmlns:a16="http://schemas.microsoft.com/office/drawing/2014/main" id="{207CA739-1A90-FCF6-3F40-06000F00488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502900" y="2070100"/>
          <a:ext cx="9682296" cy="57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Documents\GitHub\rivm-syso\DPMFA_NL_EU\MainInputFile_Textile_test_1.xlsx" TargetMode="External"/><Relationship Id="rId1" Type="http://schemas.openxmlformats.org/officeDocument/2006/relationships/externalLinkPath" Target="file:///N:\Documents\GitHub\rivm-syso\DPMFA_NL_EU\MainInputFile_Textile_test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Data Quality Indicators"/>
      <sheetName val="Materials"/>
      <sheetName val="Input_NL"/>
      <sheetName val="Input_EU"/>
      <sheetName val="Transfer coefficients"/>
      <sheetName val="Clothing"/>
      <sheetName val="Pellets"/>
      <sheetName val="Tyre wear"/>
      <sheetName val="Paints and Coatings"/>
      <sheetName val="Textiles"/>
      <sheetName val="Agriculture"/>
      <sheetName val="Intentionally_produced_MPs"/>
      <sheetName val="Packaging"/>
      <sheetName val="Recycling TCs"/>
      <sheetName val="Compost TCs"/>
      <sheetName val="Scaling tables"/>
      <sheetName val="Input projections"/>
      <sheetName val="Lifetimes"/>
      <sheetName val="Lifetimes_pairs"/>
      <sheetName val="Lifetimes_references"/>
      <sheetName val="Compartments"/>
      <sheetName val="Compartments_Kawecki&amp;Nowack19"/>
      <sheetName val="Compartments_Added"/>
      <sheetName val="Blad1"/>
      <sheetName val="Check_Compartments"/>
    </sheetNames>
    <sheetDataSet>
      <sheetData sheetId="0"/>
      <sheetData sheetId="1"/>
      <sheetData sheetId="2"/>
      <sheetData sheetId="3">
        <row r="812">
          <cell r="E812" t="str">
            <v>https://ec.europa.eu/eurostat/databrowser/view/DS-056120__custom_15192557/default/table?lang=en - Low estimate</v>
          </cell>
        </row>
      </sheetData>
      <sheetData sheetId="4"/>
      <sheetData sheetId="5"/>
      <sheetData sheetId="6">
        <row r="109">
          <cell r="B109">
            <v>2011</v>
          </cell>
          <cell r="C109" t="str">
            <v>Acryl</v>
          </cell>
          <cell r="K109">
            <v>128.00471822053382</v>
          </cell>
          <cell r="L109">
            <v>156.45021115843022</v>
          </cell>
          <cell r="O109">
            <v>1</v>
          </cell>
          <cell r="P109">
            <v>1</v>
          </cell>
          <cell r="Q109">
            <v>2</v>
          </cell>
          <cell r="R109">
            <v>2</v>
          </cell>
          <cell r="S109">
            <v>2</v>
          </cell>
        </row>
        <row r="110">
          <cell r="B110">
            <v>2011</v>
          </cell>
          <cell r="C110" t="str">
            <v>OTHER</v>
          </cell>
          <cell r="K110">
            <v>209.81733355425601</v>
          </cell>
          <cell r="L110">
            <v>256.44340767742403</v>
          </cell>
          <cell r="O110">
            <v>1</v>
          </cell>
          <cell r="P110">
            <v>1</v>
          </cell>
          <cell r="Q110">
            <v>2</v>
          </cell>
          <cell r="R110">
            <v>2</v>
          </cell>
          <cell r="S110">
            <v>2</v>
          </cell>
        </row>
        <row r="111">
          <cell r="B111">
            <v>2011</v>
          </cell>
          <cell r="C111" t="str">
            <v>PA</v>
          </cell>
          <cell r="K111">
            <v>280.47351795825369</v>
          </cell>
          <cell r="L111">
            <v>342.80096639342116</v>
          </cell>
          <cell r="O111">
            <v>1</v>
          </cell>
          <cell r="P111">
            <v>1</v>
          </cell>
          <cell r="Q111">
            <v>2</v>
          </cell>
          <cell r="R111">
            <v>2</v>
          </cell>
          <cell r="S111">
            <v>2</v>
          </cell>
        </row>
        <row r="112">
          <cell r="B112">
            <v>2011</v>
          </cell>
          <cell r="C112" t="str">
            <v>PET</v>
          </cell>
          <cell r="K112">
            <v>1255.6099534356335</v>
          </cell>
          <cell r="L112">
            <v>1534.6343875324412</v>
          </cell>
          <cell r="O112">
            <v>1</v>
          </cell>
          <cell r="P112">
            <v>1</v>
          </cell>
          <cell r="Q112">
            <v>2</v>
          </cell>
          <cell r="R112">
            <v>2</v>
          </cell>
          <cell r="S112">
            <v>2</v>
          </cell>
        </row>
        <row r="113">
          <cell r="B113">
            <v>2011</v>
          </cell>
          <cell r="C113" t="str">
            <v>PUR</v>
          </cell>
          <cell r="K113">
            <v>152.60514814044893</v>
          </cell>
          <cell r="L113">
            <v>186.51740328277091</v>
          </cell>
          <cell r="O113">
            <v>1</v>
          </cell>
          <cell r="P113">
            <v>1</v>
          </cell>
          <cell r="Q113">
            <v>2</v>
          </cell>
          <cell r="R113">
            <v>2</v>
          </cell>
          <cell r="S113">
            <v>2</v>
          </cell>
        </row>
        <row r="114">
          <cell r="B114">
            <v>2011</v>
          </cell>
          <cell r="C114" t="str">
            <v>PVC</v>
          </cell>
          <cell r="K114">
            <v>99.107873413830859</v>
          </cell>
          <cell r="L114">
            <v>121.13184528357107</v>
          </cell>
          <cell r="O114">
            <v>1</v>
          </cell>
          <cell r="P114">
            <v>1</v>
          </cell>
          <cell r="Q114">
            <v>2</v>
          </cell>
          <cell r="R114">
            <v>2</v>
          </cell>
          <cell r="S114">
            <v>2</v>
          </cell>
        </row>
        <row r="115">
          <cell r="B115">
            <v>2011</v>
          </cell>
          <cell r="C115" t="str">
            <v>RUBBER</v>
          </cell>
          <cell r="K115">
            <v>215.80381803166551</v>
          </cell>
          <cell r="L115">
            <v>263.7602220387023</v>
          </cell>
          <cell r="O115">
            <v>1</v>
          </cell>
          <cell r="P115">
            <v>1</v>
          </cell>
          <cell r="Q115">
            <v>2</v>
          </cell>
          <cell r="R115">
            <v>2</v>
          </cell>
          <cell r="S115">
            <v>2</v>
          </cell>
        </row>
        <row r="116">
          <cell r="B116">
            <v>2012</v>
          </cell>
          <cell r="C116" t="str">
            <v>Acryl</v>
          </cell>
          <cell r="K116">
            <v>95.679475975761164</v>
          </cell>
          <cell r="L116">
            <v>116.94158174815253</v>
          </cell>
          <cell r="O116">
            <v>1</v>
          </cell>
          <cell r="P116">
            <v>1</v>
          </cell>
          <cell r="Q116">
            <v>2</v>
          </cell>
          <cell r="R116">
            <v>2</v>
          </cell>
          <cell r="S116">
            <v>2</v>
          </cell>
        </row>
        <row r="117">
          <cell r="B117">
            <v>2012</v>
          </cell>
          <cell r="C117" t="str">
            <v>OTHER</v>
          </cell>
          <cell r="K117">
            <v>165.87520937884773</v>
          </cell>
          <cell r="L117">
            <v>202.73636701859166</v>
          </cell>
          <cell r="O117">
            <v>1</v>
          </cell>
          <cell r="P117">
            <v>1</v>
          </cell>
          <cell r="Q117">
            <v>2</v>
          </cell>
          <cell r="R117">
            <v>2</v>
          </cell>
          <cell r="S117">
            <v>2</v>
          </cell>
        </row>
        <row r="118">
          <cell r="B118">
            <v>2012</v>
          </cell>
          <cell r="C118" t="str">
            <v>PA</v>
          </cell>
          <cell r="K118">
            <v>203.80363075095224</v>
          </cell>
          <cell r="L118">
            <v>249.09332647338607</v>
          </cell>
          <cell r="O118">
            <v>1</v>
          </cell>
          <cell r="P118">
            <v>1</v>
          </cell>
          <cell r="Q118">
            <v>2</v>
          </cell>
          <cell r="R118">
            <v>2</v>
          </cell>
          <cell r="S118">
            <v>2</v>
          </cell>
        </row>
        <row r="119">
          <cell r="B119">
            <v>2012</v>
          </cell>
          <cell r="C119" t="str">
            <v>PET</v>
          </cell>
          <cell r="K119">
            <v>1074.6175373409505</v>
          </cell>
          <cell r="L119">
            <v>1313.4214345278285</v>
          </cell>
          <cell r="O119">
            <v>1</v>
          </cell>
          <cell r="P119">
            <v>1</v>
          </cell>
          <cell r="Q119">
            <v>2</v>
          </cell>
          <cell r="R119">
            <v>2</v>
          </cell>
          <cell r="S119">
            <v>2</v>
          </cell>
        </row>
        <row r="120">
          <cell r="B120">
            <v>2012</v>
          </cell>
          <cell r="C120" t="str">
            <v>PUR</v>
          </cell>
          <cell r="K120">
            <v>136.00551465713366</v>
          </cell>
          <cell r="L120">
            <v>166.22896235871892</v>
          </cell>
          <cell r="O120">
            <v>1</v>
          </cell>
          <cell r="P120">
            <v>1</v>
          </cell>
          <cell r="Q120">
            <v>2</v>
          </cell>
          <cell r="R120">
            <v>2</v>
          </cell>
          <cell r="S120">
            <v>2</v>
          </cell>
        </row>
        <row r="121">
          <cell r="B121">
            <v>2012</v>
          </cell>
          <cell r="C121" t="str">
            <v>PVC</v>
          </cell>
          <cell r="K121">
            <v>87.815772141648651</v>
          </cell>
          <cell r="L121">
            <v>107.33038817312612</v>
          </cell>
          <cell r="O121">
            <v>1</v>
          </cell>
          <cell r="P121">
            <v>1</v>
          </cell>
          <cell r="Q121">
            <v>2</v>
          </cell>
          <cell r="R121">
            <v>2</v>
          </cell>
          <cell r="S121">
            <v>2</v>
          </cell>
        </row>
        <row r="122">
          <cell r="B122">
            <v>2012</v>
          </cell>
          <cell r="C122" t="str">
            <v>RUBBER</v>
          </cell>
          <cell r="K122">
            <v>186.02629325631176</v>
          </cell>
          <cell r="L122">
            <v>227.36546953549217</v>
          </cell>
          <cell r="O122">
            <v>1</v>
          </cell>
          <cell r="P122">
            <v>1</v>
          </cell>
          <cell r="Q122">
            <v>2</v>
          </cell>
          <cell r="R122">
            <v>2</v>
          </cell>
          <cell r="S122">
            <v>2</v>
          </cell>
        </row>
        <row r="123">
          <cell r="B123">
            <v>2013</v>
          </cell>
          <cell r="C123" t="str">
            <v>Acryl</v>
          </cell>
          <cell r="K123">
            <v>101.37217451932561</v>
          </cell>
          <cell r="L123">
            <v>123.89932441250909</v>
          </cell>
          <cell r="O123">
            <v>1</v>
          </cell>
          <cell r="P123">
            <v>1</v>
          </cell>
          <cell r="Q123">
            <v>2</v>
          </cell>
          <cell r="R123">
            <v>2</v>
          </cell>
          <cell r="S123">
            <v>2</v>
          </cell>
        </row>
        <row r="124">
          <cell r="B124">
            <v>2013</v>
          </cell>
          <cell r="C124" t="str">
            <v>OTHER</v>
          </cell>
          <cell r="K124">
            <v>172.72011454363258</v>
          </cell>
          <cell r="L124">
            <v>211.1023622199954</v>
          </cell>
          <cell r="O124">
            <v>1</v>
          </cell>
          <cell r="P124">
            <v>1</v>
          </cell>
          <cell r="Q124">
            <v>2</v>
          </cell>
          <cell r="R124">
            <v>2</v>
          </cell>
          <cell r="S124">
            <v>2</v>
          </cell>
        </row>
        <row r="125">
          <cell r="B125">
            <v>2013</v>
          </cell>
          <cell r="C125" t="str">
            <v>PA</v>
          </cell>
          <cell r="K125">
            <v>213.02135330109527</v>
          </cell>
          <cell r="L125">
            <v>260.35943181244977</v>
          </cell>
          <cell r="O125">
            <v>1</v>
          </cell>
          <cell r="P125">
            <v>1</v>
          </cell>
          <cell r="Q125">
            <v>2</v>
          </cell>
          <cell r="R125">
            <v>2</v>
          </cell>
          <cell r="S125">
            <v>2</v>
          </cell>
        </row>
        <row r="126">
          <cell r="B126">
            <v>2013</v>
          </cell>
          <cell r="C126" t="str">
            <v>PET</v>
          </cell>
          <cell r="K126">
            <v>1129.5225554743433</v>
          </cell>
          <cell r="L126">
            <v>1380.5275678019752</v>
          </cell>
          <cell r="O126">
            <v>1</v>
          </cell>
          <cell r="P126">
            <v>1</v>
          </cell>
          <cell r="Q126">
            <v>2</v>
          </cell>
          <cell r="R126">
            <v>2</v>
          </cell>
          <cell r="S126">
            <v>2</v>
          </cell>
        </row>
        <row r="127">
          <cell r="B127">
            <v>2013</v>
          </cell>
          <cell r="C127" t="str">
            <v>PUR</v>
          </cell>
          <cell r="K127">
            <v>139.32868413165403</v>
          </cell>
          <cell r="L127">
            <v>170.29061393868827</v>
          </cell>
          <cell r="O127">
            <v>1</v>
          </cell>
          <cell r="P127">
            <v>1</v>
          </cell>
          <cell r="Q127">
            <v>2</v>
          </cell>
          <cell r="R127">
            <v>2</v>
          </cell>
          <cell r="S127">
            <v>2</v>
          </cell>
        </row>
        <row r="128">
          <cell r="B128">
            <v>2013</v>
          </cell>
          <cell r="C128" t="str">
            <v>PVC</v>
          </cell>
          <cell r="K128">
            <v>90.048788857326286</v>
          </cell>
          <cell r="L128">
            <v>110.05963082562103</v>
          </cell>
          <cell r="O128">
            <v>1</v>
          </cell>
          <cell r="P128">
            <v>1</v>
          </cell>
          <cell r="Q128">
            <v>2</v>
          </cell>
          <cell r="R128">
            <v>2</v>
          </cell>
          <cell r="S128">
            <v>2</v>
          </cell>
        </row>
        <row r="129">
          <cell r="B129">
            <v>2013</v>
          </cell>
          <cell r="C129" t="str">
            <v>RUBBER</v>
          </cell>
          <cell r="K129">
            <v>191.98337676717932</v>
          </cell>
          <cell r="L129">
            <v>234.64634938210807</v>
          </cell>
          <cell r="O129">
            <v>1</v>
          </cell>
          <cell r="P129">
            <v>1</v>
          </cell>
          <cell r="Q129">
            <v>2</v>
          </cell>
          <cell r="R129">
            <v>2</v>
          </cell>
          <cell r="S129">
            <v>2</v>
          </cell>
        </row>
        <row r="130">
          <cell r="B130">
            <v>2014</v>
          </cell>
          <cell r="C130" t="str">
            <v>Acryl</v>
          </cell>
          <cell r="K130">
            <v>114.60964804554116</v>
          </cell>
          <cell r="L130">
            <v>140.07845872232809</v>
          </cell>
          <cell r="O130">
            <v>1</v>
          </cell>
          <cell r="P130">
            <v>1</v>
          </cell>
          <cell r="Q130">
            <v>2</v>
          </cell>
          <cell r="R130">
            <v>2</v>
          </cell>
          <cell r="S130">
            <v>2</v>
          </cell>
        </row>
        <row r="131">
          <cell r="B131">
            <v>2014</v>
          </cell>
          <cell r="C131" t="str">
            <v>OTHER</v>
          </cell>
          <cell r="K131">
            <v>190.75321928450364</v>
          </cell>
          <cell r="L131">
            <v>233.14282356994889</v>
          </cell>
          <cell r="O131">
            <v>1</v>
          </cell>
          <cell r="P131">
            <v>1</v>
          </cell>
          <cell r="Q131">
            <v>2</v>
          </cell>
          <cell r="R131">
            <v>2</v>
          </cell>
          <cell r="S131">
            <v>2</v>
          </cell>
        </row>
        <row r="132">
          <cell r="B132">
            <v>2014</v>
          </cell>
          <cell r="C132" t="str">
            <v>PA</v>
          </cell>
          <cell r="K132">
            <v>234.78523689282349</v>
          </cell>
          <cell r="L132">
            <v>286.95973398011762</v>
          </cell>
          <cell r="O132">
            <v>1</v>
          </cell>
          <cell r="P132">
            <v>1</v>
          </cell>
          <cell r="Q132">
            <v>2</v>
          </cell>
          <cell r="R132">
            <v>2</v>
          </cell>
          <cell r="S132">
            <v>2</v>
          </cell>
        </row>
        <row r="133">
          <cell r="B133">
            <v>2014</v>
          </cell>
          <cell r="C133" t="str">
            <v>PET</v>
          </cell>
          <cell r="K133">
            <v>1237.8019722043498</v>
          </cell>
          <cell r="L133">
            <v>1512.8690771386498</v>
          </cell>
          <cell r="O133">
            <v>1</v>
          </cell>
          <cell r="P133">
            <v>1</v>
          </cell>
          <cell r="Q133">
            <v>2</v>
          </cell>
          <cell r="R133">
            <v>2</v>
          </cell>
          <cell r="S133">
            <v>2</v>
          </cell>
        </row>
        <row r="134">
          <cell r="B134">
            <v>2014</v>
          </cell>
          <cell r="C134" t="str">
            <v>PUR</v>
          </cell>
          <cell r="K134">
            <v>151.55793255507916</v>
          </cell>
          <cell r="L134">
            <v>185.23747312287455</v>
          </cell>
          <cell r="O134">
            <v>1</v>
          </cell>
          <cell r="P134">
            <v>1</v>
          </cell>
          <cell r="Q134">
            <v>2</v>
          </cell>
          <cell r="R134">
            <v>2</v>
          </cell>
          <cell r="S134">
            <v>2</v>
          </cell>
        </row>
        <row r="135">
          <cell r="B135">
            <v>2014</v>
          </cell>
          <cell r="C135" t="str">
            <v>PVC</v>
          </cell>
          <cell r="K135">
            <v>97.987899486336815</v>
          </cell>
          <cell r="L135">
            <v>119.76298826107833</v>
          </cell>
          <cell r="O135">
            <v>1</v>
          </cell>
          <cell r="P135">
            <v>1</v>
          </cell>
          <cell r="Q135">
            <v>2</v>
          </cell>
          <cell r="R135">
            <v>2</v>
          </cell>
          <cell r="S135">
            <v>2</v>
          </cell>
        </row>
        <row r="136">
          <cell r="B136">
            <v>2014</v>
          </cell>
          <cell r="C136" t="str">
            <v>RUBBER</v>
          </cell>
          <cell r="K136">
            <v>208.23906228848693</v>
          </cell>
          <cell r="L136">
            <v>254.51440946370624</v>
          </cell>
          <cell r="O136">
            <v>1</v>
          </cell>
          <cell r="P136">
            <v>1</v>
          </cell>
          <cell r="Q136">
            <v>2</v>
          </cell>
          <cell r="R136">
            <v>2</v>
          </cell>
          <cell r="S136">
            <v>2</v>
          </cell>
        </row>
        <row r="137">
          <cell r="B137">
            <v>2015</v>
          </cell>
          <cell r="C137" t="str">
            <v>Acryl</v>
          </cell>
          <cell r="K137">
            <v>107.03086293533588</v>
          </cell>
          <cell r="L137">
            <v>130.8154991431883</v>
          </cell>
          <cell r="O137">
            <v>1</v>
          </cell>
          <cell r="P137">
            <v>1</v>
          </cell>
          <cell r="Q137">
            <v>2</v>
          </cell>
          <cell r="R137">
            <v>2</v>
          </cell>
          <cell r="S137">
            <v>2</v>
          </cell>
        </row>
        <row r="138">
          <cell r="B138">
            <v>2015</v>
          </cell>
          <cell r="C138" t="str">
            <v>OTHER</v>
          </cell>
          <cell r="K138">
            <v>172.59820103270866</v>
          </cell>
          <cell r="L138">
            <v>210.95335681775504</v>
          </cell>
          <cell r="O138">
            <v>1</v>
          </cell>
          <cell r="P138">
            <v>1</v>
          </cell>
          <cell r="Q138">
            <v>2</v>
          </cell>
          <cell r="R138">
            <v>2</v>
          </cell>
          <cell r="S138">
            <v>2</v>
          </cell>
        </row>
        <row r="139">
          <cell r="B139">
            <v>2015</v>
          </cell>
          <cell r="C139" t="str">
            <v>PA</v>
          </cell>
          <cell r="K139">
            <v>221.28909889497507</v>
          </cell>
          <cell r="L139">
            <v>270.46445420496957</v>
          </cell>
          <cell r="O139">
            <v>1</v>
          </cell>
          <cell r="P139">
            <v>1</v>
          </cell>
          <cell r="Q139">
            <v>2</v>
          </cell>
          <cell r="R139">
            <v>2</v>
          </cell>
          <cell r="S139">
            <v>2</v>
          </cell>
        </row>
        <row r="140">
          <cell r="B140">
            <v>2015</v>
          </cell>
          <cell r="C140" t="str">
            <v>PET</v>
          </cell>
          <cell r="K140">
            <v>1175.1946983691003</v>
          </cell>
          <cell r="L140">
            <v>1436.3490757844561</v>
          </cell>
          <cell r="O140">
            <v>1</v>
          </cell>
          <cell r="P140">
            <v>1</v>
          </cell>
          <cell r="Q140">
            <v>2</v>
          </cell>
          <cell r="R140">
            <v>2</v>
          </cell>
          <cell r="S140">
            <v>2</v>
          </cell>
        </row>
        <row r="141">
          <cell r="B141">
            <v>2015</v>
          </cell>
          <cell r="C141" t="str">
            <v>PUR</v>
          </cell>
          <cell r="K141">
            <v>143.54856737159724</v>
          </cell>
          <cell r="L141">
            <v>175.44824900972998</v>
          </cell>
          <cell r="O141">
            <v>1</v>
          </cell>
          <cell r="P141">
            <v>1</v>
          </cell>
          <cell r="Q141">
            <v>2</v>
          </cell>
          <cell r="R141">
            <v>2</v>
          </cell>
          <cell r="S141">
            <v>2</v>
          </cell>
        </row>
        <row r="142">
          <cell r="B142">
            <v>2015</v>
          </cell>
          <cell r="C142" t="str">
            <v>PVC</v>
          </cell>
          <cell r="K142">
            <v>92.333783098464409</v>
          </cell>
          <cell r="L142">
            <v>112.85240156478984</v>
          </cell>
          <cell r="O142">
            <v>1</v>
          </cell>
          <cell r="P142">
            <v>1</v>
          </cell>
          <cell r="Q142">
            <v>2</v>
          </cell>
          <cell r="R142">
            <v>2</v>
          </cell>
          <cell r="S142">
            <v>2</v>
          </cell>
        </row>
        <row r="143">
          <cell r="B143">
            <v>2015</v>
          </cell>
          <cell r="C143" t="str">
            <v>RUBBER</v>
          </cell>
          <cell r="K143">
            <v>190.87933040780692</v>
          </cell>
          <cell r="L143">
            <v>233.29695938731959</v>
          </cell>
          <cell r="O143">
            <v>1</v>
          </cell>
          <cell r="P143">
            <v>1</v>
          </cell>
          <cell r="Q143">
            <v>2</v>
          </cell>
          <cell r="R143">
            <v>2</v>
          </cell>
          <cell r="S143">
            <v>2</v>
          </cell>
        </row>
        <row r="144">
          <cell r="B144">
            <v>2016</v>
          </cell>
          <cell r="C144" t="str">
            <v>Acryl</v>
          </cell>
          <cell r="K144">
            <v>111.6723129886563</v>
          </cell>
          <cell r="L144">
            <v>136.48838254169104</v>
          </cell>
          <cell r="O144">
            <v>1</v>
          </cell>
          <cell r="P144">
            <v>1</v>
          </cell>
          <cell r="Q144">
            <v>2</v>
          </cell>
          <cell r="R144">
            <v>2</v>
          </cell>
          <cell r="S144">
            <v>2</v>
          </cell>
        </row>
        <row r="145">
          <cell r="B145">
            <v>2016</v>
          </cell>
          <cell r="C145" t="str">
            <v>OTHER</v>
          </cell>
          <cell r="K145">
            <v>172.89598699386963</v>
          </cell>
          <cell r="L145">
            <v>211.31731743695178</v>
          </cell>
          <cell r="O145">
            <v>1</v>
          </cell>
          <cell r="P145">
            <v>1</v>
          </cell>
          <cell r="Q145">
            <v>2</v>
          </cell>
          <cell r="R145">
            <v>2</v>
          </cell>
          <cell r="S145">
            <v>2</v>
          </cell>
        </row>
        <row r="146">
          <cell r="B146">
            <v>2016</v>
          </cell>
          <cell r="C146" t="str">
            <v>PA</v>
          </cell>
          <cell r="K146">
            <v>230.42517837354072</v>
          </cell>
          <cell r="L146">
            <v>281.63077356766087</v>
          </cell>
          <cell r="O146">
            <v>1</v>
          </cell>
          <cell r="P146">
            <v>1</v>
          </cell>
          <cell r="Q146">
            <v>2</v>
          </cell>
          <cell r="R146">
            <v>2</v>
          </cell>
          <cell r="S146">
            <v>2</v>
          </cell>
        </row>
        <row r="147">
          <cell r="B147">
            <v>2016</v>
          </cell>
          <cell r="C147" t="str">
            <v>PET</v>
          </cell>
          <cell r="K147">
            <v>1215.7818340634547</v>
          </cell>
          <cell r="L147">
            <v>1485.9555749664446</v>
          </cell>
          <cell r="O147">
            <v>1</v>
          </cell>
          <cell r="P147">
            <v>1</v>
          </cell>
          <cell r="Q147">
            <v>2</v>
          </cell>
          <cell r="R147">
            <v>2</v>
          </cell>
          <cell r="S147">
            <v>2</v>
          </cell>
        </row>
        <row r="148">
          <cell r="B148">
            <v>2016</v>
          </cell>
          <cell r="C148" t="str">
            <v>PUR</v>
          </cell>
          <cell r="K148">
            <v>141.48615135444686</v>
          </cell>
          <cell r="L148">
            <v>172.92751832210172</v>
          </cell>
          <cell r="O148">
            <v>1</v>
          </cell>
          <cell r="P148">
            <v>1</v>
          </cell>
          <cell r="Q148">
            <v>2</v>
          </cell>
          <cell r="R148">
            <v>2</v>
          </cell>
          <cell r="S148">
            <v>2</v>
          </cell>
        </row>
        <row r="149">
          <cell r="B149">
            <v>2016</v>
          </cell>
          <cell r="C149" t="str">
            <v>PVC</v>
          </cell>
          <cell r="K149">
            <v>90.958735185302729</v>
          </cell>
          <cell r="L149">
            <v>111.17178744870334</v>
          </cell>
          <cell r="O149">
            <v>1</v>
          </cell>
          <cell r="P149">
            <v>1</v>
          </cell>
          <cell r="Q149">
            <v>2</v>
          </cell>
          <cell r="R149">
            <v>2</v>
          </cell>
          <cell r="S149">
            <v>2</v>
          </cell>
        </row>
        <row r="150">
          <cell r="B150">
            <v>2016</v>
          </cell>
          <cell r="C150" t="str">
            <v>RUBBER</v>
          </cell>
          <cell r="K150">
            <v>187.48697148510038</v>
          </cell>
          <cell r="L150">
            <v>229.15074292623382</v>
          </cell>
          <cell r="O150">
            <v>1</v>
          </cell>
          <cell r="P150">
            <v>1</v>
          </cell>
          <cell r="Q150">
            <v>2</v>
          </cell>
          <cell r="R150">
            <v>2</v>
          </cell>
          <cell r="S150">
            <v>2</v>
          </cell>
        </row>
        <row r="151">
          <cell r="B151">
            <v>2017</v>
          </cell>
          <cell r="C151" t="str">
            <v>Acryl</v>
          </cell>
          <cell r="K151">
            <v>117.21644909596564</v>
          </cell>
          <cell r="L151">
            <v>143.26454889506914</v>
          </cell>
          <cell r="O151">
            <v>1</v>
          </cell>
          <cell r="P151">
            <v>1</v>
          </cell>
          <cell r="Q151">
            <v>2</v>
          </cell>
          <cell r="R151">
            <v>2</v>
          </cell>
          <cell r="S151">
            <v>2</v>
          </cell>
        </row>
        <row r="152">
          <cell r="B152">
            <v>2017</v>
          </cell>
          <cell r="C152" t="str">
            <v>OTHER</v>
          </cell>
          <cell r="K152">
            <v>181.5643065133624</v>
          </cell>
          <cell r="L152">
            <v>221.91193018299847</v>
          </cell>
          <cell r="O152">
            <v>1</v>
          </cell>
          <cell r="P152">
            <v>1</v>
          </cell>
          <cell r="Q152">
            <v>2</v>
          </cell>
          <cell r="R152">
            <v>2</v>
          </cell>
          <cell r="S152">
            <v>2</v>
          </cell>
        </row>
        <row r="153">
          <cell r="B153">
            <v>2017</v>
          </cell>
          <cell r="C153" t="str">
            <v>PA</v>
          </cell>
          <cell r="K153">
            <v>241.68568640267645</v>
          </cell>
          <cell r="L153">
            <v>295.39361671438235</v>
          </cell>
          <cell r="O153">
            <v>1</v>
          </cell>
          <cell r="P153">
            <v>1</v>
          </cell>
          <cell r="Q153">
            <v>2</v>
          </cell>
          <cell r="R153">
            <v>2</v>
          </cell>
          <cell r="S153">
            <v>2</v>
          </cell>
        </row>
        <row r="154">
          <cell r="B154">
            <v>2017</v>
          </cell>
          <cell r="C154" t="str">
            <v>PET</v>
          </cell>
          <cell r="K154">
            <v>1260.3782346850405</v>
          </cell>
          <cell r="L154">
            <v>1540.4622868372717</v>
          </cell>
          <cell r="O154">
            <v>1</v>
          </cell>
          <cell r="P154">
            <v>1</v>
          </cell>
          <cell r="Q154">
            <v>2</v>
          </cell>
          <cell r="R154">
            <v>2</v>
          </cell>
          <cell r="S154">
            <v>2</v>
          </cell>
        </row>
        <row r="155">
          <cell r="B155">
            <v>2017</v>
          </cell>
          <cell r="C155" t="str">
            <v>PUR</v>
          </cell>
          <cell r="K155">
            <v>147.4829835861708</v>
          </cell>
          <cell r="L155">
            <v>180.25697993865322</v>
          </cell>
          <cell r="O155">
            <v>1</v>
          </cell>
          <cell r="P155">
            <v>1</v>
          </cell>
          <cell r="Q155">
            <v>2</v>
          </cell>
          <cell r="R155">
            <v>2</v>
          </cell>
          <cell r="S155">
            <v>2</v>
          </cell>
        </row>
        <row r="156">
          <cell r="B156">
            <v>2017</v>
          </cell>
          <cell r="C156" t="str">
            <v>PVC</v>
          </cell>
          <cell r="K156">
            <v>94.900427986266862</v>
          </cell>
          <cell r="L156">
            <v>115.98941198321505</v>
          </cell>
          <cell r="O156">
            <v>1</v>
          </cell>
          <cell r="P156">
            <v>1</v>
          </cell>
          <cell r="Q156">
            <v>2</v>
          </cell>
          <cell r="R156">
            <v>2</v>
          </cell>
          <cell r="S156">
            <v>2</v>
          </cell>
        </row>
        <row r="157">
          <cell r="B157">
            <v>2017</v>
          </cell>
          <cell r="C157" t="str">
            <v>RUBBER</v>
          </cell>
          <cell r="K157">
            <v>196.69152581052009</v>
          </cell>
          <cell r="L157">
            <v>240.40075376841347</v>
          </cell>
          <cell r="O157">
            <v>1</v>
          </cell>
          <cell r="P157">
            <v>1</v>
          </cell>
          <cell r="Q157">
            <v>2</v>
          </cell>
          <cell r="R157">
            <v>2</v>
          </cell>
          <cell r="S157">
            <v>2</v>
          </cell>
        </row>
        <row r="158">
          <cell r="B158">
            <v>2018</v>
          </cell>
          <cell r="C158" t="str">
            <v>Acryl</v>
          </cell>
          <cell r="K158">
            <v>129.1984027866045</v>
          </cell>
          <cell r="L158">
            <v>157.9091589614055</v>
          </cell>
          <cell r="O158">
            <v>1</v>
          </cell>
          <cell r="P158">
            <v>1</v>
          </cell>
          <cell r="Q158">
            <v>2</v>
          </cell>
          <cell r="R158">
            <v>2</v>
          </cell>
          <cell r="S158">
            <v>2</v>
          </cell>
        </row>
        <row r="159">
          <cell r="B159">
            <v>2018</v>
          </cell>
          <cell r="C159" t="str">
            <v>OTHER</v>
          </cell>
          <cell r="K159">
            <v>208.41061381929524</v>
          </cell>
          <cell r="L159">
            <v>254.72408355691644</v>
          </cell>
          <cell r="O159">
            <v>1</v>
          </cell>
          <cell r="P159">
            <v>1</v>
          </cell>
          <cell r="Q159">
            <v>2</v>
          </cell>
          <cell r="R159">
            <v>2</v>
          </cell>
          <cell r="S159">
            <v>2</v>
          </cell>
        </row>
        <row r="160">
          <cell r="B160">
            <v>2018</v>
          </cell>
          <cell r="C160" t="str">
            <v>PA</v>
          </cell>
          <cell r="K160">
            <v>272.41057670050481</v>
          </cell>
          <cell r="L160">
            <v>332.94626041172813</v>
          </cell>
          <cell r="O160">
            <v>1</v>
          </cell>
          <cell r="P160">
            <v>1</v>
          </cell>
          <cell r="Q160">
            <v>2</v>
          </cell>
          <cell r="R160">
            <v>2</v>
          </cell>
          <cell r="S160">
            <v>2</v>
          </cell>
        </row>
        <row r="161">
          <cell r="B161">
            <v>2018</v>
          </cell>
          <cell r="C161" t="str">
            <v>PET</v>
          </cell>
          <cell r="K161">
            <v>1396.6419779793355</v>
          </cell>
          <cell r="L161">
            <v>1707.0068619747433</v>
          </cell>
          <cell r="O161">
            <v>1</v>
          </cell>
          <cell r="P161">
            <v>1</v>
          </cell>
          <cell r="Q161">
            <v>2</v>
          </cell>
          <cell r="R161">
            <v>2</v>
          </cell>
          <cell r="S161">
            <v>2</v>
          </cell>
        </row>
        <row r="162">
          <cell r="B162">
            <v>2018</v>
          </cell>
          <cell r="C162" t="str">
            <v>PUR</v>
          </cell>
          <cell r="K162">
            <v>156.03206073115211</v>
          </cell>
          <cell r="L162">
            <v>190.7058520047415</v>
          </cell>
          <cell r="O162">
            <v>1</v>
          </cell>
          <cell r="P162">
            <v>1</v>
          </cell>
          <cell r="Q162">
            <v>2</v>
          </cell>
          <cell r="R162">
            <v>2</v>
          </cell>
          <cell r="S162">
            <v>2</v>
          </cell>
        </row>
        <row r="163">
          <cell r="B163">
            <v>2018</v>
          </cell>
          <cell r="C163" t="str">
            <v>PVC</v>
          </cell>
          <cell r="K163">
            <v>101.03765793704395</v>
          </cell>
          <cell r="L163">
            <v>123.49047081194261</v>
          </cell>
          <cell r="O163">
            <v>1</v>
          </cell>
          <cell r="P163">
            <v>1</v>
          </cell>
          <cell r="Q163">
            <v>2</v>
          </cell>
          <cell r="R163">
            <v>2</v>
          </cell>
          <cell r="S163">
            <v>2</v>
          </cell>
        </row>
        <row r="164">
          <cell r="B164">
            <v>2018</v>
          </cell>
          <cell r="C164" t="str">
            <v>RUBBER</v>
          </cell>
          <cell r="K164">
            <v>216.56189812521248</v>
          </cell>
          <cell r="L164">
            <v>264.68676437525971</v>
          </cell>
          <cell r="O164">
            <v>1</v>
          </cell>
          <cell r="P164">
            <v>1</v>
          </cell>
          <cell r="Q164">
            <v>2</v>
          </cell>
          <cell r="R164">
            <v>2</v>
          </cell>
          <cell r="S164">
            <v>2</v>
          </cell>
        </row>
        <row r="165">
          <cell r="B165">
            <v>2019</v>
          </cell>
          <cell r="C165" t="str">
            <v>Acryl</v>
          </cell>
          <cell r="K165">
            <v>124.75484124151612</v>
          </cell>
          <cell r="L165">
            <v>152.47813929518637</v>
          </cell>
          <cell r="O165">
            <v>1</v>
          </cell>
          <cell r="P165">
            <v>1</v>
          </cell>
          <cell r="Q165">
            <v>2</v>
          </cell>
          <cell r="R165">
            <v>2</v>
          </cell>
          <cell r="S165">
            <v>2</v>
          </cell>
        </row>
        <row r="166">
          <cell r="B166">
            <v>2019</v>
          </cell>
          <cell r="C166" t="str">
            <v>OTHER</v>
          </cell>
          <cell r="K166">
            <v>204.69046301822823</v>
          </cell>
          <cell r="L166">
            <v>250.17723257783453</v>
          </cell>
          <cell r="O166">
            <v>1</v>
          </cell>
          <cell r="P166">
            <v>1</v>
          </cell>
          <cell r="Q166">
            <v>2</v>
          </cell>
          <cell r="R166">
            <v>2</v>
          </cell>
          <cell r="S166">
            <v>2</v>
          </cell>
        </row>
        <row r="167">
          <cell r="B167">
            <v>2019</v>
          </cell>
          <cell r="C167" t="str">
            <v>PA</v>
          </cell>
          <cell r="K167">
            <v>264.6248485397233</v>
          </cell>
          <cell r="L167">
            <v>323.43037043743959</v>
          </cell>
          <cell r="O167">
            <v>1</v>
          </cell>
          <cell r="P167">
            <v>1</v>
          </cell>
          <cell r="Q167">
            <v>2</v>
          </cell>
          <cell r="R167">
            <v>2</v>
          </cell>
          <cell r="S167">
            <v>2</v>
          </cell>
        </row>
        <row r="168">
          <cell r="B168">
            <v>2019</v>
          </cell>
          <cell r="C168" t="str">
            <v>PET</v>
          </cell>
          <cell r="K168">
            <v>1358.6245419214561</v>
          </cell>
          <cell r="L168">
            <v>1660.5411067928908</v>
          </cell>
          <cell r="O168">
            <v>1</v>
          </cell>
          <cell r="P168">
            <v>1</v>
          </cell>
          <cell r="Q168">
            <v>2</v>
          </cell>
          <cell r="R168">
            <v>2</v>
          </cell>
          <cell r="S168">
            <v>2</v>
          </cell>
        </row>
        <row r="169">
          <cell r="B169">
            <v>2019</v>
          </cell>
          <cell r="C169" t="str">
            <v>PUR</v>
          </cell>
          <cell r="K169">
            <v>154.02339582210601</v>
          </cell>
          <cell r="L169">
            <v>188.25081711590735</v>
          </cell>
          <cell r="O169">
            <v>1</v>
          </cell>
          <cell r="P169">
            <v>1</v>
          </cell>
          <cell r="Q169">
            <v>2</v>
          </cell>
          <cell r="R169">
            <v>2</v>
          </cell>
          <cell r="S169">
            <v>2</v>
          </cell>
        </row>
        <row r="170">
          <cell r="B170">
            <v>2019</v>
          </cell>
          <cell r="C170" t="str">
            <v>PVC</v>
          </cell>
          <cell r="K170">
            <v>99.579580821781335</v>
          </cell>
          <cell r="L170">
            <v>121.70837655995497</v>
          </cell>
          <cell r="O170">
            <v>1</v>
          </cell>
          <cell r="P170">
            <v>1</v>
          </cell>
          <cell r="Q170">
            <v>2</v>
          </cell>
          <cell r="R170">
            <v>2</v>
          </cell>
          <cell r="S170">
            <v>2</v>
          </cell>
        </row>
        <row r="171">
          <cell r="B171">
            <v>2019</v>
          </cell>
          <cell r="C171" t="str">
            <v>RUBBER</v>
          </cell>
          <cell r="K171">
            <v>210.78190944042822</v>
          </cell>
          <cell r="L171">
            <v>257.62233376052342</v>
          </cell>
          <cell r="O171">
            <v>1</v>
          </cell>
          <cell r="P171">
            <v>1</v>
          </cell>
          <cell r="Q171">
            <v>2</v>
          </cell>
          <cell r="R171">
            <v>2</v>
          </cell>
          <cell r="S171">
            <v>2</v>
          </cell>
        </row>
        <row r="172">
          <cell r="B172">
            <v>2020</v>
          </cell>
          <cell r="C172" t="str">
            <v>Acryl</v>
          </cell>
          <cell r="K172">
            <v>102.37632480198386</v>
          </cell>
          <cell r="L172">
            <v>125.12661920242472</v>
          </cell>
          <cell r="O172">
            <v>1</v>
          </cell>
          <cell r="P172">
            <v>1</v>
          </cell>
          <cell r="Q172">
            <v>2</v>
          </cell>
          <cell r="R172">
            <v>2</v>
          </cell>
          <cell r="S172">
            <v>2</v>
          </cell>
        </row>
        <row r="173">
          <cell r="B173">
            <v>2020</v>
          </cell>
          <cell r="C173" t="str">
            <v>OTHER</v>
          </cell>
          <cell r="K173">
            <v>161.33301867575491</v>
          </cell>
          <cell r="L173">
            <v>197.18480060370047</v>
          </cell>
          <cell r="O173">
            <v>1</v>
          </cell>
          <cell r="P173">
            <v>1</v>
          </cell>
          <cell r="Q173">
            <v>2</v>
          </cell>
          <cell r="R173">
            <v>2</v>
          </cell>
          <cell r="S173">
            <v>2</v>
          </cell>
        </row>
        <row r="174">
          <cell r="B174">
            <v>2020</v>
          </cell>
          <cell r="C174" t="str">
            <v>PA</v>
          </cell>
          <cell r="K174">
            <v>213.63852657389151</v>
          </cell>
          <cell r="L174">
            <v>261.11375470142298</v>
          </cell>
          <cell r="O174">
            <v>1</v>
          </cell>
          <cell r="P174">
            <v>1</v>
          </cell>
          <cell r="Q174">
            <v>2</v>
          </cell>
          <cell r="R174">
            <v>2</v>
          </cell>
          <cell r="S174">
            <v>2</v>
          </cell>
        </row>
        <row r="175">
          <cell r="B175">
            <v>2020</v>
          </cell>
          <cell r="C175" t="str">
            <v>PET</v>
          </cell>
          <cell r="K175">
            <v>1075.5216512168049</v>
          </cell>
          <cell r="L175">
            <v>1314.526462598317</v>
          </cell>
          <cell r="O175">
            <v>1</v>
          </cell>
          <cell r="P175">
            <v>1</v>
          </cell>
          <cell r="Q175">
            <v>2</v>
          </cell>
          <cell r="R175">
            <v>2</v>
          </cell>
          <cell r="S175">
            <v>2</v>
          </cell>
        </row>
        <row r="176">
          <cell r="B176">
            <v>2020</v>
          </cell>
          <cell r="C176" t="str">
            <v>PUR</v>
          </cell>
          <cell r="K176">
            <v>123.30334174942438</v>
          </cell>
          <cell r="L176">
            <v>150.70408436040759</v>
          </cell>
          <cell r="O176">
            <v>1</v>
          </cell>
          <cell r="P176">
            <v>1</v>
          </cell>
          <cell r="Q176">
            <v>2</v>
          </cell>
          <cell r="R176">
            <v>2</v>
          </cell>
          <cell r="S176">
            <v>2</v>
          </cell>
        </row>
        <row r="177">
          <cell r="B177">
            <v>2020</v>
          </cell>
          <cell r="C177" t="str">
            <v>PVC</v>
          </cell>
          <cell r="K177">
            <v>79.407485617291172</v>
          </cell>
          <cell r="L177">
            <v>97.053593532244761</v>
          </cell>
          <cell r="O177">
            <v>1</v>
          </cell>
          <cell r="P177">
            <v>1</v>
          </cell>
          <cell r="Q177">
            <v>2</v>
          </cell>
          <cell r="R177">
            <v>2</v>
          </cell>
          <cell r="S177">
            <v>2</v>
          </cell>
        </row>
        <row r="178">
          <cell r="B178">
            <v>2020</v>
          </cell>
          <cell r="C178" t="str">
            <v>RUBBER</v>
          </cell>
          <cell r="K178">
            <v>163.97255709559889</v>
          </cell>
          <cell r="L178">
            <v>200.41090311684309</v>
          </cell>
          <cell r="O178">
            <v>1</v>
          </cell>
          <cell r="P178">
            <v>1</v>
          </cell>
          <cell r="Q178">
            <v>2</v>
          </cell>
          <cell r="R178">
            <v>2</v>
          </cell>
          <cell r="S178">
            <v>2</v>
          </cell>
        </row>
        <row r="179">
          <cell r="B179">
            <v>2021</v>
          </cell>
          <cell r="C179" t="str">
            <v>Acryl</v>
          </cell>
          <cell r="K179">
            <v>113.3251195172403</v>
          </cell>
          <cell r="L179">
            <v>138.50847940996036</v>
          </cell>
          <cell r="O179">
            <v>1</v>
          </cell>
          <cell r="P179">
            <v>1</v>
          </cell>
          <cell r="Q179">
            <v>2</v>
          </cell>
          <cell r="R179">
            <v>2</v>
          </cell>
          <cell r="S179">
            <v>2</v>
          </cell>
        </row>
        <row r="180">
          <cell r="B180">
            <v>2021</v>
          </cell>
          <cell r="C180" t="str">
            <v>OTHER</v>
          </cell>
          <cell r="K180">
            <v>169.80710057016137</v>
          </cell>
          <cell r="L180">
            <v>207.542011807975</v>
          </cell>
          <cell r="O180">
            <v>1</v>
          </cell>
          <cell r="P180">
            <v>1</v>
          </cell>
          <cell r="Q180">
            <v>2</v>
          </cell>
          <cell r="R180">
            <v>2</v>
          </cell>
          <cell r="S180">
            <v>2</v>
          </cell>
        </row>
        <row r="181">
          <cell r="B181">
            <v>2021</v>
          </cell>
          <cell r="C181" t="str">
            <v>PA</v>
          </cell>
          <cell r="K181">
            <v>235.40868887089127</v>
          </cell>
          <cell r="L181">
            <v>287.72173084220043</v>
          </cell>
          <cell r="O181">
            <v>1</v>
          </cell>
          <cell r="P181">
            <v>1</v>
          </cell>
          <cell r="Q181">
            <v>2</v>
          </cell>
          <cell r="R181">
            <v>2</v>
          </cell>
          <cell r="S181">
            <v>2</v>
          </cell>
        </row>
        <row r="182">
          <cell r="B182">
            <v>2021</v>
          </cell>
          <cell r="C182" t="str">
            <v>PET</v>
          </cell>
          <cell r="K182">
            <v>1165.0967021865949</v>
          </cell>
          <cell r="L182">
            <v>1424.0070804502827</v>
          </cell>
          <cell r="O182">
            <v>1</v>
          </cell>
          <cell r="P182">
            <v>1</v>
          </cell>
          <cell r="Q182">
            <v>2</v>
          </cell>
          <cell r="R182">
            <v>2</v>
          </cell>
          <cell r="S182">
            <v>2</v>
          </cell>
        </row>
        <row r="183">
          <cell r="B183">
            <v>2021</v>
          </cell>
          <cell r="C183" t="str">
            <v>PUR</v>
          </cell>
          <cell r="K183">
            <v>121.49018578342412</v>
          </cell>
          <cell r="L183">
            <v>148.48800484640728</v>
          </cell>
          <cell r="O183">
            <v>1</v>
          </cell>
          <cell r="P183">
            <v>1</v>
          </cell>
          <cell r="Q183">
            <v>2</v>
          </cell>
          <cell r="R183">
            <v>2</v>
          </cell>
          <cell r="S183">
            <v>2</v>
          </cell>
        </row>
        <row r="184">
          <cell r="B184">
            <v>2021</v>
          </cell>
          <cell r="C184" t="str">
            <v>PVC</v>
          </cell>
          <cell r="K184">
            <v>78.395132887155654</v>
          </cell>
          <cell r="L184">
            <v>95.81627352874581</v>
          </cell>
          <cell r="O184">
            <v>1</v>
          </cell>
          <cell r="P184">
            <v>1</v>
          </cell>
          <cell r="Q184">
            <v>2</v>
          </cell>
          <cell r="R184">
            <v>2</v>
          </cell>
          <cell r="S184">
            <v>2</v>
          </cell>
        </row>
        <row r="185">
          <cell r="B185">
            <v>2021</v>
          </cell>
          <cell r="C185" t="str">
            <v>RUBBER</v>
          </cell>
          <cell r="K185">
            <v>163.59652100912916</v>
          </cell>
          <cell r="L185">
            <v>199.95130345560233</v>
          </cell>
          <cell r="O185">
            <v>1</v>
          </cell>
          <cell r="P185">
            <v>1</v>
          </cell>
          <cell r="Q185">
            <v>2</v>
          </cell>
          <cell r="R185">
            <v>2</v>
          </cell>
          <cell r="S185">
            <v>2</v>
          </cell>
        </row>
        <row r="186">
          <cell r="B186">
            <v>2022</v>
          </cell>
          <cell r="C186" t="str">
            <v>Acryl</v>
          </cell>
          <cell r="K186">
            <v>141.02659951072633</v>
          </cell>
          <cell r="L186">
            <v>172.36584384644331</v>
          </cell>
          <cell r="O186">
            <v>1</v>
          </cell>
          <cell r="P186">
            <v>1</v>
          </cell>
          <cell r="Q186">
            <v>2</v>
          </cell>
          <cell r="R186">
            <v>2</v>
          </cell>
          <cell r="S186">
            <v>2</v>
          </cell>
        </row>
        <row r="187">
          <cell r="B187">
            <v>2022</v>
          </cell>
          <cell r="C187" t="str">
            <v>OTHER</v>
          </cell>
          <cell r="K187">
            <v>216.28637948109096</v>
          </cell>
          <cell r="L187">
            <v>264.35001936577788</v>
          </cell>
          <cell r="O187">
            <v>1</v>
          </cell>
          <cell r="P187">
            <v>1</v>
          </cell>
          <cell r="Q187">
            <v>2</v>
          </cell>
          <cell r="R187">
            <v>2</v>
          </cell>
          <cell r="S187">
            <v>2</v>
          </cell>
        </row>
        <row r="188">
          <cell r="B188">
            <v>2022</v>
          </cell>
          <cell r="C188" t="str">
            <v>PA</v>
          </cell>
          <cell r="K188">
            <v>292.25351751807887</v>
          </cell>
          <cell r="L188">
            <v>357.19874363320753</v>
          </cell>
          <cell r="O188">
            <v>1</v>
          </cell>
          <cell r="P188">
            <v>1</v>
          </cell>
          <cell r="Q188">
            <v>2</v>
          </cell>
          <cell r="R188">
            <v>2</v>
          </cell>
          <cell r="S188">
            <v>2</v>
          </cell>
        </row>
        <row r="189">
          <cell r="B189">
            <v>2022</v>
          </cell>
          <cell r="C189" t="str">
            <v>PET</v>
          </cell>
          <cell r="K189">
            <v>1453.0307605512528</v>
          </cell>
          <cell r="L189">
            <v>1775.9264851181979</v>
          </cell>
          <cell r="O189">
            <v>1</v>
          </cell>
          <cell r="P189">
            <v>1</v>
          </cell>
          <cell r="Q189">
            <v>2</v>
          </cell>
          <cell r="R189">
            <v>2</v>
          </cell>
          <cell r="S189">
            <v>2</v>
          </cell>
        </row>
        <row r="190">
          <cell r="B190">
            <v>2022</v>
          </cell>
          <cell r="C190" t="str">
            <v>PUR</v>
          </cell>
          <cell r="K190">
            <v>158.98860370720823</v>
          </cell>
          <cell r="L190">
            <v>194.31940453103229</v>
          </cell>
          <cell r="O190">
            <v>1</v>
          </cell>
          <cell r="P190">
            <v>1</v>
          </cell>
          <cell r="Q190">
            <v>2</v>
          </cell>
          <cell r="R190">
            <v>2</v>
          </cell>
          <cell r="S190">
            <v>2</v>
          </cell>
        </row>
        <row r="191">
          <cell r="B191">
            <v>2022</v>
          </cell>
          <cell r="C191" t="str">
            <v>PVC</v>
          </cell>
          <cell r="K191">
            <v>102.70798337367832</v>
          </cell>
          <cell r="L191">
            <v>125.53197967894016</v>
          </cell>
          <cell r="O191">
            <v>1</v>
          </cell>
          <cell r="P191">
            <v>1</v>
          </cell>
          <cell r="Q191">
            <v>2</v>
          </cell>
          <cell r="R191">
            <v>2</v>
          </cell>
          <cell r="S191">
            <v>2</v>
          </cell>
        </row>
        <row r="192">
          <cell r="B192">
            <v>2022</v>
          </cell>
          <cell r="C192" t="str">
            <v>RUBBER</v>
          </cell>
          <cell r="K192">
            <v>215.88536511890467</v>
          </cell>
          <cell r="L192">
            <v>263.85989070088351</v>
          </cell>
          <cell r="O192">
            <v>1</v>
          </cell>
          <cell r="P192">
            <v>1</v>
          </cell>
          <cell r="Q192">
            <v>2</v>
          </cell>
          <cell r="R192">
            <v>2</v>
          </cell>
          <cell r="S192">
            <v>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086CA0FF-D093-4D2E-ABCA-003CA36153C7}">
    <nsvFilter filterId="{DFD55F35-1BE8-491D-A5D1-66586526783F}" ref="A1:L1147" tableId="0">
      <columnFilter colId="0">
        <filter colId="0">
          <x:filters>
            <x:filter val="Paint"/>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28F81224-1022-4680-852E-C4B288397594}">
    <nsvFilter filterId="{E97B31CE-E6BF-4F52-9FA7-52F353BEC4BE}" ref="A1:L59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B1F628DE-17B0-423E-ADEB-4320E999845F}">
    <nsvFilter filterId="{D17F49C5-045C-4C41-8133-90E2E1555C53}" ref="A1:P1425" tableId="0">
      <columnFilter colId="0">
        <filter colId="0">
          <x:filters>
            <x:filter val="Paint"/>
          </x:filters>
        </filter>
      </columnFilter>
    </nsvFilter>
  </namedSheetView>
  <namedSheetView name="Paint2" id="{498A777A-09E9-4967-9C2C-42FFFC8DBD09}">
    <nsvFilter filterId="{D17F49C5-045C-4C41-8133-90E2E1555C53}" ref="A1:P1425" tableId="0">
      <columnFilter colId="0">
        <filter colId="0">
          <x:filters>
            <x:filter val="Concrete paint (prof) outdoor (discarded)"/>
            <x:filter val="Concrete paint (prof) outdoor (in use)"/>
            <x:filter val="Lacquer (DIY) outdoor (discarded)"/>
            <x:filter val="Lacquer (DIY) outdoor (in use)"/>
            <x:filter val="Lacquer (prof) outdoor (discarded)"/>
            <x:filter val="Lacquer (prof) outdoor (in use)"/>
            <x:filter val="Other paint uses (DIY) outdoor (discarded)"/>
            <x:filter val="Other paint uses (DIY) outdoor (in use)"/>
            <x:filter val="Other paint uses (prof) outdoor (discarded)"/>
            <x:filter val="Other paint uses (prof) outdoor (in use)"/>
            <x:filter val="Paints used in pre-made wooden products outdoor (discarded)"/>
            <x:filter val="Paints used in pre-made wooden products outdoor (in use)"/>
            <x:filter val="Plaster (DIY) outdoor (discarded)"/>
            <x:filter val="Plaster (DIY) outdoor (in use)"/>
            <x:filter val="Plaster (prof) outdoor (discarded)"/>
            <x:filter val="Plaster (prof) outdoor (in use)"/>
            <x:filter val="Wall paint (DIY) outdoor (discarded)"/>
            <x:filter val="Wall paint (DIY) outdoor (in use)"/>
            <x:filter val="Wall paint (prof) outdoor (discarded)"/>
            <x:filter val="Wall paint (prof) outdoor (in use)"/>
          </x:filters>
        </filter>
      </columnFilter>
      <columnFilter colId="1">
        <filter colId="1">
          <x:filters>
            <x:filter val="Residential soil (micro)"/>
          </x:filters>
        </filter>
      </columnFilter>
      <sortRules>
        <sortRule colId="0">
          <sortCondition ref="A1:A1425"/>
        </sortRule>
      </sortRules>
    </nsvFilter>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oris" id="{F45675B1-5CA8-4DD2-8572-DA409B064D0F}"/>
</namedSheetView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7" Type="http://schemas.openxmlformats.org/officeDocument/2006/relationships/hyperlink" Target="https://ec.europa.eu/eurostat/databrowser/view/DS-056120__custom_15192557/default/table?lang=en%20-%20Low%20estimate" TargetMode="External"/><Relationship Id="rId21" Type="http://schemas.openxmlformats.org/officeDocument/2006/relationships/hyperlink" Target="https://ec.europa.eu/eurostat/databrowser/view/DS-056120__custom_15192557/default/table?lang=en%20-%20High%20estimate" TargetMode="External"/><Relationship Id="rId42" Type="http://schemas.openxmlformats.org/officeDocument/2006/relationships/hyperlink" Target="https://ec.europa.eu/eurostat/databrowser/view/DS-056120__custom_15192557/default/table?lang=en%20-%20High%20estimate" TargetMode="External"/><Relationship Id="rId63" Type="http://schemas.openxmlformats.org/officeDocument/2006/relationships/hyperlink" Target="https://ec.europa.eu/eurostat/databrowser/view/DS-056120__custom_15192557/default/table?lang=en%20-%20High%20estimate" TargetMode="External"/><Relationship Id="rId84" Type="http://schemas.openxmlformats.org/officeDocument/2006/relationships/hyperlink" Target="https://ec.europa.eu/eurostat/databrowser/view/DS-056120__custom_15192557/default/table?lang=en%20-%20High%20estimate" TargetMode="External"/><Relationship Id="rId138" Type="http://schemas.openxmlformats.org/officeDocument/2006/relationships/hyperlink" Target="https://ec.europa.eu/eurostat/databrowser/view/DS-056120__custom_15192557/default/table?lang=en%20-%20Low%20estimate" TargetMode="External"/><Relationship Id="rId159" Type="http://schemas.openxmlformats.org/officeDocument/2006/relationships/hyperlink" Target="https://ec.europa.eu/eurostat/databrowser/view/DS-056120__custom_15192557/default/table?lang=en%20-%20Low%20estimate" TargetMode="External"/><Relationship Id="rId170" Type="http://schemas.openxmlformats.org/officeDocument/2006/relationships/hyperlink" Target="https://ec.europa.eu/eurostat/databrowser/view/DS-056120__custom_15192557/default/table?lang=en%20-%20Low%20estimate" TargetMode="External"/><Relationship Id="rId191" Type="http://schemas.openxmlformats.org/officeDocument/2006/relationships/hyperlink" Target="https://ec.europa.eu/eurostat/databrowser/view/DS-056120__custom_15192557/default/table?lang=en%20-%20High%20estimate" TargetMode="External"/><Relationship Id="rId205" Type="http://schemas.openxmlformats.org/officeDocument/2006/relationships/hyperlink" Target="https://ec.europa.eu/eurostat/databrowser/view/DS-056120__custom_15192557/default/table?lang=en%20-%20High%20estimate" TargetMode="External"/><Relationship Id="rId226" Type="http://schemas.openxmlformats.org/officeDocument/2006/relationships/hyperlink" Target="https://ec.europa.eu/eurostat/databrowser/view/DS-056120__custom_15192557/default/table?lang=en%20-%20High%20estimate" TargetMode="External"/><Relationship Id="rId247" Type="http://schemas.openxmlformats.org/officeDocument/2006/relationships/hyperlink" Target="https://ec.europa.eu/eurostat/databrowser/view/DS-056120__custom_15192557/default/table?lang=en%20-%20High%20estimate" TargetMode="External"/><Relationship Id="rId107" Type="http://schemas.openxmlformats.org/officeDocument/2006/relationships/hyperlink" Target="https://ec.europa.eu/eurostat/databrowser/view/DS-056120__custom_15192557/default/table?lang=en%20-%20Low%20estimate" TargetMode="External"/><Relationship Id="rId11" Type="http://schemas.openxmlformats.org/officeDocument/2006/relationships/hyperlink" Target="https://ec.europa.eu/eurostat/databrowser/view/DS-056120__custom_15192557/default/table?lang=en%20-%20High%20estimate" TargetMode="External"/><Relationship Id="rId32" Type="http://schemas.openxmlformats.org/officeDocument/2006/relationships/hyperlink" Target="https://ec.europa.eu/eurostat/databrowser/view/DS-056120__custom_15192557/default/table?lang=en%20-%20High%20estimate" TargetMode="External"/><Relationship Id="rId53" Type="http://schemas.openxmlformats.org/officeDocument/2006/relationships/hyperlink" Target="https://ec.europa.eu/eurostat/databrowser/view/DS-056120__custom_15192557/default/table?lang=en%20-%20High%20estimate" TargetMode="External"/><Relationship Id="rId74" Type="http://schemas.openxmlformats.org/officeDocument/2006/relationships/hyperlink" Target="https://ec.europa.eu/eurostat/databrowser/view/DS-056120__custom_15192557/default/table?lang=en%20-%20High%20estimate" TargetMode="External"/><Relationship Id="rId128" Type="http://schemas.openxmlformats.org/officeDocument/2006/relationships/hyperlink" Target="https://ec.europa.eu/eurostat/databrowser/view/DS-056120__custom_15192557/default/table?lang=en%20-%20Low%20estimate" TargetMode="External"/><Relationship Id="rId149" Type="http://schemas.openxmlformats.org/officeDocument/2006/relationships/hyperlink" Target="https://ec.europa.eu/eurostat/databrowser/view/DS-056120__custom_15192557/default/table?lang=en%20-%20Low%20estimate" TargetMode="External"/><Relationship Id="rId5" Type="http://schemas.openxmlformats.org/officeDocument/2006/relationships/hyperlink" Target="https://ec.europa.eu/eurostat/databrowser/view/DS-056120__custom_15192557/default/table?lang=en%20-%20High%20estimate" TargetMode="External"/><Relationship Id="rId95" Type="http://schemas.openxmlformats.org/officeDocument/2006/relationships/hyperlink" Target="https://ec.europa.eu/eurostat/databrowser/view/DS-056120__custom_15192557/default/table?lang=en%20-%20Low%20estimate" TargetMode="External"/><Relationship Id="rId160" Type="http://schemas.openxmlformats.org/officeDocument/2006/relationships/hyperlink" Target="https://ec.europa.eu/eurostat/databrowser/view/DS-056120__custom_15192557/default/table?lang=en%20-%20Low%20estimate" TargetMode="External"/><Relationship Id="rId181" Type="http://schemas.openxmlformats.org/officeDocument/2006/relationships/hyperlink" Target="https://ec.europa.eu/eurostat/databrowser/view/DS-056120__custom_15192557/default/table?lang=en%20-%20High%20estimate" TargetMode="External"/><Relationship Id="rId216" Type="http://schemas.openxmlformats.org/officeDocument/2006/relationships/hyperlink" Target="https://ec.europa.eu/eurostat/databrowser/view/DS-056120__custom_15192557/default/table?lang=en%20-%20High%20estimate" TargetMode="External"/><Relationship Id="rId237" Type="http://schemas.openxmlformats.org/officeDocument/2006/relationships/hyperlink" Target="https://ec.europa.eu/eurostat/databrowser/view/DS-056120__custom_15192557/default/table?lang=en%20-%20High%20estimate" TargetMode="External"/><Relationship Id="rId22" Type="http://schemas.openxmlformats.org/officeDocument/2006/relationships/hyperlink" Target="https://ec.europa.eu/eurostat/databrowser/view/DS-056120__custom_15192557/default/table?lang=en%20-%20High%20estimate" TargetMode="External"/><Relationship Id="rId43" Type="http://schemas.openxmlformats.org/officeDocument/2006/relationships/hyperlink" Target="https://ec.europa.eu/eurostat/databrowser/view/DS-056120__custom_15192557/default/table?lang=en%20-%20High%20estimate" TargetMode="External"/><Relationship Id="rId64" Type="http://schemas.openxmlformats.org/officeDocument/2006/relationships/hyperlink" Target="https://ec.europa.eu/eurostat/databrowser/view/DS-056120__custom_15192557/default/table?lang=en%20-%20High%20estimate" TargetMode="External"/><Relationship Id="rId118" Type="http://schemas.openxmlformats.org/officeDocument/2006/relationships/hyperlink" Target="https://ec.europa.eu/eurostat/databrowser/view/DS-056120__custom_15192557/default/table?lang=en%20-%20Low%20estimate" TargetMode="External"/><Relationship Id="rId139" Type="http://schemas.openxmlformats.org/officeDocument/2006/relationships/hyperlink" Target="https://ec.europa.eu/eurostat/databrowser/view/DS-056120__custom_15192557/default/table?lang=en%20-%20Low%20estimate" TargetMode="External"/><Relationship Id="rId85" Type="http://schemas.openxmlformats.org/officeDocument/2006/relationships/hyperlink" Target="https://ec.europa.eu/eurostat/databrowser/view/DS-056120__custom_15192557/default/table?lang=en%20-%20High%20estimate" TargetMode="External"/><Relationship Id="rId150" Type="http://schemas.openxmlformats.org/officeDocument/2006/relationships/hyperlink" Target="https://ec.europa.eu/eurostat/databrowser/view/DS-056120__custom_15192557/default/table?lang=en%20-%20Low%20estimate" TargetMode="External"/><Relationship Id="rId171" Type="http://schemas.openxmlformats.org/officeDocument/2006/relationships/hyperlink" Target="https://ec.europa.eu/eurostat/databrowser/view/DS-056120__custom_15192557/default/table?lang=en%20-%20Low%20estimate" TargetMode="External"/><Relationship Id="rId192" Type="http://schemas.openxmlformats.org/officeDocument/2006/relationships/hyperlink" Target="https://ec.europa.eu/eurostat/databrowser/view/DS-056120__custom_15192557/default/table?lang=en%20-%20High%20estimate" TargetMode="External"/><Relationship Id="rId206" Type="http://schemas.openxmlformats.org/officeDocument/2006/relationships/hyperlink" Target="https://ec.europa.eu/eurostat/databrowser/view/DS-056120__custom_15192557/default/table?lang=en%20-%20High%20estimate" TargetMode="External"/><Relationship Id="rId227" Type="http://schemas.openxmlformats.org/officeDocument/2006/relationships/hyperlink" Target="https://ec.europa.eu/eurostat/databrowser/view/DS-056120__custom_15192557/default/table?lang=en%20-%20High%20estimate" TargetMode="External"/><Relationship Id="rId248" Type="http://schemas.openxmlformats.org/officeDocument/2006/relationships/hyperlink" Target="https://ec.europa.eu/eurostat/databrowser/view/DS-056120__custom_15192557/default/table?lang=en%20-%20High%20estimate" TargetMode="External"/><Relationship Id="rId12" Type="http://schemas.openxmlformats.org/officeDocument/2006/relationships/hyperlink" Target="https://ec.europa.eu/eurostat/databrowser/view/DS-056120__custom_15192557/default/table?lang=en%20-%20High%20estimate" TargetMode="External"/><Relationship Id="rId33" Type="http://schemas.openxmlformats.org/officeDocument/2006/relationships/hyperlink" Target="https://ec.europa.eu/eurostat/databrowser/view/DS-056120__custom_15192557/default/table?lang=en%20-%20High%20estimate" TargetMode="External"/><Relationship Id="rId108" Type="http://schemas.openxmlformats.org/officeDocument/2006/relationships/hyperlink" Target="https://ec.europa.eu/eurostat/databrowser/view/DS-056120__custom_15192557/default/table?lang=en%20-%20Low%20estimate" TargetMode="External"/><Relationship Id="rId129" Type="http://schemas.openxmlformats.org/officeDocument/2006/relationships/hyperlink" Target="https://ec.europa.eu/eurostat/databrowser/view/DS-056120__custom_15192557/default/table?lang=en%20-%20Low%20estimate" TargetMode="External"/><Relationship Id="rId54" Type="http://schemas.openxmlformats.org/officeDocument/2006/relationships/hyperlink" Target="https://ec.europa.eu/eurostat/databrowser/view/DS-056120__custom_15192557/default/table?lang=en%20-%20High%20estimate" TargetMode="External"/><Relationship Id="rId75" Type="http://schemas.openxmlformats.org/officeDocument/2006/relationships/hyperlink" Target="https://ec.europa.eu/eurostat/databrowser/view/DS-056120__custom_15192557/default/table?lang=en%20-%20High%20estimate" TargetMode="External"/><Relationship Id="rId96" Type="http://schemas.openxmlformats.org/officeDocument/2006/relationships/hyperlink" Target="https://ec.europa.eu/eurostat/databrowser/view/DS-056120__custom_15192557/default/table?lang=en%20-%20Low%20estimate" TargetMode="External"/><Relationship Id="rId140" Type="http://schemas.openxmlformats.org/officeDocument/2006/relationships/hyperlink" Target="https://ec.europa.eu/eurostat/databrowser/view/DS-056120__custom_15192557/default/table?lang=en%20-%20Low%20estimate" TargetMode="External"/><Relationship Id="rId161" Type="http://schemas.openxmlformats.org/officeDocument/2006/relationships/hyperlink" Target="https://ec.europa.eu/eurostat/databrowser/view/DS-056120__custom_15192557/default/table?lang=en%20-%20Low%20estimate" TargetMode="External"/><Relationship Id="rId182" Type="http://schemas.openxmlformats.org/officeDocument/2006/relationships/hyperlink" Target="https://ec.europa.eu/eurostat/databrowser/view/DS-056120__custom_15192557/default/table?lang=en%20-%20High%20estimate" TargetMode="External"/><Relationship Id="rId217" Type="http://schemas.openxmlformats.org/officeDocument/2006/relationships/hyperlink" Target="https://ec.europa.eu/eurostat/databrowser/view/DS-056120__custom_15192557/default/table?lang=en%20-%20High%20estimate" TargetMode="External"/><Relationship Id="rId6" Type="http://schemas.openxmlformats.org/officeDocument/2006/relationships/hyperlink" Target="https://ec.europa.eu/eurostat/databrowser/view/DS-056120__custom_15192557/default/table?lang=en%20-%20High%20estimate" TargetMode="External"/><Relationship Id="rId238" Type="http://schemas.openxmlformats.org/officeDocument/2006/relationships/hyperlink" Target="https://ec.europa.eu/eurostat/databrowser/view/DS-056120__custom_15192557/default/table?lang=en%20-%20High%20estimate" TargetMode="External"/><Relationship Id="rId23" Type="http://schemas.openxmlformats.org/officeDocument/2006/relationships/hyperlink" Target="https://ec.europa.eu/eurostat/databrowser/view/DS-056120__custom_15192557/default/table?lang=en%20-%20High%20estimate" TargetMode="External"/><Relationship Id="rId119" Type="http://schemas.openxmlformats.org/officeDocument/2006/relationships/hyperlink" Target="https://ec.europa.eu/eurostat/databrowser/view/DS-056120__custom_15192557/default/table?lang=en%20-%20Low%20estimate" TargetMode="External"/><Relationship Id="rId44" Type="http://schemas.openxmlformats.org/officeDocument/2006/relationships/hyperlink" Target="https://ec.europa.eu/eurostat/databrowser/view/DS-056120__custom_15192557/default/table?lang=en%20-%20High%20estimate" TargetMode="External"/><Relationship Id="rId65" Type="http://schemas.openxmlformats.org/officeDocument/2006/relationships/hyperlink" Target="https://ec.europa.eu/eurostat/databrowser/view/DS-056120__custom_15192557/default/table?lang=en%20-%20High%20estimate" TargetMode="External"/><Relationship Id="rId86" Type="http://schemas.openxmlformats.org/officeDocument/2006/relationships/hyperlink" Target="https://ec.europa.eu/eurostat/databrowser/view/DS-056120__custom_15192557/default/table?lang=en%20-%20High%20estimate" TargetMode="External"/><Relationship Id="rId130" Type="http://schemas.openxmlformats.org/officeDocument/2006/relationships/hyperlink" Target="https://ec.europa.eu/eurostat/databrowser/view/DS-056120__custom_15192557/default/table?lang=en%20-%20Low%20estimate" TargetMode="External"/><Relationship Id="rId151" Type="http://schemas.openxmlformats.org/officeDocument/2006/relationships/hyperlink" Target="https://ec.europa.eu/eurostat/databrowser/view/DS-056120__custom_15192557/default/table?lang=en%20-%20Low%20estimate" TargetMode="External"/><Relationship Id="rId172" Type="http://schemas.openxmlformats.org/officeDocument/2006/relationships/hyperlink" Target="https://ec.europa.eu/eurostat/databrowser/view/DS-056120__custom_15192557/default/table?lang=en%20-%20High%20estimate" TargetMode="External"/><Relationship Id="rId193" Type="http://schemas.openxmlformats.org/officeDocument/2006/relationships/hyperlink" Target="https://ec.europa.eu/eurostat/databrowser/view/DS-056120__custom_15192557/default/table?lang=en%20-%20High%20estimate" TargetMode="External"/><Relationship Id="rId207" Type="http://schemas.openxmlformats.org/officeDocument/2006/relationships/hyperlink" Target="https://ec.europa.eu/eurostat/databrowser/view/DS-056120__custom_15192557/default/table?lang=en%20-%20High%20estimate" TargetMode="External"/><Relationship Id="rId228" Type="http://schemas.openxmlformats.org/officeDocument/2006/relationships/hyperlink" Target="https://ec.europa.eu/eurostat/databrowser/view/DS-056120__custom_15192557/default/table?lang=en%20-%20High%20estimate" TargetMode="External"/><Relationship Id="rId249" Type="http://schemas.openxmlformats.org/officeDocument/2006/relationships/hyperlink" Target="https://ec.europa.eu/eurostat/databrowser/view/DS-056120__custom_15192557/default/table?lang=en%20-%20High%20estimate" TargetMode="External"/><Relationship Id="rId13" Type="http://schemas.openxmlformats.org/officeDocument/2006/relationships/hyperlink" Target="https://ec.europa.eu/eurostat/databrowser/view/DS-056120__custom_15192557/default/table?lang=en%20-%20High%20estimate" TargetMode="External"/><Relationship Id="rId109" Type="http://schemas.openxmlformats.org/officeDocument/2006/relationships/hyperlink" Target="https://ec.europa.eu/eurostat/databrowser/view/DS-056120__custom_15192557/default/table?lang=en%20-%20Low%20estimate" TargetMode="External"/><Relationship Id="rId34" Type="http://schemas.openxmlformats.org/officeDocument/2006/relationships/hyperlink" Target="https://ec.europa.eu/eurostat/databrowser/view/DS-056120__custom_15192557/default/table?lang=en%20-%20High%20estimate" TargetMode="External"/><Relationship Id="rId55" Type="http://schemas.openxmlformats.org/officeDocument/2006/relationships/hyperlink" Target="https://ec.europa.eu/eurostat/databrowser/view/DS-056120__custom_15192557/default/table?lang=en%20-%20High%20estimate" TargetMode="External"/><Relationship Id="rId76" Type="http://schemas.openxmlformats.org/officeDocument/2006/relationships/hyperlink" Target="https://ec.europa.eu/eurostat/databrowser/view/DS-056120__custom_15192557/default/table?lang=en%20-%20High%20estimate" TargetMode="External"/><Relationship Id="rId97" Type="http://schemas.openxmlformats.org/officeDocument/2006/relationships/hyperlink" Target="https://ec.europa.eu/eurostat/databrowser/view/DS-056120__custom_15192557/default/table?lang=en%20-%20Low%20estimate" TargetMode="External"/><Relationship Id="rId120" Type="http://schemas.openxmlformats.org/officeDocument/2006/relationships/hyperlink" Target="https://ec.europa.eu/eurostat/databrowser/view/DS-056120__custom_15192557/default/table?lang=en%20-%20Low%20estimate" TargetMode="External"/><Relationship Id="rId141" Type="http://schemas.openxmlformats.org/officeDocument/2006/relationships/hyperlink" Target="https://ec.europa.eu/eurostat/databrowser/view/DS-056120__custom_15192557/default/table?lang=en%20-%20Low%20estimate" TargetMode="External"/><Relationship Id="rId7" Type="http://schemas.openxmlformats.org/officeDocument/2006/relationships/hyperlink" Target="https://ec.europa.eu/eurostat/databrowser/view/DS-056120__custom_15192557/default/table?lang=en%20-%20High%20estimate" TargetMode="External"/><Relationship Id="rId162" Type="http://schemas.openxmlformats.org/officeDocument/2006/relationships/hyperlink" Target="https://ec.europa.eu/eurostat/databrowser/view/DS-056120__custom_15192557/default/table?lang=en%20-%20Low%20estimate" TargetMode="External"/><Relationship Id="rId183" Type="http://schemas.openxmlformats.org/officeDocument/2006/relationships/hyperlink" Target="https://ec.europa.eu/eurostat/databrowser/view/DS-056120__custom_15192557/default/table?lang=en%20-%20High%20estimate" TargetMode="External"/><Relationship Id="rId218" Type="http://schemas.openxmlformats.org/officeDocument/2006/relationships/hyperlink" Target="https://ec.europa.eu/eurostat/databrowser/view/DS-056120__custom_15192557/default/table?lang=en%20-%20High%20estimate" TargetMode="External"/><Relationship Id="rId239" Type="http://schemas.openxmlformats.org/officeDocument/2006/relationships/hyperlink" Target="https://ec.europa.eu/eurostat/databrowser/view/DS-056120__custom_15192557/default/table?lang=en%20-%20High%20estimate" TargetMode="External"/><Relationship Id="rId250" Type="http://schemas.openxmlformats.org/officeDocument/2006/relationships/hyperlink" Target="https://ec.europa.eu/eurostat/databrowser/view/DS-056120__custom_15192557/default/table?lang=en%20-%20High%20estimate" TargetMode="External"/><Relationship Id="rId24" Type="http://schemas.openxmlformats.org/officeDocument/2006/relationships/hyperlink" Target="https://ec.europa.eu/eurostat/databrowser/view/DS-056120__custom_15192557/default/table?lang=en%20-%20High%20estimate" TargetMode="External"/><Relationship Id="rId45" Type="http://schemas.openxmlformats.org/officeDocument/2006/relationships/hyperlink" Target="https://ec.europa.eu/eurostat/databrowser/view/DS-056120__custom_15192557/default/table?lang=en%20-%20High%20estimate" TargetMode="External"/><Relationship Id="rId66" Type="http://schemas.openxmlformats.org/officeDocument/2006/relationships/hyperlink" Target="https://ec.europa.eu/eurostat/databrowser/view/DS-056120__custom_15192557/default/table?lang=en%20-%20High%20estimate" TargetMode="External"/><Relationship Id="rId87" Type="http://schemas.openxmlformats.org/officeDocument/2006/relationships/hyperlink" Target="https://ec.europa.eu/eurostat/databrowser/view/DS-056120__custom_15192557/default/table?lang=en%20-%20High%20estimate" TargetMode="External"/><Relationship Id="rId110" Type="http://schemas.openxmlformats.org/officeDocument/2006/relationships/hyperlink" Target="https://ec.europa.eu/eurostat/databrowser/view/DS-056120__custom_15192557/default/table?lang=en%20-%20Low%20estimate" TargetMode="External"/><Relationship Id="rId131" Type="http://schemas.openxmlformats.org/officeDocument/2006/relationships/hyperlink" Target="https://ec.europa.eu/eurostat/databrowser/view/DS-056120__custom_15192557/default/table?lang=en%20-%20Low%20estimate" TargetMode="External"/><Relationship Id="rId152" Type="http://schemas.openxmlformats.org/officeDocument/2006/relationships/hyperlink" Target="https://ec.europa.eu/eurostat/databrowser/view/DS-056120__custom_15192557/default/table?lang=en%20-%20Low%20estimate" TargetMode="External"/><Relationship Id="rId173" Type="http://schemas.openxmlformats.org/officeDocument/2006/relationships/hyperlink" Target="https://ec.europa.eu/eurostat/databrowser/view/DS-056120__custom_15192557/default/table?lang=en%20-%20High%20estimate" TargetMode="External"/><Relationship Id="rId194" Type="http://schemas.openxmlformats.org/officeDocument/2006/relationships/hyperlink" Target="https://ec.europa.eu/eurostat/databrowser/view/DS-056120__custom_15192557/default/table?lang=en%20-%20High%20estimate" TargetMode="External"/><Relationship Id="rId208" Type="http://schemas.openxmlformats.org/officeDocument/2006/relationships/hyperlink" Target="https://ec.europa.eu/eurostat/databrowser/view/DS-056120__custom_15192557/default/table?lang=en%20-%20High%20estimate" TargetMode="External"/><Relationship Id="rId229" Type="http://schemas.openxmlformats.org/officeDocument/2006/relationships/hyperlink" Target="https://ec.europa.eu/eurostat/databrowser/view/DS-056120__custom_15192557/default/table?lang=en%20-%20High%20estimate" TargetMode="External"/><Relationship Id="rId240" Type="http://schemas.openxmlformats.org/officeDocument/2006/relationships/hyperlink" Target="https://ec.europa.eu/eurostat/databrowser/view/DS-056120__custom_15192557/default/table?lang=en%20-%20High%20estimate" TargetMode="External"/><Relationship Id="rId14" Type="http://schemas.openxmlformats.org/officeDocument/2006/relationships/hyperlink" Target="https://ec.europa.eu/eurostat/databrowser/view/DS-056120__custom_15192557/default/table?lang=en%20-%20High%20estimate" TargetMode="External"/><Relationship Id="rId35" Type="http://schemas.openxmlformats.org/officeDocument/2006/relationships/hyperlink" Target="https://ec.europa.eu/eurostat/databrowser/view/DS-056120__custom_15192557/default/table?lang=en%20-%20High%20estimate" TargetMode="External"/><Relationship Id="rId56" Type="http://schemas.openxmlformats.org/officeDocument/2006/relationships/hyperlink" Target="https://ec.europa.eu/eurostat/databrowser/view/DS-056120__custom_15192557/default/table?lang=en%20-%20High%20estimate" TargetMode="External"/><Relationship Id="rId77" Type="http://schemas.openxmlformats.org/officeDocument/2006/relationships/hyperlink" Target="https://ec.europa.eu/eurostat/databrowser/view/DS-056120__custom_15192557/default/table?lang=en%20-%20High%20estimate" TargetMode="External"/><Relationship Id="rId100" Type="http://schemas.openxmlformats.org/officeDocument/2006/relationships/hyperlink" Target="https://ec.europa.eu/eurostat/databrowser/view/DS-056120__custom_15192557/default/table?lang=en%20-%20Low%20estimate" TargetMode="External"/><Relationship Id="rId8" Type="http://schemas.openxmlformats.org/officeDocument/2006/relationships/hyperlink" Target="https://ec.europa.eu/eurostat/databrowser/view/DS-056120__custom_15192557/default/table?lang=en%20-%20High%20estimate" TargetMode="External"/><Relationship Id="rId98" Type="http://schemas.openxmlformats.org/officeDocument/2006/relationships/hyperlink" Target="https://ec.europa.eu/eurostat/databrowser/view/DS-056120__custom_15192557/default/table?lang=en%20-%20Low%20estimate" TargetMode="External"/><Relationship Id="rId121" Type="http://schemas.openxmlformats.org/officeDocument/2006/relationships/hyperlink" Target="https://ec.europa.eu/eurostat/databrowser/view/DS-056120__custom_15192557/default/table?lang=en%20-%20Low%20estimate" TargetMode="External"/><Relationship Id="rId142" Type="http://schemas.openxmlformats.org/officeDocument/2006/relationships/hyperlink" Target="https://ec.europa.eu/eurostat/databrowser/view/DS-056120__custom_15192557/default/table?lang=en%20-%20Low%20estimate" TargetMode="External"/><Relationship Id="rId163" Type="http://schemas.openxmlformats.org/officeDocument/2006/relationships/hyperlink" Target="https://ec.europa.eu/eurostat/databrowser/view/DS-056120__custom_15192557/default/table?lang=en%20-%20Low%20estimate" TargetMode="External"/><Relationship Id="rId184" Type="http://schemas.openxmlformats.org/officeDocument/2006/relationships/hyperlink" Target="https://ec.europa.eu/eurostat/databrowser/view/DS-056120__custom_15192557/default/table?lang=en%20-%20High%20estimate" TargetMode="External"/><Relationship Id="rId219" Type="http://schemas.openxmlformats.org/officeDocument/2006/relationships/hyperlink" Target="https://ec.europa.eu/eurostat/databrowser/view/DS-056120__custom_15192557/default/table?lang=en%20-%20High%20estimate" TargetMode="External"/><Relationship Id="rId230" Type="http://schemas.openxmlformats.org/officeDocument/2006/relationships/hyperlink" Target="https://ec.europa.eu/eurostat/databrowser/view/DS-056120__custom_15192557/default/table?lang=en%20-%20High%20estimate" TargetMode="External"/><Relationship Id="rId251" Type="http://schemas.openxmlformats.org/officeDocument/2006/relationships/hyperlink" Target="https://ec.europa.eu/eurostat/databrowser/view/DS-056120__custom_15192557/default/table?lang=en%20-%20High%20estimate" TargetMode="External"/><Relationship Id="rId25" Type="http://schemas.openxmlformats.org/officeDocument/2006/relationships/hyperlink" Target="https://ec.europa.eu/eurostat/databrowser/view/DS-056120__custom_15192557/default/table?lang=en%20-%20High%20estimate" TargetMode="External"/><Relationship Id="rId46" Type="http://schemas.openxmlformats.org/officeDocument/2006/relationships/hyperlink" Target="https://ec.europa.eu/eurostat/databrowser/view/DS-056120__custom_15192557/default/table?lang=en%20-%20High%20estimate" TargetMode="External"/><Relationship Id="rId67" Type="http://schemas.openxmlformats.org/officeDocument/2006/relationships/hyperlink" Target="https://ec.europa.eu/eurostat/databrowser/view/DS-056120__custom_15192557/default/table?lang=en%20-%20High%20estimate" TargetMode="External"/><Relationship Id="rId88" Type="http://schemas.openxmlformats.org/officeDocument/2006/relationships/hyperlink" Target="https://ec.europa.eu/eurostat/databrowser/view/DS-056120__custom_15192557/default/table?lang=en%20-%20Low%20estimate" TargetMode="External"/><Relationship Id="rId111" Type="http://schemas.openxmlformats.org/officeDocument/2006/relationships/hyperlink" Target="https://ec.europa.eu/eurostat/databrowser/view/DS-056120__custom_15192557/default/table?lang=en%20-%20Low%20estimate" TargetMode="External"/><Relationship Id="rId132" Type="http://schemas.openxmlformats.org/officeDocument/2006/relationships/hyperlink" Target="https://ec.europa.eu/eurostat/databrowser/view/DS-056120__custom_15192557/default/table?lang=en%20-%20Low%20estimate" TargetMode="External"/><Relationship Id="rId153" Type="http://schemas.openxmlformats.org/officeDocument/2006/relationships/hyperlink" Target="https://ec.europa.eu/eurostat/databrowser/view/DS-056120__custom_15192557/default/table?lang=en%20-%20Low%20estimate" TargetMode="External"/><Relationship Id="rId174" Type="http://schemas.openxmlformats.org/officeDocument/2006/relationships/hyperlink" Target="https://ec.europa.eu/eurostat/databrowser/view/DS-056120__custom_15192557/default/table?lang=en%20-%20High%20estimate" TargetMode="External"/><Relationship Id="rId195" Type="http://schemas.openxmlformats.org/officeDocument/2006/relationships/hyperlink" Target="https://ec.europa.eu/eurostat/databrowser/view/DS-056120__custom_15192557/default/table?lang=en%20-%20High%20estimate" TargetMode="External"/><Relationship Id="rId209" Type="http://schemas.openxmlformats.org/officeDocument/2006/relationships/hyperlink" Target="https://ec.europa.eu/eurostat/databrowser/view/DS-056120__custom_15192557/default/table?lang=en%20-%20High%20estimate" TargetMode="External"/><Relationship Id="rId220" Type="http://schemas.openxmlformats.org/officeDocument/2006/relationships/hyperlink" Target="https://ec.europa.eu/eurostat/databrowser/view/DS-056120__custom_15192557/default/table?lang=en%20-%20High%20estimate" TargetMode="External"/><Relationship Id="rId241" Type="http://schemas.openxmlformats.org/officeDocument/2006/relationships/hyperlink" Target="https://ec.europa.eu/eurostat/databrowser/view/DS-056120__custom_15192557/default/table?lang=en%20-%20High%20estimate" TargetMode="External"/><Relationship Id="rId15" Type="http://schemas.openxmlformats.org/officeDocument/2006/relationships/hyperlink" Target="https://ec.europa.eu/eurostat/databrowser/view/DS-056120__custom_15192557/default/table?lang=en%20-%20High%20estimate" TargetMode="External"/><Relationship Id="rId36" Type="http://schemas.openxmlformats.org/officeDocument/2006/relationships/hyperlink" Target="https://ec.europa.eu/eurostat/databrowser/view/DS-056120__custom_15192557/default/table?lang=en%20-%20High%20estimate" TargetMode="External"/><Relationship Id="rId57" Type="http://schemas.openxmlformats.org/officeDocument/2006/relationships/hyperlink" Target="https://ec.europa.eu/eurostat/databrowser/view/DS-056120__custom_15192557/default/table?lang=en%20-%20High%20estimate" TargetMode="External"/><Relationship Id="rId78" Type="http://schemas.openxmlformats.org/officeDocument/2006/relationships/hyperlink" Target="https://ec.europa.eu/eurostat/databrowser/view/DS-056120__custom_15192557/default/table?lang=en%20-%20High%20estimate" TargetMode="External"/><Relationship Id="rId99" Type="http://schemas.openxmlformats.org/officeDocument/2006/relationships/hyperlink" Target="https://ec.europa.eu/eurostat/databrowser/view/DS-056120__custom_15192557/default/table?lang=en%20-%20Low%20estimate" TargetMode="External"/><Relationship Id="rId101" Type="http://schemas.openxmlformats.org/officeDocument/2006/relationships/hyperlink" Target="https://ec.europa.eu/eurostat/databrowser/view/DS-056120__custom_15192557/default/table?lang=en%20-%20Low%20estimate" TargetMode="External"/><Relationship Id="rId122" Type="http://schemas.openxmlformats.org/officeDocument/2006/relationships/hyperlink" Target="https://ec.europa.eu/eurostat/databrowser/view/DS-056120__custom_15192557/default/table?lang=en%20-%20Low%20estimate" TargetMode="External"/><Relationship Id="rId143" Type="http://schemas.openxmlformats.org/officeDocument/2006/relationships/hyperlink" Target="https://ec.europa.eu/eurostat/databrowser/view/DS-056120__custom_15192557/default/table?lang=en%20-%20Low%20estimate" TargetMode="External"/><Relationship Id="rId164" Type="http://schemas.openxmlformats.org/officeDocument/2006/relationships/hyperlink" Target="https://ec.europa.eu/eurostat/databrowser/view/DS-056120__custom_15192557/default/table?lang=en%20-%20Low%20estimate" TargetMode="External"/><Relationship Id="rId185" Type="http://schemas.openxmlformats.org/officeDocument/2006/relationships/hyperlink" Target="https://ec.europa.eu/eurostat/databrowser/view/DS-056120__custom_15192557/default/table?lang=en%20-%20High%20estimate" TargetMode="External"/><Relationship Id="rId9" Type="http://schemas.openxmlformats.org/officeDocument/2006/relationships/hyperlink" Target="https://ec.europa.eu/eurostat/databrowser/view/DS-056120__custom_15192557/default/table?lang=en%20-%20High%20estimate" TargetMode="External"/><Relationship Id="rId210" Type="http://schemas.openxmlformats.org/officeDocument/2006/relationships/hyperlink" Target="https://ec.europa.eu/eurostat/databrowser/view/DS-056120__custom_15192557/default/table?lang=en%20-%20High%20estimate" TargetMode="External"/><Relationship Id="rId26" Type="http://schemas.openxmlformats.org/officeDocument/2006/relationships/hyperlink" Target="https://ec.europa.eu/eurostat/databrowser/view/DS-056120__custom_15192557/default/table?lang=en%20-%20High%20estimate" TargetMode="External"/><Relationship Id="rId231" Type="http://schemas.openxmlformats.org/officeDocument/2006/relationships/hyperlink" Target="https://ec.europa.eu/eurostat/databrowser/view/DS-056120__custom_15192557/default/table?lang=en%20-%20High%20estimate" TargetMode="External"/><Relationship Id="rId252" Type="http://schemas.openxmlformats.org/officeDocument/2006/relationships/hyperlink" Target="https://ec.europa.eu/eurostat/databrowser/view/DS-056120__custom_15192557/default/table?lang=en%20-%20High%20estimate" TargetMode="External"/><Relationship Id="rId47" Type="http://schemas.openxmlformats.org/officeDocument/2006/relationships/hyperlink" Target="https://ec.europa.eu/eurostat/databrowser/view/DS-056120__custom_15192557/default/table?lang=en%20-%20High%20estimate" TargetMode="External"/><Relationship Id="rId68" Type="http://schemas.openxmlformats.org/officeDocument/2006/relationships/hyperlink" Target="https://ec.europa.eu/eurostat/databrowser/view/DS-056120__custom_15192557/default/table?lang=en%20-%20High%20estimate" TargetMode="External"/><Relationship Id="rId89" Type="http://schemas.openxmlformats.org/officeDocument/2006/relationships/hyperlink" Target="https://ec.europa.eu/eurostat/databrowser/view/DS-056120__custom_15192557/default/table?lang=en%20-%20Low%20estimate" TargetMode="External"/><Relationship Id="rId112" Type="http://schemas.openxmlformats.org/officeDocument/2006/relationships/hyperlink" Target="https://ec.europa.eu/eurostat/databrowser/view/DS-056120__custom_15192557/default/table?lang=en%20-%20Low%20estimate" TargetMode="External"/><Relationship Id="rId133" Type="http://schemas.openxmlformats.org/officeDocument/2006/relationships/hyperlink" Target="https://ec.europa.eu/eurostat/databrowser/view/DS-056120__custom_15192557/default/table?lang=en%20-%20Low%20estimate" TargetMode="External"/><Relationship Id="rId154" Type="http://schemas.openxmlformats.org/officeDocument/2006/relationships/hyperlink" Target="https://ec.europa.eu/eurostat/databrowser/view/DS-056120__custom_15192557/default/table?lang=en%20-%20Low%20estimate" TargetMode="External"/><Relationship Id="rId175" Type="http://schemas.openxmlformats.org/officeDocument/2006/relationships/hyperlink" Target="https://ec.europa.eu/eurostat/databrowser/view/DS-056120__custom_15192557/default/table?lang=en%20-%20High%20estimate" TargetMode="External"/><Relationship Id="rId196" Type="http://schemas.openxmlformats.org/officeDocument/2006/relationships/hyperlink" Target="https://ec.europa.eu/eurostat/databrowser/view/DS-056120__custom_15192557/default/table?lang=en%20-%20High%20estimate" TargetMode="External"/><Relationship Id="rId200" Type="http://schemas.openxmlformats.org/officeDocument/2006/relationships/hyperlink" Target="https://ec.europa.eu/eurostat/databrowser/view/DS-056120__custom_15192557/default/table?lang=en%20-%20High%20estimate" TargetMode="External"/><Relationship Id="rId16" Type="http://schemas.openxmlformats.org/officeDocument/2006/relationships/hyperlink" Target="https://ec.europa.eu/eurostat/databrowser/view/DS-056120__custom_15192557/default/table?lang=en%20-%20High%20estimate" TargetMode="External"/><Relationship Id="rId221" Type="http://schemas.openxmlformats.org/officeDocument/2006/relationships/hyperlink" Target="https://ec.europa.eu/eurostat/databrowser/view/DS-056120__custom_15192557/default/table?lang=en%20-%20High%20estimate" TargetMode="External"/><Relationship Id="rId242" Type="http://schemas.openxmlformats.org/officeDocument/2006/relationships/hyperlink" Target="https://ec.europa.eu/eurostat/databrowser/view/DS-056120__custom_15192557/default/table?lang=en%20-%20High%20estimate" TargetMode="External"/><Relationship Id="rId37" Type="http://schemas.openxmlformats.org/officeDocument/2006/relationships/hyperlink" Target="https://ec.europa.eu/eurostat/databrowser/view/DS-056120__custom_15192557/default/table?lang=en%20-%20High%20estimate" TargetMode="External"/><Relationship Id="rId58" Type="http://schemas.openxmlformats.org/officeDocument/2006/relationships/hyperlink" Target="https://ec.europa.eu/eurostat/databrowser/view/DS-056120__custom_15192557/default/table?lang=en%20-%20High%20estimate" TargetMode="External"/><Relationship Id="rId79" Type="http://schemas.openxmlformats.org/officeDocument/2006/relationships/hyperlink" Target="https://ec.europa.eu/eurostat/databrowser/view/DS-056120__custom_15192557/default/table?lang=en%20-%20High%20estimate" TargetMode="External"/><Relationship Id="rId102" Type="http://schemas.openxmlformats.org/officeDocument/2006/relationships/hyperlink" Target="https://ec.europa.eu/eurostat/databrowser/view/DS-056120__custom_15192557/default/table?lang=en%20-%20Low%20estimate" TargetMode="External"/><Relationship Id="rId123" Type="http://schemas.openxmlformats.org/officeDocument/2006/relationships/hyperlink" Target="https://ec.europa.eu/eurostat/databrowser/view/DS-056120__custom_15192557/default/table?lang=en%20-%20Low%20estimate" TargetMode="External"/><Relationship Id="rId144" Type="http://schemas.openxmlformats.org/officeDocument/2006/relationships/hyperlink" Target="https://ec.europa.eu/eurostat/databrowser/view/DS-056120__custom_15192557/default/table?lang=en%20-%20Low%20estimate" TargetMode="External"/><Relationship Id="rId90" Type="http://schemas.openxmlformats.org/officeDocument/2006/relationships/hyperlink" Target="https://ec.europa.eu/eurostat/databrowser/view/DS-056120__custom_15192557/default/table?lang=en%20-%20Low%20estimate" TargetMode="External"/><Relationship Id="rId165" Type="http://schemas.openxmlformats.org/officeDocument/2006/relationships/hyperlink" Target="https://ec.europa.eu/eurostat/databrowser/view/DS-056120__custom_15192557/default/table?lang=en%20-%20Low%20estimate" TargetMode="External"/><Relationship Id="rId186" Type="http://schemas.openxmlformats.org/officeDocument/2006/relationships/hyperlink" Target="https://ec.europa.eu/eurostat/databrowser/view/DS-056120__custom_15192557/default/table?lang=en%20-%20High%20estimate" TargetMode="External"/><Relationship Id="rId211" Type="http://schemas.openxmlformats.org/officeDocument/2006/relationships/hyperlink" Target="https://ec.europa.eu/eurostat/databrowser/view/DS-056120__custom_15192557/default/table?lang=en%20-%20High%20estimate" TargetMode="External"/><Relationship Id="rId232" Type="http://schemas.openxmlformats.org/officeDocument/2006/relationships/hyperlink" Target="https://ec.europa.eu/eurostat/databrowser/view/DS-056120__custom_15192557/default/table?lang=en%20-%20High%20estimate" TargetMode="External"/><Relationship Id="rId253" Type="http://schemas.openxmlformats.org/officeDocument/2006/relationships/hyperlink" Target="https://ec.europa.eu/eurostat/databrowser/view/DS-056120__custom_15192557/default/table?lang=en%20-%20High%20estimate" TargetMode="External"/><Relationship Id="rId27" Type="http://schemas.openxmlformats.org/officeDocument/2006/relationships/hyperlink" Target="https://ec.europa.eu/eurostat/databrowser/view/DS-056120__custom_15192557/default/table?lang=en%20-%20High%20estimate" TargetMode="External"/><Relationship Id="rId48" Type="http://schemas.openxmlformats.org/officeDocument/2006/relationships/hyperlink" Target="https://ec.europa.eu/eurostat/databrowser/view/DS-056120__custom_15192557/default/table?lang=en%20-%20High%20estimate" TargetMode="External"/><Relationship Id="rId69" Type="http://schemas.openxmlformats.org/officeDocument/2006/relationships/hyperlink" Target="https://ec.europa.eu/eurostat/databrowser/view/DS-056120__custom_15192557/default/table?lang=en%20-%20High%20estimate" TargetMode="External"/><Relationship Id="rId113" Type="http://schemas.openxmlformats.org/officeDocument/2006/relationships/hyperlink" Target="https://ec.europa.eu/eurostat/databrowser/view/DS-056120__custom_15192557/default/table?lang=en%20-%20Low%20estimate" TargetMode="External"/><Relationship Id="rId134" Type="http://schemas.openxmlformats.org/officeDocument/2006/relationships/hyperlink" Target="https://ec.europa.eu/eurostat/databrowser/view/DS-056120__custom_15192557/default/table?lang=en%20-%20Low%20estimate" TargetMode="External"/><Relationship Id="rId80" Type="http://schemas.openxmlformats.org/officeDocument/2006/relationships/hyperlink" Target="https://ec.europa.eu/eurostat/databrowser/view/DS-056120__custom_15192557/default/table?lang=en%20-%20High%20estimate" TargetMode="External"/><Relationship Id="rId155" Type="http://schemas.openxmlformats.org/officeDocument/2006/relationships/hyperlink" Target="https://ec.europa.eu/eurostat/databrowser/view/DS-056120__custom_15192557/default/table?lang=en%20-%20Low%20estimate" TargetMode="External"/><Relationship Id="rId176" Type="http://schemas.openxmlformats.org/officeDocument/2006/relationships/hyperlink" Target="https://ec.europa.eu/eurostat/databrowser/view/DS-056120__custom_15192557/default/table?lang=en%20-%20High%20estimate" TargetMode="External"/><Relationship Id="rId197" Type="http://schemas.openxmlformats.org/officeDocument/2006/relationships/hyperlink" Target="https://ec.europa.eu/eurostat/databrowser/view/DS-056120__custom_15192557/default/table?lang=en%20-%20High%20estimate" TargetMode="External"/><Relationship Id="rId201" Type="http://schemas.openxmlformats.org/officeDocument/2006/relationships/hyperlink" Target="https://ec.europa.eu/eurostat/databrowser/view/DS-056120__custom_15192557/default/table?lang=en%20-%20High%20estimate" TargetMode="External"/><Relationship Id="rId222" Type="http://schemas.openxmlformats.org/officeDocument/2006/relationships/hyperlink" Target="https://ec.europa.eu/eurostat/databrowser/view/DS-056120__custom_15192557/default/table?lang=en%20-%20High%20estimate" TargetMode="External"/><Relationship Id="rId243" Type="http://schemas.openxmlformats.org/officeDocument/2006/relationships/hyperlink" Target="https://ec.europa.eu/eurostat/databrowser/view/DS-056120__custom_15192557/default/table?lang=en%20-%20High%20estimate" TargetMode="External"/><Relationship Id="rId17" Type="http://schemas.openxmlformats.org/officeDocument/2006/relationships/hyperlink" Target="https://ec.europa.eu/eurostat/databrowser/view/DS-056120__custom_15192557/default/table?lang=en%20-%20High%20estimate" TargetMode="External"/><Relationship Id="rId38" Type="http://schemas.openxmlformats.org/officeDocument/2006/relationships/hyperlink" Target="https://ec.europa.eu/eurostat/databrowser/view/DS-056120__custom_15192557/default/table?lang=en%20-%20High%20estimate" TargetMode="External"/><Relationship Id="rId59" Type="http://schemas.openxmlformats.org/officeDocument/2006/relationships/hyperlink" Target="https://ec.europa.eu/eurostat/databrowser/view/DS-056120__custom_15192557/default/table?lang=en%20-%20High%20estimate" TargetMode="External"/><Relationship Id="rId103" Type="http://schemas.openxmlformats.org/officeDocument/2006/relationships/hyperlink" Target="https://ec.europa.eu/eurostat/databrowser/view/DS-056120__custom_15192557/default/table?lang=en%20-%20Low%20estimate" TargetMode="External"/><Relationship Id="rId124" Type="http://schemas.openxmlformats.org/officeDocument/2006/relationships/hyperlink" Target="https://ec.europa.eu/eurostat/databrowser/view/DS-056120__custom_15192557/default/table?lang=en%20-%20Low%20estimate" TargetMode="External"/><Relationship Id="rId70" Type="http://schemas.openxmlformats.org/officeDocument/2006/relationships/hyperlink" Target="https://ec.europa.eu/eurostat/databrowser/view/DS-056120__custom_15192557/default/table?lang=en%20-%20High%20estimate" TargetMode="External"/><Relationship Id="rId91" Type="http://schemas.openxmlformats.org/officeDocument/2006/relationships/hyperlink" Target="https://ec.europa.eu/eurostat/databrowser/view/DS-056120__custom_15192557/default/table?lang=en%20-%20Low%20estimate" TargetMode="External"/><Relationship Id="rId145" Type="http://schemas.openxmlformats.org/officeDocument/2006/relationships/hyperlink" Target="https://ec.europa.eu/eurostat/databrowser/view/DS-056120__custom_15192557/default/table?lang=en%20-%20Low%20estimate" TargetMode="External"/><Relationship Id="rId166" Type="http://schemas.openxmlformats.org/officeDocument/2006/relationships/hyperlink" Target="https://ec.europa.eu/eurostat/databrowser/view/DS-056120__custom_15192557/default/table?lang=en%20-%20Low%20estimate" TargetMode="External"/><Relationship Id="rId187" Type="http://schemas.openxmlformats.org/officeDocument/2006/relationships/hyperlink" Target="https://ec.europa.eu/eurostat/databrowser/view/DS-056120__custom_15192557/default/table?lang=en%20-%20High%20estimate" TargetMode="External"/><Relationship Id="rId1" Type="http://schemas.openxmlformats.org/officeDocument/2006/relationships/hyperlink" Target="https://ec.europa.eu/eurostat/databrowser/view/DS-056120__custom_5851448/default/table" TargetMode="External"/><Relationship Id="rId212" Type="http://schemas.openxmlformats.org/officeDocument/2006/relationships/hyperlink" Target="https://ec.europa.eu/eurostat/databrowser/view/DS-056120__custom_15192557/default/table?lang=en%20-%20High%20estimate" TargetMode="External"/><Relationship Id="rId233" Type="http://schemas.openxmlformats.org/officeDocument/2006/relationships/hyperlink" Target="https://ec.europa.eu/eurostat/databrowser/view/DS-056120__custom_15192557/default/table?lang=en%20-%20High%20estimate" TargetMode="External"/><Relationship Id="rId254" Type="http://schemas.openxmlformats.org/officeDocument/2006/relationships/hyperlink" Target="https://ec.europa.eu/eurostat/databrowser/view/DS-056120__custom_15192557/default/table?lang=en%20-%20High%20estimate" TargetMode="External"/><Relationship Id="rId28" Type="http://schemas.openxmlformats.org/officeDocument/2006/relationships/hyperlink" Target="https://ec.europa.eu/eurostat/databrowser/view/DS-056120__custom_15192557/default/table?lang=en%20-%20High%20estimate" TargetMode="External"/><Relationship Id="rId49" Type="http://schemas.openxmlformats.org/officeDocument/2006/relationships/hyperlink" Target="https://ec.europa.eu/eurostat/databrowser/view/DS-056120__custom_15192557/default/table?lang=en%20-%20High%20estimate" TargetMode="External"/><Relationship Id="rId114" Type="http://schemas.openxmlformats.org/officeDocument/2006/relationships/hyperlink" Target="https://ec.europa.eu/eurostat/databrowser/view/DS-056120__custom_15192557/default/table?lang=en%20-%20Low%20estimate" TargetMode="External"/><Relationship Id="rId60" Type="http://schemas.openxmlformats.org/officeDocument/2006/relationships/hyperlink" Target="https://ec.europa.eu/eurostat/databrowser/view/DS-056120__custom_15192557/default/table?lang=en%20-%20High%20estimate" TargetMode="External"/><Relationship Id="rId81" Type="http://schemas.openxmlformats.org/officeDocument/2006/relationships/hyperlink" Target="https://ec.europa.eu/eurostat/databrowser/view/DS-056120__custom_15192557/default/table?lang=en%20-%20High%20estimate" TargetMode="External"/><Relationship Id="rId135" Type="http://schemas.openxmlformats.org/officeDocument/2006/relationships/hyperlink" Target="https://ec.europa.eu/eurostat/databrowser/view/DS-056120__custom_15192557/default/table?lang=en%20-%20Low%20estimate" TargetMode="External"/><Relationship Id="rId156" Type="http://schemas.openxmlformats.org/officeDocument/2006/relationships/hyperlink" Target="https://ec.europa.eu/eurostat/databrowser/view/DS-056120__custom_15192557/default/table?lang=en%20-%20Low%20estimate" TargetMode="External"/><Relationship Id="rId177" Type="http://schemas.openxmlformats.org/officeDocument/2006/relationships/hyperlink" Target="https://ec.europa.eu/eurostat/databrowser/view/DS-056120__custom_15192557/default/table?lang=en%20-%20High%20estimate" TargetMode="External"/><Relationship Id="rId198" Type="http://schemas.openxmlformats.org/officeDocument/2006/relationships/hyperlink" Target="https://ec.europa.eu/eurostat/databrowser/view/DS-056120__custom_15192557/default/table?lang=en%20-%20High%20estimate" TargetMode="External"/><Relationship Id="rId202" Type="http://schemas.openxmlformats.org/officeDocument/2006/relationships/hyperlink" Target="https://ec.europa.eu/eurostat/databrowser/view/DS-056120__custom_15192557/default/table?lang=en%20-%20High%20estimate" TargetMode="External"/><Relationship Id="rId223" Type="http://schemas.openxmlformats.org/officeDocument/2006/relationships/hyperlink" Target="https://ec.europa.eu/eurostat/databrowser/view/DS-056120__custom_15192557/default/table?lang=en%20-%20High%20estimate" TargetMode="External"/><Relationship Id="rId244" Type="http://schemas.openxmlformats.org/officeDocument/2006/relationships/hyperlink" Target="https://ec.europa.eu/eurostat/databrowser/view/DS-056120__custom_15192557/default/table?lang=en%20-%20High%20estimate" TargetMode="External"/><Relationship Id="rId18" Type="http://schemas.openxmlformats.org/officeDocument/2006/relationships/hyperlink" Target="https://ec.europa.eu/eurostat/databrowser/view/DS-056120__custom_15192557/default/table?lang=en%20-%20High%20estimate" TargetMode="External"/><Relationship Id="rId39" Type="http://schemas.openxmlformats.org/officeDocument/2006/relationships/hyperlink" Target="https://ec.europa.eu/eurostat/databrowser/view/DS-056120__custom_15192557/default/table?lang=en%20-%20High%20estimate" TargetMode="External"/><Relationship Id="rId50" Type="http://schemas.openxmlformats.org/officeDocument/2006/relationships/hyperlink" Target="https://ec.europa.eu/eurostat/databrowser/view/DS-056120__custom_15192557/default/table?lang=en%20-%20High%20estimate" TargetMode="External"/><Relationship Id="rId104" Type="http://schemas.openxmlformats.org/officeDocument/2006/relationships/hyperlink" Target="https://ec.europa.eu/eurostat/databrowser/view/DS-056120__custom_15192557/default/table?lang=en%20-%20Low%20estimate" TargetMode="External"/><Relationship Id="rId125" Type="http://schemas.openxmlformats.org/officeDocument/2006/relationships/hyperlink" Target="https://ec.europa.eu/eurostat/databrowser/view/DS-056120__custom_15192557/default/table?lang=en%20-%20Low%20estimate" TargetMode="External"/><Relationship Id="rId146" Type="http://schemas.openxmlformats.org/officeDocument/2006/relationships/hyperlink" Target="https://ec.europa.eu/eurostat/databrowser/view/DS-056120__custom_15192557/default/table?lang=en%20-%20Low%20estimate" TargetMode="External"/><Relationship Id="rId167" Type="http://schemas.openxmlformats.org/officeDocument/2006/relationships/hyperlink" Target="https://ec.europa.eu/eurostat/databrowser/view/DS-056120__custom_15192557/default/table?lang=en%20-%20Low%20estimate" TargetMode="External"/><Relationship Id="rId188" Type="http://schemas.openxmlformats.org/officeDocument/2006/relationships/hyperlink" Target="https://ec.europa.eu/eurostat/databrowser/view/DS-056120__custom_15192557/default/table?lang=en%20-%20High%20estimate" TargetMode="External"/><Relationship Id="rId71" Type="http://schemas.openxmlformats.org/officeDocument/2006/relationships/hyperlink" Target="https://ec.europa.eu/eurostat/databrowser/view/DS-056120__custom_15192557/default/table?lang=en%20-%20High%20estimate" TargetMode="External"/><Relationship Id="rId92" Type="http://schemas.openxmlformats.org/officeDocument/2006/relationships/hyperlink" Target="https://ec.europa.eu/eurostat/databrowser/view/DS-056120__custom_15192557/default/table?lang=en%20-%20Low%20estimate" TargetMode="External"/><Relationship Id="rId213" Type="http://schemas.openxmlformats.org/officeDocument/2006/relationships/hyperlink" Target="https://ec.europa.eu/eurostat/databrowser/view/DS-056120__custom_15192557/default/table?lang=en%20-%20High%20estimate" TargetMode="External"/><Relationship Id="rId234" Type="http://schemas.openxmlformats.org/officeDocument/2006/relationships/hyperlink" Target="https://ec.europa.eu/eurostat/databrowser/view/DS-056120__custom_15192557/default/table?lang=en%20-%20High%20estimate" TargetMode="External"/><Relationship Id="rId2" Type="http://schemas.openxmlformats.org/officeDocument/2006/relationships/hyperlink" Target="https://ec.europa.eu/eurostat/databrowser/view/DS-056120__custom_15192557/default/table?lang=en%20-%20Low%20estimate" TargetMode="External"/><Relationship Id="rId29" Type="http://schemas.openxmlformats.org/officeDocument/2006/relationships/hyperlink" Target="https://ec.europa.eu/eurostat/databrowser/view/DS-056120__custom_15192557/default/table?lang=en%20-%20High%20estimate" TargetMode="External"/><Relationship Id="rId255" Type="http://schemas.openxmlformats.org/officeDocument/2006/relationships/hyperlink" Target="https://ec.europa.eu/eurostat/databrowser/view/DS-056120__custom_15192557/default/table?lang=en%20-%20High%20estimate" TargetMode="External"/><Relationship Id="rId40" Type="http://schemas.openxmlformats.org/officeDocument/2006/relationships/hyperlink" Target="https://ec.europa.eu/eurostat/databrowser/view/DS-056120__custom_15192557/default/table?lang=en%20-%20High%20estimate" TargetMode="External"/><Relationship Id="rId115" Type="http://schemas.openxmlformats.org/officeDocument/2006/relationships/hyperlink" Target="https://ec.europa.eu/eurostat/databrowser/view/DS-056120__custom_15192557/default/table?lang=en%20-%20Low%20estimate" TargetMode="External"/><Relationship Id="rId136" Type="http://schemas.openxmlformats.org/officeDocument/2006/relationships/hyperlink" Target="https://ec.europa.eu/eurostat/databrowser/view/DS-056120__custom_15192557/default/table?lang=en%20-%20Low%20estimate" TargetMode="External"/><Relationship Id="rId157" Type="http://schemas.openxmlformats.org/officeDocument/2006/relationships/hyperlink" Target="https://ec.europa.eu/eurostat/databrowser/view/DS-056120__custom_15192557/default/table?lang=en%20-%20Low%20estimate" TargetMode="External"/><Relationship Id="rId178" Type="http://schemas.openxmlformats.org/officeDocument/2006/relationships/hyperlink" Target="https://ec.europa.eu/eurostat/databrowser/view/DS-056120__custom_15192557/default/table?lang=en%20-%20High%20estimate" TargetMode="External"/><Relationship Id="rId61" Type="http://schemas.openxmlformats.org/officeDocument/2006/relationships/hyperlink" Target="https://ec.europa.eu/eurostat/databrowser/view/DS-056120__custom_15192557/default/table?lang=en%20-%20High%20estimate" TargetMode="External"/><Relationship Id="rId82" Type="http://schemas.openxmlformats.org/officeDocument/2006/relationships/hyperlink" Target="https://ec.europa.eu/eurostat/databrowser/view/DS-056120__custom_15192557/default/table?lang=en%20-%20High%20estimate" TargetMode="External"/><Relationship Id="rId199" Type="http://schemas.openxmlformats.org/officeDocument/2006/relationships/hyperlink" Target="https://ec.europa.eu/eurostat/databrowser/view/DS-056120__custom_15192557/default/table?lang=en%20-%20High%20estimate" TargetMode="External"/><Relationship Id="rId203" Type="http://schemas.openxmlformats.org/officeDocument/2006/relationships/hyperlink" Target="https://ec.europa.eu/eurostat/databrowser/view/DS-056120__custom_15192557/default/table?lang=en%20-%20High%20estimate" TargetMode="External"/><Relationship Id="rId19" Type="http://schemas.openxmlformats.org/officeDocument/2006/relationships/hyperlink" Target="https://ec.europa.eu/eurostat/databrowser/view/DS-056120__custom_15192557/default/table?lang=en%20-%20High%20estimate" TargetMode="External"/><Relationship Id="rId224" Type="http://schemas.openxmlformats.org/officeDocument/2006/relationships/hyperlink" Target="https://ec.europa.eu/eurostat/databrowser/view/DS-056120__custom_15192557/default/table?lang=en%20-%20High%20estimate" TargetMode="External"/><Relationship Id="rId245" Type="http://schemas.openxmlformats.org/officeDocument/2006/relationships/hyperlink" Target="https://ec.europa.eu/eurostat/databrowser/view/DS-056120__custom_15192557/default/table?lang=en%20-%20High%20estimate" TargetMode="External"/><Relationship Id="rId30" Type="http://schemas.openxmlformats.org/officeDocument/2006/relationships/hyperlink" Target="https://ec.europa.eu/eurostat/databrowser/view/DS-056120__custom_15192557/default/table?lang=en%20-%20High%20estimate" TargetMode="External"/><Relationship Id="rId105" Type="http://schemas.openxmlformats.org/officeDocument/2006/relationships/hyperlink" Target="https://ec.europa.eu/eurostat/databrowser/view/DS-056120__custom_15192557/default/table?lang=en%20-%20Low%20estimate" TargetMode="External"/><Relationship Id="rId126" Type="http://schemas.openxmlformats.org/officeDocument/2006/relationships/hyperlink" Target="https://ec.europa.eu/eurostat/databrowser/view/DS-056120__custom_15192557/default/table?lang=en%20-%20Low%20estimate" TargetMode="External"/><Relationship Id="rId147" Type="http://schemas.openxmlformats.org/officeDocument/2006/relationships/hyperlink" Target="https://ec.europa.eu/eurostat/databrowser/view/DS-056120__custom_15192557/default/table?lang=en%20-%20Low%20estimate" TargetMode="External"/><Relationship Id="rId168" Type="http://schemas.openxmlformats.org/officeDocument/2006/relationships/hyperlink" Target="https://ec.europa.eu/eurostat/databrowser/view/DS-056120__custom_15192557/default/table?lang=en%20-%20Low%20estimate" TargetMode="External"/><Relationship Id="rId51" Type="http://schemas.openxmlformats.org/officeDocument/2006/relationships/hyperlink" Target="https://ec.europa.eu/eurostat/databrowser/view/DS-056120__custom_15192557/default/table?lang=en%20-%20High%20estimate" TargetMode="External"/><Relationship Id="rId72" Type="http://schemas.openxmlformats.org/officeDocument/2006/relationships/hyperlink" Target="https://ec.europa.eu/eurostat/databrowser/view/DS-056120__custom_15192557/default/table?lang=en%20-%20High%20estimate" TargetMode="External"/><Relationship Id="rId93" Type="http://schemas.openxmlformats.org/officeDocument/2006/relationships/hyperlink" Target="https://ec.europa.eu/eurostat/databrowser/view/DS-056120__custom_15192557/default/table?lang=en%20-%20Low%20estimate" TargetMode="External"/><Relationship Id="rId189" Type="http://schemas.openxmlformats.org/officeDocument/2006/relationships/hyperlink" Target="https://ec.europa.eu/eurostat/databrowser/view/DS-056120__custom_15192557/default/table?lang=en%20-%20High%20estimate" TargetMode="External"/><Relationship Id="rId3" Type="http://schemas.openxmlformats.org/officeDocument/2006/relationships/hyperlink" Target="https://ec.europa.eu/eurostat/databrowser/view/DS-056120__custom_15192557/default/table?lang=en%20-%20Low%20estimate" TargetMode="External"/><Relationship Id="rId214" Type="http://schemas.openxmlformats.org/officeDocument/2006/relationships/hyperlink" Target="https://ec.europa.eu/eurostat/databrowser/view/DS-056120__custom_15192557/default/table?lang=en%20-%20High%20estimate" TargetMode="External"/><Relationship Id="rId235" Type="http://schemas.openxmlformats.org/officeDocument/2006/relationships/hyperlink" Target="https://ec.europa.eu/eurostat/databrowser/view/DS-056120__custom_15192557/default/table?lang=en%20-%20High%20estimate" TargetMode="External"/><Relationship Id="rId256" Type="http://schemas.openxmlformats.org/officeDocument/2006/relationships/printerSettings" Target="../printerSettings/printerSettings4.bin"/><Relationship Id="rId116" Type="http://schemas.openxmlformats.org/officeDocument/2006/relationships/hyperlink" Target="https://ec.europa.eu/eurostat/databrowser/view/DS-056120__custom_15192557/default/table?lang=en%20-%20Low%20estimate" TargetMode="External"/><Relationship Id="rId137" Type="http://schemas.openxmlformats.org/officeDocument/2006/relationships/hyperlink" Target="https://ec.europa.eu/eurostat/databrowser/view/DS-056120__custom_15192557/default/table?lang=en%20-%20Low%20estimate" TargetMode="External"/><Relationship Id="rId158" Type="http://schemas.openxmlformats.org/officeDocument/2006/relationships/hyperlink" Target="https://ec.europa.eu/eurostat/databrowser/view/DS-056120__custom_15192557/default/table?lang=en%20-%20Low%20estimate" TargetMode="External"/><Relationship Id="rId20" Type="http://schemas.openxmlformats.org/officeDocument/2006/relationships/hyperlink" Target="https://ec.europa.eu/eurostat/databrowser/view/DS-056120__custom_15192557/default/table?lang=en%20-%20High%20estimate" TargetMode="External"/><Relationship Id="rId41" Type="http://schemas.openxmlformats.org/officeDocument/2006/relationships/hyperlink" Target="https://ec.europa.eu/eurostat/databrowser/view/DS-056120__custom_15192557/default/table?lang=en%20-%20High%20estimate" TargetMode="External"/><Relationship Id="rId62" Type="http://schemas.openxmlformats.org/officeDocument/2006/relationships/hyperlink" Target="https://ec.europa.eu/eurostat/databrowser/view/DS-056120__custom_15192557/default/table?lang=en%20-%20High%20estimate" TargetMode="External"/><Relationship Id="rId83" Type="http://schemas.openxmlformats.org/officeDocument/2006/relationships/hyperlink" Target="https://ec.europa.eu/eurostat/databrowser/view/DS-056120__custom_15192557/default/table?lang=en%20-%20High%20estimate" TargetMode="External"/><Relationship Id="rId179" Type="http://schemas.openxmlformats.org/officeDocument/2006/relationships/hyperlink" Target="https://ec.europa.eu/eurostat/databrowser/view/DS-056120__custom_15192557/default/table?lang=en%20-%20High%20estimate" TargetMode="External"/><Relationship Id="rId190" Type="http://schemas.openxmlformats.org/officeDocument/2006/relationships/hyperlink" Target="https://ec.europa.eu/eurostat/databrowser/view/DS-056120__custom_15192557/default/table?lang=en%20-%20High%20estimate" TargetMode="External"/><Relationship Id="rId204" Type="http://schemas.openxmlformats.org/officeDocument/2006/relationships/hyperlink" Target="https://ec.europa.eu/eurostat/databrowser/view/DS-056120__custom_15192557/default/table?lang=en%20-%20High%20estimate" TargetMode="External"/><Relationship Id="rId225" Type="http://schemas.openxmlformats.org/officeDocument/2006/relationships/hyperlink" Target="https://ec.europa.eu/eurostat/databrowser/view/DS-056120__custom_15192557/default/table?lang=en%20-%20High%20estimate" TargetMode="External"/><Relationship Id="rId246" Type="http://schemas.openxmlformats.org/officeDocument/2006/relationships/hyperlink" Target="https://ec.europa.eu/eurostat/databrowser/view/DS-056120__custom_15192557/default/table?lang=en%20-%20High%20estimate" TargetMode="External"/><Relationship Id="rId106" Type="http://schemas.openxmlformats.org/officeDocument/2006/relationships/hyperlink" Target="https://ec.europa.eu/eurostat/databrowser/view/DS-056120__custom_15192557/default/table?lang=en%20-%20Low%20estimate" TargetMode="External"/><Relationship Id="rId127" Type="http://schemas.openxmlformats.org/officeDocument/2006/relationships/hyperlink" Target="https://ec.europa.eu/eurostat/databrowser/view/DS-056120__custom_15192557/default/table?lang=en%20-%20Low%20estimate" TargetMode="External"/><Relationship Id="rId10" Type="http://schemas.openxmlformats.org/officeDocument/2006/relationships/hyperlink" Target="https://ec.europa.eu/eurostat/databrowser/view/DS-056120__custom_15192557/default/table?lang=en%20-%20High%20estimate" TargetMode="External"/><Relationship Id="rId31" Type="http://schemas.openxmlformats.org/officeDocument/2006/relationships/hyperlink" Target="https://ec.europa.eu/eurostat/databrowser/view/DS-056120__custom_15192557/default/table?lang=en%20-%20High%20estimate" TargetMode="External"/><Relationship Id="rId52" Type="http://schemas.openxmlformats.org/officeDocument/2006/relationships/hyperlink" Target="https://ec.europa.eu/eurostat/databrowser/view/DS-056120__custom_15192557/default/table?lang=en%20-%20High%20estimate" TargetMode="External"/><Relationship Id="rId73" Type="http://schemas.openxmlformats.org/officeDocument/2006/relationships/hyperlink" Target="https://ec.europa.eu/eurostat/databrowser/view/DS-056120__custom_15192557/default/table?lang=en%20-%20High%20estimate" TargetMode="External"/><Relationship Id="rId94" Type="http://schemas.openxmlformats.org/officeDocument/2006/relationships/hyperlink" Target="https://ec.europa.eu/eurostat/databrowser/view/DS-056120__custom_15192557/default/table?lang=en%20-%20Low%20estimate" TargetMode="External"/><Relationship Id="rId148" Type="http://schemas.openxmlformats.org/officeDocument/2006/relationships/hyperlink" Target="https://ec.europa.eu/eurostat/databrowser/view/DS-056120__custom_15192557/default/table?lang=en%20-%20Low%20estimate" TargetMode="External"/><Relationship Id="rId169" Type="http://schemas.openxmlformats.org/officeDocument/2006/relationships/hyperlink" Target="https://ec.europa.eu/eurostat/databrowser/view/DS-056120__custom_15192557/default/table?lang=en%20-%20Low%20estimate" TargetMode="External"/><Relationship Id="rId4" Type="http://schemas.openxmlformats.org/officeDocument/2006/relationships/hyperlink" Target="https://ec.europa.eu/eurostat/databrowser/view/DS-056120__custom_15192557/default/table?lang=en%20-%20High%20estimate" TargetMode="External"/><Relationship Id="rId180" Type="http://schemas.openxmlformats.org/officeDocument/2006/relationships/hyperlink" Target="https://ec.europa.eu/eurostat/databrowser/view/DS-056120__custom_15192557/default/table?lang=en%20-%20High%20estimate" TargetMode="External"/><Relationship Id="rId215" Type="http://schemas.openxmlformats.org/officeDocument/2006/relationships/hyperlink" Target="https://ec.europa.eu/eurostat/databrowser/view/DS-056120__custom_15192557/default/table?lang=en%20-%20High%20estimate" TargetMode="External"/><Relationship Id="rId236" Type="http://schemas.openxmlformats.org/officeDocument/2006/relationships/hyperlink" Target="https://ec.europa.eu/eurostat/databrowser/view/DS-056120__custom_15192557/default/table?lang=en%20-%20High%20estimate" TargetMode="External"/><Relationship Id="rId257" Type="http://schemas.microsoft.com/office/2019/04/relationships/namedSheetView" Target="../namedSheetViews/namedSheetView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ec.europa.eu/eurostat/databrowser/view/DS-056120__custom_6262207/default/table" TargetMode="External"/><Relationship Id="rId299" Type="http://schemas.openxmlformats.org/officeDocument/2006/relationships/hyperlink" Target="https://ec.europa.eu/eurostat/databrowser/view/DS-056120__custom_6262207/default/table" TargetMode="External"/><Relationship Id="rId21" Type="http://schemas.openxmlformats.org/officeDocument/2006/relationships/hyperlink" Target="https://ec.europa.eu/eurostat/databrowser/view/DS-056120__custom_6262207/default/table" TargetMode="External"/><Relationship Id="rId63" Type="http://schemas.openxmlformats.org/officeDocument/2006/relationships/hyperlink" Target="https://ec.europa.eu/eurostat/databrowser/view/DS-056120__custom_6262207/default/table" TargetMode="External"/><Relationship Id="rId159" Type="http://schemas.openxmlformats.org/officeDocument/2006/relationships/hyperlink" Target="https://ec.europa.eu/eurostat/databrowser/view/DS-056120__custom_6262207/default/table" TargetMode="External"/><Relationship Id="rId324" Type="http://schemas.openxmlformats.org/officeDocument/2006/relationships/hyperlink" Target="https://ec.europa.eu/eurostat/databrowser/view/DS-056120__custom_6262207/default/table" TargetMode="External"/><Relationship Id="rId366" Type="http://schemas.openxmlformats.org/officeDocument/2006/relationships/hyperlink" Target="https://ec.europa.eu/eurostat/databrowser/view/DS-056120__custom_6262207/default/table" TargetMode="External"/><Relationship Id="rId170" Type="http://schemas.openxmlformats.org/officeDocument/2006/relationships/hyperlink" Target="https://ec.europa.eu/eurostat/databrowser/view/DS-056120__custom_6262207/default/table" TargetMode="External"/><Relationship Id="rId226" Type="http://schemas.openxmlformats.org/officeDocument/2006/relationships/hyperlink" Target="https://ec.europa.eu/eurostat/databrowser/view/DS-056120__custom_6262207/default/table" TargetMode="External"/><Relationship Id="rId433" Type="http://schemas.openxmlformats.org/officeDocument/2006/relationships/hyperlink" Target="https://ec.europa.eu/eurostat/databrowser/view/DS-056120__custom_6262207/default/table" TargetMode="External"/><Relationship Id="rId268" Type="http://schemas.openxmlformats.org/officeDocument/2006/relationships/hyperlink" Target="https://ec.europa.eu/eurostat/databrowser/view/DS-056120__custom_6262207/default/table" TargetMode="External"/><Relationship Id="rId475" Type="http://schemas.openxmlformats.org/officeDocument/2006/relationships/hyperlink" Target="https://ec.europa.eu/eurostat/databrowser/view/DS-056120__custom_6262207/default/table" TargetMode="External"/><Relationship Id="rId32" Type="http://schemas.openxmlformats.org/officeDocument/2006/relationships/hyperlink" Target="https://ec.europa.eu/eurostat/databrowser/view/DS-056120__custom_6262207/default/table" TargetMode="External"/><Relationship Id="rId74" Type="http://schemas.openxmlformats.org/officeDocument/2006/relationships/hyperlink" Target="https://ec.europa.eu/eurostat/databrowser/view/DS-056120__custom_6262207/default/table" TargetMode="External"/><Relationship Id="rId128" Type="http://schemas.openxmlformats.org/officeDocument/2006/relationships/hyperlink" Target="https://ec.europa.eu/eurostat/databrowser/view/DS-056120__custom_6262207/default/table" TargetMode="External"/><Relationship Id="rId335" Type="http://schemas.openxmlformats.org/officeDocument/2006/relationships/hyperlink" Target="https://ec.europa.eu/eurostat/databrowser/view/DS-056120__custom_6262207/default/table" TargetMode="External"/><Relationship Id="rId377" Type="http://schemas.openxmlformats.org/officeDocument/2006/relationships/hyperlink" Target="https://ec.europa.eu/eurostat/databrowser/view/DS-056120__custom_6262207/default/table" TargetMode="External"/><Relationship Id="rId5" Type="http://schemas.openxmlformats.org/officeDocument/2006/relationships/hyperlink" Target="https://ec.europa.eu/eurostat/databrowser/view/DS-056120__custom_6262207/default/table" TargetMode="External"/><Relationship Id="rId181" Type="http://schemas.openxmlformats.org/officeDocument/2006/relationships/hyperlink" Target="https://ec.europa.eu/eurostat/databrowser/view/DS-056120__custom_6262207/default/table" TargetMode="External"/><Relationship Id="rId237" Type="http://schemas.openxmlformats.org/officeDocument/2006/relationships/hyperlink" Target="https://ec.europa.eu/eurostat/databrowser/view/DS-056120__custom_6262207/default/table" TargetMode="External"/><Relationship Id="rId402" Type="http://schemas.openxmlformats.org/officeDocument/2006/relationships/hyperlink" Target="https://ec.europa.eu/eurostat/databrowser/view/DS-056120__custom_6262207/default/table" TargetMode="External"/><Relationship Id="rId279" Type="http://schemas.openxmlformats.org/officeDocument/2006/relationships/hyperlink" Target="https://ec.europa.eu/eurostat/databrowser/view/DS-056120__custom_6262207/default/table" TargetMode="External"/><Relationship Id="rId444" Type="http://schemas.openxmlformats.org/officeDocument/2006/relationships/hyperlink" Target="https://ec.europa.eu/eurostat/databrowser/view/DS-056120__custom_6262207/default/table" TargetMode="External"/><Relationship Id="rId486" Type="http://schemas.openxmlformats.org/officeDocument/2006/relationships/hyperlink" Target="https://ec.europa.eu/eurostat/databrowser/view/DS-056120__custom_6262207/default/table" TargetMode="External"/><Relationship Id="rId43" Type="http://schemas.openxmlformats.org/officeDocument/2006/relationships/hyperlink" Target="https://ec.europa.eu/eurostat/databrowser/view/DS-056120__custom_6262207/default/table" TargetMode="External"/><Relationship Id="rId139" Type="http://schemas.openxmlformats.org/officeDocument/2006/relationships/hyperlink" Target="https://ec.europa.eu/eurostat/databrowser/view/DS-056120__custom_6262207/default/table" TargetMode="External"/><Relationship Id="rId290" Type="http://schemas.openxmlformats.org/officeDocument/2006/relationships/hyperlink" Target="https://ec.europa.eu/eurostat/databrowser/view/DS-056120__custom_6262207/default/table" TargetMode="External"/><Relationship Id="rId304" Type="http://schemas.openxmlformats.org/officeDocument/2006/relationships/hyperlink" Target="https://ec.europa.eu/eurostat/databrowser/view/DS-056120__custom_6262207/default/table" TargetMode="External"/><Relationship Id="rId346" Type="http://schemas.openxmlformats.org/officeDocument/2006/relationships/hyperlink" Target="https://ec.europa.eu/eurostat/databrowser/view/DS-056120__custom_6262207/default/table" TargetMode="External"/><Relationship Id="rId388" Type="http://schemas.openxmlformats.org/officeDocument/2006/relationships/hyperlink" Target="https://ec.europa.eu/eurostat/databrowser/view/DS-056120__custom_6262207/default/table" TargetMode="External"/><Relationship Id="rId85" Type="http://schemas.openxmlformats.org/officeDocument/2006/relationships/hyperlink" Target="https://ec.europa.eu/eurostat/databrowser/view/DS-056120__custom_6262207/default/table" TargetMode="External"/><Relationship Id="rId150" Type="http://schemas.openxmlformats.org/officeDocument/2006/relationships/hyperlink" Target="https://ec.europa.eu/eurostat/databrowser/view/DS-056120__custom_6262207/default/table" TargetMode="External"/><Relationship Id="rId192" Type="http://schemas.openxmlformats.org/officeDocument/2006/relationships/hyperlink" Target="https://ec.europa.eu/eurostat/databrowser/view/DS-056120__custom_6262207/default/table" TargetMode="External"/><Relationship Id="rId206" Type="http://schemas.openxmlformats.org/officeDocument/2006/relationships/hyperlink" Target="https://ec.europa.eu/eurostat/databrowser/view/DS-056120__custom_6262207/default/table" TargetMode="External"/><Relationship Id="rId413" Type="http://schemas.openxmlformats.org/officeDocument/2006/relationships/hyperlink" Target="https://ec.europa.eu/eurostat/databrowser/view/DS-056120__custom_6262207/default/table" TargetMode="External"/><Relationship Id="rId248" Type="http://schemas.openxmlformats.org/officeDocument/2006/relationships/hyperlink" Target="https://ec.europa.eu/eurostat/databrowser/view/DS-056120__custom_6262207/default/table" TargetMode="External"/><Relationship Id="rId455" Type="http://schemas.openxmlformats.org/officeDocument/2006/relationships/hyperlink" Target="https://ec.europa.eu/eurostat/databrowser/view/DS-056120__custom_6262207/default/table" TargetMode="External"/><Relationship Id="rId497" Type="http://schemas.microsoft.com/office/2019/04/relationships/namedSheetView" Target="../namedSheetViews/namedSheetView2.xml"/><Relationship Id="rId12" Type="http://schemas.openxmlformats.org/officeDocument/2006/relationships/hyperlink" Target="https://ec.europa.eu/eurostat/databrowser/view/DS-056120__custom_6262207/default/table" TargetMode="External"/><Relationship Id="rId108" Type="http://schemas.openxmlformats.org/officeDocument/2006/relationships/hyperlink" Target="https://ec.europa.eu/eurostat/databrowser/view/DS-056120__custom_6262207/default/table" TargetMode="External"/><Relationship Id="rId315" Type="http://schemas.openxmlformats.org/officeDocument/2006/relationships/hyperlink" Target="https://ec.europa.eu/eurostat/databrowser/view/DS-056120__custom_6262207/default/table" TargetMode="External"/><Relationship Id="rId357" Type="http://schemas.openxmlformats.org/officeDocument/2006/relationships/hyperlink" Target="https://ec.europa.eu/eurostat/databrowser/view/DS-056120__custom_6262207/default/table" TargetMode="External"/><Relationship Id="rId54" Type="http://schemas.openxmlformats.org/officeDocument/2006/relationships/hyperlink" Target="https://ec.europa.eu/eurostat/databrowser/view/DS-056120__custom_6262207/default/table" TargetMode="External"/><Relationship Id="rId96" Type="http://schemas.openxmlformats.org/officeDocument/2006/relationships/hyperlink" Target="https://ec.europa.eu/eurostat/databrowser/view/DS-056120__custom_6262207/default/table" TargetMode="External"/><Relationship Id="rId161" Type="http://schemas.openxmlformats.org/officeDocument/2006/relationships/hyperlink" Target="https://ec.europa.eu/eurostat/databrowser/view/DS-056120__custom_6262207/default/table" TargetMode="External"/><Relationship Id="rId217" Type="http://schemas.openxmlformats.org/officeDocument/2006/relationships/hyperlink" Target="https://ec.europa.eu/eurostat/databrowser/view/DS-056120__custom_6262207/default/table" TargetMode="External"/><Relationship Id="rId399" Type="http://schemas.openxmlformats.org/officeDocument/2006/relationships/hyperlink" Target="https://ec.europa.eu/eurostat/databrowser/view/DS-056120__custom_6262207/default/table" TargetMode="External"/><Relationship Id="rId259" Type="http://schemas.openxmlformats.org/officeDocument/2006/relationships/hyperlink" Target="https://ec.europa.eu/eurostat/databrowser/view/DS-056120__custom_6262207/default/table" TargetMode="External"/><Relationship Id="rId424" Type="http://schemas.openxmlformats.org/officeDocument/2006/relationships/hyperlink" Target="https://ec.europa.eu/eurostat/databrowser/view/DS-056120__custom_6262207/default/table" TargetMode="External"/><Relationship Id="rId466" Type="http://schemas.openxmlformats.org/officeDocument/2006/relationships/hyperlink" Target="https://ec.europa.eu/eurostat/databrowser/view/DS-056120__custom_6262207/default/table" TargetMode="External"/><Relationship Id="rId23" Type="http://schemas.openxmlformats.org/officeDocument/2006/relationships/hyperlink" Target="https://ec.europa.eu/eurostat/databrowser/view/DS-056120__custom_6262207/default/table" TargetMode="External"/><Relationship Id="rId119" Type="http://schemas.openxmlformats.org/officeDocument/2006/relationships/hyperlink" Target="https://ec.europa.eu/eurostat/databrowser/view/DS-056120__custom_6262207/default/table" TargetMode="External"/><Relationship Id="rId270" Type="http://schemas.openxmlformats.org/officeDocument/2006/relationships/hyperlink" Target="https://ec.europa.eu/eurostat/databrowser/view/DS-056120__custom_6262207/default/table" TargetMode="External"/><Relationship Id="rId326" Type="http://schemas.openxmlformats.org/officeDocument/2006/relationships/hyperlink" Target="https://ec.europa.eu/eurostat/databrowser/view/DS-056120__custom_6262207/default/table" TargetMode="External"/><Relationship Id="rId65" Type="http://schemas.openxmlformats.org/officeDocument/2006/relationships/hyperlink" Target="https://ec.europa.eu/eurostat/databrowser/view/DS-056120__custom_6262207/default/table" TargetMode="External"/><Relationship Id="rId130" Type="http://schemas.openxmlformats.org/officeDocument/2006/relationships/hyperlink" Target="https://ec.europa.eu/eurostat/databrowser/view/DS-056120__custom_6262207/default/table" TargetMode="External"/><Relationship Id="rId368" Type="http://schemas.openxmlformats.org/officeDocument/2006/relationships/hyperlink" Target="https://ec.europa.eu/eurostat/databrowser/view/DS-056120__custom_6262207/default/table" TargetMode="External"/><Relationship Id="rId172" Type="http://schemas.openxmlformats.org/officeDocument/2006/relationships/hyperlink" Target="https://ec.europa.eu/eurostat/databrowser/view/DS-056120__custom_6262207/default/table" TargetMode="External"/><Relationship Id="rId228" Type="http://schemas.openxmlformats.org/officeDocument/2006/relationships/hyperlink" Target="https://ec.europa.eu/eurostat/databrowser/view/DS-056120__custom_6262207/default/table" TargetMode="External"/><Relationship Id="rId435" Type="http://schemas.openxmlformats.org/officeDocument/2006/relationships/hyperlink" Target="https://ec.europa.eu/eurostat/databrowser/view/DS-056120__custom_6262207/default/table" TargetMode="External"/><Relationship Id="rId477" Type="http://schemas.openxmlformats.org/officeDocument/2006/relationships/hyperlink" Target="https://ec.europa.eu/eurostat/databrowser/view/DS-056120__custom_6262207/default/table" TargetMode="External"/><Relationship Id="rId281" Type="http://schemas.openxmlformats.org/officeDocument/2006/relationships/hyperlink" Target="https://ec.europa.eu/eurostat/databrowser/view/DS-056120__custom_6262207/default/table" TargetMode="External"/><Relationship Id="rId337" Type="http://schemas.openxmlformats.org/officeDocument/2006/relationships/hyperlink" Target="https://ec.europa.eu/eurostat/databrowser/view/DS-056120__custom_6262207/default/table" TargetMode="External"/><Relationship Id="rId34" Type="http://schemas.openxmlformats.org/officeDocument/2006/relationships/hyperlink" Target="https://ec.europa.eu/eurostat/databrowser/view/DS-056120__custom_6262207/default/table" TargetMode="External"/><Relationship Id="rId76" Type="http://schemas.openxmlformats.org/officeDocument/2006/relationships/hyperlink" Target="https://ec.europa.eu/eurostat/databrowser/view/DS-056120__custom_6262207/default/table" TargetMode="External"/><Relationship Id="rId141" Type="http://schemas.openxmlformats.org/officeDocument/2006/relationships/hyperlink" Target="https://ec.europa.eu/eurostat/databrowser/view/DS-056120__custom_6262207/default/table" TargetMode="External"/><Relationship Id="rId379" Type="http://schemas.openxmlformats.org/officeDocument/2006/relationships/hyperlink" Target="https://ec.europa.eu/eurostat/databrowser/view/DS-056120__custom_6262207/default/table" TargetMode="External"/><Relationship Id="rId7" Type="http://schemas.openxmlformats.org/officeDocument/2006/relationships/hyperlink" Target="https://ec.europa.eu/eurostat/databrowser/view/DS-056120__custom_6262207/default/table" TargetMode="External"/><Relationship Id="rId183" Type="http://schemas.openxmlformats.org/officeDocument/2006/relationships/hyperlink" Target="https://ec.europa.eu/eurostat/databrowser/view/DS-056120__custom_6262207/default/table" TargetMode="External"/><Relationship Id="rId239" Type="http://schemas.openxmlformats.org/officeDocument/2006/relationships/hyperlink" Target="https://ec.europa.eu/eurostat/databrowser/view/DS-056120__custom_6262207/default/table" TargetMode="External"/><Relationship Id="rId390" Type="http://schemas.openxmlformats.org/officeDocument/2006/relationships/hyperlink" Target="https://ec.europa.eu/eurostat/databrowser/view/DS-056120__custom_6262207/default/table" TargetMode="External"/><Relationship Id="rId404" Type="http://schemas.openxmlformats.org/officeDocument/2006/relationships/hyperlink" Target="https://ec.europa.eu/eurostat/databrowser/view/DS-056120__custom_6262207/default/table" TargetMode="External"/><Relationship Id="rId446" Type="http://schemas.openxmlformats.org/officeDocument/2006/relationships/hyperlink" Target="https://ec.europa.eu/eurostat/databrowser/view/DS-056120__custom_6262207/default/table" TargetMode="External"/><Relationship Id="rId250" Type="http://schemas.openxmlformats.org/officeDocument/2006/relationships/hyperlink" Target="https://ec.europa.eu/eurostat/databrowser/view/DS-056120__custom_6262207/default/table" TargetMode="External"/><Relationship Id="rId292" Type="http://schemas.openxmlformats.org/officeDocument/2006/relationships/hyperlink" Target="https://ec.europa.eu/eurostat/databrowser/view/DS-056120__custom_6262207/default/table" TargetMode="External"/><Relationship Id="rId306" Type="http://schemas.openxmlformats.org/officeDocument/2006/relationships/hyperlink" Target="https://ec.europa.eu/eurostat/databrowser/view/DS-056120__custom_6262207/default/table" TargetMode="External"/><Relationship Id="rId488" Type="http://schemas.openxmlformats.org/officeDocument/2006/relationships/hyperlink" Target="https://ec.europa.eu/eurostat/databrowser/view/DS-056120__custom_6262207/default/table" TargetMode="External"/><Relationship Id="rId45" Type="http://schemas.openxmlformats.org/officeDocument/2006/relationships/hyperlink" Target="https://ec.europa.eu/eurostat/databrowser/view/DS-056120__custom_6262207/default/table" TargetMode="External"/><Relationship Id="rId87" Type="http://schemas.openxmlformats.org/officeDocument/2006/relationships/hyperlink" Target="https://ec.europa.eu/eurostat/databrowser/view/DS-056120__custom_6262207/default/table" TargetMode="External"/><Relationship Id="rId110" Type="http://schemas.openxmlformats.org/officeDocument/2006/relationships/hyperlink" Target="https://ec.europa.eu/eurostat/databrowser/view/DS-056120__custom_6262207/default/table" TargetMode="External"/><Relationship Id="rId348" Type="http://schemas.openxmlformats.org/officeDocument/2006/relationships/hyperlink" Target="https://ec.europa.eu/eurostat/databrowser/view/DS-056120__custom_6262207/default/table" TargetMode="External"/><Relationship Id="rId152" Type="http://schemas.openxmlformats.org/officeDocument/2006/relationships/hyperlink" Target="https://ec.europa.eu/eurostat/databrowser/view/DS-056120__custom_6262207/default/table" TargetMode="External"/><Relationship Id="rId194" Type="http://schemas.openxmlformats.org/officeDocument/2006/relationships/hyperlink" Target="https://ec.europa.eu/eurostat/databrowser/view/DS-056120__custom_6262207/default/table" TargetMode="External"/><Relationship Id="rId208" Type="http://schemas.openxmlformats.org/officeDocument/2006/relationships/hyperlink" Target="https://ec.europa.eu/eurostat/databrowser/view/DS-056120__custom_6262207/default/table" TargetMode="External"/><Relationship Id="rId415" Type="http://schemas.openxmlformats.org/officeDocument/2006/relationships/hyperlink" Target="https://ec.europa.eu/eurostat/databrowser/view/DS-056120__custom_6262207/default/table" TargetMode="External"/><Relationship Id="rId457" Type="http://schemas.openxmlformats.org/officeDocument/2006/relationships/hyperlink" Target="https://ec.europa.eu/eurostat/databrowser/view/DS-056120__custom_6262207/default/table" TargetMode="External"/><Relationship Id="rId261" Type="http://schemas.openxmlformats.org/officeDocument/2006/relationships/hyperlink" Target="https://ec.europa.eu/eurostat/databrowser/view/DS-056120__custom_6262207/default/table" TargetMode="External"/><Relationship Id="rId14" Type="http://schemas.openxmlformats.org/officeDocument/2006/relationships/hyperlink" Target="https://ec.europa.eu/eurostat/databrowser/view/DS-056120__custom_6262207/default/table" TargetMode="External"/><Relationship Id="rId56" Type="http://schemas.openxmlformats.org/officeDocument/2006/relationships/hyperlink" Target="https://ec.europa.eu/eurostat/databrowser/view/DS-056120__custom_6262207/default/table" TargetMode="External"/><Relationship Id="rId317" Type="http://schemas.openxmlformats.org/officeDocument/2006/relationships/hyperlink" Target="https://ec.europa.eu/eurostat/databrowser/view/DS-056120__custom_6262207/default/table" TargetMode="External"/><Relationship Id="rId359" Type="http://schemas.openxmlformats.org/officeDocument/2006/relationships/hyperlink" Target="https://ec.europa.eu/eurostat/databrowser/view/DS-056120__custom_6262207/default/table" TargetMode="External"/><Relationship Id="rId98" Type="http://schemas.openxmlformats.org/officeDocument/2006/relationships/hyperlink" Target="https://ec.europa.eu/eurostat/databrowser/view/DS-056120__custom_6262207/default/table" TargetMode="External"/><Relationship Id="rId121" Type="http://schemas.openxmlformats.org/officeDocument/2006/relationships/hyperlink" Target="https://ec.europa.eu/eurostat/databrowser/view/DS-056120__custom_6262207/default/table" TargetMode="External"/><Relationship Id="rId163" Type="http://schemas.openxmlformats.org/officeDocument/2006/relationships/hyperlink" Target="https://ec.europa.eu/eurostat/databrowser/view/DS-056120__custom_6262207/default/table" TargetMode="External"/><Relationship Id="rId219" Type="http://schemas.openxmlformats.org/officeDocument/2006/relationships/hyperlink" Target="https://ec.europa.eu/eurostat/databrowser/view/DS-056120__custom_6262207/default/table" TargetMode="External"/><Relationship Id="rId370" Type="http://schemas.openxmlformats.org/officeDocument/2006/relationships/hyperlink" Target="https://ec.europa.eu/eurostat/databrowser/view/DS-056120__custom_6262207/default/table" TargetMode="External"/><Relationship Id="rId426" Type="http://schemas.openxmlformats.org/officeDocument/2006/relationships/hyperlink" Target="https://ec.europa.eu/eurostat/databrowser/view/DS-056120__custom_6262207/default/table" TargetMode="External"/><Relationship Id="rId230" Type="http://schemas.openxmlformats.org/officeDocument/2006/relationships/hyperlink" Target="https://ec.europa.eu/eurostat/databrowser/view/DS-056120__custom_6262207/default/table" TargetMode="External"/><Relationship Id="rId468" Type="http://schemas.openxmlformats.org/officeDocument/2006/relationships/hyperlink" Target="https://ec.europa.eu/eurostat/databrowser/view/DS-056120__custom_6262207/default/table" TargetMode="External"/><Relationship Id="rId25" Type="http://schemas.openxmlformats.org/officeDocument/2006/relationships/hyperlink" Target="https://ec.europa.eu/eurostat/databrowser/view/DS-056120__custom_6262207/default/table" TargetMode="External"/><Relationship Id="rId67" Type="http://schemas.openxmlformats.org/officeDocument/2006/relationships/hyperlink" Target="https://ec.europa.eu/eurostat/databrowser/view/DS-056120__custom_6262207/default/table" TargetMode="External"/><Relationship Id="rId272" Type="http://schemas.openxmlformats.org/officeDocument/2006/relationships/hyperlink" Target="https://ec.europa.eu/eurostat/databrowser/view/DS-056120__custom_6262207/default/table" TargetMode="External"/><Relationship Id="rId328" Type="http://schemas.openxmlformats.org/officeDocument/2006/relationships/hyperlink" Target="https://ec.europa.eu/eurostat/databrowser/view/DS-056120__custom_6262207/default/table" TargetMode="External"/><Relationship Id="rId132" Type="http://schemas.openxmlformats.org/officeDocument/2006/relationships/hyperlink" Target="https://ec.europa.eu/eurostat/databrowser/view/DS-056120__custom_6262207/default/table" TargetMode="External"/><Relationship Id="rId174" Type="http://schemas.openxmlformats.org/officeDocument/2006/relationships/hyperlink" Target="https://ec.europa.eu/eurostat/databrowser/view/DS-056120__custom_6262207/default/table" TargetMode="External"/><Relationship Id="rId381" Type="http://schemas.openxmlformats.org/officeDocument/2006/relationships/hyperlink" Target="https://ec.europa.eu/eurostat/databrowser/view/DS-056120__custom_6262207/default/table" TargetMode="External"/><Relationship Id="rId241" Type="http://schemas.openxmlformats.org/officeDocument/2006/relationships/hyperlink" Target="https://ec.europa.eu/eurostat/databrowser/view/DS-056120__custom_6262207/default/table" TargetMode="External"/><Relationship Id="rId437" Type="http://schemas.openxmlformats.org/officeDocument/2006/relationships/hyperlink" Target="https://ec.europa.eu/eurostat/databrowser/view/DS-056120__custom_6262207/default/table" TargetMode="External"/><Relationship Id="rId479" Type="http://schemas.openxmlformats.org/officeDocument/2006/relationships/hyperlink" Target="https://ec.europa.eu/eurostat/databrowser/view/DS-056120__custom_6262207/default/table" TargetMode="External"/><Relationship Id="rId36" Type="http://schemas.openxmlformats.org/officeDocument/2006/relationships/hyperlink" Target="https://ec.europa.eu/eurostat/databrowser/view/DS-056120__custom_6262207/default/table" TargetMode="External"/><Relationship Id="rId283" Type="http://schemas.openxmlformats.org/officeDocument/2006/relationships/hyperlink" Target="https://ec.europa.eu/eurostat/databrowser/view/DS-056120__custom_6262207/default/table" TargetMode="External"/><Relationship Id="rId339" Type="http://schemas.openxmlformats.org/officeDocument/2006/relationships/hyperlink" Target="https://ec.europa.eu/eurostat/databrowser/view/DS-056120__custom_6262207/default/table" TargetMode="External"/><Relationship Id="rId490" Type="http://schemas.openxmlformats.org/officeDocument/2006/relationships/hyperlink" Target="https://ec.europa.eu/eurostat/databrowser/view/DS-056120__custom_6262207/default/table" TargetMode="External"/><Relationship Id="rId78" Type="http://schemas.openxmlformats.org/officeDocument/2006/relationships/hyperlink" Target="https://ec.europa.eu/eurostat/databrowser/view/DS-056120__custom_6262207/default/table" TargetMode="External"/><Relationship Id="rId101" Type="http://schemas.openxmlformats.org/officeDocument/2006/relationships/hyperlink" Target="https://ec.europa.eu/eurostat/databrowser/view/DS-056120__custom_6262207/default/table" TargetMode="External"/><Relationship Id="rId143" Type="http://schemas.openxmlformats.org/officeDocument/2006/relationships/hyperlink" Target="https://ec.europa.eu/eurostat/databrowser/view/DS-056120__custom_6262207/default/table" TargetMode="External"/><Relationship Id="rId185" Type="http://schemas.openxmlformats.org/officeDocument/2006/relationships/hyperlink" Target="https://ec.europa.eu/eurostat/databrowser/view/DS-056120__custom_6262207/default/table" TargetMode="External"/><Relationship Id="rId350" Type="http://schemas.openxmlformats.org/officeDocument/2006/relationships/hyperlink" Target="https://ec.europa.eu/eurostat/databrowser/view/DS-056120__custom_6262207/default/table" TargetMode="External"/><Relationship Id="rId406" Type="http://schemas.openxmlformats.org/officeDocument/2006/relationships/hyperlink" Target="https://ec.europa.eu/eurostat/databrowser/view/DS-056120__custom_6262207/default/table" TargetMode="External"/><Relationship Id="rId9" Type="http://schemas.openxmlformats.org/officeDocument/2006/relationships/hyperlink" Target="https://ec.europa.eu/eurostat/databrowser/view/DS-056120__custom_6262207/default/table" TargetMode="External"/><Relationship Id="rId210" Type="http://schemas.openxmlformats.org/officeDocument/2006/relationships/hyperlink" Target="https://ec.europa.eu/eurostat/databrowser/view/DS-056120__custom_6262207/default/table" TargetMode="External"/><Relationship Id="rId392" Type="http://schemas.openxmlformats.org/officeDocument/2006/relationships/hyperlink" Target="https://ec.europa.eu/eurostat/databrowser/view/DS-056120__custom_6262207/default/table" TargetMode="External"/><Relationship Id="rId448" Type="http://schemas.openxmlformats.org/officeDocument/2006/relationships/hyperlink" Target="https://ec.europa.eu/eurostat/databrowser/view/DS-056120__custom_6262207/default/table" TargetMode="External"/><Relationship Id="rId252" Type="http://schemas.openxmlformats.org/officeDocument/2006/relationships/hyperlink" Target="https://ec.europa.eu/eurostat/databrowser/view/DS-056120__custom_6262207/default/table" TargetMode="External"/><Relationship Id="rId294" Type="http://schemas.openxmlformats.org/officeDocument/2006/relationships/hyperlink" Target="https://ec.europa.eu/eurostat/databrowser/view/DS-056120__custom_6262207/default/table" TargetMode="External"/><Relationship Id="rId308" Type="http://schemas.openxmlformats.org/officeDocument/2006/relationships/hyperlink" Target="https://ec.europa.eu/eurostat/databrowser/view/DS-056120__custom_6262207/default/table" TargetMode="External"/><Relationship Id="rId47" Type="http://schemas.openxmlformats.org/officeDocument/2006/relationships/hyperlink" Target="https://ec.europa.eu/eurostat/databrowser/view/DS-056120__custom_6262207/default/table" TargetMode="External"/><Relationship Id="rId89" Type="http://schemas.openxmlformats.org/officeDocument/2006/relationships/hyperlink" Target="https://ec.europa.eu/eurostat/databrowser/view/DS-056120__custom_6262207/default/table" TargetMode="External"/><Relationship Id="rId112" Type="http://schemas.openxmlformats.org/officeDocument/2006/relationships/hyperlink" Target="https://ec.europa.eu/eurostat/databrowser/view/DS-056120__custom_6262207/default/table" TargetMode="External"/><Relationship Id="rId154" Type="http://schemas.openxmlformats.org/officeDocument/2006/relationships/hyperlink" Target="https://ec.europa.eu/eurostat/databrowser/view/DS-056120__custom_6262207/default/table" TargetMode="External"/><Relationship Id="rId361" Type="http://schemas.openxmlformats.org/officeDocument/2006/relationships/hyperlink" Target="https://ec.europa.eu/eurostat/databrowser/view/DS-056120__custom_6262207/default/table" TargetMode="External"/><Relationship Id="rId196" Type="http://schemas.openxmlformats.org/officeDocument/2006/relationships/hyperlink" Target="https://ec.europa.eu/eurostat/databrowser/view/DS-056120__custom_6262207/default/table" TargetMode="External"/><Relationship Id="rId417" Type="http://schemas.openxmlformats.org/officeDocument/2006/relationships/hyperlink" Target="https://ec.europa.eu/eurostat/databrowser/view/DS-056120__custom_6262207/default/table" TargetMode="External"/><Relationship Id="rId459" Type="http://schemas.openxmlformats.org/officeDocument/2006/relationships/hyperlink" Target="https://ec.europa.eu/eurostat/databrowser/view/DS-056120__custom_6262207/default/table" TargetMode="External"/><Relationship Id="rId16" Type="http://schemas.openxmlformats.org/officeDocument/2006/relationships/hyperlink" Target="https://ec.europa.eu/eurostat/databrowser/view/DS-056120__custom_6262207/default/table" TargetMode="External"/><Relationship Id="rId221" Type="http://schemas.openxmlformats.org/officeDocument/2006/relationships/hyperlink" Target="https://ec.europa.eu/eurostat/databrowser/view/DS-056120__custom_6262207/default/table" TargetMode="External"/><Relationship Id="rId263" Type="http://schemas.openxmlformats.org/officeDocument/2006/relationships/hyperlink" Target="https://ec.europa.eu/eurostat/databrowser/view/DS-056120__custom_6262207/default/table" TargetMode="External"/><Relationship Id="rId319" Type="http://schemas.openxmlformats.org/officeDocument/2006/relationships/hyperlink" Target="https://ec.europa.eu/eurostat/databrowser/view/DS-056120__custom_6262207/default/table" TargetMode="External"/><Relationship Id="rId470" Type="http://schemas.openxmlformats.org/officeDocument/2006/relationships/hyperlink" Target="https://ec.europa.eu/eurostat/databrowser/view/DS-056120__custom_6262207/default/table" TargetMode="External"/><Relationship Id="rId58" Type="http://schemas.openxmlformats.org/officeDocument/2006/relationships/hyperlink" Target="https://ec.europa.eu/eurostat/databrowser/view/DS-056120__custom_6262207/default/table" TargetMode="External"/><Relationship Id="rId123" Type="http://schemas.openxmlformats.org/officeDocument/2006/relationships/hyperlink" Target="https://ec.europa.eu/eurostat/databrowser/view/DS-056120__custom_6262207/default/table" TargetMode="External"/><Relationship Id="rId330" Type="http://schemas.openxmlformats.org/officeDocument/2006/relationships/hyperlink" Target="https://ec.europa.eu/eurostat/databrowser/view/DS-056120__custom_6262207/default/table" TargetMode="External"/><Relationship Id="rId165" Type="http://schemas.openxmlformats.org/officeDocument/2006/relationships/hyperlink" Target="https://ec.europa.eu/eurostat/databrowser/view/DS-056120__custom_6262207/default/table" TargetMode="External"/><Relationship Id="rId372" Type="http://schemas.openxmlformats.org/officeDocument/2006/relationships/hyperlink" Target="https://ec.europa.eu/eurostat/databrowser/view/DS-056120__custom_6262207/default/table" TargetMode="External"/><Relationship Id="rId428" Type="http://schemas.openxmlformats.org/officeDocument/2006/relationships/hyperlink" Target="https://ec.europa.eu/eurostat/databrowser/view/DS-056120__custom_6262207/default/table" TargetMode="External"/><Relationship Id="rId232" Type="http://schemas.openxmlformats.org/officeDocument/2006/relationships/hyperlink" Target="https://ec.europa.eu/eurostat/databrowser/view/DS-056120__custom_6262207/default/table" TargetMode="External"/><Relationship Id="rId274" Type="http://schemas.openxmlformats.org/officeDocument/2006/relationships/hyperlink" Target="https://ec.europa.eu/eurostat/databrowser/view/DS-056120__custom_6262207/default/table" TargetMode="External"/><Relationship Id="rId481" Type="http://schemas.openxmlformats.org/officeDocument/2006/relationships/hyperlink" Target="https://ec.europa.eu/eurostat/databrowser/view/DS-056120__custom_6262207/default/table" TargetMode="External"/><Relationship Id="rId27" Type="http://schemas.openxmlformats.org/officeDocument/2006/relationships/hyperlink" Target="https://ec.europa.eu/eurostat/databrowser/view/DS-056120__custom_6262207/default/table" TargetMode="External"/><Relationship Id="rId69" Type="http://schemas.openxmlformats.org/officeDocument/2006/relationships/hyperlink" Target="https://ec.europa.eu/eurostat/databrowser/view/DS-056120__custom_6262207/default/table" TargetMode="External"/><Relationship Id="rId134" Type="http://schemas.openxmlformats.org/officeDocument/2006/relationships/hyperlink" Target="https://ec.europa.eu/eurostat/databrowser/view/DS-056120__custom_6262207/default/table" TargetMode="External"/><Relationship Id="rId80" Type="http://schemas.openxmlformats.org/officeDocument/2006/relationships/hyperlink" Target="https://ec.europa.eu/eurostat/databrowser/view/DS-056120__custom_6262207/default/table" TargetMode="External"/><Relationship Id="rId176" Type="http://schemas.openxmlformats.org/officeDocument/2006/relationships/hyperlink" Target="https://ec.europa.eu/eurostat/databrowser/view/DS-056120__custom_6262207/default/table" TargetMode="External"/><Relationship Id="rId341" Type="http://schemas.openxmlformats.org/officeDocument/2006/relationships/hyperlink" Target="https://ec.europa.eu/eurostat/databrowser/view/DS-056120__custom_6262207/default/table" TargetMode="External"/><Relationship Id="rId383" Type="http://schemas.openxmlformats.org/officeDocument/2006/relationships/hyperlink" Target="https://ec.europa.eu/eurostat/databrowser/view/DS-056120__custom_6262207/default/table" TargetMode="External"/><Relationship Id="rId439" Type="http://schemas.openxmlformats.org/officeDocument/2006/relationships/hyperlink" Target="https://ec.europa.eu/eurostat/databrowser/view/DS-056120__custom_6262207/default/table" TargetMode="External"/><Relationship Id="rId201" Type="http://schemas.openxmlformats.org/officeDocument/2006/relationships/hyperlink" Target="https://ec.europa.eu/eurostat/databrowser/view/DS-056120__custom_6262207/default/table" TargetMode="External"/><Relationship Id="rId243" Type="http://schemas.openxmlformats.org/officeDocument/2006/relationships/hyperlink" Target="https://ec.europa.eu/eurostat/databrowser/view/DS-056120__custom_6262207/default/table" TargetMode="External"/><Relationship Id="rId285" Type="http://schemas.openxmlformats.org/officeDocument/2006/relationships/hyperlink" Target="https://ec.europa.eu/eurostat/databrowser/view/DS-056120__custom_6262207/default/table" TargetMode="External"/><Relationship Id="rId450" Type="http://schemas.openxmlformats.org/officeDocument/2006/relationships/hyperlink" Target="https://ec.europa.eu/eurostat/databrowser/view/DS-056120__custom_6262207/default/table" TargetMode="External"/><Relationship Id="rId38" Type="http://schemas.openxmlformats.org/officeDocument/2006/relationships/hyperlink" Target="https://ec.europa.eu/eurostat/databrowser/view/DS-056120__custom_6262207/default/table" TargetMode="External"/><Relationship Id="rId103" Type="http://schemas.openxmlformats.org/officeDocument/2006/relationships/hyperlink" Target="https://ec.europa.eu/eurostat/databrowser/view/DS-056120__custom_6262207/default/table" TargetMode="External"/><Relationship Id="rId310" Type="http://schemas.openxmlformats.org/officeDocument/2006/relationships/hyperlink" Target="https://ec.europa.eu/eurostat/databrowser/view/DS-056120__custom_6262207/default/table" TargetMode="External"/><Relationship Id="rId492" Type="http://schemas.openxmlformats.org/officeDocument/2006/relationships/hyperlink" Target="https://ec.europa.eu/eurostat/databrowser/view/DS-056120__custom_6262207/default/table" TargetMode="External"/><Relationship Id="rId91" Type="http://schemas.openxmlformats.org/officeDocument/2006/relationships/hyperlink" Target="https://ec.europa.eu/eurostat/databrowser/view/DS-056120__custom_6262207/default/table" TargetMode="External"/><Relationship Id="rId145" Type="http://schemas.openxmlformats.org/officeDocument/2006/relationships/hyperlink" Target="https://ec.europa.eu/eurostat/databrowser/view/DS-056120__custom_6262207/default/table" TargetMode="External"/><Relationship Id="rId187" Type="http://schemas.openxmlformats.org/officeDocument/2006/relationships/hyperlink" Target="https://ec.europa.eu/eurostat/databrowser/view/DS-056120__custom_6262207/default/table" TargetMode="External"/><Relationship Id="rId352" Type="http://schemas.openxmlformats.org/officeDocument/2006/relationships/hyperlink" Target="https://ec.europa.eu/eurostat/databrowser/view/DS-056120__custom_6262207/default/table" TargetMode="External"/><Relationship Id="rId394" Type="http://schemas.openxmlformats.org/officeDocument/2006/relationships/hyperlink" Target="https://ec.europa.eu/eurostat/databrowser/view/DS-056120__custom_6262207/default/table" TargetMode="External"/><Relationship Id="rId408" Type="http://schemas.openxmlformats.org/officeDocument/2006/relationships/hyperlink" Target="https://ec.europa.eu/eurostat/databrowser/view/DS-056120__custom_6262207/default/table" TargetMode="External"/><Relationship Id="rId212" Type="http://schemas.openxmlformats.org/officeDocument/2006/relationships/hyperlink" Target="https://ec.europa.eu/eurostat/databrowser/view/DS-056120__custom_6262207/default/table" TargetMode="External"/><Relationship Id="rId254" Type="http://schemas.openxmlformats.org/officeDocument/2006/relationships/hyperlink" Target="https://ec.europa.eu/eurostat/databrowser/view/DS-056120__custom_6262207/default/table" TargetMode="External"/><Relationship Id="rId49" Type="http://schemas.openxmlformats.org/officeDocument/2006/relationships/hyperlink" Target="https://ec.europa.eu/eurostat/databrowser/view/DS-056120__custom_6262207/default/table" TargetMode="External"/><Relationship Id="rId114" Type="http://schemas.openxmlformats.org/officeDocument/2006/relationships/hyperlink" Target="https://ec.europa.eu/eurostat/databrowser/view/DS-056120__custom_6262207/default/table" TargetMode="External"/><Relationship Id="rId296" Type="http://schemas.openxmlformats.org/officeDocument/2006/relationships/hyperlink" Target="https://ec.europa.eu/eurostat/databrowser/view/DS-056120__custom_6262207/default/table" TargetMode="External"/><Relationship Id="rId461" Type="http://schemas.openxmlformats.org/officeDocument/2006/relationships/hyperlink" Target="https://ec.europa.eu/eurostat/databrowser/view/DS-056120__custom_6262207/default/table" TargetMode="External"/><Relationship Id="rId60" Type="http://schemas.openxmlformats.org/officeDocument/2006/relationships/hyperlink" Target="https://ec.europa.eu/eurostat/databrowser/view/DS-056120__custom_6262207/default/table" TargetMode="External"/><Relationship Id="rId156" Type="http://schemas.openxmlformats.org/officeDocument/2006/relationships/hyperlink" Target="https://ec.europa.eu/eurostat/databrowser/view/DS-056120__custom_6262207/default/table" TargetMode="External"/><Relationship Id="rId198" Type="http://schemas.openxmlformats.org/officeDocument/2006/relationships/hyperlink" Target="https://ec.europa.eu/eurostat/databrowser/view/DS-056120__custom_6262207/default/table" TargetMode="External"/><Relationship Id="rId321" Type="http://schemas.openxmlformats.org/officeDocument/2006/relationships/hyperlink" Target="https://ec.europa.eu/eurostat/databrowser/view/DS-056120__custom_6262207/default/table" TargetMode="External"/><Relationship Id="rId363" Type="http://schemas.openxmlformats.org/officeDocument/2006/relationships/hyperlink" Target="https://ec.europa.eu/eurostat/databrowser/view/DS-056120__custom_6262207/default/table" TargetMode="External"/><Relationship Id="rId419" Type="http://schemas.openxmlformats.org/officeDocument/2006/relationships/hyperlink" Target="https://ec.europa.eu/eurostat/databrowser/view/DS-056120__custom_6262207/default/table" TargetMode="External"/><Relationship Id="rId223" Type="http://schemas.openxmlformats.org/officeDocument/2006/relationships/hyperlink" Target="https://ec.europa.eu/eurostat/databrowser/view/DS-056120__custom_6262207/default/table" TargetMode="External"/><Relationship Id="rId430" Type="http://schemas.openxmlformats.org/officeDocument/2006/relationships/hyperlink" Target="https://ec.europa.eu/eurostat/databrowser/view/DS-056120__custom_6262207/default/table" TargetMode="External"/><Relationship Id="rId18" Type="http://schemas.openxmlformats.org/officeDocument/2006/relationships/hyperlink" Target="https://ec.europa.eu/eurostat/databrowser/view/DS-056120__custom_6262207/default/table" TargetMode="External"/><Relationship Id="rId265" Type="http://schemas.openxmlformats.org/officeDocument/2006/relationships/hyperlink" Target="https://ec.europa.eu/eurostat/databrowser/view/DS-056120__custom_6262207/default/table" TargetMode="External"/><Relationship Id="rId472" Type="http://schemas.openxmlformats.org/officeDocument/2006/relationships/hyperlink" Target="https://ec.europa.eu/eurostat/databrowser/view/DS-056120__custom_6262207/default/table" TargetMode="External"/><Relationship Id="rId125" Type="http://schemas.openxmlformats.org/officeDocument/2006/relationships/hyperlink" Target="https://ec.europa.eu/eurostat/databrowser/view/DS-056120__custom_6262207/default/table" TargetMode="External"/><Relationship Id="rId167" Type="http://schemas.openxmlformats.org/officeDocument/2006/relationships/hyperlink" Target="https://ec.europa.eu/eurostat/databrowser/view/DS-056120__custom_6262207/default/table" TargetMode="External"/><Relationship Id="rId332" Type="http://schemas.openxmlformats.org/officeDocument/2006/relationships/hyperlink" Target="https://ec.europa.eu/eurostat/databrowser/view/DS-056120__custom_6262207/default/table" TargetMode="External"/><Relationship Id="rId374" Type="http://schemas.openxmlformats.org/officeDocument/2006/relationships/hyperlink" Target="https://ec.europa.eu/eurostat/databrowser/view/DS-056120__custom_6262207/default/table" TargetMode="External"/><Relationship Id="rId71" Type="http://schemas.openxmlformats.org/officeDocument/2006/relationships/hyperlink" Target="https://ec.europa.eu/eurostat/databrowser/view/DS-056120__custom_6262207/default/table" TargetMode="External"/><Relationship Id="rId234"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6262207/default/table" TargetMode="External"/><Relationship Id="rId29" Type="http://schemas.openxmlformats.org/officeDocument/2006/relationships/hyperlink" Target="https://ec.europa.eu/eurostat/databrowser/view/DS-056120__custom_6262207/default/table" TargetMode="External"/><Relationship Id="rId276" Type="http://schemas.openxmlformats.org/officeDocument/2006/relationships/hyperlink" Target="https://ec.europa.eu/eurostat/databrowser/view/DS-056120__custom_6262207/default/table" TargetMode="External"/><Relationship Id="rId441" Type="http://schemas.openxmlformats.org/officeDocument/2006/relationships/hyperlink" Target="https://ec.europa.eu/eurostat/databrowser/view/DS-056120__custom_6262207/default/table" TargetMode="External"/><Relationship Id="rId483" Type="http://schemas.openxmlformats.org/officeDocument/2006/relationships/hyperlink" Target="https://ec.europa.eu/eurostat/databrowser/view/DS-056120__custom_6262207/default/table" TargetMode="External"/><Relationship Id="rId40" Type="http://schemas.openxmlformats.org/officeDocument/2006/relationships/hyperlink" Target="https://ec.europa.eu/eurostat/databrowser/view/DS-056120__custom_6262207/default/table" TargetMode="External"/><Relationship Id="rId136" Type="http://schemas.openxmlformats.org/officeDocument/2006/relationships/hyperlink" Target="https://ec.europa.eu/eurostat/databrowser/view/DS-056120__custom_6262207/default/table" TargetMode="External"/><Relationship Id="rId178" Type="http://schemas.openxmlformats.org/officeDocument/2006/relationships/hyperlink" Target="https://ec.europa.eu/eurostat/databrowser/view/DS-056120__custom_6262207/default/table" TargetMode="External"/><Relationship Id="rId301" Type="http://schemas.openxmlformats.org/officeDocument/2006/relationships/hyperlink" Target="https://ec.europa.eu/eurostat/databrowser/view/DS-056120__custom_6262207/default/table" TargetMode="External"/><Relationship Id="rId343" Type="http://schemas.openxmlformats.org/officeDocument/2006/relationships/hyperlink" Target="https://ec.europa.eu/eurostat/databrowser/view/DS-056120__custom_6262207/default/table" TargetMode="External"/><Relationship Id="rId82" Type="http://schemas.openxmlformats.org/officeDocument/2006/relationships/hyperlink" Target="https://ec.europa.eu/eurostat/databrowser/view/DS-056120__custom_6262207/default/table" TargetMode="External"/><Relationship Id="rId203" Type="http://schemas.openxmlformats.org/officeDocument/2006/relationships/hyperlink" Target="https://ec.europa.eu/eurostat/databrowser/view/DS-056120__custom_6262207/default/table" TargetMode="External"/><Relationship Id="rId385" Type="http://schemas.openxmlformats.org/officeDocument/2006/relationships/hyperlink" Target="https://ec.europa.eu/eurostat/databrowser/view/DS-056120__custom_6262207/default/table" TargetMode="External"/><Relationship Id="rId245" Type="http://schemas.openxmlformats.org/officeDocument/2006/relationships/hyperlink" Target="https://ec.europa.eu/eurostat/databrowser/view/DS-056120__custom_6262207/default/table" TargetMode="External"/><Relationship Id="rId287" Type="http://schemas.openxmlformats.org/officeDocument/2006/relationships/hyperlink" Target="https://ec.europa.eu/eurostat/databrowser/view/DS-056120__custom_6262207/default/table" TargetMode="External"/><Relationship Id="rId410" Type="http://schemas.openxmlformats.org/officeDocument/2006/relationships/hyperlink" Target="https://ec.europa.eu/eurostat/databrowser/view/DS-056120__custom_6262207/default/table" TargetMode="External"/><Relationship Id="rId452" Type="http://schemas.openxmlformats.org/officeDocument/2006/relationships/hyperlink" Target="https://ec.europa.eu/eurostat/databrowser/view/DS-056120__custom_6262207/default/table" TargetMode="External"/><Relationship Id="rId494" Type="http://schemas.openxmlformats.org/officeDocument/2006/relationships/hyperlink" Target="https://ec.europa.eu/eurostat/databrowser/view/DS-056120__custom_6262207/default/table" TargetMode="External"/><Relationship Id="rId105" Type="http://schemas.openxmlformats.org/officeDocument/2006/relationships/hyperlink" Target="https://ec.europa.eu/eurostat/databrowser/view/DS-056120__custom_6262207/default/table" TargetMode="External"/><Relationship Id="rId147" Type="http://schemas.openxmlformats.org/officeDocument/2006/relationships/hyperlink" Target="https://ec.europa.eu/eurostat/databrowser/view/DS-056120__custom_6262207/default/table" TargetMode="External"/><Relationship Id="rId312" Type="http://schemas.openxmlformats.org/officeDocument/2006/relationships/hyperlink" Target="https://ec.europa.eu/eurostat/databrowser/view/DS-056120__custom_6262207/default/table" TargetMode="External"/><Relationship Id="rId354" Type="http://schemas.openxmlformats.org/officeDocument/2006/relationships/hyperlink" Target="https://ec.europa.eu/eurostat/databrowser/view/DS-056120__custom_6262207/default/table" TargetMode="External"/><Relationship Id="rId51" Type="http://schemas.openxmlformats.org/officeDocument/2006/relationships/hyperlink" Target="https://ec.europa.eu/eurostat/databrowser/view/DS-056120__custom_6262207/default/table" TargetMode="External"/><Relationship Id="rId93" Type="http://schemas.openxmlformats.org/officeDocument/2006/relationships/hyperlink" Target="https://ec.europa.eu/eurostat/databrowser/view/DS-056120__custom_6262207/default/table" TargetMode="External"/><Relationship Id="rId189" Type="http://schemas.openxmlformats.org/officeDocument/2006/relationships/hyperlink" Target="https://ec.europa.eu/eurostat/databrowser/view/DS-056120__custom_6262207/default/table" TargetMode="External"/><Relationship Id="rId396" Type="http://schemas.openxmlformats.org/officeDocument/2006/relationships/hyperlink" Target="https://ec.europa.eu/eurostat/databrowser/view/DS-056120__custom_6262207/default/table" TargetMode="External"/><Relationship Id="rId214" Type="http://schemas.openxmlformats.org/officeDocument/2006/relationships/hyperlink" Target="https://ec.europa.eu/eurostat/databrowser/view/DS-056120__custom_6262207/default/table" TargetMode="External"/><Relationship Id="rId256" Type="http://schemas.openxmlformats.org/officeDocument/2006/relationships/hyperlink" Target="https://ec.europa.eu/eurostat/databrowser/view/DS-056120__custom_6262207/default/table" TargetMode="External"/><Relationship Id="rId298" Type="http://schemas.openxmlformats.org/officeDocument/2006/relationships/hyperlink" Target="https://ec.europa.eu/eurostat/databrowser/view/DS-056120__custom_6262207/default/table" TargetMode="External"/><Relationship Id="rId421" Type="http://schemas.openxmlformats.org/officeDocument/2006/relationships/hyperlink" Target="https://ec.europa.eu/eurostat/databrowser/view/DS-056120__custom_6262207/default/table" TargetMode="External"/><Relationship Id="rId463" Type="http://schemas.openxmlformats.org/officeDocument/2006/relationships/hyperlink" Target="https://ec.europa.eu/eurostat/databrowser/view/DS-056120__custom_6262207/default/table" TargetMode="External"/><Relationship Id="rId116" Type="http://schemas.openxmlformats.org/officeDocument/2006/relationships/hyperlink" Target="https://ec.europa.eu/eurostat/databrowser/view/DS-056120__custom_6262207/default/table" TargetMode="External"/><Relationship Id="rId158" Type="http://schemas.openxmlformats.org/officeDocument/2006/relationships/hyperlink" Target="https://ec.europa.eu/eurostat/databrowser/view/DS-056120__custom_6262207/default/table" TargetMode="External"/><Relationship Id="rId323" Type="http://schemas.openxmlformats.org/officeDocument/2006/relationships/hyperlink" Target="https://ec.europa.eu/eurostat/databrowser/view/DS-056120__custom_6262207/default/table" TargetMode="External"/><Relationship Id="rId20" Type="http://schemas.openxmlformats.org/officeDocument/2006/relationships/hyperlink" Target="https://ec.europa.eu/eurostat/databrowser/view/DS-056120__custom_6262207/default/table" TargetMode="External"/><Relationship Id="rId62" Type="http://schemas.openxmlformats.org/officeDocument/2006/relationships/hyperlink" Target="https://ec.europa.eu/eurostat/databrowser/view/DS-056120__custom_6262207/default/table" TargetMode="External"/><Relationship Id="rId365" Type="http://schemas.openxmlformats.org/officeDocument/2006/relationships/hyperlink" Target="https://ec.europa.eu/eurostat/databrowser/view/DS-056120__custom_6262207/default/table" TargetMode="External"/><Relationship Id="rId225" Type="http://schemas.openxmlformats.org/officeDocument/2006/relationships/hyperlink" Target="https://ec.europa.eu/eurostat/databrowser/view/DS-056120__custom_6262207/default/table" TargetMode="External"/><Relationship Id="rId267" Type="http://schemas.openxmlformats.org/officeDocument/2006/relationships/hyperlink" Target="https://ec.europa.eu/eurostat/databrowser/view/DS-056120__custom_6262207/default/table" TargetMode="External"/><Relationship Id="rId432" Type="http://schemas.openxmlformats.org/officeDocument/2006/relationships/hyperlink" Target="https://ec.europa.eu/eurostat/databrowser/view/DS-056120__custom_6262207/default/table" TargetMode="External"/><Relationship Id="rId474" Type="http://schemas.openxmlformats.org/officeDocument/2006/relationships/hyperlink" Target="https://ec.europa.eu/eurostat/databrowser/view/DS-056120__custom_6262207/default/table" TargetMode="External"/><Relationship Id="rId106" Type="http://schemas.openxmlformats.org/officeDocument/2006/relationships/hyperlink" Target="https://ec.europa.eu/eurostat/databrowser/view/DS-056120__custom_6262207/default/table" TargetMode="External"/><Relationship Id="rId127" Type="http://schemas.openxmlformats.org/officeDocument/2006/relationships/hyperlink" Target="https://ec.europa.eu/eurostat/databrowser/view/DS-056120__custom_6262207/default/table" TargetMode="External"/><Relationship Id="rId313" Type="http://schemas.openxmlformats.org/officeDocument/2006/relationships/hyperlink" Target="https://ec.europa.eu/eurostat/databrowser/view/DS-056120__custom_6262207/default/table" TargetMode="External"/><Relationship Id="rId495" Type="http://schemas.openxmlformats.org/officeDocument/2006/relationships/hyperlink" Target="https://ec.europa.eu/eurostat/databrowser/view/DS-056120__custom_6262207/default/table" TargetMode="External"/><Relationship Id="rId10" Type="http://schemas.openxmlformats.org/officeDocument/2006/relationships/hyperlink" Target="https://ec.europa.eu/eurostat/databrowser/view/DS-056120__custom_6262207/default/table" TargetMode="External"/><Relationship Id="rId31" Type="http://schemas.openxmlformats.org/officeDocument/2006/relationships/hyperlink" Target="https://ec.europa.eu/eurostat/databrowser/view/DS-056120__custom_6262207/default/table" TargetMode="External"/><Relationship Id="rId52" Type="http://schemas.openxmlformats.org/officeDocument/2006/relationships/hyperlink" Target="https://ec.europa.eu/eurostat/databrowser/view/DS-056120__custom_6262207/default/table" TargetMode="External"/><Relationship Id="rId73" Type="http://schemas.openxmlformats.org/officeDocument/2006/relationships/hyperlink" Target="https://ec.europa.eu/eurostat/databrowser/view/DS-056120__custom_6262207/default/table" TargetMode="External"/><Relationship Id="rId94" Type="http://schemas.openxmlformats.org/officeDocument/2006/relationships/hyperlink" Target="https://ec.europa.eu/eurostat/databrowser/view/DS-056120__custom_6262207/default/table" TargetMode="External"/><Relationship Id="rId148" Type="http://schemas.openxmlformats.org/officeDocument/2006/relationships/hyperlink" Target="https://ec.europa.eu/eurostat/databrowser/view/DS-056120__custom_6262207/default/table" TargetMode="External"/><Relationship Id="rId169" Type="http://schemas.openxmlformats.org/officeDocument/2006/relationships/hyperlink" Target="https://ec.europa.eu/eurostat/databrowser/view/DS-056120__custom_6262207/default/table" TargetMode="External"/><Relationship Id="rId334" Type="http://schemas.openxmlformats.org/officeDocument/2006/relationships/hyperlink" Target="https://ec.europa.eu/eurostat/databrowser/view/DS-056120__custom_6262207/default/table" TargetMode="External"/><Relationship Id="rId355" Type="http://schemas.openxmlformats.org/officeDocument/2006/relationships/hyperlink" Target="https://ec.europa.eu/eurostat/databrowser/view/DS-056120__custom_6262207/default/table" TargetMode="External"/><Relationship Id="rId376" Type="http://schemas.openxmlformats.org/officeDocument/2006/relationships/hyperlink" Target="https://ec.europa.eu/eurostat/databrowser/view/DS-056120__custom_6262207/default/table" TargetMode="External"/><Relationship Id="rId397" Type="http://schemas.openxmlformats.org/officeDocument/2006/relationships/hyperlink" Target="https://ec.europa.eu/eurostat/databrowser/view/DS-056120__custom_6262207/default/table" TargetMode="External"/><Relationship Id="rId4" Type="http://schemas.openxmlformats.org/officeDocument/2006/relationships/hyperlink" Target="https://ec.europa.eu/eurostat/databrowser/view/DS-056120__custom_6262207/default/table" TargetMode="External"/><Relationship Id="rId180" Type="http://schemas.openxmlformats.org/officeDocument/2006/relationships/hyperlink" Target="https://ec.europa.eu/eurostat/databrowser/view/DS-056120__custom_6262207/default/table" TargetMode="External"/><Relationship Id="rId215" Type="http://schemas.openxmlformats.org/officeDocument/2006/relationships/hyperlink" Target="https://ec.europa.eu/eurostat/databrowser/view/DS-056120__custom_6262207/default/table" TargetMode="External"/><Relationship Id="rId236" Type="http://schemas.openxmlformats.org/officeDocument/2006/relationships/hyperlink" Target="https://ec.europa.eu/eurostat/databrowser/view/DS-056120__custom_6262207/default/table" TargetMode="External"/><Relationship Id="rId257" Type="http://schemas.openxmlformats.org/officeDocument/2006/relationships/hyperlink" Target="https://ec.europa.eu/eurostat/databrowser/view/DS-056120__custom_6262207/default/table" TargetMode="External"/><Relationship Id="rId278" Type="http://schemas.openxmlformats.org/officeDocument/2006/relationships/hyperlink" Target="https://ec.europa.eu/eurostat/databrowser/view/DS-056120__custom_6262207/default/table" TargetMode="External"/><Relationship Id="rId401" Type="http://schemas.openxmlformats.org/officeDocument/2006/relationships/hyperlink" Target="https://ec.europa.eu/eurostat/databrowser/view/DS-056120__custom_6262207/default/table" TargetMode="External"/><Relationship Id="rId422" Type="http://schemas.openxmlformats.org/officeDocument/2006/relationships/hyperlink" Target="https://ec.europa.eu/eurostat/databrowser/view/DS-056120__custom_6262207/default/table" TargetMode="External"/><Relationship Id="rId443" Type="http://schemas.openxmlformats.org/officeDocument/2006/relationships/hyperlink" Target="https://ec.europa.eu/eurostat/databrowser/view/DS-056120__custom_6262207/default/table" TargetMode="External"/><Relationship Id="rId464" Type="http://schemas.openxmlformats.org/officeDocument/2006/relationships/hyperlink" Target="https://ec.europa.eu/eurostat/databrowser/view/DS-056120__custom_6262207/default/table" TargetMode="External"/><Relationship Id="rId303" Type="http://schemas.openxmlformats.org/officeDocument/2006/relationships/hyperlink" Target="https://ec.europa.eu/eurostat/databrowser/view/DS-056120__custom_6262207/default/table" TargetMode="External"/><Relationship Id="rId485" Type="http://schemas.openxmlformats.org/officeDocument/2006/relationships/hyperlink" Target="https://ec.europa.eu/eurostat/databrowser/view/DS-056120__custom_6262207/default/table" TargetMode="External"/><Relationship Id="rId42" Type="http://schemas.openxmlformats.org/officeDocument/2006/relationships/hyperlink" Target="https://ec.europa.eu/eurostat/databrowser/view/DS-056120__custom_6262207/default/table" TargetMode="External"/><Relationship Id="rId84" Type="http://schemas.openxmlformats.org/officeDocument/2006/relationships/hyperlink" Target="https://ec.europa.eu/eurostat/databrowser/view/DS-056120__custom_6262207/default/table" TargetMode="External"/><Relationship Id="rId138" Type="http://schemas.openxmlformats.org/officeDocument/2006/relationships/hyperlink" Target="https://ec.europa.eu/eurostat/databrowser/view/DS-056120__custom_6262207/default/table" TargetMode="External"/><Relationship Id="rId345" Type="http://schemas.openxmlformats.org/officeDocument/2006/relationships/hyperlink" Target="https://ec.europa.eu/eurostat/databrowser/view/DS-056120__custom_6262207/default/table" TargetMode="External"/><Relationship Id="rId387" Type="http://schemas.openxmlformats.org/officeDocument/2006/relationships/hyperlink" Target="https://ec.europa.eu/eurostat/databrowser/view/DS-056120__custom_6262207/default/table" TargetMode="External"/><Relationship Id="rId191" Type="http://schemas.openxmlformats.org/officeDocument/2006/relationships/hyperlink" Target="https://ec.europa.eu/eurostat/databrowser/view/DS-056120__custom_6262207/default/table" TargetMode="External"/><Relationship Id="rId205" Type="http://schemas.openxmlformats.org/officeDocument/2006/relationships/hyperlink" Target="https://ec.europa.eu/eurostat/databrowser/view/DS-056120__custom_6262207/default/table" TargetMode="External"/><Relationship Id="rId247" Type="http://schemas.openxmlformats.org/officeDocument/2006/relationships/hyperlink" Target="https://ec.europa.eu/eurostat/databrowser/view/DS-056120__custom_6262207/default/table" TargetMode="External"/><Relationship Id="rId412" Type="http://schemas.openxmlformats.org/officeDocument/2006/relationships/hyperlink" Target="https://ec.europa.eu/eurostat/databrowser/view/DS-056120__custom_6262207/default/table" TargetMode="External"/><Relationship Id="rId107" Type="http://schemas.openxmlformats.org/officeDocument/2006/relationships/hyperlink" Target="https://ec.europa.eu/eurostat/databrowser/view/DS-056120__custom_6262207/default/table" TargetMode="External"/><Relationship Id="rId289" Type="http://schemas.openxmlformats.org/officeDocument/2006/relationships/hyperlink" Target="https://ec.europa.eu/eurostat/databrowser/view/DS-056120__custom_6262207/default/table" TargetMode="External"/><Relationship Id="rId454" Type="http://schemas.openxmlformats.org/officeDocument/2006/relationships/hyperlink" Target="https://ec.europa.eu/eurostat/databrowser/view/DS-056120__custom_6262207/default/table" TargetMode="External"/><Relationship Id="rId496" Type="http://schemas.openxmlformats.org/officeDocument/2006/relationships/printerSettings" Target="../printerSettings/printerSettings5.bin"/><Relationship Id="rId11" Type="http://schemas.openxmlformats.org/officeDocument/2006/relationships/hyperlink" Target="https://ec.europa.eu/eurostat/databrowser/view/DS-056120__custom_6262207/default/table" TargetMode="External"/><Relationship Id="rId53" Type="http://schemas.openxmlformats.org/officeDocument/2006/relationships/hyperlink" Target="https://ec.europa.eu/eurostat/databrowser/view/DS-056120__custom_6262207/default/table" TargetMode="External"/><Relationship Id="rId149" Type="http://schemas.openxmlformats.org/officeDocument/2006/relationships/hyperlink" Target="https://ec.europa.eu/eurostat/databrowser/view/DS-056120__custom_6262207/default/table" TargetMode="External"/><Relationship Id="rId314" Type="http://schemas.openxmlformats.org/officeDocument/2006/relationships/hyperlink" Target="https://ec.europa.eu/eurostat/databrowser/view/DS-056120__custom_6262207/default/table" TargetMode="External"/><Relationship Id="rId356" Type="http://schemas.openxmlformats.org/officeDocument/2006/relationships/hyperlink" Target="https://ec.europa.eu/eurostat/databrowser/view/DS-056120__custom_6262207/default/table" TargetMode="External"/><Relationship Id="rId398" Type="http://schemas.openxmlformats.org/officeDocument/2006/relationships/hyperlink" Target="https://ec.europa.eu/eurostat/databrowser/view/DS-056120__custom_6262207/default/table" TargetMode="External"/><Relationship Id="rId95" Type="http://schemas.openxmlformats.org/officeDocument/2006/relationships/hyperlink" Target="https://ec.europa.eu/eurostat/databrowser/view/DS-056120__custom_6262207/default/table" TargetMode="External"/><Relationship Id="rId160" Type="http://schemas.openxmlformats.org/officeDocument/2006/relationships/hyperlink" Target="https://ec.europa.eu/eurostat/databrowser/view/DS-056120__custom_6262207/default/table" TargetMode="External"/><Relationship Id="rId216" Type="http://schemas.openxmlformats.org/officeDocument/2006/relationships/hyperlink" Target="https://ec.europa.eu/eurostat/databrowser/view/DS-056120__custom_6262207/default/table" TargetMode="External"/><Relationship Id="rId423" Type="http://schemas.openxmlformats.org/officeDocument/2006/relationships/hyperlink" Target="https://ec.europa.eu/eurostat/databrowser/view/DS-056120__custom_6262207/default/table" TargetMode="External"/><Relationship Id="rId258" Type="http://schemas.openxmlformats.org/officeDocument/2006/relationships/hyperlink" Target="https://ec.europa.eu/eurostat/databrowser/view/DS-056120__custom_6262207/default/table" TargetMode="External"/><Relationship Id="rId465" Type="http://schemas.openxmlformats.org/officeDocument/2006/relationships/hyperlink" Target="https://ec.europa.eu/eurostat/databrowser/view/DS-056120__custom_6262207/default/table" TargetMode="External"/><Relationship Id="rId22" Type="http://schemas.openxmlformats.org/officeDocument/2006/relationships/hyperlink" Target="https://ec.europa.eu/eurostat/databrowser/view/DS-056120__custom_6262207/default/table" TargetMode="External"/><Relationship Id="rId64" Type="http://schemas.openxmlformats.org/officeDocument/2006/relationships/hyperlink" Target="https://ec.europa.eu/eurostat/databrowser/view/DS-056120__custom_6262207/default/table" TargetMode="External"/><Relationship Id="rId118" Type="http://schemas.openxmlformats.org/officeDocument/2006/relationships/hyperlink" Target="https://ec.europa.eu/eurostat/databrowser/view/DS-056120__custom_6262207/default/table" TargetMode="External"/><Relationship Id="rId325" Type="http://schemas.openxmlformats.org/officeDocument/2006/relationships/hyperlink" Target="https://ec.europa.eu/eurostat/databrowser/view/DS-056120__custom_6262207/default/table" TargetMode="External"/><Relationship Id="rId367" Type="http://schemas.openxmlformats.org/officeDocument/2006/relationships/hyperlink" Target="https://ec.europa.eu/eurostat/databrowser/view/DS-056120__custom_6262207/default/table" TargetMode="External"/><Relationship Id="rId171" Type="http://schemas.openxmlformats.org/officeDocument/2006/relationships/hyperlink" Target="https://ec.europa.eu/eurostat/databrowser/view/DS-056120__custom_6262207/default/table" TargetMode="External"/><Relationship Id="rId227" Type="http://schemas.openxmlformats.org/officeDocument/2006/relationships/hyperlink" Target="https://ec.europa.eu/eurostat/databrowser/view/DS-056120__custom_6262207/default/table" TargetMode="External"/><Relationship Id="rId269" Type="http://schemas.openxmlformats.org/officeDocument/2006/relationships/hyperlink" Target="https://ec.europa.eu/eurostat/databrowser/view/DS-056120__custom_6262207/default/table" TargetMode="External"/><Relationship Id="rId434" Type="http://schemas.openxmlformats.org/officeDocument/2006/relationships/hyperlink" Target="https://ec.europa.eu/eurostat/databrowser/view/DS-056120__custom_6262207/default/table" TargetMode="External"/><Relationship Id="rId476" Type="http://schemas.openxmlformats.org/officeDocument/2006/relationships/hyperlink" Target="https://ec.europa.eu/eurostat/databrowser/view/DS-056120__custom_6262207/default/table" TargetMode="External"/><Relationship Id="rId33" Type="http://schemas.openxmlformats.org/officeDocument/2006/relationships/hyperlink" Target="https://ec.europa.eu/eurostat/databrowser/view/DS-056120__custom_6262207/default/table" TargetMode="External"/><Relationship Id="rId129" Type="http://schemas.openxmlformats.org/officeDocument/2006/relationships/hyperlink" Target="https://ec.europa.eu/eurostat/databrowser/view/DS-056120__custom_6262207/default/table" TargetMode="External"/><Relationship Id="rId280" Type="http://schemas.openxmlformats.org/officeDocument/2006/relationships/hyperlink" Target="https://ec.europa.eu/eurostat/databrowser/view/DS-056120__custom_6262207/default/table" TargetMode="External"/><Relationship Id="rId336" Type="http://schemas.openxmlformats.org/officeDocument/2006/relationships/hyperlink" Target="https://ec.europa.eu/eurostat/databrowser/view/DS-056120__custom_6262207/default/table" TargetMode="External"/><Relationship Id="rId75" Type="http://schemas.openxmlformats.org/officeDocument/2006/relationships/hyperlink" Target="https://ec.europa.eu/eurostat/databrowser/view/DS-056120__custom_6262207/default/table" TargetMode="External"/><Relationship Id="rId140" Type="http://schemas.openxmlformats.org/officeDocument/2006/relationships/hyperlink" Target="https://ec.europa.eu/eurostat/databrowser/view/DS-056120__custom_6262207/default/table" TargetMode="External"/><Relationship Id="rId182" Type="http://schemas.openxmlformats.org/officeDocument/2006/relationships/hyperlink" Target="https://ec.europa.eu/eurostat/databrowser/view/DS-056120__custom_6262207/default/table" TargetMode="External"/><Relationship Id="rId378" Type="http://schemas.openxmlformats.org/officeDocument/2006/relationships/hyperlink" Target="https://ec.europa.eu/eurostat/databrowser/view/DS-056120__custom_6262207/default/table" TargetMode="External"/><Relationship Id="rId403" Type="http://schemas.openxmlformats.org/officeDocument/2006/relationships/hyperlink" Target="https://ec.europa.eu/eurostat/databrowser/view/DS-056120__custom_6262207/default/table" TargetMode="External"/><Relationship Id="rId6" Type="http://schemas.openxmlformats.org/officeDocument/2006/relationships/hyperlink" Target="https://ec.europa.eu/eurostat/databrowser/view/DS-056120__custom_6262207/default/table" TargetMode="External"/><Relationship Id="rId238" Type="http://schemas.openxmlformats.org/officeDocument/2006/relationships/hyperlink" Target="https://ec.europa.eu/eurostat/databrowser/view/DS-056120__custom_6262207/default/table" TargetMode="External"/><Relationship Id="rId445" Type="http://schemas.openxmlformats.org/officeDocument/2006/relationships/hyperlink" Target="https://ec.europa.eu/eurostat/databrowser/view/DS-056120__custom_6262207/default/table" TargetMode="External"/><Relationship Id="rId487" Type="http://schemas.openxmlformats.org/officeDocument/2006/relationships/hyperlink" Target="https://ec.europa.eu/eurostat/databrowser/view/DS-056120__custom_6262207/default/table" TargetMode="External"/><Relationship Id="rId291" Type="http://schemas.openxmlformats.org/officeDocument/2006/relationships/hyperlink" Target="https://ec.europa.eu/eurostat/databrowser/view/DS-056120__custom_6262207/default/table" TargetMode="External"/><Relationship Id="rId305" Type="http://schemas.openxmlformats.org/officeDocument/2006/relationships/hyperlink" Target="https://ec.europa.eu/eurostat/databrowser/view/DS-056120__custom_6262207/default/table" TargetMode="External"/><Relationship Id="rId347" Type="http://schemas.openxmlformats.org/officeDocument/2006/relationships/hyperlink" Target="https://ec.europa.eu/eurostat/databrowser/view/DS-056120__custom_6262207/default/table" TargetMode="External"/><Relationship Id="rId44" Type="http://schemas.openxmlformats.org/officeDocument/2006/relationships/hyperlink" Target="https://ec.europa.eu/eurostat/databrowser/view/DS-056120__custom_6262207/default/table" TargetMode="External"/><Relationship Id="rId86" Type="http://schemas.openxmlformats.org/officeDocument/2006/relationships/hyperlink" Target="https://ec.europa.eu/eurostat/databrowser/view/DS-056120__custom_6262207/default/table" TargetMode="External"/><Relationship Id="rId151" Type="http://schemas.openxmlformats.org/officeDocument/2006/relationships/hyperlink" Target="https://ec.europa.eu/eurostat/databrowser/view/DS-056120__custom_6262207/default/table" TargetMode="External"/><Relationship Id="rId389" Type="http://schemas.openxmlformats.org/officeDocument/2006/relationships/hyperlink" Target="https://ec.europa.eu/eurostat/databrowser/view/DS-056120__custom_6262207/default/table" TargetMode="External"/><Relationship Id="rId193" Type="http://schemas.openxmlformats.org/officeDocument/2006/relationships/hyperlink" Target="https://ec.europa.eu/eurostat/databrowser/view/DS-056120__custom_6262207/default/table" TargetMode="External"/><Relationship Id="rId207" Type="http://schemas.openxmlformats.org/officeDocument/2006/relationships/hyperlink" Target="https://ec.europa.eu/eurostat/databrowser/view/DS-056120__custom_6262207/default/table" TargetMode="External"/><Relationship Id="rId249" Type="http://schemas.openxmlformats.org/officeDocument/2006/relationships/hyperlink" Target="https://ec.europa.eu/eurostat/databrowser/view/DS-056120__custom_6262207/default/table" TargetMode="External"/><Relationship Id="rId414" Type="http://schemas.openxmlformats.org/officeDocument/2006/relationships/hyperlink" Target="https://ec.europa.eu/eurostat/databrowser/view/DS-056120__custom_6262207/default/table" TargetMode="External"/><Relationship Id="rId456" Type="http://schemas.openxmlformats.org/officeDocument/2006/relationships/hyperlink" Target="https://ec.europa.eu/eurostat/databrowser/view/DS-056120__custom_6262207/default/table" TargetMode="External"/><Relationship Id="rId13" Type="http://schemas.openxmlformats.org/officeDocument/2006/relationships/hyperlink" Target="https://ec.europa.eu/eurostat/databrowser/view/DS-056120__custom_6262207/default/table" TargetMode="External"/><Relationship Id="rId109" Type="http://schemas.openxmlformats.org/officeDocument/2006/relationships/hyperlink" Target="https://ec.europa.eu/eurostat/databrowser/view/DS-056120__custom_6262207/default/table" TargetMode="External"/><Relationship Id="rId260" Type="http://schemas.openxmlformats.org/officeDocument/2006/relationships/hyperlink" Target="https://ec.europa.eu/eurostat/databrowser/view/DS-056120__custom_6262207/default/table" TargetMode="External"/><Relationship Id="rId316" Type="http://schemas.openxmlformats.org/officeDocument/2006/relationships/hyperlink" Target="https://ec.europa.eu/eurostat/databrowser/view/DS-056120__custom_6262207/default/table" TargetMode="External"/><Relationship Id="rId55" Type="http://schemas.openxmlformats.org/officeDocument/2006/relationships/hyperlink" Target="https://ec.europa.eu/eurostat/databrowser/view/DS-056120__custom_6262207/default/table" TargetMode="External"/><Relationship Id="rId97" Type="http://schemas.openxmlformats.org/officeDocument/2006/relationships/hyperlink" Target="https://ec.europa.eu/eurostat/databrowser/view/DS-056120__custom_6262207/default/table" TargetMode="External"/><Relationship Id="rId120" Type="http://schemas.openxmlformats.org/officeDocument/2006/relationships/hyperlink" Target="https://ec.europa.eu/eurostat/databrowser/view/DS-056120__custom_6262207/default/table" TargetMode="External"/><Relationship Id="rId358" Type="http://schemas.openxmlformats.org/officeDocument/2006/relationships/hyperlink" Target="https://ec.europa.eu/eurostat/databrowser/view/DS-056120__custom_6262207/default/table" TargetMode="External"/><Relationship Id="rId162" Type="http://schemas.openxmlformats.org/officeDocument/2006/relationships/hyperlink" Target="https://ec.europa.eu/eurostat/databrowser/view/DS-056120__custom_6262207/default/table" TargetMode="External"/><Relationship Id="rId218" Type="http://schemas.openxmlformats.org/officeDocument/2006/relationships/hyperlink" Target="https://ec.europa.eu/eurostat/databrowser/view/DS-056120__custom_6262207/default/table" TargetMode="External"/><Relationship Id="rId425" Type="http://schemas.openxmlformats.org/officeDocument/2006/relationships/hyperlink" Target="https://ec.europa.eu/eurostat/databrowser/view/DS-056120__custom_6262207/default/table" TargetMode="External"/><Relationship Id="rId467" Type="http://schemas.openxmlformats.org/officeDocument/2006/relationships/hyperlink" Target="https://ec.europa.eu/eurostat/databrowser/view/DS-056120__custom_6262207/default/table" TargetMode="External"/><Relationship Id="rId271" Type="http://schemas.openxmlformats.org/officeDocument/2006/relationships/hyperlink" Target="https://ec.europa.eu/eurostat/databrowser/view/DS-056120__custom_6262207/default/table" TargetMode="External"/><Relationship Id="rId24" Type="http://schemas.openxmlformats.org/officeDocument/2006/relationships/hyperlink" Target="https://ec.europa.eu/eurostat/databrowser/view/DS-056120__custom_6262207/default/table" TargetMode="External"/><Relationship Id="rId66" Type="http://schemas.openxmlformats.org/officeDocument/2006/relationships/hyperlink" Target="https://ec.europa.eu/eurostat/databrowser/view/DS-056120__custom_6262207/default/table" TargetMode="External"/><Relationship Id="rId131" Type="http://schemas.openxmlformats.org/officeDocument/2006/relationships/hyperlink" Target="https://ec.europa.eu/eurostat/databrowser/view/DS-056120__custom_6262207/default/table" TargetMode="External"/><Relationship Id="rId327" Type="http://schemas.openxmlformats.org/officeDocument/2006/relationships/hyperlink" Target="https://ec.europa.eu/eurostat/databrowser/view/DS-056120__custom_6262207/default/table" TargetMode="External"/><Relationship Id="rId369" Type="http://schemas.openxmlformats.org/officeDocument/2006/relationships/hyperlink" Target="https://ec.europa.eu/eurostat/databrowser/view/DS-056120__custom_6262207/default/table" TargetMode="External"/><Relationship Id="rId173" Type="http://schemas.openxmlformats.org/officeDocument/2006/relationships/hyperlink" Target="https://ec.europa.eu/eurostat/databrowser/view/DS-056120__custom_6262207/default/table" TargetMode="External"/><Relationship Id="rId229" Type="http://schemas.openxmlformats.org/officeDocument/2006/relationships/hyperlink" Target="https://ec.europa.eu/eurostat/databrowser/view/DS-056120__custom_6262207/default/table" TargetMode="External"/><Relationship Id="rId380" Type="http://schemas.openxmlformats.org/officeDocument/2006/relationships/hyperlink" Target="https://ec.europa.eu/eurostat/databrowser/view/DS-056120__custom_6262207/default/table" TargetMode="External"/><Relationship Id="rId436" Type="http://schemas.openxmlformats.org/officeDocument/2006/relationships/hyperlink" Target="https://ec.europa.eu/eurostat/databrowser/view/DS-056120__custom_6262207/default/table" TargetMode="External"/><Relationship Id="rId240" Type="http://schemas.openxmlformats.org/officeDocument/2006/relationships/hyperlink" Target="https://ec.europa.eu/eurostat/databrowser/view/DS-056120__custom_6262207/default/table" TargetMode="External"/><Relationship Id="rId478" Type="http://schemas.openxmlformats.org/officeDocument/2006/relationships/hyperlink" Target="https://ec.europa.eu/eurostat/databrowser/view/DS-056120__custom_6262207/default/table" TargetMode="External"/><Relationship Id="rId35" Type="http://schemas.openxmlformats.org/officeDocument/2006/relationships/hyperlink" Target="https://ec.europa.eu/eurostat/databrowser/view/DS-056120__custom_6262207/default/table" TargetMode="External"/><Relationship Id="rId77" Type="http://schemas.openxmlformats.org/officeDocument/2006/relationships/hyperlink" Target="https://ec.europa.eu/eurostat/databrowser/view/DS-056120__custom_6262207/default/table" TargetMode="External"/><Relationship Id="rId100" Type="http://schemas.openxmlformats.org/officeDocument/2006/relationships/hyperlink" Target="https://ec.europa.eu/eurostat/databrowser/view/DS-056120__custom_6262207/default/table" TargetMode="External"/><Relationship Id="rId282" Type="http://schemas.openxmlformats.org/officeDocument/2006/relationships/hyperlink" Target="https://ec.europa.eu/eurostat/databrowser/view/DS-056120__custom_6262207/default/table" TargetMode="External"/><Relationship Id="rId338" Type="http://schemas.openxmlformats.org/officeDocument/2006/relationships/hyperlink" Target="https://ec.europa.eu/eurostat/databrowser/view/DS-056120__custom_6262207/default/table" TargetMode="External"/><Relationship Id="rId8" Type="http://schemas.openxmlformats.org/officeDocument/2006/relationships/hyperlink" Target="https://ec.europa.eu/eurostat/databrowser/view/DS-056120__custom_6262207/default/table" TargetMode="External"/><Relationship Id="rId142" Type="http://schemas.openxmlformats.org/officeDocument/2006/relationships/hyperlink" Target="https://ec.europa.eu/eurostat/databrowser/view/DS-056120__custom_6262207/default/table" TargetMode="External"/><Relationship Id="rId184" Type="http://schemas.openxmlformats.org/officeDocument/2006/relationships/hyperlink" Target="https://ec.europa.eu/eurostat/databrowser/view/DS-056120__custom_6262207/default/table" TargetMode="External"/><Relationship Id="rId391" Type="http://schemas.openxmlformats.org/officeDocument/2006/relationships/hyperlink" Target="https://ec.europa.eu/eurostat/databrowser/view/DS-056120__custom_6262207/default/table" TargetMode="External"/><Relationship Id="rId405" Type="http://schemas.openxmlformats.org/officeDocument/2006/relationships/hyperlink" Target="https://ec.europa.eu/eurostat/databrowser/view/DS-056120__custom_6262207/default/table" TargetMode="External"/><Relationship Id="rId447" Type="http://schemas.openxmlformats.org/officeDocument/2006/relationships/hyperlink" Target="https://ec.europa.eu/eurostat/databrowser/view/DS-056120__custom_6262207/default/table" TargetMode="External"/><Relationship Id="rId251" Type="http://schemas.openxmlformats.org/officeDocument/2006/relationships/hyperlink" Target="https://ec.europa.eu/eurostat/databrowser/view/DS-056120__custom_6262207/default/table" TargetMode="External"/><Relationship Id="rId489" Type="http://schemas.openxmlformats.org/officeDocument/2006/relationships/hyperlink" Target="https://ec.europa.eu/eurostat/databrowser/view/DS-056120__custom_6262207/default/table" TargetMode="External"/><Relationship Id="rId46" Type="http://schemas.openxmlformats.org/officeDocument/2006/relationships/hyperlink" Target="https://ec.europa.eu/eurostat/databrowser/view/DS-056120__custom_6262207/default/table" TargetMode="External"/><Relationship Id="rId293" Type="http://schemas.openxmlformats.org/officeDocument/2006/relationships/hyperlink" Target="https://ec.europa.eu/eurostat/databrowser/view/DS-056120__custom_6262207/default/table" TargetMode="External"/><Relationship Id="rId307" Type="http://schemas.openxmlformats.org/officeDocument/2006/relationships/hyperlink" Target="https://ec.europa.eu/eurostat/databrowser/view/DS-056120__custom_6262207/default/table" TargetMode="External"/><Relationship Id="rId349" Type="http://schemas.openxmlformats.org/officeDocument/2006/relationships/hyperlink" Target="https://ec.europa.eu/eurostat/databrowser/view/DS-056120__custom_6262207/default/table" TargetMode="External"/><Relationship Id="rId88" Type="http://schemas.openxmlformats.org/officeDocument/2006/relationships/hyperlink" Target="https://ec.europa.eu/eurostat/databrowser/view/DS-056120__custom_6262207/default/table" TargetMode="External"/><Relationship Id="rId111" Type="http://schemas.openxmlformats.org/officeDocument/2006/relationships/hyperlink" Target="https://ec.europa.eu/eurostat/databrowser/view/DS-056120__custom_6262207/default/table" TargetMode="External"/><Relationship Id="rId153" Type="http://schemas.openxmlformats.org/officeDocument/2006/relationships/hyperlink" Target="https://ec.europa.eu/eurostat/databrowser/view/DS-056120__custom_6262207/default/table" TargetMode="External"/><Relationship Id="rId195" Type="http://schemas.openxmlformats.org/officeDocument/2006/relationships/hyperlink" Target="https://ec.europa.eu/eurostat/databrowser/view/DS-056120__custom_6262207/default/table" TargetMode="External"/><Relationship Id="rId209" Type="http://schemas.openxmlformats.org/officeDocument/2006/relationships/hyperlink" Target="https://ec.europa.eu/eurostat/databrowser/view/DS-056120__custom_6262207/default/table" TargetMode="External"/><Relationship Id="rId360" Type="http://schemas.openxmlformats.org/officeDocument/2006/relationships/hyperlink" Target="https://ec.europa.eu/eurostat/databrowser/view/DS-056120__custom_6262207/default/table" TargetMode="External"/><Relationship Id="rId416" Type="http://schemas.openxmlformats.org/officeDocument/2006/relationships/hyperlink" Target="https://ec.europa.eu/eurostat/databrowser/view/DS-056120__custom_6262207/default/table" TargetMode="External"/><Relationship Id="rId220" Type="http://schemas.openxmlformats.org/officeDocument/2006/relationships/hyperlink" Target="https://ec.europa.eu/eurostat/databrowser/view/DS-056120__custom_6262207/default/table" TargetMode="External"/><Relationship Id="rId458" Type="http://schemas.openxmlformats.org/officeDocument/2006/relationships/hyperlink" Target="https://ec.europa.eu/eurostat/databrowser/view/DS-056120__custom_6262207/default/table" TargetMode="External"/><Relationship Id="rId15" Type="http://schemas.openxmlformats.org/officeDocument/2006/relationships/hyperlink" Target="https://ec.europa.eu/eurostat/databrowser/view/DS-056120__custom_6262207/default/table" TargetMode="External"/><Relationship Id="rId57" Type="http://schemas.openxmlformats.org/officeDocument/2006/relationships/hyperlink" Target="https://ec.europa.eu/eurostat/databrowser/view/DS-056120__custom_6262207/default/table" TargetMode="External"/><Relationship Id="rId262" Type="http://schemas.openxmlformats.org/officeDocument/2006/relationships/hyperlink" Target="https://ec.europa.eu/eurostat/databrowser/view/DS-056120__custom_6262207/default/table" TargetMode="External"/><Relationship Id="rId318" Type="http://schemas.openxmlformats.org/officeDocument/2006/relationships/hyperlink" Target="https://ec.europa.eu/eurostat/databrowser/view/DS-056120__custom_6262207/default/table" TargetMode="External"/><Relationship Id="rId99" Type="http://schemas.openxmlformats.org/officeDocument/2006/relationships/hyperlink" Target="https://ec.europa.eu/eurostat/databrowser/view/DS-056120__custom_6262207/default/table" TargetMode="External"/><Relationship Id="rId122" Type="http://schemas.openxmlformats.org/officeDocument/2006/relationships/hyperlink" Target="https://ec.europa.eu/eurostat/databrowser/view/DS-056120__custom_6262207/default/table" TargetMode="External"/><Relationship Id="rId164" Type="http://schemas.openxmlformats.org/officeDocument/2006/relationships/hyperlink" Target="https://ec.europa.eu/eurostat/databrowser/view/DS-056120__custom_6262207/default/table" TargetMode="External"/><Relationship Id="rId371" Type="http://schemas.openxmlformats.org/officeDocument/2006/relationships/hyperlink" Target="https://ec.europa.eu/eurostat/databrowser/view/DS-056120__custom_6262207/default/table" TargetMode="External"/><Relationship Id="rId427" Type="http://schemas.openxmlformats.org/officeDocument/2006/relationships/hyperlink" Target="https://ec.europa.eu/eurostat/databrowser/view/DS-056120__custom_6262207/default/table" TargetMode="External"/><Relationship Id="rId469" Type="http://schemas.openxmlformats.org/officeDocument/2006/relationships/hyperlink" Target="https://ec.europa.eu/eurostat/databrowser/view/DS-056120__custom_6262207/default/table" TargetMode="External"/><Relationship Id="rId26" Type="http://schemas.openxmlformats.org/officeDocument/2006/relationships/hyperlink" Target="https://ec.europa.eu/eurostat/databrowser/view/DS-056120__custom_6262207/default/table" TargetMode="External"/><Relationship Id="rId231" Type="http://schemas.openxmlformats.org/officeDocument/2006/relationships/hyperlink" Target="https://ec.europa.eu/eurostat/databrowser/view/DS-056120__custom_6262207/default/table" TargetMode="External"/><Relationship Id="rId273" Type="http://schemas.openxmlformats.org/officeDocument/2006/relationships/hyperlink" Target="https://ec.europa.eu/eurostat/databrowser/view/DS-056120__custom_6262207/default/table" TargetMode="External"/><Relationship Id="rId329" Type="http://schemas.openxmlformats.org/officeDocument/2006/relationships/hyperlink" Target="https://ec.europa.eu/eurostat/databrowser/view/DS-056120__custom_6262207/default/table" TargetMode="External"/><Relationship Id="rId480" Type="http://schemas.openxmlformats.org/officeDocument/2006/relationships/hyperlink" Target="https://ec.europa.eu/eurostat/databrowser/view/DS-056120__custom_6262207/default/table" TargetMode="External"/><Relationship Id="rId68" Type="http://schemas.openxmlformats.org/officeDocument/2006/relationships/hyperlink" Target="https://ec.europa.eu/eurostat/databrowser/view/DS-056120__custom_6262207/default/table" TargetMode="External"/><Relationship Id="rId133" Type="http://schemas.openxmlformats.org/officeDocument/2006/relationships/hyperlink" Target="https://ec.europa.eu/eurostat/databrowser/view/DS-056120__custom_6262207/default/table" TargetMode="External"/><Relationship Id="rId175" Type="http://schemas.openxmlformats.org/officeDocument/2006/relationships/hyperlink" Target="https://ec.europa.eu/eurostat/databrowser/view/DS-056120__custom_6262207/default/table" TargetMode="External"/><Relationship Id="rId340" Type="http://schemas.openxmlformats.org/officeDocument/2006/relationships/hyperlink" Target="https://ec.europa.eu/eurostat/databrowser/view/DS-056120__custom_6262207/default/table" TargetMode="External"/><Relationship Id="rId200" Type="http://schemas.openxmlformats.org/officeDocument/2006/relationships/hyperlink" Target="https://ec.europa.eu/eurostat/databrowser/view/DS-056120__custom_6262207/default/table" TargetMode="External"/><Relationship Id="rId382" Type="http://schemas.openxmlformats.org/officeDocument/2006/relationships/hyperlink" Target="https://ec.europa.eu/eurostat/databrowser/view/DS-056120__custom_6262207/default/table" TargetMode="External"/><Relationship Id="rId438" Type="http://schemas.openxmlformats.org/officeDocument/2006/relationships/hyperlink" Target="https://ec.europa.eu/eurostat/databrowser/view/DS-056120__custom_6262207/default/table" TargetMode="External"/><Relationship Id="rId242" Type="http://schemas.openxmlformats.org/officeDocument/2006/relationships/hyperlink" Target="https://ec.europa.eu/eurostat/databrowser/view/DS-056120__custom_6262207/default/table" TargetMode="External"/><Relationship Id="rId284" Type="http://schemas.openxmlformats.org/officeDocument/2006/relationships/hyperlink" Target="https://ec.europa.eu/eurostat/databrowser/view/DS-056120__custom_6262207/default/table" TargetMode="External"/><Relationship Id="rId491" Type="http://schemas.openxmlformats.org/officeDocument/2006/relationships/hyperlink" Target="https://ec.europa.eu/eurostat/databrowser/view/DS-056120__custom_6262207/default/table" TargetMode="External"/><Relationship Id="rId37" Type="http://schemas.openxmlformats.org/officeDocument/2006/relationships/hyperlink" Target="https://ec.europa.eu/eurostat/databrowser/view/DS-056120__custom_6262207/default/table" TargetMode="External"/><Relationship Id="rId79" Type="http://schemas.openxmlformats.org/officeDocument/2006/relationships/hyperlink" Target="https://ec.europa.eu/eurostat/databrowser/view/DS-056120__custom_6262207/default/table" TargetMode="External"/><Relationship Id="rId102" Type="http://schemas.openxmlformats.org/officeDocument/2006/relationships/hyperlink" Target="https://ec.europa.eu/eurostat/databrowser/view/DS-056120__custom_6262207/default/table" TargetMode="External"/><Relationship Id="rId144" Type="http://schemas.openxmlformats.org/officeDocument/2006/relationships/hyperlink" Target="https://ec.europa.eu/eurostat/databrowser/view/DS-056120__custom_6262207/default/table" TargetMode="External"/><Relationship Id="rId90" Type="http://schemas.openxmlformats.org/officeDocument/2006/relationships/hyperlink" Target="https://ec.europa.eu/eurostat/databrowser/view/DS-056120__custom_6262207/default/table" TargetMode="External"/><Relationship Id="rId186" Type="http://schemas.openxmlformats.org/officeDocument/2006/relationships/hyperlink" Target="https://ec.europa.eu/eurostat/databrowser/view/DS-056120__custom_6262207/default/table" TargetMode="External"/><Relationship Id="rId351" Type="http://schemas.openxmlformats.org/officeDocument/2006/relationships/hyperlink" Target="https://ec.europa.eu/eurostat/databrowser/view/DS-056120__custom_6262207/default/table" TargetMode="External"/><Relationship Id="rId393" Type="http://schemas.openxmlformats.org/officeDocument/2006/relationships/hyperlink" Target="https://ec.europa.eu/eurostat/databrowser/view/DS-056120__custom_6262207/default/table" TargetMode="External"/><Relationship Id="rId407" Type="http://schemas.openxmlformats.org/officeDocument/2006/relationships/hyperlink" Target="https://ec.europa.eu/eurostat/databrowser/view/DS-056120__custom_6262207/default/table" TargetMode="External"/><Relationship Id="rId449" Type="http://schemas.openxmlformats.org/officeDocument/2006/relationships/hyperlink" Target="https://ec.europa.eu/eurostat/databrowser/view/DS-056120__custom_6262207/default/table" TargetMode="External"/><Relationship Id="rId211" Type="http://schemas.openxmlformats.org/officeDocument/2006/relationships/hyperlink" Target="https://ec.europa.eu/eurostat/databrowser/view/DS-056120__custom_6262207/default/table" TargetMode="External"/><Relationship Id="rId253" Type="http://schemas.openxmlformats.org/officeDocument/2006/relationships/hyperlink" Target="https://ec.europa.eu/eurostat/databrowser/view/DS-056120__custom_6262207/default/table" TargetMode="External"/><Relationship Id="rId295" Type="http://schemas.openxmlformats.org/officeDocument/2006/relationships/hyperlink" Target="https://ec.europa.eu/eurostat/databrowser/view/DS-056120__custom_6262207/default/table" TargetMode="External"/><Relationship Id="rId309" Type="http://schemas.openxmlformats.org/officeDocument/2006/relationships/hyperlink" Target="https://ec.europa.eu/eurostat/databrowser/view/DS-056120__custom_6262207/default/table" TargetMode="External"/><Relationship Id="rId460" Type="http://schemas.openxmlformats.org/officeDocument/2006/relationships/hyperlink" Target="https://ec.europa.eu/eurostat/databrowser/view/DS-056120__custom_6262207/default/table" TargetMode="External"/><Relationship Id="rId48" Type="http://schemas.openxmlformats.org/officeDocument/2006/relationships/hyperlink" Target="https://ec.europa.eu/eurostat/databrowser/view/DS-056120__custom_6262207/default/table" TargetMode="External"/><Relationship Id="rId113" Type="http://schemas.openxmlformats.org/officeDocument/2006/relationships/hyperlink" Target="https://ec.europa.eu/eurostat/databrowser/view/DS-056120__custom_6262207/default/table" TargetMode="External"/><Relationship Id="rId320" Type="http://schemas.openxmlformats.org/officeDocument/2006/relationships/hyperlink" Target="https://ec.europa.eu/eurostat/databrowser/view/DS-056120__custom_6262207/default/table" TargetMode="External"/><Relationship Id="rId155" Type="http://schemas.openxmlformats.org/officeDocument/2006/relationships/hyperlink" Target="https://ec.europa.eu/eurostat/databrowser/view/DS-056120__custom_6262207/default/table" TargetMode="External"/><Relationship Id="rId197" Type="http://schemas.openxmlformats.org/officeDocument/2006/relationships/hyperlink" Target="https://ec.europa.eu/eurostat/databrowser/view/DS-056120__custom_6262207/default/table" TargetMode="External"/><Relationship Id="rId362" Type="http://schemas.openxmlformats.org/officeDocument/2006/relationships/hyperlink" Target="https://ec.europa.eu/eurostat/databrowser/view/DS-056120__custom_6262207/default/table" TargetMode="External"/><Relationship Id="rId418" Type="http://schemas.openxmlformats.org/officeDocument/2006/relationships/hyperlink" Target="https://ec.europa.eu/eurostat/databrowser/view/DS-056120__custom_6262207/default/table" TargetMode="External"/><Relationship Id="rId222" Type="http://schemas.openxmlformats.org/officeDocument/2006/relationships/hyperlink" Target="https://ec.europa.eu/eurostat/databrowser/view/DS-056120__custom_6262207/default/table" TargetMode="External"/><Relationship Id="rId264" Type="http://schemas.openxmlformats.org/officeDocument/2006/relationships/hyperlink" Target="https://ec.europa.eu/eurostat/databrowser/view/DS-056120__custom_6262207/default/table" TargetMode="External"/><Relationship Id="rId471" Type="http://schemas.openxmlformats.org/officeDocument/2006/relationships/hyperlink" Target="https://ec.europa.eu/eurostat/databrowser/view/DS-056120__custom_6262207/default/table" TargetMode="External"/><Relationship Id="rId17" Type="http://schemas.openxmlformats.org/officeDocument/2006/relationships/hyperlink" Target="https://ec.europa.eu/eurostat/databrowser/view/DS-056120__custom_6262207/default/table" TargetMode="External"/><Relationship Id="rId59" Type="http://schemas.openxmlformats.org/officeDocument/2006/relationships/hyperlink" Target="https://ec.europa.eu/eurostat/databrowser/view/DS-056120__custom_6262207/default/table" TargetMode="External"/><Relationship Id="rId124" Type="http://schemas.openxmlformats.org/officeDocument/2006/relationships/hyperlink" Target="https://ec.europa.eu/eurostat/databrowser/view/DS-056120__custom_6262207/default/table" TargetMode="External"/><Relationship Id="rId70" Type="http://schemas.openxmlformats.org/officeDocument/2006/relationships/hyperlink" Target="https://ec.europa.eu/eurostat/databrowser/view/DS-056120__custom_6262207/default/table" TargetMode="External"/><Relationship Id="rId166" Type="http://schemas.openxmlformats.org/officeDocument/2006/relationships/hyperlink" Target="https://ec.europa.eu/eurostat/databrowser/view/DS-056120__custom_6262207/default/table" TargetMode="External"/><Relationship Id="rId331" Type="http://schemas.openxmlformats.org/officeDocument/2006/relationships/hyperlink" Target="https://ec.europa.eu/eurostat/databrowser/view/DS-056120__custom_6262207/default/table" TargetMode="External"/><Relationship Id="rId373" Type="http://schemas.openxmlformats.org/officeDocument/2006/relationships/hyperlink" Target="https://ec.europa.eu/eurostat/databrowser/view/DS-056120__custom_6262207/default/table" TargetMode="External"/><Relationship Id="rId429" Type="http://schemas.openxmlformats.org/officeDocument/2006/relationships/hyperlink" Target="https://ec.europa.eu/eurostat/databrowser/view/DS-056120__custom_6262207/default/table" TargetMode="External"/><Relationship Id="rId1" Type="http://schemas.openxmlformats.org/officeDocument/2006/relationships/hyperlink" Target="https://ec.europa.eu/eurostat/databrowser/view/DS-056120__custom_6262207/default/table" TargetMode="External"/><Relationship Id="rId233" Type="http://schemas.openxmlformats.org/officeDocument/2006/relationships/hyperlink" Target="https://ec.europa.eu/eurostat/databrowser/view/DS-056120__custom_6262207/default/table" TargetMode="External"/><Relationship Id="rId440" Type="http://schemas.openxmlformats.org/officeDocument/2006/relationships/hyperlink" Target="https://ec.europa.eu/eurostat/databrowser/view/DS-056120__custom_6262207/default/table" TargetMode="External"/><Relationship Id="rId28" Type="http://schemas.openxmlformats.org/officeDocument/2006/relationships/hyperlink" Target="https://ec.europa.eu/eurostat/databrowser/view/DS-056120__custom_6262207/default/table" TargetMode="External"/><Relationship Id="rId275" Type="http://schemas.openxmlformats.org/officeDocument/2006/relationships/hyperlink" Target="https://ec.europa.eu/eurostat/databrowser/view/DS-056120__custom_6262207/default/table" TargetMode="External"/><Relationship Id="rId300" Type="http://schemas.openxmlformats.org/officeDocument/2006/relationships/hyperlink" Target="https://ec.europa.eu/eurostat/databrowser/view/DS-056120__custom_6262207/default/table" TargetMode="External"/><Relationship Id="rId482" Type="http://schemas.openxmlformats.org/officeDocument/2006/relationships/hyperlink" Target="https://ec.europa.eu/eurostat/databrowser/view/DS-056120__custom_6262207/default/table" TargetMode="External"/><Relationship Id="rId81" Type="http://schemas.openxmlformats.org/officeDocument/2006/relationships/hyperlink" Target="https://ec.europa.eu/eurostat/databrowser/view/DS-056120__custom_6262207/default/table" TargetMode="External"/><Relationship Id="rId135" Type="http://schemas.openxmlformats.org/officeDocument/2006/relationships/hyperlink" Target="https://ec.europa.eu/eurostat/databrowser/view/DS-056120__custom_6262207/default/table" TargetMode="External"/><Relationship Id="rId177" Type="http://schemas.openxmlformats.org/officeDocument/2006/relationships/hyperlink" Target="https://ec.europa.eu/eurostat/databrowser/view/DS-056120__custom_6262207/default/table" TargetMode="External"/><Relationship Id="rId342" Type="http://schemas.openxmlformats.org/officeDocument/2006/relationships/hyperlink" Target="https://ec.europa.eu/eurostat/databrowser/view/DS-056120__custom_6262207/default/table" TargetMode="External"/><Relationship Id="rId384" Type="http://schemas.openxmlformats.org/officeDocument/2006/relationships/hyperlink" Target="https://ec.europa.eu/eurostat/databrowser/view/DS-056120__custom_6262207/default/table" TargetMode="External"/><Relationship Id="rId202" Type="http://schemas.openxmlformats.org/officeDocument/2006/relationships/hyperlink" Target="https://ec.europa.eu/eurostat/databrowser/view/DS-056120__custom_6262207/default/table" TargetMode="External"/><Relationship Id="rId244" Type="http://schemas.openxmlformats.org/officeDocument/2006/relationships/hyperlink" Target="https://ec.europa.eu/eurostat/databrowser/view/DS-056120__custom_6262207/default/table" TargetMode="External"/><Relationship Id="rId39" Type="http://schemas.openxmlformats.org/officeDocument/2006/relationships/hyperlink" Target="https://ec.europa.eu/eurostat/databrowser/view/DS-056120__custom_6262207/default/table" TargetMode="External"/><Relationship Id="rId286" Type="http://schemas.openxmlformats.org/officeDocument/2006/relationships/hyperlink" Target="https://ec.europa.eu/eurostat/databrowser/view/DS-056120__custom_6262207/default/table" TargetMode="External"/><Relationship Id="rId451" Type="http://schemas.openxmlformats.org/officeDocument/2006/relationships/hyperlink" Target="https://ec.europa.eu/eurostat/databrowser/view/DS-056120__custom_6262207/default/table" TargetMode="External"/><Relationship Id="rId493" Type="http://schemas.openxmlformats.org/officeDocument/2006/relationships/hyperlink" Target="https://ec.europa.eu/eurostat/databrowser/view/DS-056120__custom_6262207/default/table" TargetMode="External"/><Relationship Id="rId50" Type="http://schemas.openxmlformats.org/officeDocument/2006/relationships/hyperlink" Target="https://ec.europa.eu/eurostat/databrowser/view/DS-056120__custom_6262207/default/table" TargetMode="External"/><Relationship Id="rId104" Type="http://schemas.openxmlformats.org/officeDocument/2006/relationships/hyperlink" Target="https://ec.europa.eu/eurostat/databrowser/view/DS-056120__custom_6262207/default/table" TargetMode="External"/><Relationship Id="rId146" Type="http://schemas.openxmlformats.org/officeDocument/2006/relationships/hyperlink" Target="https://ec.europa.eu/eurostat/databrowser/view/DS-056120__custom_6262207/default/table" TargetMode="External"/><Relationship Id="rId188" Type="http://schemas.openxmlformats.org/officeDocument/2006/relationships/hyperlink" Target="https://ec.europa.eu/eurostat/databrowser/view/DS-056120__custom_6262207/default/table" TargetMode="External"/><Relationship Id="rId311" Type="http://schemas.openxmlformats.org/officeDocument/2006/relationships/hyperlink" Target="https://ec.europa.eu/eurostat/databrowser/view/DS-056120__custom_6262207/default/table" TargetMode="External"/><Relationship Id="rId353" Type="http://schemas.openxmlformats.org/officeDocument/2006/relationships/hyperlink" Target="https://ec.europa.eu/eurostat/databrowser/view/DS-056120__custom_6262207/default/table" TargetMode="External"/><Relationship Id="rId395" Type="http://schemas.openxmlformats.org/officeDocument/2006/relationships/hyperlink" Target="https://ec.europa.eu/eurostat/databrowser/view/DS-056120__custom_6262207/default/table" TargetMode="External"/><Relationship Id="rId409" Type="http://schemas.openxmlformats.org/officeDocument/2006/relationships/hyperlink" Target="https://ec.europa.eu/eurostat/databrowser/view/DS-056120__custom_6262207/default/table" TargetMode="External"/><Relationship Id="rId92" Type="http://schemas.openxmlformats.org/officeDocument/2006/relationships/hyperlink" Target="https://ec.europa.eu/eurostat/databrowser/view/DS-056120__custom_6262207/default/table" TargetMode="External"/><Relationship Id="rId213" Type="http://schemas.openxmlformats.org/officeDocument/2006/relationships/hyperlink" Target="https://ec.europa.eu/eurostat/databrowser/view/DS-056120__custom_6262207/default/table" TargetMode="External"/><Relationship Id="rId420" Type="http://schemas.openxmlformats.org/officeDocument/2006/relationships/hyperlink" Target="https://ec.europa.eu/eurostat/databrowser/view/DS-056120__custom_6262207/default/table" TargetMode="External"/><Relationship Id="rId255" Type="http://schemas.openxmlformats.org/officeDocument/2006/relationships/hyperlink" Target="https://ec.europa.eu/eurostat/databrowser/view/DS-056120__custom_6262207/default/table" TargetMode="External"/><Relationship Id="rId297" Type="http://schemas.openxmlformats.org/officeDocument/2006/relationships/hyperlink" Target="https://ec.europa.eu/eurostat/databrowser/view/DS-056120__custom_6262207/default/table" TargetMode="External"/><Relationship Id="rId462" Type="http://schemas.openxmlformats.org/officeDocument/2006/relationships/hyperlink" Target="https://ec.europa.eu/eurostat/databrowser/view/DS-056120__custom_6262207/default/table" TargetMode="External"/><Relationship Id="rId115" Type="http://schemas.openxmlformats.org/officeDocument/2006/relationships/hyperlink" Target="https://ec.europa.eu/eurostat/databrowser/view/DS-056120__custom_6262207/default/table" TargetMode="External"/><Relationship Id="rId157" Type="http://schemas.openxmlformats.org/officeDocument/2006/relationships/hyperlink" Target="https://ec.europa.eu/eurostat/databrowser/view/DS-056120__custom_6262207/default/table" TargetMode="External"/><Relationship Id="rId322" Type="http://schemas.openxmlformats.org/officeDocument/2006/relationships/hyperlink" Target="https://ec.europa.eu/eurostat/databrowser/view/DS-056120__custom_6262207/default/table" TargetMode="External"/><Relationship Id="rId364" Type="http://schemas.openxmlformats.org/officeDocument/2006/relationships/hyperlink" Target="https://ec.europa.eu/eurostat/databrowser/view/DS-056120__custom_6262207/default/table" TargetMode="External"/><Relationship Id="rId61" Type="http://schemas.openxmlformats.org/officeDocument/2006/relationships/hyperlink" Target="https://ec.europa.eu/eurostat/databrowser/view/DS-056120__custom_6262207/default/table" TargetMode="External"/><Relationship Id="rId199" Type="http://schemas.openxmlformats.org/officeDocument/2006/relationships/hyperlink" Target="https://ec.europa.eu/eurostat/databrowser/view/DS-056120__custom_6262207/default/table" TargetMode="External"/><Relationship Id="rId19" Type="http://schemas.openxmlformats.org/officeDocument/2006/relationships/hyperlink" Target="https://ec.europa.eu/eurostat/databrowser/view/DS-056120__custom_6262207/default/table" TargetMode="External"/><Relationship Id="rId224" Type="http://schemas.openxmlformats.org/officeDocument/2006/relationships/hyperlink" Target="https://ec.europa.eu/eurostat/databrowser/view/DS-056120__custom_6262207/default/table" TargetMode="External"/><Relationship Id="rId266" Type="http://schemas.openxmlformats.org/officeDocument/2006/relationships/hyperlink" Target="https://ec.europa.eu/eurostat/databrowser/view/DS-056120__custom_6262207/default/table" TargetMode="External"/><Relationship Id="rId431" Type="http://schemas.openxmlformats.org/officeDocument/2006/relationships/hyperlink" Target="https://ec.europa.eu/eurostat/databrowser/view/DS-056120__custom_6262207/default/table" TargetMode="External"/><Relationship Id="rId473" Type="http://schemas.openxmlformats.org/officeDocument/2006/relationships/hyperlink" Target="https://ec.europa.eu/eurostat/databrowser/view/DS-056120__custom_6262207/default/table" TargetMode="External"/><Relationship Id="rId30" Type="http://schemas.openxmlformats.org/officeDocument/2006/relationships/hyperlink" Target="https://ec.europa.eu/eurostat/databrowser/view/DS-056120__custom_6262207/default/table" TargetMode="External"/><Relationship Id="rId126" Type="http://schemas.openxmlformats.org/officeDocument/2006/relationships/hyperlink" Target="https://ec.europa.eu/eurostat/databrowser/view/DS-056120__custom_6262207/default/table" TargetMode="External"/><Relationship Id="rId168" Type="http://schemas.openxmlformats.org/officeDocument/2006/relationships/hyperlink" Target="https://ec.europa.eu/eurostat/databrowser/view/DS-056120__custom_6262207/default/table" TargetMode="External"/><Relationship Id="rId333" Type="http://schemas.openxmlformats.org/officeDocument/2006/relationships/hyperlink" Target="https://ec.europa.eu/eurostat/databrowser/view/DS-056120__custom_6262207/default/table" TargetMode="External"/><Relationship Id="rId72" Type="http://schemas.openxmlformats.org/officeDocument/2006/relationships/hyperlink" Target="https://ec.europa.eu/eurostat/databrowser/view/DS-056120__custom_6262207/default/table" TargetMode="External"/><Relationship Id="rId375" Type="http://schemas.openxmlformats.org/officeDocument/2006/relationships/hyperlink" Target="https://ec.europa.eu/eurostat/databrowser/view/DS-056120__custom_6262207/default/table" TargetMode="External"/><Relationship Id="rId3" Type="http://schemas.openxmlformats.org/officeDocument/2006/relationships/hyperlink" Target="https://ec.europa.eu/eurostat/databrowser/view/DS-056120__custom_6262207/default/table" TargetMode="External"/><Relationship Id="rId235" Type="http://schemas.openxmlformats.org/officeDocument/2006/relationships/hyperlink" Target="https://ec.europa.eu/eurostat/databrowser/view/DS-056120__custom_6262207/default/table" TargetMode="External"/><Relationship Id="rId277" Type="http://schemas.openxmlformats.org/officeDocument/2006/relationships/hyperlink" Target="https://ec.europa.eu/eurostat/databrowser/view/DS-056120__custom_6262207/default/table" TargetMode="External"/><Relationship Id="rId400" Type="http://schemas.openxmlformats.org/officeDocument/2006/relationships/hyperlink" Target="https://ec.europa.eu/eurostat/databrowser/view/DS-056120__custom_6262207/default/table" TargetMode="External"/><Relationship Id="rId442" Type="http://schemas.openxmlformats.org/officeDocument/2006/relationships/hyperlink" Target="https://ec.europa.eu/eurostat/databrowser/view/DS-056120__custom_6262207/default/table" TargetMode="External"/><Relationship Id="rId484" Type="http://schemas.openxmlformats.org/officeDocument/2006/relationships/hyperlink" Target="https://ec.europa.eu/eurostat/databrowser/view/DS-056120__custom_6262207/default/table" TargetMode="External"/><Relationship Id="rId137" Type="http://schemas.openxmlformats.org/officeDocument/2006/relationships/hyperlink" Target="https://ec.europa.eu/eurostat/databrowser/view/DS-056120__custom_6262207/default/table" TargetMode="External"/><Relationship Id="rId302" Type="http://schemas.openxmlformats.org/officeDocument/2006/relationships/hyperlink" Target="https://ec.europa.eu/eurostat/databrowser/view/DS-056120__custom_6262207/default/table" TargetMode="External"/><Relationship Id="rId344" Type="http://schemas.openxmlformats.org/officeDocument/2006/relationships/hyperlink" Target="https://ec.europa.eu/eurostat/databrowser/view/DS-056120__custom_6262207/default/table" TargetMode="External"/><Relationship Id="rId41" Type="http://schemas.openxmlformats.org/officeDocument/2006/relationships/hyperlink" Target="https://ec.europa.eu/eurostat/databrowser/view/DS-056120__custom_6262207/default/table" TargetMode="External"/><Relationship Id="rId83" Type="http://schemas.openxmlformats.org/officeDocument/2006/relationships/hyperlink" Target="https://ec.europa.eu/eurostat/databrowser/view/DS-056120__custom_6262207/default/table" TargetMode="External"/><Relationship Id="rId179" Type="http://schemas.openxmlformats.org/officeDocument/2006/relationships/hyperlink" Target="https://ec.europa.eu/eurostat/databrowser/view/DS-056120__custom_6262207/default/table" TargetMode="External"/><Relationship Id="rId386" Type="http://schemas.openxmlformats.org/officeDocument/2006/relationships/hyperlink" Target="https://ec.europa.eu/eurostat/databrowser/view/DS-056120__custom_6262207/default/table" TargetMode="External"/><Relationship Id="rId190" Type="http://schemas.openxmlformats.org/officeDocument/2006/relationships/hyperlink" Target="https://ec.europa.eu/eurostat/databrowser/view/DS-056120__custom_6262207/default/table" TargetMode="External"/><Relationship Id="rId204" Type="http://schemas.openxmlformats.org/officeDocument/2006/relationships/hyperlink" Target="https://ec.europa.eu/eurostat/databrowser/view/DS-056120__custom_6262207/default/table" TargetMode="External"/><Relationship Id="rId246" Type="http://schemas.openxmlformats.org/officeDocument/2006/relationships/hyperlink" Target="https://ec.europa.eu/eurostat/databrowser/view/DS-056120__custom_6262207/default/table" TargetMode="External"/><Relationship Id="rId288" Type="http://schemas.openxmlformats.org/officeDocument/2006/relationships/hyperlink" Target="https://ec.europa.eu/eurostat/databrowser/view/DS-056120__custom_6262207/default/table" TargetMode="External"/><Relationship Id="rId411" Type="http://schemas.openxmlformats.org/officeDocument/2006/relationships/hyperlink" Target="https://ec.europa.eu/eurostat/databrowser/view/DS-056120__custom_6262207/default/table" TargetMode="External"/><Relationship Id="rId453" Type="http://schemas.openxmlformats.org/officeDocument/2006/relationships/hyperlink" Target="https://ec.europa.eu/eurostat/databrowser/view/DS-056120__custom_6262207/default/tabl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ec.europa.eu/eurostat/databrowser/view/DS-056120__custom_5851448/default/table" TargetMode="External"/><Relationship Id="rId3" Type="http://schemas.openxmlformats.org/officeDocument/2006/relationships/hyperlink" Target="https://doi.org/10.1016/j.resconrec.2023.107389" TargetMode="External"/><Relationship Id="rId7"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5851448/default/table" TargetMode="External"/><Relationship Id="rId1" Type="http://schemas.openxmlformats.org/officeDocument/2006/relationships/hyperlink" Target="https://ec.europa.eu/eurostat/databrowser/view/DS-056120__custom_6262207/default/table" TargetMode="External"/><Relationship Id="rId6" Type="http://schemas.openxmlformats.org/officeDocument/2006/relationships/hyperlink" Target="https://doi.org/10.1016/j.resconrec.2023.107389" TargetMode="External"/><Relationship Id="rId5" Type="http://schemas.openxmlformats.org/officeDocument/2006/relationships/hyperlink" Target="https://doi.org/10.1016/j.resconrec.2023.107389" TargetMode="External"/><Relationship Id="rId10" Type="http://schemas.microsoft.com/office/2019/04/relationships/namedSheetView" Target="../namedSheetViews/namedSheetView3.xml"/><Relationship Id="rId4" Type="http://schemas.openxmlformats.org/officeDocument/2006/relationships/hyperlink" Target="https://doi.org/10.1016/j.resconrec.2023.107389" TargetMode="External"/><Relationship Id="rId9"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17" Type="http://schemas.openxmlformats.org/officeDocument/2006/relationships/hyperlink" Target="https://ec.europa.eu/eurostat/databrowser/view/DS-056120__custom_6262207/default/table" TargetMode="External"/><Relationship Id="rId21" Type="http://schemas.openxmlformats.org/officeDocument/2006/relationships/hyperlink" Target="https://ec.europa.eu/eurostat/databrowser/view/DS-056120__custom_6262207/default/table" TargetMode="External"/><Relationship Id="rId42" Type="http://schemas.openxmlformats.org/officeDocument/2006/relationships/hyperlink" Target="https://ec.europa.eu/eurostat/databrowser/view/DS-056120__custom_6262207/default/table" TargetMode="External"/><Relationship Id="rId63" Type="http://schemas.openxmlformats.org/officeDocument/2006/relationships/hyperlink" Target="https://ec.europa.eu/eurostat/databrowser/view/DS-056120__custom_6262207/default/table" TargetMode="External"/><Relationship Id="rId84" Type="http://schemas.openxmlformats.org/officeDocument/2006/relationships/hyperlink" Target="https://ec.europa.eu/eurostat/databrowser/view/DS-056120__custom_6262207/default/table" TargetMode="External"/><Relationship Id="rId138" Type="http://schemas.openxmlformats.org/officeDocument/2006/relationships/hyperlink" Target="https://ec.europa.eu/eurostat/databrowser/view/DS-056120__custom_6262207/default/table" TargetMode="External"/><Relationship Id="rId159" Type="http://schemas.openxmlformats.org/officeDocument/2006/relationships/hyperlink" Target="https://ec.europa.eu/eurostat/databrowser/view/DS-056120__custom_6262207/default/table" TargetMode="External"/><Relationship Id="rId170" Type="http://schemas.openxmlformats.org/officeDocument/2006/relationships/hyperlink" Target="https://ec.europa.eu/eurostat/databrowser/view/DS-056120__custom_6262207/default/table" TargetMode="External"/><Relationship Id="rId191" Type="http://schemas.openxmlformats.org/officeDocument/2006/relationships/hyperlink" Target="https://ec.europa.eu/eurostat/databrowser/view/DS-056120__custom_6262207/default/table" TargetMode="External"/><Relationship Id="rId205" Type="http://schemas.openxmlformats.org/officeDocument/2006/relationships/hyperlink" Target="https://ec.europa.eu/eurostat/databrowser/view/DS-056120__custom_6262207/default/table" TargetMode="External"/><Relationship Id="rId226" Type="http://schemas.openxmlformats.org/officeDocument/2006/relationships/hyperlink" Target="https://ec.europa.eu/eurostat/databrowser/view/DS-056120__custom_6262207/default/table" TargetMode="External"/><Relationship Id="rId247" Type="http://schemas.openxmlformats.org/officeDocument/2006/relationships/hyperlink" Target="https://ec.europa.eu/eurostat/databrowser/view/DS-056120__custom_6262207/default/table" TargetMode="External"/><Relationship Id="rId107" Type="http://schemas.openxmlformats.org/officeDocument/2006/relationships/hyperlink" Target="https://ec.europa.eu/eurostat/databrowser/view/DS-056120__custom_6262207/default/table" TargetMode="External"/><Relationship Id="rId11" Type="http://schemas.openxmlformats.org/officeDocument/2006/relationships/hyperlink" Target="https://ec.europa.eu/eurostat/databrowser/view/DS-056120__custom_6262207/default/table" TargetMode="External"/><Relationship Id="rId32" Type="http://schemas.openxmlformats.org/officeDocument/2006/relationships/hyperlink" Target="https://ec.europa.eu/eurostat/databrowser/view/DS-056120__custom_6262207/default/table" TargetMode="External"/><Relationship Id="rId53" Type="http://schemas.openxmlformats.org/officeDocument/2006/relationships/hyperlink" Target="https://ec.europa.eu/eurostat/databrowser/view/DS-056120__custom_6262207/default/table" TargetMode="External"/><Relationship Id="rId74" Type="http://schemas.openxmlformats.org/officeDocument/2006/relationships/hyperlink" Target="https://ec.europa.eu/eurostat/databrowser/view/DS-056120__custom_6262207/default/table" TargetMode="External"/><Relationship Id="rId128" Type="http://schemas.openxmlformats.org/officeDocument/2006/relationships/hyperlink" Target="https://ec.europa.eu/eurostat/databrowser/view/DS-056120__custom_6262207/default/table" TargetMode="External"/><Relationship Id="rId149" Type="http://schemas.openxmlformats.org/officeDocument/2006/relationships/hyperlink" Target="https://ec.europa.eu/eurostat/databrowser/view/DS-056120__custom_6262207/default/table" TargetMode="External"/><Relationship Id="rId5" Type="http://schemas.openxmlformats.org/officeDocument/2006/relationships/hyperlink" Target="https://ec.europa.eu/eurostat/databrowser/view/DS-056120__custom_6262207/default/table" TargetMode="External"/><Relationship Id="rId95" Type="http://schemas.openxmlformats.org/officeDocument/2006/relationships/hyperlink" Target="https://ec.europa.eu/eurostat/databrowser/view/DS-056120__custom_6262207/default/table" TargetMode="External"/><Relationship Id="rId160" Type="http://schemas.openxmlformats.org/officeDocument/2006/relationships/hyperlink" Target="https://ec.europa.eu/eurostat/databrowser/view/DS-056120__custom_6262207/default/table" TargetMode="External"/><Relationship Id="rId181" Type="http://schemas.openxmlformats.org/officeDocument/2006/relationships/hyperlink" Target="https://ec.europa.eu/eurostat/databrowser/view/DS-056120__custom_6262207/default/table" TargetMode="External"/><Relationship Id="rId216" Type="http://schemas.openxmlformats.org/officeDocument/2006/relationships/hyperlink" Target="https://ec.europa.eu/eurostat/databrowser/view/DS-056120__custom_6262207/default/table" TargetMode="External"/><Relationship Id="rId237" Type="http://schemas.openxmlformats.org/officeDocument/2006/relationships/hyperlink" Target="https://ec.europa.eu/eurostat/databrowser/view/DS-056120__custom_6262207/default/table" TargetMode="External"/><Relationship Id="rId22" Type="http://schemas.openxmlformats.org/officeDocument/2006/relationships/hyperlink" Target="https://ec.europa.eu/eurostat/databrowser/view/DS-056120__custom_6262207/default/table" TargetMode="External"/><Relationship Id="rId43" Type="http://schemas.openxmlformats.org/officeDocument/2006/relationships/hyperlink" Target="https://ec.europa.eu/eurostat/databrowser/view/DS-056120__custom_6262207/default/table" TargetMode="External"/><Relationship Id="rId64" Type="http://schemas.openxmlformats.org/officeDocument/2006/relationships/hyperlink" Target="https://ec.europa.eu/eurostat/databrowser/view/DS-056120__custom_6262207/default/table" TargetMode="External"/><Relationship Id="rId118" Type="http://schemas.openxmlformats.org/officeDocument/2006/relationships/hyperlink" Target="https://ec.europa.eu/eurostat/databrowser/view/DS-056120__custom_6262207/default/table" TargetMode="External"/><Relationship Id="rId139" Type="http://schemas.openxmlformats.org/officeDocument/2006/relationships/hyperlink" Target="https://ec.europa.eu/eurostat/databrowser/view/DS-056120__custom_6262207/default/table" TargetMode="External"/><Relationship Id="rId85" Type="http://schemas.openxmlformats.org/officeDocument/2006/relationships/hyperlink" Target="https://ec.europa.eu/eurostat/databrowser/view/DS-056120__custom_6262207/default/table" TargetMode="External"/><Relationship Id="rId150" Type="http://schemas.openxmlformats.org/officeDocument/2006/relationships/hyperlink" Target="https://ec.europa.eu/eurostat/databrowser/view/DS-056120__custom_6262207/default/table" TargetMode="External"/><Relationship Id="rId171" Type="http://schemas.openxmlformats.org/officeDocument/2006/relationships/hyperlink" Target="https://ec.europa.eu/eurostat/databrowser/view/DS-056120__custom_6262207/default/table" TargetMode="External"/><Relationship Id="rId192" Type="http://schemas.openxmlformats.org/officeDocument/2006/relationships/hyperlink" Target="https://ec.europa.eu/eurostat/databrowser/view/DS-056120__custom_6262207/default/table" TargetMode="External"/><Relationship Id="rId206" Type="http://schemas.openxmlformats.org/officeDocument/2006/relationships/hyperlink" Target="https://ec.europa.eu/eurostat/databrowser/view/DS-056120__custom_6262207/default/table" TargetMode="External"/><Relationship Id="rId227" Type="http://schemas.openxmlformats.org/officeDocument/2006/relationships/hyperlink" Target="https://ec.europa.eu/eurostat/databrowser/view/DS-056120__custom_6262207/default/table" TargetMode="External"/><Relationship Id="rId248" Type="http://schemas.openxmlformats.org/officeDocument/2006/relationships/printerSettings" Target="../printerSettings/printerSettings7.bin"/><Relationship Id="rId12" Type="http://schemas.openxmlformats.org/officeDocument/2006/relationships/hyperlink" Target="https://ec.europa.eu/eurostat/databrowser/view/DS-056120__custom_6262207/default/table" TargetMode="External"/><Relationship Id="rId33" Type="http://schemas.openxmlformats.org/officeDocument/2006/relationships/hyperlink" Target="https://ec.europa.eu/eurostat/databrowser/view/DS-056120__custom_6262207/default/table" TargetMode="External"/><Relationship Id="rId108" Type="http://schemas.openxmlformats.org/officeDocument/2006/relationships/hyperlink" Target="https://ec.europa.eu/eurostat/databrowser/view/DS-056120__custom_6262207/default/table" TargetMode="External"/><Relationship Id="rId129" Type="http://schemas.openxmlformats.org/officeDocument/2006/relationships/hyperlink" Target="https://ec.europa.eu/eurostat/databrowser/view/DS-056120__custom_6262207/default/table" TargetMode="External"/><Relationship Id="rId54" Type="http://schemas.openxmlformats.org/officeDocument/2006/relationships/hyperlink" Target="https://ec.europa.eu/eurostat/databrowser/view/DS-056120__custom_6262207/default/table" TargetMode="External"/><Relationship Id="rId75" Type="http://schemas.openxmlformats.org/officeDocument/2006/relationships/hyperlink" Target="https://ec.europa.eu/eurostat/databrowser/view/DS-056120__custom_6262207/default/table" TargetMode="External"/><Relationship Id="rId96" Type="http://schemas.openxmlformats.org/officeDocument/2006/relationships/hyperlink" Target="https://ec.europa.eu/eurostat/databrowser/view/DS-056120__custom_6262207/default/table" TargetMode="External"/><Relationship Id="rId140" Type="http://schemas.openxmlformats.org/officeDocument/2006/relationships/hyperlink" Target="https://ec.europa.eu/eurostat/databrowser/view/DS-056120__custom_6262207/default/table" TargetMode="External"/><Relationship Id="rId161" Type="http://schemas.openxmlformats.org/officeDocument/2006/relationships/hyperlink" Target="https://ec.europa.eu/eurostat/databrowser/view/DS-056120__custom_6262207/default/table" TargetMode="External"/><Relationship Id="rId182" Type="http://schemas.openxmlformats.org/officeDocument/2006/relationships/hyperlink" Target="https://ec.europa.eu/eurostat/databrowser/view/DS-056120__custom_6262207/default/table" TargetMode="External"/><Relationship Id="rId217" Type="http://schemas.openxmlformats.org/officeDocument/2006/relationships/hyperlink" Target="https://ec.europa.eu/eurostat/databrowser/view/DS-056120__custom_6262207/default/table" TargetMode="External"/><Relationship Id="rId6" Type="http://schemas.openxmlformats.org/officeDocument/2006/relationships/hyperlink" Target="https://ec.europa.eu/eurostat/databrowser/view/DS-056120__custom_6262207/default/table" TargetMode="External"/><Relationship Id="rId238" Type="http://schemas.openxmlformats.org/officeDocument/2006/relationships/hyperlink" Target="https://ec.europa.eu/eurostat/databrowser/view/DS-056120__custom_6262207/default/table" TargetMode="External"/><Relationship Id="rId23" Type="http://schemas.openxmlformats.org/officeDocument/2006/relationships/hyperlink" Target="https://ec.europa.eu/eurostat/databrowser/view/DS-056120__custom_6262207/default/table" TargetMode="External"/><Relationship Id="rId119" Type="http://schemas.openxmlformats.org/officeDocument/2006/relationships/hyperlink" Target="https://ec.europa.eu/eurostat/databrowser/view/DS-056120__custom_6262207/default/table" TargetMode="External"/><Relationship Id="rId44" Type="http://schemas.openxmlformats.org/officeDocument/2006/relationships/hyperlink" Target="https://ec.europa.eu/eurostat/databrowser/view/DS-056120__custom_6262207/default/table" TargetMode="External"/><Relationship Id="rId65" Type="http://schemas.openxmlformats.org/officeDocument/2006/relationships/hyperlink" Target="https://ec.europa.eu/eurostat/databrowser/view/DS-056120__custom_6262207/default/table" TargetMode="External"/><Relationship Id="rId86" Type="http://schemas.openxmlformats.org/officeDocument/2006/relationships/hyperlink" Target="https://ec.europa.eu/eurostat/databrowser/view/DS-056120__custom_6262207/default/table" TargetMode="External"/><Relationship Id="rId130" Type="http://schemas.openxmlformats.org/officeDocument/2006/relationships/hyperlink" Target="https://ec.europa.eu/eurostat/databrowser/view/DS-056120__custom_6262207/default/table" TargetMode="External"/><Relationship Id="rId151" Type="http://schemas.openxmlformats.org/officeDocument/2006/relationships/hyperlink" Target="https://ec.europa.eu/eurostat/databrowser/view/DS-056120__custom_6262207/default/table" TargetMode="External"/><Relationship Id="rId172" Type="http://schemas.openxmlformats.org/officeDocument/2006/relationships/hyperlink" Target="https://ec.europa.eu/eurostat/databrowser/view/DS-056120__custom_6262207/default/table" TargetMode="External"/><Relationship Id="rId193" Type="http://schemas.openxmlformats.org/officeDocument/2006/relationships/hyperlink" Target="https://ec.europa.eu/eurostat/databrowser/view/DS-056120__custom_6262207/default/table" TargetMode="External"/><Relationship Id="rId207" Type="http://schemas.openxmlformats.org/officeDocument/2006/relationships/hyperlink" Target="https://ec.europa.eu/eurostat/databrowser/view/DS-056120__custom_6262207/default/table" TargetMode="External"/><Relationship Id="rId228" Type="http://schemas.openxmlformats.org/officeDocument/2006/relationships/hyperlink" Target="https://ec.europa.eu/eurostat/databrowser/view/DS-056120__custom_6262207/default/table" TargetMode="External"/><Relationship Id="rId13" Type="http://schemas.openxmlformats.org/officeDocument/2006/relationships/hyperlink" Target="https://ec.europa.eu/eurostat/databrowser/view/DS-056120__custom_6262207/default/table" TargetMode="External"/><Relationship Id="rId109" Type="http://schemas.openxmlformats.org/officeDocument/2006/relationships/hyperlink" Target="https://ec.europa.eu/eurostat/databrowser/view/DS-056120__custom_6262207/default/table" TargetMode="External"/><Relationship Id="rId34" Type="http://schemas.openxmlformats.org/officeDocument/2006/relationships/hyperlink" Target="https://ec.europa.eu/eurostat/databrowser/view/DS-056120__custom_6262207/default/table" TargetMode="External"/><Relationship Id="rId55" Type="http://schemas.openxmlformats.org/officeDocument/2006/relationships/hyperlink" Target="https://ec.europa.eu/eurostat/databrowser/view/DS-056120__custom_6262207/default/table" TargetMode="External"/><Relationship Id="rId76" Type="http://schemas.openxmlformats.org/officeDocument/2006/relationships/hyperlink" Target="https://ec.europa.eu/eurostat/databrowser/view/DS-056120__custom_6262207/default/table" TargetMode="External"/><Relationship Id="rId97" Type="http://schemas.openxmlformats.org/officeDocument/2006/relationships/hyperlink" Target="https://ec.europa.eu/eurostat/databrowser/view/DS-056120__custom_6262207/default/table" TargetMode="External"/><Relationship Id="rId120" Type="http://schemas.openxmlformats.org/officeDocument/2006/relationships/hyperlink" Target="https://ec.europa.eu/eurostat/databrowser/view/DS-056120__custom_6262207/default/table" TargetMode="External"/><Relationship Id="rId141" Type="http://schemas.openxmlformats.org/officeDocument/2006/relationships/hyperlink" Target="https://ec.europa.eu/eurostat/databrowser/view/DS-056120__custom_6262207/default/table" TargetMode="External"/><Relationship Id="rId7" Type="http://schemas.openxmlformats.org/officeDocument/2006/relationships/hyperlink" Target="https://ec.europa.eu/eurostat/databrowser/view/DS-056120__custom_6262207/default/table" TargetMode="External"/><Relationship Id="rId162" Type="http://schemas.openxmlformats.org/officeDocument/2006/relationships/hyperlink" Target="https://ec.europa.eu/eurostat/databrowser/view/DS-056120__custom_6262207/default/table" TargetMode="External"/><Relationship Id="rId183" Type="http://schemas.openxmlformats.org/officeDocument/2006/relationships/hyperlink" Target="https://ec.europa.eu/eurostat/databrowser/view/DS-056120__custom_6262207/default/table" TargetMode="External"/><Relationship Id="rId218" Type="http://schemas.openxmlformats.org/officeDocument/2006/relationships/hyperlink" Target="https://ec.europa.eu/eurostat/databrowser/view/DS-056120__custom_6262207/default/table" TargetMode="External"/><Relationship Id="rId239" Type="http://schemas.openxmlformats.org/officeDocument/2006/relationships/hyperlink" Target="https://ec.europa.eu/eurostat/databrowser/view/DS-056120__custom_6262207/default/table" TargetMode="External"/><Relationship Id="rId24" Type="http://schemas.openxmlformats.org/officeDocument/2006/relationships/hyperlink" Target="https://ec.europa.eu/eurostat/databrowser/view/DS-056120__custom_6262207/default/table" TargetMode="External"/><Relationship Id="rId45" Type="http://schemas.openxmlformats.org/officeDocument/2006/relationships/hyperlink" Target="https://ec.europa.eu/eurostat/databrowser/view/DS-056120__custom_6262207/default/table" TargetMode="External"/><Relationship Id="rId66" Type="http://schemas.openxmlformats.org/officeDocument/2006/relationships/hyperlink" Target="https://ec.europa.eu/eurostat/databrowser/view/DS-056120__custom_6262207/default/table" TargetMode="External"/><Relationship Id="rId87" Type="http://schemas.openxmlformats.org/officeDocument/2006/relationships/hyperlink" Target="https://ec.europa.eu/eurostat/databrowser/view/DS-056120__custom_6262207/default/table" TargetMode="External"/><Relationship Id="rId110" Type="http://schemas.openxmlformats.org/officeDocument/2006/relationships/hyperlink" Target="https://ec.europa.eu/eurostat/databrowser/view/DS-056120__custom_6262207/default/table" TargetMode="External"/><Relationship Id="rId131" Type="http://schemas.openxmlformats.org/officeDocument/2006/relationships/hyperlink" Target="https://ec.europa.eu/eurostat/databrowser/view/DS-056120__custom_6262207/default/table" TargetMode="External"/><Relationship Id="rId152" Type="http://schemas.openxmlformats.org/officeDocument/2006/relationships/hyperlink" Target="https://ec.europa.eu/eurostat/databrowser/view/DS-056120__custom_6262207/default/table" TargetMode="External"/><Relationship Id="rId173" Type="http://schemas.openxmlformats.org/officeDocument/2006/relationships/hyperlink" Target="https://ec.europa.eu/eurostat/databrowser/view/DS-056120__custom_6262207/default/table" TargetMode="External"/><Relationship Id="rId194" Type="http://schemas.openxmlformats.org/officeDocument/2006/relationships/hyperlink" Target="https://ec.europa.eu/eurostat/databrowser/view/DS-056120__custom_6262207/default/table" TargetMode="External"/><Relationship Id="rId208" Type="http://schemas.openxmlformats.org/officeDocument/2006/relationships/hyperlink" Target="https://ec.europa.eu/eurostat/databrowser/view/DS-056120__custom_6262207/default/table" TargetMode="External"/><Relationship Id="rId229" Type="http://schemas.openxmlformats.org/officeDocument/2006/relationships/hyperlink" Target="https://ec.europa.eu/eurostat/databrowser/view/DS-056120__custom_6262207/default/table" TargetMode="External"/><Relationship Id="rId240" Type="http://schemas.openxmlformats.org/officeDocument/2006/relationships/hyperlink" Target="https://ec.europa.eu/eurostat/databrowser/view/DS-056120__custom_6262207/default/table" TargetMode="External"/><Relationship Id="rId14" Type="http://schemas.openxmlformats.org/officeDocument/2006/relationships/hyperlink" Target="https://ec.europa.eu/eurostat/databrowser/view/DS-056120__custom_6262207/default/table" TargetMode="External"/><Relationship Id="rId35" Type="http://schemas.openxmlformats.org/officeDocument/2006/relationships/hyperlink" Target="https://ec.europa.eu/eurostat/databrowser/view/DS-056120__custom_6262207/default/table" TargetMode="External"/><Relationship Id="rId56" Type="http://schemas.openxmlformats.org/officeDocument/2006/relationships/hyperlink" Target="https://ec.europa.eu/eurostat/databrowser/view/DS-056120__custom_6262207/default/table" TargetMode="External"/><Relationship Id="rId77" Type="http://schemas.openxmlformats.org/officeDocument/2006/relationships/hyperlink" Target="https://ec.europa.eu/eurostat/databrowser/view/DS-056120__custom_6262207/default/table" TargetMode="External"/><Relationship Id="rId100" Type="http://schemas.openxmlformats.org/officeDocument/2006/relationships/hyperlink" Target="https://ec.europa.eu/eurostat/databrowser/view/DS-056120__custom_6262207/default/table" TargetMode="External"/><Relationship Id="rId8" Type="http://schemas.openxmlformats.org/officeDocument/2006/relationships/hyperlink" Target="https://ec.europa.eu/eurostat/databrowser/view/DS-056120__custom_6262207/default/table" TargetMode="External"/><Relationship Id="rId98" Type="http://schemas.openxmlformats.org/officeDocument/2006/relationships/hyperlink" Target="https://ec.europa.eu/eurostat/databrowser/view/DS-056120__custom_6262207/default/table" TargetMode="External"/><Relationship Id="rId121" Type="http://schemas.openxmlformats.org/officeDocument/2006/relationships/hyperlink" Target="https://ec.europa.eu/eurostat/databrowser/view/DS-056120__custom_6262207/default/table" TargetMode="External"/><Relationship Id="rId142" Type="http://schemas.openxmlformats.org/officeDocument/2006/relationships/hyperlink" Target="https://ec.europa.eu/eurostat/databrowser/view/DS-056120__custom_6262207/default/table" TargetMode="External"/><Relationship Id="rId163" Type="http://schemas.openxmlformats.org/officeDocument/2006/relationships/hyperlink" Target="https://ec.europa.eu/eurostat/databrowser/view/DS-056120__custom_6262207/default/table" TargetMode="External"/><Relationship Id="rId184" Type="http://schemas.openxmlformats.org/officeDocument/2006/relationships/hyperlink" Target="https://ec.europa.eu/eurostat/databrowser/view/DS-056120__custom_6262207/default/table" TargetMode="External"/><Relationship Id="rId219" Type="http://schemas.openxmlformats.org/officeDocument/2006/relationships/hyperlink" Target="https://ec.europa.eu/eurostat/databrowser/view/DS-056120__custom_6262207/default/table" TargetMode="External"/><Relationship Id="rId230" Type="http://schemas.openxmlformats.org/officeDocument/2006/relationships/hyperlink" Target="https://ec.europa.eu/eurostat/databrowser/view/DS-056120__custom_6262207/default/table" TargetMode="External"/><Relationship Id="rId25" Type="http://schemas.openxmlformats.org/officeDocument/2006/relationships/hyperlink" Target="https://ec.europa.eu/eurostat/databrowser/view/DS-056120__custom_6262207/default/table" TargetMode="External"/><Relationship Id="rId46" Type="http://schemas.openxmlformats.org/officeDocument/2006/relationships/hyperlink" Target="https://ec.europa.eu/eurostat/databrowser/view/DS-056120__custom_6262207/default/table" TargetMode="External"/><Relationship Id="rId67" Type="http://schemas.openxmlformats.org/officeDocument/2006/relationships/hyperlink" Target="https://ec.europa.eu/eurostat/databrowser/view/DS-056120__custom_6262207/default/table" TargetMode="External"/><Relationship Id="rId88" Type="http://schemas.openxmlformats.org/officeDocument/2006/relationships/hyperlink" Target="https://ec.europa.eu/eurostat/databrowser/view/DS-056120__custom_6262207/default/table" TargetMode="External"/><Relationship Id="rId111" Type="http://schemas.openxmlformats.org/officeDocument/2006/relationships/hyperlink" Target="https://ec.europa.eu/eurostat/databrowser/view/DS-056120__custom_6262207/default/table" TargetMode="External"/><Relationship Id="rId132" Type="http://schemas.openxmlformats.org/officeDocument/2006/relationships/hyperlink" Target="https://ec.europa.eu/eurostat/databrowser/view/DS-056120__custom_6262207/default/table" TargetMode="External"/><Relationship Id="rId153" Type="http://schemas.openxmlformats.org/officeDocument/2006/relationships/hyperlink" Target="https://ec.europa.eu/eurostat/databrowser/view/DS-056120__custom_6262207/default/table" TargetMode="External"/><Relationship Id="rId174" Type="http://schemas.openxmlformats.org/officeDocument/2006/relationships/hyperlink" Target="https://ec.europa.eu/eurostat/databrowser/view/DS-056120__custom_6262207/default/table" TargetMode="External"/><Relationship Id="rId195" Type="http://schemas.openxmlformats.org/officeDocument/2006/relationships/hyperlink" Target="https://ec.europa.eu/eurostat/databrowser/view/DS-056120__custom_6262207/default/table" TargetMode="External"/><Relationship Id="rId209" Type="http://schemas.openxmlformats.org/officeDocument/2006/relationships/hyperlink" Target="https://ec.europa.eu/eurostat/databrowser/view/DS-056120__custom_6262207/default/table" TargetMode="External"/><Relationship Id="rId220" Type="http://schemas.openxmlformats.org/officeDocument/2006/relationships/hyperlink" Target="https://ec.europa.eu/eurostat/databrowser/view/DS-056120__custom_6262207/default/table" TargetMode="External"/><Relationship Id="rId241" Type="http://schemas.openxmlformats.org/officeDocument/2006/relationships/hyperlink" Target="https://ec.europa.eu/eurostat/databrowser/view/DS-056120__custom_6262207/default/table" TargetMode="External"/><Relationship Id="rId15" Type="http://schemas.openxmlformats.org/officeDocument/2006/relationships/hyperlink" Target="https://ec.europa.eu/eurostat/databrowser/view/DS-056120__custom_6262207/default/table" TargetMode="External"/><Relationship Id="rId36" Type="http://schemas.openxmlformats.org/officeDocument/2006/relationships/hyperlink" Target="https://ec.europa.eu/eurostat/databrowser/view/DS-056120__custom_6262207/default/table" TargetMode="External"/><Relationship Id="rId57" Type="http://schemas.openxmlformats.org/officeDocument/2006/relationships/hyperlink" Target="https://ec.europa.eu/eurostat/databrowser/view/DS-056120__custom_6262207/default/table" TargetMode="External"/><Relationship Id="rId10" Type="http://schemas.openxmlformats.org/officeDocument/2006/relationships/hyperlink" Target="https://ec.europa.eu/eurostat/databrowser/view/DS-056120__custom_6262207/default/table" TargetMode="External"/><Relationship Id="rId31" Type="http://schemas.openxmlformats.org/officeDocument/2006/relationships/hyperlink" Target="https://ec.europa.eu/eurostat/databrowser/view/DS-056120__custom_6262207/default/table" TargetMode="External"/><Relationship Id="rId52" Type="http://schemas.openxmlformats.org/officeDocument/2006/relationships/hyperlink" Target="https://ec.europa.eu/eurostat/databrowser/view/DS-056120__custom_6262207/default/table" TargetMode="External"/><Relationship Id="rId73" Type="http://schemas.openxmlformats.org/officeDocument/2006/relationships/hyperlink" Target="https://ec.europa.eu/eurostat/databrowser/view/DS-056120__custom_6262207/default/table" TargetMode="External"/><Relationship Id="rId78" Type="http://schemas.openxmlformats.org/officeDocument/2006/relationships/hyperlink" Target="https://ec.europa.eu/eurostat/databrowser/view/DS-056120__custom_6262207/default/table" TargetMode="External"/><Relationship Id="rId94" Type="http://schemas.openxmlformats.org/officeDocument/2006/relationships/hyperlink" Target="https://ec.europa.eu/eurostat/databrowser/view/DS-056120__custom_6262207/default/table" TargetMode="External"/><Relationship Id="rId99" Type="http://schemas.openxmlformats.org/officeDocument/2006/relationships/hyperlink" Target="https://ec.europa.eu/eurostat/databrowser/view/DS-056120__custom_6262207/default/table" TargetMode="External"/><Relationship Id="rId101" Type="http://schemas.openxmlformats.org/officeDocument/2006/relationships/hyperlink" Target="https://ec.europa.eu/eurostat/databrowser/view/DS-056120__custom_6262207/default/table" TargetMode="External"/><Relationship Id="rId122" Type="http://schemas.openxmlformats.org/officeDocument/2006/relationships/hyperlink" Target="https://ec.europa.eu/eurostat/databrowser/view/DS-056120__custom_6262207/default/table" TargetMode="External"/><Relationship Id="rId143" Type="http://schemas.openxmlformats.org/officeDocument/2006/relationships/hyperlink" Target="https://ec.europa.eu/eurostat/databrowser/view/DS-056120__custom_6262207/default/table" TargetMode="External"/><Relationship Id="rId148" Type="http://schemas.openxmlformats.org/officeDocument/2006/relationships/hyperlink" Target="https://ec.europa.eu/eurostat/databrowser/view/DS-056120__custom_6262207/default/table" TargetMode="External"/><Relationship Id="rId164" Type="http://schemas.openxmlformats.org/officeDocument/2006/relationships/hyperlink" Target="https://ec.europa.eu/eurostat/databrowser/view/DS-056120__custom_6262207/default/table" TargetMode="External"/><Relationship Id="rId169" Type="http://schemas.openxmlformats.org/officeDocument/2006/relationships/hyperlink" Target="https://ec.europa.eu/eurostat/databrowser/view/DS-056120__custom_6262207/default/table" TargetMode="External"/><Relationship Id="rId185" Type="http://schemas.openxmlformats.org/officeDocument/2006/relationships/hyperlink" Target="https://ec.europa.eu/eurostat/databrowser/view/DS-056120__custom_6262207/default/table" TargetMode="External"/><Relationship Id="rId4" Type="http://schemas.openxmlformats.org/officeDocument/2006/relationships/hyperlink" Target="https://ec.europa.eu/eurostat/databrowser/view/DS-056120__custom_6262207/default/table" TargetMode="External"/><Relationship Id="rId9" Type="http://schemas.openxmlformats.org/officeDocument/2006/relationships/hyperlink" Target="https://ec.europa.eu/eurostat/databrowser/view/DS-056120__custom_6262207/default/table" TargetMode="External"/><Relationship Id="rId180" Type="http://schemas.openxmlformats.org/officeDocument/2006/relationships/hyperlink" Target="https://ec.europa.eu/eurostat/databrowser/view/DS-056120__custom_6262207/default/table" TargetMode="External"/><Relationship Id="rId210" Type="http://schemas.openxmlformats.org/officeDocument/2006/relationships/hyperlink" Target="https://ec.europa.eu/eurostat/databrowser/view/DS-056120__custom_6262207/default/table" TargetMode="External"/><Relationship Id="rId215" Type="http://schemas.openxmlformats.org/officeDocument/2006/relationships/hyperlink" Target="https://ec.europa.eu/eurostat/databrowser/view/DS-056120__custom_6262207/default/table" TargetMode="External"/><Relationship Id="rId236" Type="http://schemas.openxmlformats.org/officeDocument/2006/relationships/hyperlink" Target="https://ec.europa.eu/eurostat/databrowser/view/DS-056120__custom_6262207/default/table" TargetMode="External"/><Relationship Id="rId26" Type="http://schemas.openxmlformats.org/officeDocument/2006/relationships/hyperlink" Target="https://ec.europa.eu/eurostat/databrowser/view/DS-056120__custom_6262207/default/table" TargetMode="External"/><Relationship Id="rId231" Type="http://schemas.openxmlformats.org/officeDocument/2006/relationships/hyperlink" Target="https://ec.europa.eu/eurostat/databrowser/view/DS-056120__custom_6262207/default/table" TargetMode="External"/><Relationship Id="rId47" Type="http://schemas.openxmlformats.org/officeDocument/2006/relationships/hyperlink" Target="https://ec.europa.eu/eurostat/databrowser/view/DS-056120__custom_6262207/default/table" TargetMode="External"/><Relationship Id="rId68" Type="http://schemas.openxmlformats.org/officeDocument/2006/relationships/hyperlink" Target="https://ec.europa.eu/eurostat/databrowser/view/DS-056120__custom_6262207/default/table" TargetMode="External"/><Relationship Id="rId89" Type="http://schemas.openxmlformats.org/officeDocument/2006/relationships/hyperlink" Target="https://ec.europa.eu/eurostat/databrowser/view/DS-056120__custom_6262207/default/table" TargetMode="External"/><Relationship Id="rId112" Type="http://schemas.openxmlformats.org/officeDocument/2006/relationships/hyperlink" Target="https://ec.europa.eu/eurostat/databrowser/view/DS-056120__custom_6262207/default/table" TargetMode="External"/><Relationship Id="rId133" Type="http://schemas.openxmlformats.org/officeDocument/2006/relationships/hyperlink" Target="https://ec.europa.eu/eurostat/databrowser/view/DS-056120__custom_6262207/default/table" TargetMode="External"/><Relationship Id="rId154" Type="http://schemas.openxmlformats.org/officeDocument/2006/relationships/hyperlink" Target="https://ec.europa.eu/eurostat/databrowser/view/DS-056120__custom_6262207/default/table" TargetMode="External"/><Relationship Id="rId175" Type="http://schemas.openxmlformats.org/officeDocument/2006/relationships/hyperlink" Target="https://ec.europa.eu/eurostat/databrowser/view/DS-056120__custom_6262207/default/table" TargetMode="External"/><Relationship Id="rId196" Type="http://schemas.openxmlformats.org/officeDocument/2006/relationships/hyperlink" Target="https://ec.europa.eu/eurostat/databrowser/view/DS-056120__custom_6262207/default/table" TargetMode="External"/><Relationship Id="rId200" Type="http://schemas.openxmlformats.org/officeDocument/2006/relationships/hyperlink" Target="https://ec.europa.eu/eurostat/databrowser/view/DS-056120__custom_6262207/default/table" TargetMode="External"/><Relationship Id="rId16" Type="http://schemas.openxmlformats.org/officeDocument/2006/relationships/hyperlink" Target="https://ec.europa.eu/eurostat/databrowser/view/DS-056120__custom_6262207/default/table" TargetMode="External"/><Relationship Id="rId221" Type="http://schemas.openxmlformats.org/officeDocument/2006/relationships/hyperlink" Target="https://ec.europa.eu/eurostat/databrowser/view/DS-056120__custom_6262207/default/table" TargetMode="External"/><Relationship Id="rId242" Type="http://schemas.openxmlformats.org/officeDocument/2006/relationships/hyperlink" Target="https://ec.europa.eu/eurostat/databrowser/view/DS-056120__custom_6262207/default/table" TargetMode="External"/><Relationship Id="rId37" Type="http://schemas.openxmlformats.org/officeDocument/2006/relationships/hyperlink" Target="https://ec.europa.eu/eurostat/databrowser/view/DS-056120__custom_6262207/default/table" TargetMode="External"/><Relationship Id="rId58" Type="http://schemas.openxmlformats.org/officeDocument/2006/relationships/hyperlink" Target="https://ec.europa.eu/eurostat/databrowser/view/DS-056120__custom_6262207/default/table" TargetMode="External"/><Relationship Id="rId79" Type="http://schemas.openxmlformats.org/officeDocument/2006/relationships/hyperlink" Target="https://ec.europa.eu/eurostat/databrowser/view/DS-056120__custom_6262207/default/table" TargetMode="External"/><Relationship Id="rId102" Type="http://schemas.openxmlformats.org/officeDocument/2006/relationships/hyperlink" Target="https://ec.europa.eu/eurostat/databrowser/view/DS-056120__custom_6262207/default/table" TargetMode="External"/><Relationship Id="rId123" Type="http://schemas.openxmlformats.org/officeDocument/2006/relationships/hyperlink" Target="https://ec.europa.eu/eurostat/databrowser/view/DS-056120__custom_6262207/default/table" TargetMode="External"/><Relationship Id="rId144" Type="http://schemas.openxmlformats.org/officeDocument/2006/relationships/hyperlink" Target="https://ec.europa.eu/eurostat/databrowser/view/DS-056120__custom_6262207/default/table" TargetMode="External"/><Relationship Id="rId90" Type="http://schemas.openxmlformats.org/officeDocument/2006/relationships/hyperlink" Target="https://ec.europa.eu/eurostat/databrowser/view/DS-056120__custom_6262207/default/table" TargetMode="External"/><Relationship Id="rId165" Type="http://schemas.openxmlformats.org/officeDocument/2006/relationships/hyperlink" Target="https://ec.europa.eu/eurostat/databrowser/view/DS-056120__custom_6262207/default/table" TargetMode="External"/><Relationship Id="rId186" Type="http://schemas.openxmlformats.org/officeDocument/2006/relationships/hyperlink" Target="https://ec.europa.eu/eurostat/databrowser/view/DS-056120__custom_6262207/default/table" TargetMode="External"/><Relationship Id="rId211" Type="http://schemas.openxmlformats.org/officeDocument/2006/relationships/hyperlink" Target="https://ec.europa.eu/eurostat/databrowser/view/DS-056120__custom_6262207/default/table" TargetMode="External"/><Relationship Id="rId232" Type="http://schemas.openxmlformats.org/officeDocument/2006/relationships/hyperlink" Target="https://ec.europa.eu/eurostat/databrowser/view/DS-056120__custom_6262207/default/table" TargetMode="External"/><Relationship Id="rId27" Type="http://schemas.openxmlformats.org/officeDocument/2006/relationships/hyperlink" Target="https://ec.europa.eu/eurostat/databrowser/view/DS-056120__custom_6262207/default/table" TargetMode="External"/><Relationship Id="rId48" Type="http://schemas.openxmlformats.org/officeDocument/2006/relationships/hyperlink" Target="https://ec.europa.eu/eurostat/databrowser/view/DS-056120__custom_6262207/default/table" TargetMode="External"/><Relationship Id="rId69" Type="http://schemas.openxmlformats.org/officeDocument/2006/relationships/hyperlink" Target="https://ec.europa.eu/eurostat/databrowser/view/DS-056120__custom_6262207/default/table" TargetMode="External"/><Relationship Id="rId113" Type="http://schemas.openxmlformats.org/officeDocument/2006/relationships/hyperlink" Target="https://ec.europa.eu/eurostat/databrowser/view/DS-056120__custom_6262207/default/table" TargetMode="External"/><Relationship Id="rId134" Type="http://schemas.openxmlformats.org/officeDocument/2006/relationships/hyperlink" Target="https://ec.europa.eu/eurostat/databrowser/view/DS-056120__custom_6262207/default/table" TargetMode="External"/><Relationship Id="rId80" Type="http://schemas.openxmlformats.org/officeDocument/2006/relationships/hyperlink" Target="https://ec.europa.eu/eurostat/databrowser/view/DS-056120__custom_6262207/default/table" TargetMode="External"/><Relationship Id="rId155" Type="http://schemas.openxmlformats.org/officeDocument/2006/relationships/hyperlink" Target="https://ec.europa.eu/eurostat/databrowser/view/DS-056120__custom_6262207/default/table" TargetMode="External"/><Relationship Id="rId176" Type="http://schemas.openxmlformats.org/officeDocument/2006/relationships/hyperlink" Target="https://ec.europa.eu/eurostat/databrowser/view/DS-056120__custom_6262207/default/table" TargetMode="External"/><Relationship Id="rId197" Type="http://schemas.openxmlformats.org/officeDocument/2006/relationships/hyperlink" Target="https://ec.europa.eu/eurostat/databrowser/view/DS-056120__custom_6262207/default/table" TargetMode="External"/><Relationship Id="rId201" Type="http://schemas.openxmlformats.org/officeDocument/2006/relationships/hyperlink" Target="https://ec.europa.eu/eurostat/databrowser/view/DS-056120__custom_6262207/default/table" TargetMode="External"/><Relationship Id="rId222" Type="http://schemas.openxmlformats.org/officeDocument/2006/relationships/hyperlink" Target="https://ec.europa.eu/eurostat/databrowser/view/DS-056120__custom_6262207/default/table" TargetMode="External"/><Relationship Id="rId243" Type="http://schemas.openxmlformats.org/officeDocument/2006/relationships/hyperlink" Target="https://ec.europa.eu/eurostat/databrowser/view/DS-056120__custom_6262207/default/table" TargetMode="External"/><Relationship Id="rId17" Type="http://schemas.openxmlformats.org/officeDocument/2006/relationships/hyperlink" Target="https://ec.europa.eu/eurostat/databrowser/view/DS-056120__custom_6262207/default/table" TargetMode="External"/><Relationship Id="rId38" Type="http://schemas.openxmlformats.org/officeDocument/2006/relationships/hyperlink" Target="https://ec.europa.eu/eurostat/databrowser/view/DS-056120__custom_6262207/default/table" TargetMode="External"/><Relationship Id="rId59" Type="http://schemas.openxmlformats.org/officeDocument/2006/relationships/hyperlink" Target="https://ec.europa.eu/eurostat/databrowser/view/DS-056120__custom_6262207/default/table" TargetMode="External"/><Relationship Id="rId103" Type="http://schemas.openxmlformats.org/officeDocument/2006/relationships/hyperlink" Target="https://ec.europa.eu/eurostat/databrowser/view/DS-056120__custom_6262207/default/table" TargetMode="External"/><Relationship Id="rId124" Type="http://schemas.openxmlformats.org/officeDocument/2006/relationships/hyperlink" Target="https://ec.europa.eu/eurostat/databrowser/view/DS-056120__custom_6262207/default/table" TargetMode="External"/><Relationship Id="rId70" Type="http://schemas.openxmlformats.org/officeDocument/2006/relationships/hyperlink" Target="https://ec.europa.eu/eurostat/databrowser/view/DS-056120__custom_6262207/default/table" TargetMode="External"/><Relationship Id="rId91" Type="http://schemas.openxmlformats.org/officeDocument/2006/relationships/hyperlink" Target="https://ec.europa.eu/eurostat/databrowser/view/DS-056120__custom_6262207/default/table" TargetMode="External"/><Relationship Id="rId145" Type="http://schemas.openxmlformats.org/officeDocument/2006/relationships/hyperlink" Target="https://ec.europa.eu/eurostat/databrowser/view/DS-056120__custom_6262207/default/table" TargetMode="External"/><Relationship Id="rId166" Type="http://schemas.openxmlformats.org/officeDocument/2006/relationships/hyperlink" Target="https://ec.europa.eu/eurostat/databrowser/view/DS-056120__custom_6262207/default/table" TargetMode="External"/><Relationship Id="rId187" Type="http://schemas.openxmlformats.org/officeDocument/2006/relationships/hyperlink" Target="https://ec.europa.eu/eurostat/databrowser/view/DS-056120__custom_6262207/default/table" TargetMode="External"/><Relationship Id="rId1" Type="http://schemas.openxmlformats.org/officeDocument/2006/relationships/hyperlink" Target="https://ec.europa.eu/eurostat/databrowser/view/DS-056120__custom_6262207/default/table" TargetMode="External"/><Relationship Id="rId212" Type="http://schemas.openxmlformats.org/officeDocument/2006/relationships/hyperlink" Target="https://ec.europa.eu/eurostat/databrowser/view/DS-056120__custom_6262207/default/table" TargetMode="External"/><Relationship Id="rId233" Type="http://schemas.openxmlformats.org/officeDocument/2006/relationships/hyperlink" Target="https://ec.europa.eu/eurostat/databrowser/view/DS-056120__custom_6262207/default/table" TargetMode="External"/><Relationship Id="rId28" Type="http://schemas.openxmlformats.org/officeDocument/2006/relationships/hyperlink" Target="https://ec.europa.eu/eurostat/databrowser/view/DS-056120__custom_6262207/default/table" TargetMode="External"/><Relationship Id="rId49" Type="http://schemas.openxmlformats.org/officeDocument/2006/relationships/hyperlink" Target="https://ec.europa.eu/eurostat/databrowser/view/DS-056120__custom_6262207/default/table" TargetMode="External"/><Relationship Id="rId114" Type="http://schemas.openxmlformats.org/officeDocument/2006/relationships/hyperlink" Target="https://ec.europa.eu/eurostat/databrowser/view/DS-056120__custom_6262207/default/table" TargetMode="External"/><Relationship Id="rId60" Type="http://schemas.openxmlformats.org/officeDocument/2006/relationships/hyperlink" Target="https://ec.europa.eu/eurostat/databrowser/view/DS-056120__custom_6262207/default/table" TargetMode="External"/><Relationship Id="rId81" Type="http://schemas.openxmlformats.org/officeDocument/2006/relationships/hyperlink" Target="https://ec.europa.eu/eurostat/databrowser/view/DS-056120__custom_6262207/default/table" TargetMode="External"/><Relationship Id="rId135" Type="http://schemas.openxmlformats.org/officeDocument/2006/relationships/hyperlink" Target="https://ec.europa.eu/eurostat/databrowser/view/DS-056120__custom_6262207/default/table" TargetMode="External"/><Relationship Id="rId156" Type="http://schemas.openxmlformats.org/officeDocument/2006/relationships/hyperlink" Target="https://ec.europa.eu/eurostat/databrowser/view/DS-056120__custom_6262207/default/table" TargetMode="External"/><Relationship Id="rId177" Type="http://schemas.openxmlformats.org/officeDocument/2006/relationships/hyperlink" Target="https://ec.europa.eu/eurostat/databrowser/view/DS-056120__custom_6262207/default/table" TargetMode="External"/><Relationship Id="rId198" Type="http://schemas.openxmlformats.org/officeDocument/2006/relationships/hyperlink" Target="https://ec.europa.eu/eurostat/databrowser/view/DS-056120__custom_6262207/default/table" TargetMode="External"/><Relationship Id="rId202" Type="http://schemas.openxmlformats.org/officeDocument/2006/relationships/hyperlink" Target="https://ec.europa.eu/eurostat/databrowser/view/DS-056120__custom_6262207/default/table" TargetMode="External"/><Relationship Id="rId223" Type="http://schemas.openxmlformats.org/officeDocument/2006/relationships/hyperlink" Target="https://ec.europa.eu/eurostat/databrowser/view/DS-056120__custom_6262207/default/table" TargetMode="External"/><Relationship Id="rId244" Type="http://schemas.openxmlformats.org/officeDocument/2006/relationships/hyperlink" Target="https://ec.europa.eu/eurostat/databrowser/view/DS-056120__custom_6262207/default/table" TargetMode="External"/><Relationship Id="rId18" Type="http://schemas.openxmlformats.org/officeDocument/2006/relationships/hyperlink" Target="https://ec.europa.eu/eurostat/databrowser/view/DS-056120__custom_6262207/default/table" TargetMode="External"/><Relationship Id="rId39" Type="http://schemas.openxmlformats.org/officeDocument/2006/relationships/hyperlink" Target="https://ec.europa.eu/eurostat/databrowser/view/DS-056120__custom_6262207/default/table" TargetMode="External"/><Relationship Id="rId50" Type="http://schemas.openxmlformats.org/officeDocument/2006/relationships/hyperlink" Target="https://ec.europa.eu/eurostat/databrowser/view/DS-056120__custom_6262207/default/table" TargetMode="External"/><Relationship Id="rId104" Type="http://schemas.openxmlformats.org/officeDocument/2006/relationships/hyperlink" Target="https://ec.europa.eu/eurostat/databrowser/view/DS-056120__custom_6262207/default/table" TargetMode="External"/><Relationship Id="rId125" Type="http://schemas.openxmlformats.org/officeDocument/2006/relationships/hyperlink" Target="https://ec.europa.eu/eurostat/databrowser/view/DS-056120__custom_6262207/default/table" TargetMode="External"/><Relationship Id="rId146" Type="http://schemas.openxmlformats.org/officeDocument/2006/relationships/hyperlink" Target="https://ec.europa.eu/eurostat/databrowser/view/DS-056120__custom_6262207/default/table" TargetMode="External"/><Relationship Id="rId167" Type="http://schemas.openxmlformats.org/officeDocument/2006/relationships/hyperlink" Target="https://ec.europa.eu/eurostat/databrowser/view/DS-056120__custom_6262207/default/table" TargetMode="External"/><Relationship Id="rId188" Type="http://schemas.openxmlformats.org/officeDocument/2006/relationships/hyperlink" Target="https://ec.europa.eu/eurostat/databrowser/view/DS-056120__custom_6262207/default/table" TargetMode="External"/><Relationship Id="rId71" Type="http://schemas.openxmlformats.org/officeDocument/2006/relationships/hyperlink" Target="https://ec.europa.eu/eurostat/databrowser/view/DS-056120__custom_6262207/default/table" TargetMode="External"/><Relationship Id="rId92" Type="http://schemas.openxmlformats.org/officeDocument/2006/relationships/hyperlink" Target="https://ec.europa.eu/eurostat/databrowser/view/DS-056120__custom_6262207/default/table" TargetMode="External"/><Relationship Id="rId213" Type="http://schemas.openxmlformats.org/officeDocument/2006/relationships/hyperlink" Target="https://ec.europa.eu/eurostat/databrowser/view/DS-056120__custom_6262207/default/table" TargetMode="External"/><Relationship Id="rId234" Type="http://schemas.openxmlformats.org/officeDocument/2006/relationships/hyperlink" Target="https://ec.europa.eu/eurostat/databrowser/view/DS-056120__custom_6262207/default/table" TargetMode="External"/><Relationship Id="rId2" Type="http://schemas.openxmlformats.org/officeDocument/2006/relationships/hyperlink" Target="https://ec.europa.eu/eurostat/databrowser/view/DS-056120__custom_6262207/default/table" TargetMode="External"/><Relationship Id="rId29" Type="http://schemas.openxmlformats.org/officeDocument/2006/relationships/hyperlink" Target="https://ec.europa.eu/eurostat/databrowser/view/DS-056120__custom_6262207/default/table" TargetMode="External"/><Relationship Id="rId40" Type="http://schemas.openxmlformats.org/officeDocument/2006/relationships/hyperlink" Target="https://ec.europa.eu/eurostat/databrowser/view/DS-056120__custom_6262207/default/table" TargetMode="External"/><Relationship Id="rId115" Type="http://schemas.openxmlformats.org/officeDocument/2006/relationships/hyperlink" Target="https://ec.europa.eu/eurostat/databrowser/view/DS-056120__custom_6262207/default/table" TargetMode="External"/><Relationship Id="rId136" Type="http://schemas.openxmlformats.org/officeDocument/2006/relationships/hyperlink" Target="https://ec.europa.eu/eurostat/databrowser/view/DS-056120__custom_6262207/default/table" TargetMode="External"/><Relationship Id="rId157" Type="http://schemas.openxmlformats.org/officeDocument/2006/relationships/hyperlink" Target="https://ec.europa.eu/eurostat/databrowser/view/DS-056120__custom_6262207/default/table" TargetMode="External"/><Relationship Id="rId178" Type="http://schemas.openxmlformats.org/officeDocument/2006/relationships/hyperlink" Target="https://ec.europa.eu/eurostat/databrowser/view/DS-056120__custom_6262207/default/table" TargetMode="External"/><Relationship Id="rId61" Type="http://schemas.openxmlformats.org/officeDocument/2006/relationships/hyperlink" Target="https://ec.europa.eu/eurostat/databrowser/view/DS-056120__custom_6262207/default/table" TargetMode="External"/><Relationship Id="rId82" Type="http://schemas.openxmlformats.org/officeDocument/2006/relationships/hyperlink" Target="https://ec.europa.eu/eurostat/databrowser/view/DS-056120__custom_6262207/default/table" TargetMode="External"/><Relationship Id="rId199" Type="http://schemas.openxmlformats.org/officeDocument/2006/relationships/hyperlink" Target="https://ec.europa.eu/eurostat/databrowser/view/DS-056120__custom_6262207/default/table" TargetMode="External"/><Relationship Id="rId203" Type="http://schemas.openxmlformats.org/officeDocument/2006/relationships/hyperlink" Target="https://ec.europa.eu/eurostat/databrowser/view/DS-056120__custom_6262207/default/table" TargetMode="External"/><Relationship Id="rId19" Type="http://schemas.openxmlformats.org/officeDocument/2006/relationships/hyperlink" Target="https://ec.europa.eu/eurostat/databrowser/view/DS-056120__custom_6262207/default/table" TargetMode="External"/><Relationship Id="rId224" Type="http://schemas.openxmlformats.org/officeDocument/2006/relationships/hyperlink" Target="https://ec.europa.eu/eurostat/databrowser/view/DS-056120__custom_6262207/default/table" TargetMode="External"/><Relationship Id="rId245" Type="http://schemas.openxmlformats.org/officeDocument/2006/relationships/hyperlink" Target="https://ec.europa.eu/eurostat/databrowser/view/DS-056120__custom_6262207/default/table" TargetMode="External"/><Relationship Id="rId30" Type="http://schemas.openxmlformats.org/officeDocument/2006/relationships/hyperlink" Target="https://ec.europa.eu/eurostat/databrowser/view/DS-056120__custom_6262207/default/table" TargetMode="External"/><Relationship Id="rId105" Type="http://schemas.openxmlformats.org/officeDocument/2006/relationships/hyperlink" Target="https://ec.europa.eu/eurostat/databrowser/view/DS-056120__custom_6262207/default/table" TargetMode="External"/><Relationship Id="rId126" Type="http://schemas.openxmlformats.org/officeDocument/2006/relationships/hyperlink" Target="https://ec.europa.eu/eurostat/databrowser/view/DS-056120__custom_6262207/default/table" TargetMode="External"/><Relationship Id="rId147" Type="http://schemas.openxmlformats.org/officeDocument/2006/relationships/hyperlink" Target="https://ec.europa.eu/eurostat/databrowser/view/DS-056120__custom_6262207/default/table" TargetMode="External"/><Relationship Id="rId168" Type="http://schemas.openxmlformats.org/officeDocument/2006/relationships/hyperlink" Target="https://ec.europa.eu/eurostat/databrowser/view/DS-056120__custom_6262207/default/table" TargetMode="External"/><Relationship Id="rId51" Type="http://schemas.openxmlformats.org/officeDocument/2006/relationships/hyperlink" Target="https://ec.europa.eu/eurostat/databrowser/view/DS-056120__custom_6262207/default/table" TargetMode="External"/><Relationship Id="rId72" Type="http://schemas.openxmlformats.org/officeDocument/2006/relationships/hyperlink" Target="https://ec.europa.eu/eurostat/databrowser/view/DS-056120__custom_6262207/default/table" TargetMode="External"/><Relationship Id="rId93" Type="http://schemas.openxmlformats.org/officeDocument/2006/relationships/hyperlink" Target="https://ec.europa.eu/eurostat/databrowser/view/DS-056120__custom_6262207/default/table" TargetMode="External"/><Relationship Id="rId189" Type="http://schemas.openxmlformats.org/officeDocument/2006/relationships/hyperlink" Target="https://ec.europa.eu/eurostat/databrowser/view/DS-056120__custom_6262207/default/table" TargetMode="External"/><Relationship Id="rId3" Type="http://schemas.openxmlformats.org/officeDocument/2006/relationships/hyperlink" Target="https://ec.europa.eu/eurostat/databrowser/view/DS-056120__custom_6262207/default/table" TargetMode="External"/><Relationship Id="rId214" Type="http://schemas.openxmlformats.org/officeDocument/2006/relationships/hyperlink" Target="https://ec.europa.eu/eurostat/databrowser/view/DS-056120__custom_6262207/default/table" TargetMode="External"/><Relationship Id="rId235" Type="http://schemas.openxmlformats.org/officeDocument/2006/relationships/hyperlink" Target="https://ec.europa.eu/eurostat/databrowser/view/DS-056120__custom_6262207/default/table" TargetMode="External"/><Relationship Id="rId116" Type="http://schemas.openxmlformats.org/officeDocument/2006/relationships/hyperlink" Target="https://ec.europa.eu/eurostat/databrowser/view/DS-056120__custom_6262207/default/table" TargetMode="External"/><Relationship Id="rId137" Type="http://schemas.openxmlformats.org/officeDocument/2006/relationships/hyperlink" Target="https://ec.europa.eu/eurostat/databrowser/view/DS-056120__custom_6262207/default/table" TargetMode="External"/><Relationship Id="rId158" Type="http://schemas.openxmlformats.org/officeDocument/2006/relationships/hyperlink" Target="https://ec.europa.eu/eurostat/databrowser/view/DS-056120__custom_6262207/default/table" TargetMode="External"/><Relationship Id="rId20" Type="http://schemas.openxmlformats.org/officeDocument/2006/relationships/hyperlink" Target="https://ec.europa.eu/eurostat/databrowser/view/DS-056120__custom_6262207/default/table" TargetMode="External"/><Relationship Id="rId41" Type="http://schemas.openxmlformats.org/officeDocument/2006/relationships/hyperlink" Target="https://ec.europa.eu/eurostat/databrowser/view/DS-056120__custom_6262207/default/table" TargetMode="External"/><Relationship Id="rId62" Type="http://schemas.openxmlformats.org/officeDocument/2006/relationships/hyperlink" Target="https://ec.europa.eu/eurostat/databrowser/view/DS-056120__custom_6262207/default/table" TargetMode="External"/><Relationship Id="rId83" Type="http://schemas.openxmlformats.org/officeDocument/2006/relationships/hyperlink" Target="https://ec.europa.eu/eurostat/databrowser/view/DS-056120__custom_6262207/default/table" TargetMode="External"/><Relationship Id="rId179" Type="http://schemas.openxmlformats.org/officeDocument/2006/relationships/hyperlink" Target="https://ec.europa.eu/eurostat/databrowser/view/DS-056120__custom_6262207/default/table" TargetMode="External"/><Relationship Id="rId190" Type="http://schemas.openxmlformats.org/officeDocument/2006/relationships/hyperlink" Target="https://ec.europa.eu/eurostat/databrowser/view/DS-056120__custom_6262207/default/table" TargetMode="External"/><Relationship Id="rId204" Type="http://schemas.openxmlformats.org/officeDocument/2006/relationships/hyperlink" Target="https://ec.europa.eu/eurostat/databrowser/view/DS-056120__custom_6262207/default/table" TargetMode="External"/><Relationship Id="rId225" Type="http://schemas.openxmlformats.org/officeDocument/2006/relationships/hyperlink" Target="https://ec.europa.eu/eurostat/databrowser/view/DS-056120__custom_6262207/default/table" TargetMode="External"/><Relationship Id="rId246" Type="http://schemas.openxmlformats.org/officeDocument/2006/relationships/hyperlink" Target="https://ec.europa.eu/eurostat/databrowser/view/DS-056120__custom_6262207/default/table" TargetMode="External"/><Relationship Id="rId106" Type="http://schemas.openxmlformats.org/officeDocument/2006/relationships/hyperlink" Target="https://ec.europa.eu/eurostat/databrowser/view/DS-056120__custom_6262207/default/table" TargetMode="External"/><Relationship Id="rId127" Type="http://schemas.openxmlformats.org/officeDocument/2006/relationships/hyperlink" Target="https://ec.europa.eu/eurostat/databrowser/view/DS-056120__custom_6262207/default/tabl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oi.org/10.1016/j.resconrec.2023.107389" TargetMode="External"/><Relationship Id="rId2" Type="http://schemas.openxmlformats.org/officeDocument/2006/relationships/hyperlink" Target="https://doi.org/10.1016/j.resconrec.2023.107389" TargetMode="External"/><Relationship Id="rId1" Type="http://schemas.openxmlformats.org/officeDocument/2006/relationships/hyperlink" Target="https://doi.org/10.1016/j.resconrec.2023.107389" TargetMode="External"/><Relationship Id="rId5" Type="http://schemas.openxmlformats.org/officeDocument/2006/relationships/printerSettings" Target="../printerSettings/printerSettings8.bin"/><Relationship Id="rId4" Type="http://schemas.openxmlformats.org/officeDocument/2006/relationships/hyperlink" Target="https://doi.org/10.1016/j.resconrec.2023.10738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vvvf.nl/stream/jaaroverzicht-vvvf-in-2022" TargetMode="External"/><Relationship Id="rId3" Type="http://schemas.openxmlformats.org/officeDocument/2006/relationships/hyperlink" Target="https://docplayer.nl/138278287-Vvvf-jaaroverzicht-2018.html" TargetMode="External"/><Relationship Id="rId7" Type="http://schemas.openxmlformats.org/officeDocument/2006/relationships/hyperlink" Target="https://www.vvvf.nl/stream/jaaroverzicht-vvvf-in-2022" TargetMode="External"/><Relationship Id="rId2" Type="http://schemas.openxmlformats.org/officeDocument/2006/relationships/hyperlink" Target="https://issuu.com/vvvf/docs/vvvf_jaaroverzicht2017_webversie" TargetMode="External"/><Relationship Id="rId1" Type="http://schemas.openxmlformats.org/officeDocument/2006/relationships/hyperlink" Target="https://issuu.com/vvvf/docs/vvvf_jaaroverzicht2017_webversie" TargetMode="External"/><Relationship Id="rId6" Type="http://schemas.openxmlformats.org/officeDocument/2006/relationships/hyperlink" Target="https://www.vvvf.nl/stream/jaaroverzicht-vvvf-in-2022" TargetMode="External"/><Relationship Id="rId5" Type="http://schemas.openxmlformats.org/officeDocument/2006/relationships/hyperlink" Target="https://docplayer.nl/189357972-2019-verf-en-drukinktindustrie-sector-ketens.html" TargetMode="External"/><Relationship Id="rId4" Type="http://schemas.openxmlformats.org/officeDocument/2006/relationships/hyperlink" Target="https://docplayer.nl/138278287-Vvvf-jaaroverzicht-2018.html" TargetMode="External"/><Relationship Id="rId9"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hyperlink" Target="https://polymerdatabase.com/Fibers/Carpets.html" TargetMode="External"/><Relationship Id="rId2" Type="http://schemas.openxmlformats.org/officeDocument/2006/relationships/hyperlink" Target="https://polymerdatabase.com/Fibers/Fibers.html" TargetMode="External"/><Relationship Id="rId1" Type="http://schemas.openxmlformats.org/officeDocument/2006/relationships/hyperlink" Target="https://polymerdatabase.com/Fibers/Fibers.html" TargetMode="External"/><Relationship Id="rId4"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8" Type="http://schemas.openxmlformats.org/officeDocument/2006/relationships/hyperlink" Target="https://web.archive.org/web/20230930160250/https:/apeeurope.eu/statistics/" TargetMode="External"/><Relationship Id="rId13" Type="http://schemas.openxmlformats.org/officeDocument/2006/relationships/hyperlink" Target="https://web.archive.org/web/20230930160250/https:/apeeurope.eu/statistics/" TargetMode="External"/><Relationship Id="rId18" Type="http://schemas.openxmlformats.org/officeDocument/2006/relationships/hyperlink" Target="https://web.archive.org/web/20230930160250/https:/apeeurope.eu/statistics/" TargetMode="External"/><Relationship Id="rId3" Type="http://schemas.openxmlformats.org/officeDocument/2006/relationships/hyperlink" Target="https://web.archive.org/web/20230930160250/https:/apeeurope.eu/statistics/" TargetMode="External"/><Relationship Id="rId7" Type="http://schemas.openxmlformats.org/officeDocument/2006/relationships/hyperlink" Target="https://web.archive.org/web/20230930160250/https:/apeeurope.eu/statistics/" TargetMode="External"/><Relationship Id="rId12" Type="http://schemas.openxmlformats.org/officeDocument/2006/relationships/hyperlink" Target="https://web.archive.org/web/20230930160250/https:/apeeurope.eu/statistics/" TargetMode="External"/><Relationship Id="rId17" Type="http://schemas.openxmlformats.org/officeDocument/2006/relationships/hyperlink" Target="https://web.archive.org/web/20230930160250/https:/apeeurope.eu/statistics/" TargetMode="External"/><Relationship Id="rId2" Type="http://schemas.openxmlformats.org/officeDocument/2006/relationships/hyperlink" Target="https://web.archive.org/web/20230930160250/https:/apeeurope.eu/statistics/" TargetMode="External"/><Relationship Id="rId16" Type="http://schemas.openxmlformats.org/officeDocument/2006/relationships/hyperlink" Target="https://web.archive.org/web/20230930160250/https:/apeeurope.eu/statistics/" TargetMode="External"/><Relationship Id="rId20" Type="http://schemas.openxmlformats.org/officeDocument/2006/relationships/printerSettings" Target="../printerSettings/printerSettings11.bin"/><Relationship Id="rId1" Type="http://schemas.openxmlformats.org/officeDocument/2006/relationships/hyperlink" Target="https://web.archive.org/web/20230930160250/https:/apeeurope.eu/statistics/" TargetMode="External"/><Relationship Id="rId6" Type="http://schemas.openxmlformats.org/officeDocument/2006/relationships/hyperlink" Target="https://web.archive.org/web/20230930160250/https:/apeeurope.eu/statistics/" TargetMode="External"/><Relationship Id="rId11" Type="http://schemas.openxmlformats.org/officeDocument/2006/relationships/hyperlink" Target="https://web.archive.org/web/20230930160250/https:/apeeurope.eu/statistics/" TargetMode="External"/><Relationship Id="rId5" Type="http://schemas.openxmlformats.org/officeDocument/2006/relationships/hyperlink" Target="https://web.archive.org/web/20230930160250/https:/apeeurope.eu/statistics/" TargetMode="External"/><Relationship Id="rId15" Type="http://schemas.openxmlformats.org/officeDocument/2006/relationships/hyperlink" Target="https://web.archive.org/web/20230930160250/https:/apeeurope.eu/statistics/" TargetMode="External"/><Relationship Id="rId10" Type="http://schemas.openxmlformats.org/officeDocument/2006/relationships/hyperlink" Target="https://web.archive.org/web/20230930160250/https:/apeeurope.eu/statistics/" TargetMode="External"/><Relationship Id="rId19" Type="http://schemas.openxmlformats.org/officeDocument/2006/relationships/hyperlink" Target="https://ec.europa.eu/eurostat/databrowser/bookmark/ad869a47-4196-4282-b054-0a75caf9373f?lang=en" TargetMode="External"/><Relationship Id="rId4" Type="http://schemas.openxmlformats.org/officeDocument/2006/relationships/hyperlink" Target="https://web.archive.org/web/20230930160250/https:/apeeurope.eu/statistics/" TargetMode="External"/><Relationship Id="rId9" Type="http://schemas.openxmlformats.org/officeDocument/2006/relationships/hyperlink" Target="https://web.archive.org/web/20230930160250/https:/apeeurope.eu/statistics/" TargetMode="External"/><Relationship Id="rId14" Type="http://schemas.openxmlformats.org/officeDocument/2006/relationships/hyperlink" Target="https://web.archive.org/web/20230930160250/https:/apeeurope.eu/statistics/"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echa.europa.eu/documents/10162/827ab66d-8f59-9076-e000-064274ba5b5e" TargetMode="External"/><Relationship Id="rId3" Type="http://schemas.openxmlformats.org/officeDocument/2006/relationships/hyperlink" Target="https://echa.europa.eu/documents/10162/827ab66d-8f59-9076-e000-064274ba5b5e" TargetMode="External"/><Relationship Id="rId7" Type="http://schemas.openxmlformats.org/officeDocument/2006/relationships/hyperlink" Target="https://echa.europa.eu/documents/10162/827ab66d-8f59-9076-e000-064274ba5b5e" TargetMode="External"/><Relationship Id="rId2" Type="http://schemas.openxmlformats.org/officeDocument/2006/relationships/hyperlink" Target="https://ec.europa.eu/eurostat/databrowser/bookmark/ad869a47-4196-4282-b054-0a75caf9373f?lang=en" TargetMode="External"/><Relationship Id="rId1" Type="http://schemas.openxmlformats.org/officeDocument/2006/relationships/hyperlink" Target="https://ec.europa.eu/eurostat/databrowser/view/DEMO_GIND__custom_2733962/bookmark/table?lang=en&amp;bookmarkId=7084ed24-6b91-4cf3-b90d-d47565593505" TargetMode="External"/><Relationship Id="rId6" Type="http://schemas.openxmlformats.org/officeDocument/2006/relationships/hyperlink" Target="https://echa.europa.eu/documents/10162/827ab66d-8f59-9076-e000-064274ba5b5e" TargetMode="External"/><Relationship Id="rId11" Type="http://schemas.openxmlformats.org/officeDocument/2006/relationships/printerSettings" Target="../printerSettings/printerSettings12.bin"/><Relationship Id="rId5" Type="http://schemas.openxmlformats.org/officeDocument/2006/relationships/hyperlink" Target="https://echa.europa.eu/documents/10162/827ab66d-8f59-9076-e000-064274ba5b5e" TargetMode="External"/><Relationship Id="rId10" Type="http://schemas.openxmlformats.org/officeDocument/2006/relationships/hyperlink" Target="https://www.eerstekamer.nl/overig/20190220/verwerking_van_kunstgras_huidige/document" TargetMode="External"/><Relationship Id="rId4" Type="http://schemas.openxmlformats.org/officeDocument/2006/relationships/hyperlink" Target="https://ec.europa.eu/eurostat/databrowser/bookmark/2e211686-43a6-4cb8-90f4-401aa9ef8d81?lang=en" TargetMode="External"/><Relationship Id="rId9" Type="http://schemas.openxmlformats.org/officeDocument/2006/relationships/hyperlink" Target="https://echa.europa.eu/documents/10162/827ab66d-8f59-9076-e000-064274ba5b5e"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onlinelibrary.wiley.com/doi/full/10.1111/jiec.13175" TargetMode="External"/><Relationship Id="rId13" Type="http://schemas.openxmlformats.org/officeDocument/2006/relationships/hyperlink" Target="https://ec.europa.eu/eurostat/databrowser/bookmark/19fb9122-d657-402c-9caf-78be4e0aa7ea?lang=en" TargetMode="External"/><Relationship Id="rId18" Type="http://schemas.openxmlformats.org/officeDocument/2006/relationships/hyperlink" Target="https://ec.europa.eu/eurostat/databrowser/bookmark/19fb9122-d657-402c-9caf-78be4e0aa7ea?lang=en" TargetMode="External"/><Relationship Id="rId3" Type="http://schemas.openxmlformats.org/officeDocument/2006/relationships/hyperlink" Target="https://onlinelibrary.wiley.com/doi/full/10.1111/jiec.13175" TargetMode="External"/><Relationship Id="rId21" Type="http://schemas.openxmlformats.org/officeDocument/2006/relationships/printerSettings" Target="../printerSettings/printerSettings13.bin"/><Relationship Id="rId7" Type="http://schemas.openxmlformats.org/officeDocument/2006/relationships/hyperlink" Target="https://onlinelibrary.wiley.com/doi/full/10.1111/jiec.13175" TargetMode="External"/><Relationship Id="rId12" Type="http://schemas.openxmlformats.org/officeDocument/2006/relationships/hyperlink" Target="https://ec.europa.eu/eurostat/databrowser/bookmark/19fb9122-d657-402c-9caf-78be4e0aa7ea?lang=en" TargetMode="External"/><Relationship Id="rId17" Type="http://schemas.openxmlformats.org/officeDocument/2006/relationships/hyperlink" Target="https://ec.europa.eu/eurostat/databrowser/bookmark/19fb9122-d657-402c-9caf-78be4e0aa7ea?lang=en" TargetMode="External"/><Relationship Id="rId2" Type="http://schemas.openxmlformats.org/officeDocument/2006/relationships/hyperlink" Target="https://onlinelibrary.wiley.com/doi/full/10.1111/jiec.13175" TargetMode="External"/><Relationship Id="rId16" Type="http://schemas.openxmlformats.org/officeDocument/2006/relationships/hyperlink" Target="https://ec.europa.eu/eurostat/databrowser/bookmark/19fb9122-d657-402c-9caf-78be4e0aa7ea?lang=en" TargetMode="External"/><Relationship Id="rId20" Type="http://schemas.openxmlformats.org/officeDocument/2006/relationships/hyperlink" Target="https://ec.europa.eu/eurostat/databrowser/bookmark/19fb9122-d657-402c-9caf-78be4e0aa7ea?lang=en" TargetMode="External"/><Relationship Id="rId1" Type="http://schemas.openxmlformats.org/officeDocument/2006/relationships/hyperlink" Target="https://onlinelibrary.wiley.com/doi/full/10.1111/jiec.13175" TargetMode="External"/><Relationship Id="rId6" Type="http://schemas.openxmlformats.org/officeDocument/2006/relationships/hyperlink" Target="https://onlinelibrary.wiley.com/doi/full/10.1111/jiec.13175" TargetMode="External"/><Relationship Id="rId11" Type="http://schemas.openxmlformats.org/officeDocument/2006/relationships/hyperlink" Target="https://ec.europa.eu/eurostat/databrowser/bookmark/19fb9122-d657-402c-9caf-78be4e0aa7ea?lang=en" TargetMode="External"/><Relationship Id="rId5" Type="http://schemas.openxmlformats.org/officeDocument/2006/relationships/hyperlink" Target="https://onlinelibrary.wiley.com/doi/full/10.1111/jiec.13175" TargetMode="External"/><Relationship Id="rId15" Type="http://schemas.openxmlformats.org/officeDocument/2006/relationships/hyperlink" Target="https://ec.europa.eu/eurostat/databrowser/bookmark/19fb9122-d657-402c-9caf-78be4e0aa7ea?lang=en" TargetMode="External"/><Relationship Id="rId10" Type="http://schemas.openxmlformats.org/officeDocument/2006/relationships/hyperlink" Target="https://ec.europa.eu/eurostat/databrowser/bookmark/19fb9122-d657-402c-9caf-78be4e0aa7ea?lang=en" TargetMode="External"/><Relationship Id="rId19" Type="http://schemas.openxmlformats.org/officeDocument/2006/relationships/hyperlink" Target="https://ec.europa.eu/eurostat/databrowser/bookmark/19fb9122-d657-402c-9caf-78be4e0aa7ea?lang=en" TargetMode="External"/><Relationship Id="rId4" Type="http://schemas.openxmlformats.org/officeDocument/2006/relationships/hyperlink" Target="https://onlinelibrary.wiley.com/doi/full/10.1111/jiec.13175" TargetMode="External"/><Relationship Id="rId9" Type="http://schemas.openxmlformats.org/officeDocument/2006/relationships/hyperlink" Target="https://ec.europa.eu/eurostat/databrowser/view/env_waspac/default/table?lang=en" TargetMode="External"/><Relationship Id="rId14" Type="http://schemas.openxmlformats.org/officeDocument/2006/relationships/hyperlink" Target="https://ec.europa.eu/eurostat/databrowser/bookmark/19fb9122-d657-402c-9caf-78be4e0aa7ea?lang=en" TargetMode="External"/><Relationship Id="rId22"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hyperlink" Target="https://nos.nl/artikel/2193860-plastic-afval-recyclen-heeft-weinig-effect-op-milieu" TargetMode="External"/><Relationship Id="rId2" Type="http://schemas.openxmlformats.org/officeDocument/2006/relationships/hyperlink" Target="https://www.verenigingafvalbedrijven.nl/userfiles/files/VA_Meer_waarde_uit_gft-afval_Jaarverslag_Afdeling_Bioconversie.pdf" TargetMode="External"/><Relationship Id="rId1" Type="http://schemas.openxmlformats.org/officeDocument/2006/relationships/hyperlink" Target="https://www.verenigingafvalbedrijven.nl/userfiles/files/VA_Meer_waarde_uit_gft-afval_Jaarverslag_Afdeling_Bioconversie.pdf" TargetMode="External"/><Relationship Id="rId4"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oecd-ilibrary.org/environment/global-plastics-outlook_aa1edf33-en" TargetMode="External"/><Relationship Id="rId1" Type="http://schemas.openxmlformats.org/officeDocument/2006/relationships/hyperlink" Target="https://www.oecd-ilibrary.org/environment/global-plastics-outlook_aa1edf33-en"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8" Type="http://schemas.openxmlformats.org/officeDocument/2006/relationships/hyperlink" Target="https://elitepropainting.com/how-long-does-paint-last-lifespan-of-paint/" TargetMode="External"/><Relationship Id="rId13" Type="http://schemas.openxmlformats.org/officeDocument/2006/relationships/hyperlink" Target="https://www.verfwinkel.nl/blog/hoe-vaak-is-buitenschilderwerk-en-kozijnen-schilderen-nodig/" TargetMode="External"/><Relationship Id="rId18" Type="http://schemas.openxmlformats.org/officeDocument/2006/relationships/hyperlink" Target="https://woodmodo.com/blogs/style-blog/how-long-does-wood-furniture-last-a-comprehensive-guide" TargetMode="External"/><Relationship Id="rId3" Type="http://schemas.openxmlformats.org/officeDocument/2006/relationships/hyperlink" Target="https://elitepropainting.com/how-long-does-paint-last-lifespan-of-paint/" TargetMode="External"/><Relationship Id="rId7" Type="http://schemas.openxmlformats.org/officeDocument/2006/relationships/hyperlink" Target="https://elitepropainting.com/how-long-does-paint-last-lifespan-of-paint/" TargetMode="External"/><Relationship Id="rId12" Type="http://schemas.openxmlformats.org/officeDocument/2006/relationships/hyperlink" Target="https://www.verfwinkel.nl/blog/hoe-vaak-is-buitenschilderwerk-en-kozijnen-schilderen-nodig/" TargetMode="External"/><Relationship Id="rId17" Type="http://schemas.openxmlformats.org/officeDocument/2006/relationships/hyperlink" Target="https://woodmodo.com/blogs/style-blog/how-long-does-wood-furniture-last-a-comprehensive-guide" TargetMode="External"/><Relationship Id="rId2" Type="http://schemas.openxmlformats.org/officeDocument/2006/relationships/hyperlink" Target="https://verfhandelnatte.nl/tip-4-wanneer-zijn-deuren-en-kozijnen-toe-aan-nieuwe-buitenlak/" TargetMode="External"/><Relationship Id="rId16" Type="http://schemas.openxmlformats.org/officeDocument/2006/relationships/hyperlink" Target="https://www.verfwinkel.nl/blog/hoe-vaak-je-huis-schilderen-binnen-and-buiten/" TargetMode="External"/><Relationship Id="rId1" Type="http://schemas.openxmlformats.org/officeDocument/2006/relationships/hyperlink" Target="https://verfhandelnatte.nl/tip-4-wanneer-zijn-deuren-en-kozijnen-toe-aan-nieuwe-buitenlak/" TargetMode="External"/><Relationship Id="rId6" Type="http://schemas.openxmlformats.org/officeDocument/2006/relationships/hyperlink" Target="https://elitepropainting.com/how-long-does-paint-last-lifespan-of-paint/" TargetMode="External"/><Relationship Id="rId11" Type="http://schemas.openxmlformats.org/officeDocument/2006/relationships/hyperlink" Target="https://www.wovar.be/betonverf-voor-buiten/" TargetMode="External"/><Relationship Id="rId5" Type="http://schemas.openxmlformats.org/officeDocument/2006/relationships/hyperlink" Target="https://elitepropainting.com/how-long-does-paint-last-lifespan-of-paint/" TargetMode="External"/><Relationship Id="rId15" Type="http://schemas.openxmlformats.org/officeDocument/2006/relationships/hyperlink" Target="https://www.verfwinkel.nl/blog/hoe-vaak-je-huis-schilderen-binnen-and-buiten/" TargetMode="External"/><Relationship Id="rId10" Type="http://schemas.openxmlformats.org/officeDocument/2006/relationships/hyperlink" Target="https://elitepropainting.com/how-long-does-paint-last-lifespan-of-paint/" TargetMode="External"/><Relationship Id="rId19" Type="http://schemas.openxmlformats.org/officeDocument/2006/relationships/printerSettings" Target="../printerSettings/printerSettings20.bin"/><Relationship Id="rId4" Type="http://schemas.openxmlformats.org/officeDocument/2006/relationships/hyperlink" Target="https://elitepropainting.com/how-long-does-paint-last-lifespan-of-paint/" TargetMode="External"/><Relationship Id="rId9" Type="http://schemas.openxmlformats.org/officeDocument/2006/relationships/hyperlink" Target="https://elitepropainting.com/how-long-does-paint-last-lifespan-of-paint/" TargetMode="External"/><Relationship Id="rId14" Type="http://schemas.openxmlformats.org/officeDocument/2006/relationships/hyperlink" Target="https://www.verfwinkel.nl/blog/hoe-vaak-je-huis-schilderen-binnen-and-buiten/"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208F-94C3-4BF0-A904-2C3110BBB34F}">
  <sheetPr>
    <tabColor rgb="FFFF8BD8"/>
  </sheetPr>
  <dimension ref="A1:P23"/>
  <sheetViews>
    <sheetView topLeftCell="A8" zoomScaleNormal="100" workbookViewId="0">
      <selection activeCell="D9" sqref="D8:P9"/>
    </sheetView>
  </sheetViews>
  <sheetFormatPr defaultColWidth="9.28515625" defaultRowHeight="15"/>
  <cols>
    <col min="1" max="1" width="50.7109375" style="76" customWidth="1"/>
    <col min="2" max="2" width="30.7109375" style="19" customWidth="1"/>
    <col min="3" max="3" width="30.7109375" style="3" customWidth="1"/>
    <col min="4" max="16" width="15.7109375" style="3" customWidth="1"/>
    <col min="17" max="16384" width="9.28515625" style="3"/>
  </cols>
  <sheetData>
    <row r="1" spans="1:16" ht="30" customHeight="1" thickBot="1">
      <c r="A1" s="983" t="s">
        <v>0</v>
      </c>
      <c r="B1" s="984"/>
      <c r="C1" s="984"/>
      <c r="D1" s="984"/>
      <c r="E1" s="984"/>
      <c r="F1" s="984"/>
      <c r="G1" s="984"/>
      <c r="H1" s="984"/>
      <c r="I1" s="984"/>
      <c r="J1" s="984"/>
      <c r="K1" s="984"/>
      <c r="L1" s="984"/>
      <c r="M1" s="984"/>
      <c r="N1" s="984"/>
      <c r="O1" s="984"/>
      <c r="P1" s="985"/>
    </row>
    <row r="2" spans="1:16" s="18" customFormat="1" ht="30" customHeight="1" thickBot="1">
      <c r="A2" s="102" t="s">
        <v>1</v>
      </c>
      <c r="B2" s="989" t="s">
        <v>2</v>
      </c>
      <c r="C2" s="990"/>
      <c r="D2" s="989" t="s">
        <v>3</v>
      </c>
      <c r="E2" s="990"/>
      <c r="F2" s="990"/>
      <c r="G2" s="990"/>
      <c r="H2" s="990"/>
      <c r="I2" s="990"/>
      <c r="J2" s="990"/>
      <c r="K2" s="990"/>
      <c r="L2" s="990"/>
      <c r="M2" s="990"/>
      <c r="N2" s="990"/>
      <c r="O2" s="990"/>
      <c r="P2" s="991"/>
    </row>
    <row r="3" spans="1:16" s="18" customFormat="1" ht="49.9" customHeight="1">
      <c r="A3" s="103" t="s">
        <v>4</v>
      </c>
      <c r="B3" s="992" t="s">
        <v>5</v>
      </c>
      <c r="C3" s="994"/>
      <c r="D3" s="992" t="s">
        <v>6</v>
      </c>
      <c r="E3" s="993"/>
      <c r="F3" s="993"/>
      <c r="G3" s="993"/>
      <c r="H3" s="993"/>
      <c r="I3" s="993"/>
      <c r="J3" s="993"/>
      <c r="K3" s="993"/>
      <c r="L3" s="993"/>
      <c r="M3" s="993"/>
      <c r="N3" s="993"/>
      <c r="O3" s="993"/>
      <c r="P3" s="994"/>
    </row>
    <row r="4" spans="1:16" s="18" customFormat="1" ht="250.15" customHeight="1">
      <c r="A4" s="104" t="s">
        <v>7</v>
      </c>
      <c r="B4" s="986" t="s">
        <v>8</v>
      </c>
      <c r="C4" s="987"/>
      <c r="D4" s="986"/>
      <c r="E4" s="988"/>
      <c r="F4" s="988"/>
      <c r="G4" s="988"/>
      <c r="H4" s="988"/>
      <c r="I4" s="988"/>
      <c r="J4" s="988"/>
      <c r="K4" s="988"/>
      <c r="L4" s="988"/>
      <c r="M4" s="988"/>
      <c r="N4" s="988"/>
      <c r="O4" s="988"/>
      <c r="P4" s="987"/>
    </row>
    <row r="5" spans="1:16" s="18" customFormat="1" ht="49.9" customHeight="1">
      <c r="A5" s="104" t="s">
        <v>9</v>
      </c>
      <c r="B5" s="986" t="s">
        <v>10</v>
      </c>
      <c r="C5" s="987"/>
      <c r="D5" s="986" t="s">
        <v>11</v>
      </c>
      <c r="E5" s="988"/>
      <c r="F5" s="988"/>
      <c r="G5" s="988"/>
      <c r="H5" s="988"/>
      <c r="I5" s="988"/>
      <c r="J5" s="988"/>
      <c r="K5" s="988"/>
      <c r="L5" s="988"/>
      <c r="M5" s="988"/>
      <c r="N5" s="988"/>
      <c r="O5" s="988"/>
      <c r="P5" s="987"/>
    </row>
    <row r="6" spans="1:16" s="18" customFormat="1" ht="49.9" customHeight="1">
      <c r="A6" s="104" t="s">
        <v>12</v>
      </c>
      <c r="B6" s="986" t="s">
        <v>13</v>
      </c>
      <c r="C6" s="987"/>
      <c r="D6" s="986" t="s">
        <v>14</v>
      </c>
      <c r="E6" s="988"/>
      <c r="F6" s="988"/>
      <c r="G6" s="988"/>
      <c r="H6" s="988"/>
      <c r="I6" s="988"/>
      <c r="J6" s="988"/>
      <c r="K6" s="988"/>
      <c r="L6" s="988"/>
      <c r="M6" s="988"/>
      <c r="N6" s="988"/>
      <c r="O6" s="988"/>
      <c r="P6" s="987"/>
    </row>
    <row r="7" spans="1:16" s="18" customFormat="1" ht="49.9" customHeight="1">
      <c r="A7" s="104" t="s">
        <v>15</v>
      </c>
      <c r="B7" s="986" t="s">
        <v>16</v>
      </c>
      <c r="C7" s="987"/>
      <c r="D7" s="986" t="s">
        <v>17</v>
      </c>
      <c r="E7" s="988"/>
      <c r="F7" s="988"/>
      <c r="G7" s="988"/>
      <c r="H7" s="988"/>
      <c r="I7" s="988"/>
      <c r="J7" s="988"/>
      <c r="K7" s="988"/>
      <c r="L7" s="988"/>
      <c r="M7" s="988"/>
      <c r="N7" s="988"/>
      <c r="O7" s="988"/>
      <c r="P7" s="987"/>
    </row>
    <row r="8" spans="1:16" s="18" customFormat="1" ht="49.9" customHeight="1">
      <c r="A8" s="104" t="s">
        <v>18</v>
      </c>
      <c r="B8" s="986" t="s">
        <v>19</v>
      </c>
      <c r="C8" s="987"/>
      <c r="D8" s="986" t="s">
        <v>20</v>
      </c>
      <c r="E8" s="988"/>
      <c r="F8" s="988"/>
      <c r="G8" s="988"/>
      <c r="H8" s="988"/>
      <c r="I8" s="988"/>
      <c r="J8" s="988"/>
      <c r="K8" s="988"/>
      <c r="L8" s="988"/>
      <c r="M8" s="988"/>
      <c r="N8" s="988"/>
      <c r="O8" s="988"/>
      <c r="P8" s="987"/>
    </row>
    <row r="9" spans="1:16" s="18" customFormat="1" ht="49.9" customHeight="1">
      <c r="A9" s="104" t="s">
        <v>21</v>
      </c>
      <c r="B9" s="986" t="s">
        <v>22</v>
      </c>
      <c r="C9" s="987"/>
      <c r="D9" s="986" t="s">
        <v>23</v>
      </c>
      <c r="E9" s="988"/>
      <c r="F9" s="988"/>
      <c r="G9" s="988"/>
      <c r="H9" s="988"/>
      <c r="I9" s="988"/>
      <c r="J9" s="988"/>
      <c r="K9" s="988"/>
      <c r="L9" s="988"/>
      <c r="M9" s="988"/>
      <c r="N9" s="988"/>
      <c r="O9" s="988"/>
      <c r="P9" s="987"/>
    </row>
    <row r="10" spans="1:16" s="18" customFormat="1" ht="49.9" customHeight="1">
      <c r="A10" s="104" t="s">
        <v>24</v>
      </c>
      <c r="B10" s="986" t="s">
        <v>25</v>
      </c>
      <c r="C10" s="987"/>
      <c r="D10" s="986" t="s">
        <v>26</v>
      </c>
      <c r="E10" s="988"/>
      <c r="F10" s="988"/>
      <c r="G10" s="988"/>
      <c r="H10" s="988"/>
      <c r="I10" s="988"/>
      <c r="J10" s="988"/>
      <c r="K10" s="988"/>
      <c r="L10" s="988"/>
      <c r="M10" s="988"/>
      <c r="N10" s="988"/>
      <c r="O10" s="988"/>
      <c r="P10" s="987"/>
    </row>
    <row r="11" spans="1:16" s="18" customFormat="1" ht="49.9" customHeight="1">
      <c r="A11" s="104" t="s">
        <v>27</v>
      </c>
      <c r="B11" s="986" t="s">
        <v>28</v>
      </c>
      <c r="C11" s="987"/>
      <c r="D11" s="986" t="s">
        <v>26</v>
      </c>
      <c r="E11" s="988"/>
      <c r="F11" s="988"/>
      <c r="G11" s="988"/>
      <c r="H11" s="988"/>
      <c r="I11" s="988"/>
      <c r="J11" s="988"/>
      <c r="K11" s="988"/>
      <c r="L11" s="988"/>
      <c r="M11" s="988"/>
      <c r="N11" s="988"/>
      <c r="O11" s="988"/>
      <c r="P11" s="987"/>
    </row>
    <row r="12" spans="1:16" s="18" customFormat="1" ht="49.9" customHeight="1">
      <c r="A12" s="104" t="s">
        <v>29</v>
      </c>
      <c r="B12" s="986" t="s">
        <v>30</v>
      </c>
      <c r="C12" s="987"/>
      <c r="D12" s="986" t="s">
        <v>26</v>
      </c>
      <c r="E12" s="988"/>
      <c r="F12" s="988"/>
      <c r="G12" s="988"/>
      <c r="H12" s="988"/>
      <c r="I12" s="988"/>
      <c r="J12" s="988"/>
      <c r="K12" s="988"/>
      <c r="L12" s="988"/>
      <c r="M12" s="988"/>
      <c r="N12" s="988"/>
      <c r="O12" s="988"/>
      <c r="P12" s="987"/>
    </row>
    <row r="13" spans="1:16" s="18" customFormat="1" ht="49.9" customHeight="1">
      <c r="A13" s="104" t="s">
        <v>31</v>
      </c>
      <c r="B13" s="986" t="s">
        <v>32</v>
      </c>
      <c r="C13" s="987"/>
      <c r="D13" s="986" t="s">
        <v>33</v>
      </c>
      <c r="E13" s="988"/>
      <c r="F13" s="988"/>
      <c r="G13" s="988"/>
      <c r="H13" s="988"/>
      <c r="I13" s="988"/>
      <c r="J13" s="988"/>
      <c r="K13" s="988"/>
      <c r="L13" s="988"/>
      <c r="M13" s="988"/>
      <c r="N13" s="988"/>
      <c r="O13" s="988"/>
      <c r="P13" s="987"/>
    </row>
    <row r="14" spans="1:16" s="18" customFormat="1" ht="49.9" customHeight="1">
      <c r="A14" s="104" t="s">
        <v>34</v>
      </c>
      <c r="B14" s="986" t="s">
        <v>35</v>
      </c>
      <c r="C14" s="987"/>
      <c r="D14" s="986" t="s">
        <v>36</v>
      </c>
      <c r="E14" s="988"/>
      <c r="F14" s="988"/>
      <c r="G14" s="988"/>
      <c r="H14" s="988"/>
      <c r="I14" s="988"/>
      <c r="J14" s="988"/>
      <c r="K14" s="988"/>
      <c r="L14" s="988"/>
      <c r="M14" s="988"/>
      <c r="N14" s="988"/>
      <c r="O14" s="988"/>
      <c r="P14" s="987"/>
    </row>
    <row r="15" spans="1:16" s="18" customFormat="1" ht="49.9" customHeight="1">
      <c r="A15" s="104" t="s">
        <v>37</v>
      </c>
      <c r="B15" s="986" t="s">
        <v>38</v>
      </c>
      <c r="C15" s="987"/>
      <c r="D15" s="986" t="s">
        <v>36</v>
      </c>
      <c r="E15" s="988"/>
      <c r="F15" s="988"/>
      <c r="G15" s="988"/>
      <c r="H15" s="988"/>
      <c r="I15" s="988"/>
      <c r="J15" s="988"/>
      <c r="K15" s="988"/>
      <c r="L15" s="988"/>
      <c r="M15" s="988"/>
      <c r="N15" s="988"/>
      <c r="O15" s="988"/>
      <c r="P15" s="987"/>
    </row>
    <row r="16" spans="1:16" s="18" customFormat="1" ht="49.9" customHeight="1" thickBot="1">
      <c r="A16" s="105" t="s">
        <v>39</v>
      </c>
      <c r="B16" s="1000" t="s">
        <v>40</v>
      </c>
      <c r="C16" s="1001"/>
      <c r="D16" s="1000" t="s">
        <v>36</v>
      </c>
      <c r="E16" s="1002"/>
      <c r="F16" s="1002"/>
      <c r="G16" s="1002"/>
      <c r="H16" s="1002"/>
      <c r="I16" s="1002"/>
      <c r="J16" s="1002"/>
      <c r="K16" s="1002"/>
      <c r="L16" s="1002"/>
      <c r="M16" s="1002"/>
      <c r="N16" s="1002"/>
      <c r="O16" s="1002"/>
      <c r="P16" s="1001"/>
    </row>
    <row r="17" spans="1:16">
      <c r="A17" s="78"/>
      <c r="B17" s="20"/>
      <c r="C17" s="21"/>
    </row>
    <row r="18" spans="1:16" ht="15.75" thickBot="1"/>
    <row r="19" spans="1:16" ht="30" customHeight="1" thickBot="1">
      <c r="A19" s="102" t="s">
        <v>41</v>
      </c>
      <c r="B19" s="997" t="s">
        <v>42</v>
      </c>
      <c r="C19" s="998"/>
      <c r="D19" s="998"/>
      <c r="E19" s="998"/>
      <c r="F19" s="998"/>
      <c r="G19" s="998"/>
      <c r="H19" s="998"/>
      <c r="I19" s="998"/>
      <c r="J19" s="998"/>
      <c r="K19" s="998"/>
      <c r="L19" s="998"/>
      <c r="M19" s="998"/>
      <c r="N19" s="998"/>
      <c r="O19" s="998"/>
      <c r="P19" s="999"/>
    </row>
    <row r="20" spans="1:16" ht="30" customHeight="1">
      <c r="A20" s="103" t="s">
        <v>43</v>
      </c>
      <c r="B20" s="996" t="s">
        <v>44</v>
      </c>
      <c r="C20" s="993"/>
      <c r="D20" s="993"/>
      <c r="E20" s="993"/>
      <c r="F20" s="993"/>
      <c r="G20" s="993"/>
      <c r="H20" s="993"/>
      <c r="I20" s="993"/>
      <c r="J20" s="993"/>
      <c r="K20" s="993"/>
      <c r="L20" s="993"/>
      <c r="M20" s="993"/>
      <c r="N20" s="993"/>
      <c r="O20" s="993"/>
      <c r="P20" s="994"/>
    </row>
    <row r="21" spans="1:16" ht="30" customHeight="1">
      <c r="A21" s="104" t="s">
        <v>45</v>
      </c>
      <c r="B21" s="995" t="s">
        <v>46</v>
      </c>
      <c r="C21" s="988"/>
      <c r="D21" s="988"/>
      <c r="E21" s="988"/>
      <c r="F21" s="988"/>
      <c r="G21" s="988"/>
      <c r="H21" s="988"/>
      <c r="I21" s="988"/>
      <c r="J21" s="988"/>
      <c r="K21" s="988"/>
      <c r="L21" s="988"/>
      <c r="M21" s="988"/>
      <c r="N21" s="988"/>
      <c r="O21" s="988"/>
      <c r="P21" s="987"/>
    </row>
    <row r="23" spans="1:16" ht="14.45" customHeight="1"/>
  </sheetData>
  <mergeCells count="34">
    <mergeCell ref="D13:P13"/>
    <mergeCell ref="B21:P21"/>
    <mergeCell ref="B20:P20"/>
    <mergeCell ref="B13:C13"/>
    <mergeCell ref="B14:C14"/>
    <mergeCell ref="B19:P19"/>
    <mergeCell ref="D14:P14"/>
    <mergeCell ref="B15:C15"/>
    <mergeCell ref="B16:C16"/>
    <mergeCell ref="D15:P15"/>
    <mergeCell ref="D16:P16"/>
    <mergeCell ref="B3:C3"/>
    <mergeCell ref="B6:C6"/>
    <mergeCell ref="B7:C7"/>
    <mergeCell ref="D11:P11"/>
    <mergeCell ref="B12:C12"/>
    <mergeCell ref="D12:P12"/>
    <mergeCell ref="B11:C11"/>
    <mergeCell ref="A1:P1"/>
    <mergeCell ref="B9:C9"/>
    <mergeCell ref="B8:C8"/>
    <mergeCell ref="D10:P10"/>
    <mergeCell ref="D9:P9"/>
    <mergeCell ref="D8:P8"/>
    <mergeCell ref="B4:C4"/>
    <mergeCell ref="D4:P4"/>
    <mergeCell ref="B10:C10"/>
    <mergeCell ref="B2:C2"/>
    <mergeCell ref="D2:P2"/>
    <mergeCell ref="D3:P3"/>
    <mergeCell ref="B5:C5"/>
    <mergeCell ref="D5:P5"/>
    <mergeCell ref="D7:P7"/>
    <mergeCell ref="D6:P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04245-AD2A-4701-BD36-F6E5844609B2}">
  <sheetPr>
    <tabColor theme="8"/>
  </sheetPr>
  <dimension ref="A1:F7"/>
  <sheetViews>
    <sheetView zoomScale="80" zoomScaleNormal="80" workbookViewId="0">
      <selection activeCell="E5" sqref="E5"/>
    </sheetView>
  </sheetViews>
  <sheetFormatPr defaultRowHeight="15"/>
  <cols>
    <col min="1" max="1" width="40.7109375" customWidth="1"/>
    <col min="2" max="2" width="15.7109375" customWidth="1"/>
    <col min="3" max="6" width="50.7109375" customWidth="1"/>
  </cols>
  <sheetData>
    <row r="1" spans="1:6" ht="30" customHeight="1">
      <c r="A1" s="267" t="s">
        <v>47</v>
      </c>
      <c r="B1" s="1003" t="s">
        <v>48</v>
      </c>
      <c r="C1" s="274" t="s">
        <v>49</v>
      </c>
      <c r="D1" s="272" t="s">
        <v>50</v>
      </c>
      <c r="E1" s="274" t="s">
        <v>51</v>
      </c>
      <c r="F1" s="282" t="s">
        <v>52</v>
      </c>
    </row>
    <row r="2" spans="1:6" ht="30" customHeight="1" thickBot="1">
      <c r="A2" s="268" t="s">
        <v>53</v>
      </c>
      <c r="B2" s="1004"/>
      <c r="C2" s="275" t="s">
        <v>54</v>
      </c>
      <c r="D2" s="273" t="s">
        <v>55</v>
      </c>
      <c r="E2" s="275" t="s">
        <v>56</v>
      </c>
      <c r="F2" s="283" t="s">
        <v>57</v>
      </c>
    </row>
    <row r="3" spans="1:6" ht="39.950000000000003" customHeight="1">
      <c r="A3" s="22" t="s">
        <v>58</v>
      </c>
      <c r="B3" s="269" t="s">
        <v>59</v>
      </c>
      <c r="C3" s="276" t="s">
        <v>60</v>
      </c>
      <c r="D3" s="279" t="s">
        <v>61</v>
      </c>
      <c r="E3" s="287" t="s">
        <v>62</v>
      </c>
      <c r="F3" s="284" t="s">
        <v>63</v>
      </c>
    </row>
    <row r="4" spans="1:6" ht="39.950000000000003" customHeight="1">
      <c r="A4" s="23" t="s">
        <v>64</v>
      </c>
      <c r="B4" s="270" t="s">
        <v>65</v>
      </c>
      <c r="C4" s="277" t="s">
        <v>2001</v>
      </c>
      <c r="D4" s="280" t="s">
        <v>2002</v>
      </c>
      <c r="E4" s="288" t="s">
        <v>2003</v>
      </c>
      <c r="F4" s="285" t="s">
        <v>2004</v>
      </c>
    </row>
    <row r="5" spans="1:6" ht="39.950000000000003" customHeight="1">
      <c r="A5" s="23" t="s">
        <v>66</v>
      </c>
      <c r="B5" s="270" t="s">
        <v>67</v>
      </c>
      <c r="C5" s="277" t="s">
        <v>68</v>
      </c>
      <c r="D5" s="280" t="s">
        <v>69</v>
      </c>
      <c r="E5" s="288" t="s">
        <v>70</v>
      </c>
      <c r="F5" s="285" t="s">
        <v>71</v>
      </c>
    </row>
    <row r="6" spans="1:6" ht="39.950000000000003" customHeight="1">
      <c r="A6" s="23" t="s">
        <v>72</v>
      </c>
      <c r="B6" s="270" t="s">
        <v>73</v>
      </c>
      <c r="C6" s="277" t="s">
        <v>74</v>
      </c>
      <c r="D6" s="280" t="s">
        <v>75</v>
      </c>
      <c r="E6" s="288" t="s">
        <v>76</v>
      </c>
      <c r="F6" s="285" t="s">
        <v>77</v>
      </c>
    </row>
    <row r="7" spans="1:6" ht="39.950000000000003" customHeight="1" thickBot="1">
      <c r="A7" s="24" t="s">
        <v>78</v>
      </c>
      <c r="B7" s="271" t="s">
        <v>79</v>
      </c>
      <c r="C7" s="278" t="s">
        <v>80</v>
      </c>
      <c r="D7" s="281" t="s">
        <v>81</v>
      </c>
      <c r="E7" s="289" t="s">
        <v>82</v>
      </c>
      <c r="F7" s="286" t="s">
        <v>83</v>
      </c>
    </row>
  </sheetData>
  <mergeCells count="1">
    <mergeCell ref="B1:B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C3CD-72F7-4756-90FD-AE51EAF88EA1}">
  <sheetPr>
    <tabColor theme="7"/>
  </sheetPr>
  <dimension ref="A1:A16"/>
  <sheetViews>
    <sheetView zoomScale="80" zoomScaleNormal="80" workbookViewId="0">
      <selection activeCell="M23" sqref="M23"/>
    </sheetView>
  </sheetViews>
  <sheetFormatPr defaultRowHeight="15"/>
  <cols>
    <col min="1" max="1" width="15.7109375" customWidth="1"/>
    <col min="2" max="2" width="10.28515625" customWidth="1"/>
  </cols>
  <sheetData>
    <row r="1" spans="1:1" ht="30" customHeight="1" thickBot="1">
      <c r="A1" s="146" t="s">
        <v>84</v>
      </c>
    </row>
    <row r="2" spans="1:1">
      <c r="A2" s="147" t="s">
        <v>85</v>
      </c>
    </row>
    <row r="3" spans="1:1">
      <c r="A3" s="148" t="s">
        <v>86</v>
      </c>
    </row>
    <row r="4" spans="1:1">
      <c r="A4" s="148" t="s">
        <v>87</v>
      </c>
    </row>
    <row r="5" spans="1:1">
      <c r="A5" s="148" t="s">
        <v>88</v>
      </c>
    </row>
    <row r="6" spans="1:1">
      <c r="A6" s="148" t="s">
        <v>89</v>
      </c>
    </row>
    <row r="7" spans="1:1">
      <c r="A7" s="148" t="s">
        <v>90</v>
      </c>
    </row>
    <row r="8" spans="1:1">
      <c r="A8" s="148" t="s">
        <v>91</v>
      </c>
    </row>
    <row r="9" spans="1:1">
      <c r="A9" s="148" t="s">
        <v>92</v>
      </c>
    </row>
    <row r="10" spans="1:1">
      <c r="A10" s="148" t="s">
        <v>93</v>
      </c>
    </row>
    <row r="11" spans="1:1">
      <c r="A11" s="148" t="s">
        <v>94</v>
      </c>
    </row>
    <row r="12" spans="1:1">
      <c r="A12" s="148" t="s">
        <v>95</v>
      </c>
    </row>
    <row r="13" spans="1:1">
      <c r="A13" s="148" t="s">
        <v>96</v>
      </c>
    </row>
    <row r="14" spans="1:1">
      <c r="A14" s="148" t="s">
        <v>97</v>
      </c>
    </row>
    <row r="15" spans="1:1">
      <c r="A15" s="148" t="s">
        <v>98</v>
      </c>
    </row>
    <row r="16" spans="1:1" ht="15.75" thickBot="1">
      <c r="A16" s="149" t="s">
        <v>99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5F35-1BE8-491D-A5D1-66586526783F}">
  <sheetPr>
    <tabColor rgb="FFFFC000"/>
  </sheetPr>
  <dimension ref="A1:L1156"/>
  <sheetViews>
    <sheetView zoomScale="90" zoomScaleNormal="90" workbookViewId="0">
      <pane ySplit="1" topLeftCell="A1009" activePane="bottomLeft" state="frozen"/>
      <selection pane="bottomLeft" activeCell="A962" sqref="A962"/>
    </sheetView>
  </sheetViews>
  <sheetFormatPr defaultColWidth="9.28515625" defaultRowHeight="15"/>
  <cols>
    <col min="1" max="1" width="26" style="25" customWidth="1"/>
    <col min="2" max="2" width="15.7109375" style="25" customWidth="1"/>
    <col min="3" max="3" width="15.7109375" style="26" customWidth="1"/>
    <col min="4" max="4" width="15.7109375" style="7" customWidth="1"/>
    <col min="5" max="5" width="108.7109375" style="27" customWidth="1"/>
    <col min="6" max="10" width="10.7109375" style="7" customWidth="1"/>
    <col min="11" max="11" width="9.42578125" style="7" bestFit="1" customWidth="1"/>
    <col min="12" max="12" width="94" style="57" customWidth="1"/>
    <col min="13" max="16384" width="9.28515625" style="2"/>
  </cols>
  <sheetData>
    <row r="1" spans="1:12" s="5" customFormat="1" ht="30" customHeight="1" thickBot="1">
      <c r="A1" s="65" t="s">
        <v>100</v>
      </c>
      <c r="B1" s="107" t="s">
        <v>101</v>
      </c>
      <c r="C1" s="108" t="s">
        <v>102</v>
      </c>
      <c r="D1" s="109" t="s">
        <v>103</v>
      </c>
      <c r="E1" s="108" t="s">
        <v>104</v>
      </c>
      <c r="F1" s="425" t="s">
        <v>105</v>
      </c>
      <c r="G1" s="426" t="s">
        <v>65</v>
      </c>
      <c r="H1" s="426" t="s">
        <v>67</v>
      </c>
      <c r="I1" s="426" t="s">
        <v>73</v>
      </c>
      <c r="J1" s="427" t="s">
        <v>79</v>
      </c>
      <c r="K1" s="816" t="s">
        <v>106</v>
      </c>
      <c r="L1" s="429" t="s">
        <v>107</v>
      </c>
    </row>
    <row r="2" spans="1:12">
      <c r="A2" s="33" t="str">
        <f>Agriculture!A47</f>
        <v>Agriculture</v>
      </c>
      <c r="B2" s="39">
        <f>Agriculture!C47</f>
        <v>2019</v>
      </c>
      <c r="C2" s="33" t="str">
        <f>Agriculture!D47</f>
        <v>LDPE</v>
      </c>
      <c r="D2" s="811">
        <f>Agriculture!E47</f>
        <v>40.881766363330044</v>
      </c>
      <c r="E2" s="151" t="str">
        <f>Agriculture!F47</f>
        <v>Combined from TNO Sieger Henke and Statistics - APE Europe [WWW Document], n.d. URL https://web.archive.org/web/20230930160250/https://apeeurope.eu/statistics/ (accessed 3.27.24). Using 6.7% conversion to NL</v>
      </c>
      <c r="F2" s="28">
        <v>2</v>
      </c>
      <c r="G2" s="11">
        <v>1</v>
      </c>
      <c r="H2" s="11">
        <v>2</v>
      </c>
      <c r="I2" s="11">
        <v>1</v>
      </c>
      <c r="J2" s="42">
        <v>2</v>
      </c>
      <c r="K2" s="264">
        <f t="shared" ref="K2:K60" si="0">IF( OR( ISBLANK(F2),ISBLANK(G2), ISBLANK(H2), ISBLANK(I2), ISBLANK(J2) ), "", 1.5*SQRT(   EXP(2.21*(F2-1)) + EXP(2.21*(G2-1)) + EXP(2.21*(H2-1)) + EXP(2.21*(I2-1)) + EXP(2.21*J2)   )/100*2.45 )</f>
        <v>0.37356464144298934</v>
      </c>
      <c r="L2" s="440" t="str">
        <f>Agriculture!M47</f>
        <v>Estimation using 6.7% conversion to NL (https://ec.europa.eu/eurostat/databrowser/bookmark/ad869a47-4196-4282-b054-0a75caf9373f?lang=en)</v>
      </c>
    </row>
    <row r="3" spans="1:12">
      <c r="A3" s="34" t="str">
        <f>Agriculture!A37</f>
        <v>Agriculture</v>
      </c>
      <c r="B3" s="40">
        <f>Agriculture!C37</f>
        <v>2018</v>
      </c>
      <c r="C3" s="34" t="str">
        <f>Agriculture!D37</f>
        <v>LDPE</v>
      </c>
      <c r="D3" s="812">
        <f>Agriculture!E37</f>
        <v>40.723723573663108</v>
      </c>
      <c r="E3" s="152" t="str">
        <f>Agriculture!F37</f>
        <v>Combined from TNO Sieger Henke and Statistics - APE Europe [WWW Document], n.d. URL https://web.archive.org/web/20230930160250/https://apeeurope.eu/statistics/ (accessed 3.27.24). Using 6.7% conversion to NL</v>
      </c>
      <c r="F3" s="29">
        <v>2</v>
      </c>
      <c r="G3" s="9">
        <v>1</v>
      </c>
      <c r="H3" s="9">
        <v>2</v>
      </c>
      <c r="I3" s="9">
        <v>1</v>
      </c>
      <c r="J3" s="43">
        <v>2</v>
      </c>
      <c r="K3" s="265">
        <f t="shared" si="0"/>
        <v>0.37356464144298934</v>
      </c>
      <c r="L3" s="370" t="str">
        <f>Agriculture!M37</f>
        <v>Estimation using 6.7% conversion to NL (https://ec.europa.eu/eurostat/databrowser/bookmark/ad869a47-4196-4282-b054-0a75caf9373f?lang=en)</v>
      </c>
    </row>
    <row r="4" spans="1:12">
      <c r="A4" s="34" t="str">
        <f>Agriculture!A42</f>
        <v>Agriculture</v>
      </c>
      <c r="B4" s="40">
        <f>Agriculture!C42</f>
        <v>2019</v>
      </c>
      <c r="C4" s="34" t="str">
        <f>Agriculture!D42</f>
        <v>LDPE</v>
      </c>
      <c r="D4" s="812">
        <f>Agriculture!E42</f>
        <v>20.034143869664984</v>
      </c>
      <c r="E4" s="152" t="str">
        <f>Agriculture!F42</f>
        <v>Combined from TNO Sieger Henke and Statistics - APE Europe [WWW Document], n.d. URL https://web.archive.org/web/20230930160250/https://apeeurope.eu/statistics/ (accessed 3.27.24). Using 3.36% conversion to NL</v>
      </c>
      <c r="F4" s="29">
        <v>2</v>
      </c>
      <c r="G4" s="9">
        <v>1</v>
      </c>
      <c r="H4" s="9">
        <v>2</v>
      </c>
      <c r="I4" s="9">
        <v>1</v>
      </c>
      <c r="J4" s="43">
        <v>2</v>
      </c>
      <c r="K4" s="265">
        <f t="shared" si="0"/>
        <v>0.37356464144298934</v>
      </c>
      <c r="L4" s="370" t="str">
        <f>Agriculture!M42</f>
        <v>Estimation using 3.36% conversion to NL (Plastics Europe, 2014)</v>
      </c>
    </row>
    <row r="5" spans="1:12">
      <c r="A5" s="34" t="str">
        <f>Agriculture!A32</f>
        <v>Agriculture</v>
      </c>
      <c r="B5" s="40">
        <f>Agriculture!C32</f>
        <v>2018</v>
      </c>
      <c r="C5" s="34" t="str">
        <f>Agriculture!D32</f>
        <v>LDPE</v>
      </c>
      <c r="D5" s="812">
        <f>Agriculture!E32</f>
        <v>19.95503155784176</v>
      </c>
      <c r="E5" s="152" t="str">
        <f>Agriculture!F32</f>
        <v>Combined from TNO Sieger Henke and Statistics - APE Europe [WWW Document], n.d. URL https://web.archive.org/web/20230930160250/https://apeeurope.eu/statistics/ (accessed 3.27.24). Using 3.36% conversion to NL</v>
      </c>
      <c r="F5" s="29">
        <v>2</v>
      </c>
      <c r="G5" s="9">
        <v>1</v>
      </c>
      <c r="H5" s="9">
        <v>2</v>
      </c>
      <c r="I5" s="9">
        <v>1</v>
      </c>
      <c r="J5" s="43">
        <v>2</v>
      </c>
      <c r="K5" s="265">
        <f t="shared" si="0"/>
        <v>0.37356464144298934</v>
      </c>
      <c r="L5" s="370" t="str">
        <f>Agriculture!M32</f>
        <v>Estimation using 3.36% conversion to NL (Plastics Europe, 2014)</v>
      </c>
    </row>
    <row r="6" spans="1:12">
      <c r="A6" s="34" t="str">
        <f>Agriculture!A44</f>
        <v>Agriculture</v>
      </c>
      <c r="B6" s="40">
        <f>Agriculture!C44</f>
        <v>2019</v>
      </c>
      <c r="C6" s="34" t="str">
        <f>Agriculture!D44</f>
        <v>PVC</v>
      </c>
      <c r="D6" s="812">
        <f>Agriculture!E44</f>
        <v>4.7909395374181711</v>
      </c>
      <c r="E6" s="152" t="str">
        <f>Agriculture!F44</f>
        <v>Combined from TNO Sieger Henke and Statistics - APE Europe [WWW Document], n.d. URL https://web.archive.org/web/20230930160250/https://apeeurope.eu/statistics/ (accessed 3.27.24). Using 6.7% conversion to NL</v>
      </c>
      <c r="F6" s="29">
        <v>2</v>
      </c>
      <c r="G6" s="9">
        <v>1</v>
      </c>
      <c r="H6" s="9">
        <v>2</v>
      </c>
      <c r="I6" s="9">
        <v>1</v>
      </c>
      <c r="J6" s="43">
        <v>2</v>
      </c>
      <c r="K6" s="265">
        <f t="shared" si="0"/>
        <v>0.37356464144298934</v>
      </c>
      <c r="L6" s="370" t="str">
        <f>Agriculture!M44</f>
        <v>Estimation using 6.7% conversion to NL (https://ec.europa.eu/eurostat/databrowser/bookmark/ad869a47-4196-4282-b054-0a75caf9373f?lang=en)</v>
      </c>
    </row>
    <row r="7" spans="1:12">
      <c r="A7" s="34" t="str">
        <f>Agriculture!A34</f>
        <v>Agriculture</v>
      </c>
      <c r="B7" s="40">
        <f>Agriculture!C34</f>
        <v>2018</v>
      </c>
      <c r="C7" s="34" t="str">
        <f>Agriculture!D34</f>
        <v>PVC</v>
      </c>
      <c r="D7" s="812">
        <f>Agriculture!E34</f>
        <v>4.7724184822639018</v>
      </c>
      <c r="E7" s="152" t="str">
        <f>Agriculture!F34</f>
        <v>Combined from TNO Sieger Henke and Statistics - APE Europe [WWW Document], n.d. URL https://web.archive.org/web/20230930160250/https://apeeurope.eu/statistics/ (accessed 3.27.24). Using 6.7% conversion to NL</v>
      </c>
      <c r="F7" s="29">
        <v>2</v>
      </c>
      <c r="G7" s="9">
        <v>1</v>
      </c>
      <c r="H7" s="9">
        <v>2</v>
      </c>
      <c r="I7" s="9">
        <v>1</v>
      </c>
      <c r="J7" s="43">
        <v>2</v>
      </c>
      <c r="K7" s="265">
        <f t="shared" si="0"/>
        <v>0.37356464144298934</v>
      </c>
      <c r="L7" s="370" t="str">
        <f>Agriculture!M34</f>
        <v>Estimation using 6.7% conversion to NL (https://ec.europa.eu/eurostat/databrowser/bookmark/ad869a47-4196-4282-b054-0a75caf9373f?lang=en)</v>
      </c>
    </row>
    <row r="8" spans="1:12">
      <c r="A8" s="34" t="str">
        <f>Agriculture!A39</f>
        <v>Agriculture</v>
      </c>
      <c r="B8" s="40">
        <f>Agriculture!C39</f>
        <v>2019</v>
      </c>
      <c r="C8" s="34" t="str">
        <f>Agriculture!D39</f>
        <v>PVC</v>
      </c>
      <c r="D8" s="812">
        <f>Agriculture!E39</f>
        <v>2.3478039356341438</v>
      </c>
      <c r="E8" s="152" t="str">
        <f>Agriculture!F39</f>
        <v>Combined from TNO Sieger Henke and Statistics - APE Europe [WWW Document], n.d. URL https://web.archive.org/web/20230930160250/https://apeeurope.eu/statistics/ (accessed 3.27.24). Using 3.36% conversion to NL</v>
      </c>
      <c r="F8" s="29">
        <v>2</v>
      </c>
      <c r="G8" s="9">
        <v>1</v>
      </c>
      <c r="H8" s="9">
        <v>2</v>
      </c>
      <c r="I8" s="9">
        <v>1</v>
      </c>
      <c r="J8" s="43">
        <v>2</v>
      </c>
      <c r="K8" s="265">
        <f t="shared" si="0"/>
        <v>0.37356464144298934</v>
      </c>
      <c r="L8" s="370" t="str">
        <f>Agriculture!M39</f>
        <v>Estimation using 3.36% conversion to NL (Plastics Europe, 2014)</v>
      </c>
    </row>
    <row r="9" spans="1:12">
      <c r="A9" s="34" t="str">
        <f>Agriculture!A29</f>
        <v>Agriculture</v>
      </c>
      <c r="B9" s="40">
        <f>Agriculture!C29</f>
        <v>2018</v>
      </c>
      <c r="C9" s="34" t="str">
        <f>Agriculture!D29</f>
        <v>PVC</v>
      </c>
      <c r="D9" s="812">
        <f>Agriculture!E29</f>
        <v>2.3385327534831104</v>
      </c>
      <c r="E9" s="152" t="str">
        <f>Agriculture!F29</f>
        <v>Combined from TNO Sieger Henke and Statistics - APE Europe [WWW Document], n.d. URL https://web.archive.org/web/20230930160250/https://apeeurope.eu/statistics/ (accessed 3.27.24). Using 3.36% conversion to NL</v>
      </c>
      <c r="F9" s="29">
        <v>2</v>
      </c>
      <c r="G9" s="9">
        <v>1</v>
      </c>
      <c r="H9" s="9">
        <v>2</v>
      </c>
      <c r="I9" s="9">
        <v>1</v>
      </c>
      <c r="J9" s="43">
        <v>2</v>
      </c>
      <c r="K9" s="265">
        <f t="shared" si="0"/>
        <v>0.37356464144298934</v>
      </c>
      <c r="L9" s="370" t="str">
        <f>Agriculture!M29</f>
        <v>Estimation using 3.36% conversion to NL (Plastics Europe, 2014)</v>
      </c>
    </row>
    <row r="10" spans="1:12">
      <c r="A10" s="34" t="str">
        <f>Agriculture!A48</f>
        <v>Agriculture</v>
      </c>
      <c r="B10" s="40">
        <f>Agriculture!C48</f>
        <v>2019</v>
      </c>
      <c r="C10" s="34" t="str">
        <f>Agriculture!D48</f>
        <v>HDPE</v>
      </c>
      <c r="D10" s="812">
        <f>Agriculture!E48</f>
        <v>0.57869313747088835</v>
      </c>
      <c r="E10" s="152" t="str">
        <f>Agriculture!F48</f>
        <v>Combined from TNO Sieger Henke and Statistics - APE Europe [WWW Document], n.d. URL https://web.archive.org/web/20230930160250/https://apeeurope.eu/statistics/ (accessed 3.27.24). Using 6.7% conversion to NL</v>
      </c>
      <c r="F10" s="29">
        <v>2</v>
      </c>
      <c r="G10" s="9">
        <v>1</v>
      </c>
      <c r="H10" s="9">
        <v>2</v>
      </c>
      <c r="I10" s="9">
        <v>1</v>
      </c>
      <c r="J10" s="43">
        <v>2</v>
      </c>
      <c r="K10" s="265">
        <f t="shared" si="0"/>
        <v>0.37356464144298934</v>
      </c>
      <c r="L10" s="370" t="str">
        <f>Agriculture!M48</f>
        <v>Estimation using 6.7% conversion to NL (https://ec.europa.eu/eurostat/databrowser/bookmark/ad869a47-4196-4282-b054-0a75caf9373f?lang=en)</v>
      </c>
    </row>
    <row r="11" spans="1:12">
      <c r="A11" s="34" t="str">
        <f>Agriculture!A38</f>
        <v>Agriculture</v>
      </c>
      <c r="B11" s="40">
        <f>Agriculture!C38</f>
        <v>2018</v>
      </c>
      <c r="C11" s="34" t="str">
        <f>Agriculture!D38</f>
        <v>HDPE</v>
      </c>
      <c r="D11" s="812">
        <f>Agriculture!E38</f>
        <v>0.57645599641895362</v>
      </c>
      <c r="E11" s="152" t="str">
        <f>Agriculture!F38</f>
        <v>Combined from TNO Sieger Henke and Statistics - APE Europe [WWW Document], n.d. URL https://web.archive.org/web/20230930160250/https://apeeurope.eu/statistics/ (accessed 3.27.24). Using 6.7% conversion to NL</v>
      </c>
      <c r="F11" s="29">
        <v>2</v>
      </c>
      <c r="G11" s="9">
        <v>1</v>
      </c>
      <c r="H11" s="9">
        <v>2</v>
      </c>
      <c r="I11" s="9">
        <v>1</v>
      </c>
      <c r="J11" s="43">
        <v>2</v>
      </c>
      <c r="K11" s="265">
        <f t="shared" si="0"/>
        <v>0.37356464144298934</v>
      </c>
      <c r="L11" s="370" t="str">
        <f>Agriculture!M38</f>
        <v>Estimation using 6.7% conversion to NL (https://ec.europa.eu/eurostat/databrowser/bookmark/ad869a47-4196-4282-b054-0a75caf9373f?lang=en)</v>
      </c>
    </row>
    <row r="12" spans="1:12">
      <c r="A12" s="34" t="str">
        <f>Agriculture!A43</f>
        <v>Agriculture</v>
      </c>
      <c r="B12" s="40">
        <f>Agriculture!C43</f>
        <v>2019</v>
      </c>
      <c r="C12" s="34" t="str">
        <f>Agriculture!D43</f>
        <v>HDPE</v>
      </c>
      <c r="D12" s="812">
        <f>Agriculture!E43</f>
        <v>0.28358905702466886</v>
      </c>
      <c r="E12" s="152" t="str">
        <f>Agriculture!F43</f>
        <v>Combined from TNO Sieger Henke and Statistics - APE Europe [WWW Document], n.d. URL https://web.archive.org/web/20230930160250/https://apeeurope.eu/statistics/ (accessed 3.27.24). Using 3.36% conversion to NL</v>
      </c>
      <c r="F12" s="29">
        <v>2</v>
      </c>
      <c r="G12" s="9">
        <v>1</v>
      </c>
      <c r="H12" s="9">
        <v>2</v>
      </c>
      <c r="I12" s="9">
        <v>1</v>
      </c>
      <c r="J12" s="43">
        <v>2</v>
      </c>
      <c r="K12" s="265">
        <f t="shared" si="0"/>
        <v>0.37356464144298934</v>
      </c>
      <c r="L12" s="370" t="str">
        <f>Agriculture!M43</f>
        <v>Estimation using 3.36% conversion to NL (Plastics Europe, 2014)</v>
      </c>
    </row>
    <row r="13" spans="1:12">
      <c r="A13" s="34" t="str">
        <f>Agriculture!A33</f>
        <v>Agriculture</v>
      </c>
      <c r="B13" s="40">
        <f>Agriculture!C33</f>
        <v>2018</v>
      </c>
      <c r="C13" s="34" t="str">
        <f>Agriculture!D33</f>
        <v>HDPE</v>
      </c>
      <c r="D13" s="812">
        <f>Agriculture!E33</f>
        <v>0.2824691995426149</v>
      </c>
      <c r="E13" s="152" t="str">
        <f>Agriculture!F33</f>
        <v>Combined from TNO Sieger Henke and Statistics - APE Europe [WWW Document], n.d. URL https://web.archive.org/web/20230930160250/https://apeeurope.eu/statistics/ (accessed 3.27.24). Using 3.36% conversion to NL</v>
      </c>
      <c r="F13" s="29">
        <v>2</v>
      </c>
      <c r="G13" s="9">
        <v>1</v>
      </c>
      <c r="H13" s="9">
        <v>2</v>
      </c>
      <c r="I13" s="9">
        <v>1</v>
      </c>
      <c r="J13" s="43">
        <v>2</v>
      </c>
      <c r="K13" s="265">
        <f t="shared" si="0"/>
        <v>0.37356464144298934</v>
      </c>
      <c r="L13" s="370" t="str">
        <f>Agriculture!M33</f>
        <v>Estimation using 3.36% conversion to NL (Plastics Europe, 2014)</v>
      </c>
    </row>
    <row r="14" spans="1:12">
      <c r="A14" s="34" t="str">
        <f>Agriculture!A45</f>
        <v>Agriculture</v>
      </c>
      <c r="B14" s="40">
        <f>Agriculture!C45</f>
        <v>2019</v>
      </c>
      <c r="C14" s="34" t="str">
        <f>Agriculture!D45</f>
        <v>PS</v>
      </c>
      <c r="D14" s="812">
        <f>Agriculture!E45</f>
        <v>0.22754023477239763</v>
      </c>
      <c r="E14" s="152" t="str">
        <f>Agriculture!F45</f>
        <v>Combined from TNO Sieger Henke and Statistics - APE Europe [WWW Document], n.d. URL https://web.archive.org/web/20230930160250/https://apeeurope.eu/statistics/ (accessed 3.27.24). Using 6.7% conversion to NL</v>
      </c>
      <c r="F14" s="29">
        <v>2</v>
      </c>
      <c r="G14" s="9">
        <v>1</v>
      </c>
      <c r="H14" s="9">
        <v>2</v>
      </c>
      <c r="I14" s="9">
        <v>1</v>
      </c>
      <c r="J14" s="43">
        <v>2</v>
      </c>
      <c r="K14" s="265">
        <f t="shared" si="0"/>
        <v>0.37356464144298934</v>
      </c>
      <c r="L14" s="370" t="str">
        <f>Agriculture!M45</f>
        <v>Estimation using 6.7% conversion to NL (https://ec.europa.eu/eurostat/databrowser/bookmark/ad869a47-4196-4282-b054-0a75caf9373f?lang=en)</v>
      </c>
    </row>
    <row r="15" spans="1:12">
      <c r="A15" s="34" t="str">
        <f>Agriculture!A46</f>
        <v>Agriculture</v>
      </c>
      <c r="B15" s="40">
        <f>Agriculture!C46</f>
        <v>2019</v>
      </c>
      <c r="C15" s="34" t="str">
        <f>Agriculture!D46</f>
        <v>PP</v>
      </c>
      <c r="D15" s="812">
        <f>Agriculture!E46</f>
        <v>0.22754023477239763</v>
      </c>
      <c r="E15" s="152" t="str">
        <f>Agriculture!F46</f>
        <v>Combined from TNO Sieger Henke and Statistics - APE Europe [WWW Document], n.d. URL https://web.archive.org/web/20230930160250/https://apeeurope.eu/statistics/ (accessed 3.27.24). Using 6.7% conversion to NL</v>
      </c>
      <c r="F15" s="29">
        <v>2</v>
      </c>
      <c r="G15" s="9">
        <v>1</v>
      </c>
      <c r="H15" s="9">
        <v>2</v>
      </c>
      <c r="I15" s="9">
        <v>1</v>
      </c>
      <c r="J15" s="43">
        <v>2</v>
      </c>
      <c r="K15" s="265">
        <f t="shared" si="0"/>
        <v>0.37356464144298934</v>
      </c>
      <c r="L15" s="370" t="str">
        <f>Agriculture!M46</f>
        <v>Estimation using 6.7% conversion to NL (https://ec.europa.eu/eurostat/databrowser/bookmark/ad869a47-4196-4282-b054-0a75caf9373f?lang=en)</v>
      </c>
    </row>
    <row r="16" spans="1:12">
      <c r="A16" s="34" t="str">
        <f>Agriculture!A35</f>
        <v>Agriculture</v>
      </c>
      <c r="B16" s="40">
        <f>Agriculture!C35</f>
        <v>2018</v>
      </c>
      <c r="C16" s="34" t="str">
        <f>Agriculture!D35</f>
        <v>PS</v>
      </c>
      <c r="D16" s="812">
        <f>Agriculture!E35</f>
        <v>0.22666059828249402</v>
      </c>
      <c r="E16" s="152" t="str">
        <f>Agriculture!F35</f>
        <v>Combined from TNO Sieger Henke and Statistics - APE Europe [WWW Document], n.d. URL https://web.archive.org/web/20230930160250/https://apeeurope.eu/statistics/ (accessed 3.27.24). Using 6.7% conversion to NL</v>
      </c>
      <c r="F16" s="29">
        <v>2</v>
      </c>
      <c r="G16" s="9">
        <v>1</v>
      </c>
      <c r="H16" s="9">
        <v>2</v>
      </c>
      <c r="I16" s="9">
        <v>1</v>
      </c>
      <c r="J16" s="43">
        <v>2</v>
      </c>
      <c r="K16" s="265">
        <f t="shared" si="0"/>
        <v>0.37356464144298934</v>
      </c>
      <c r="L16" s="370" t="str">
        <f>Agriculture!M35</f>
        <v>Estimation using 6.7% conversion to NL (https://ec.europa.eu/eurostat/databrowser/bookmark/ad869a47-4196-4282-b054-0a75caf9373f?lang=en)</v>
      </c>
    </row>
    <row r="17" spans="1:12">
      <c r="A17" s="34" t="str">
        <f>Agriculture!A36</f>
        <v>Agriculture</v>
      </c>
      <c r="B17" s="40">
        <f>Agriculture!C36</f>
        <v>2018</v>
      </c>
      <c r="C17" s="34" t="str">
        <f>Agriculture!D36</f>
        <v>PP</v>
      </c>
      <c r="D17" s="812">
        <f>Agriculture!E36</f>
        <v>0.22666059828249402</v>
      </c>
      <c r="E17" s="152" t="str">
        <f>Agriculture!F36</f>
        <v>Combined from TNO Sieger Henke and Statistics - APE Europe [WWW Document], n.d. URL https://web.archive.org/web/20230930160250/https://apeeurope.eu/statistics/ (accessed 3.27.24). Using 6.7% conversion to NL</v>
      </c>
      <c r="F17" s="29">
        <v>2</v>
      </c>
      <c r="G17" s="9">
        <v>1</v>
      </c>
      <c r="H17" s="9">
        <v>2</v>
      </c>
      <c r="I17" s="9">
        <v>1</v>
      </c>
      <c r="J17" s="43">
        <v>2</v>
      </c>
      <c r="K17" s="265">
        <f t="shared" si="0"/>
        <v>0.37356464144298934</v>
      </c>
      <c r="L17" s="370" t="str">
        <f>Agriculture!M36</f>
        <v>Estimation using 6.7% conversion to NL (https://ec.europa.eu/eurostat/databrowser/bookmark/ad869a47-4196-4282-b054-0a75caf9373f?lang=en)</v>
      </c>
    </row>
    <row r="18" spans="1:12">
      <c r="A18" s="34" t="str">
        <f>Agriculture!A40</f>
        <v>Agriculture</v>
      </c>
      <c r="B18" s="40">
        <f>Agriculture!C40</f>
        <v>2019</v>
      </c>
      <c r="C18" s="34" t="str">
        <f>Agriculture!D40</f>
        <v>PS</v>
      </c>
      <c r="D18" s="812">
        <f>Agriculture!E40</f>
        <v>0.11150628275339129</v>
      </c>
      <c r="E18" s="152" t="str">
        <f>Agriculture!F40</f>
        <v>Combined from TNO Sieger Henke and Statistics - APE Europe [WWW Document], n.d. URL https://web.archive.org/web/20230930160250/https://apeeurope.eu/statistics/ (accessed 3.27.24). Using 3.36% conversion to NL</v>
      </c>
      <c r="F18" s="29">
        <v>2</v>
      </c>
      <c r="G18" s="9">
        <v>1</v>
      </c>
      <c r="H18" s="9">
        <v>2</v>
      </c>
      <c r="I18" s="9">
        <v>1</v>
      </c>
      <c r="J18" s="43">
        <v>2</v>
      </c>
      <c r="K18" s="265">
        <f t="shared" si="0"/>
        <v>0.37356464144298934</v>
      </c>
      <c r="L18" s="370" t="str">
        <f>Agriculture!M40</f>
        <v>Estimation using 3.36% conversion to NL (Plastics Europe, 2014)</v>
      </c>
    </row>
    <row r="19" spans="1:12">
      <c r="A19" s="34" t="str">
        <f>Agriculture!A41</f>
        <v>Agriculture</v>
      </c>
      <c r="B19" s="40">
        <f>Agriculture!C41</f>
        <v>2019</v>
      </c>
      <c r="C19" s="34" t="str">
        <f>Agriculture!D41</f>
        <v>PP</v>
      </c>
      <c r="D19" s="812">
        <f>Agriculture!E41</f>
        <v>0.11150628275339129</v>
      </c>
      <c r="E19" s="152" t="str">
        <f>Agriculture!F41</f>
        <v>Combined from TNO Sieger Henke and Statistics - APE Europe [WWW Document], n.d. URL https://web.archive.org/web/20230930160250/https://apeeurope.eu/statistics/ (accessed 3.27.24). Using 3.36% conversion to NL</v>
      </c>
      <c r="F19" s="29">
        <v>2</v>
      </c>
      <c r="G19" s="9">
        <v>1</v>
      </c>
      <c r="H19" s="9">
        <v>2</v>
      </c>
      <c r="I19" s="9">
        <v>1</v>
      </c>
      <c r="J19" s="43">
        <v>2</v>
      </c>
      <c r="K19" s="265">
        <f t="shared" si="0"/>
        <v>0.37356464144298934</v>
      </c>
      <c r="L19" s="370" t="str">
        <f>Agriculture!M41</f>
        <v>Estimation using 3.36% conversion to NL (Plastics Europe, 2014)</v>
      </c>
    </row>
    <row r="20" spans="1:12">
      <c r="A20" s="34" t="str">
        <f>Agriculture!A30</f>
        <v>Agriculture</v>
      </c>
      <c r="B20" s="40">
        <f>Agriculture!C30</f>
        <v>2018</v>
      </c>
      <c r="C20" s="34" t="str">
        <f>Agriculture!D30</f>
        <v>PS</v>
      </c>
      <c r="D20" s="812">
        <f>Agriculture!E30</f>
        <v>0.11106595848154695</v>
      </c>
      <c r="E20" s="152" t="str">
        <f>Agriculture!F30</f>
        <v>Combined from TNO Sieger Henke and Statistics - APE Europe [WWW Document], n.d. URL https://web.archive.org/web/20230930160250/https://apeeurope.eu/statistics/ (accessed 3.27.24). Using 3.36% conversion to NL</v>
      </c>
      <c r="F20" s="29">
        <v>2</v>
      </c>
      <c r="G20" s="9">
        <v>1</v>
      </c>
      <c r="H20" s="9">
        <v>2</v>
      </c>
      <c r="I20" s="9">
        <v>1</v>
      </c>
      <c r="J20" s="43">
        <v>2</v>
      </c>
      <c r="K20" s="265">
        <f t="shared" si="0"/>
        <v>0.37356464144298934</v>
      </c>
      <c r="L20" s="370" t="str">
        <f>Agriculture!M30</f>
        <v>Estimation using 3.36% conversion to NL (Plastics Europe, 2014)</v>
      </c>
    </row>
    <row r="21" spans="1:12" ht="15.75" thickBot="1">
      <c r="A21" s="35" t="str">
        <f>Agriculture!A31</f>
        <v>Agriculture</v>
      </c>
      <c r="B21" s="41">
        <f>Agriculture!C31</f>
        <v>2018</v>
      </c>
      <c r="C21" s="35" t="str">
        <f>Agriculture!D31</f>
        <v>PP</v>
      </c>
      <c r="D21" s="815">
        <f>Agriculture!E31</f>
        <v>0.11106595848154695</v>
      </c>
      <c r="E21" s="153" t="str">
        <f>Agriculture!F31</f>
        <v>Combined from TNO Sieger Henke and Statistics - APE Europe [WWW Document], n.d. URL https://web.archive.org/web/20230930160250/https://apeeurope.eu/statistics/ (accessed 3.27.24). Using 3.36% conversion to NL</v>
      </c>
      <c r="F21" s="30">
        <v>2</v>
      </c>
      <c r="G21" s="12">
        <v>1</v>
      </c>
      <c r="H21" s="12">
        <v>2</v>
      </c>
      <c r="I21" s="12">
        <v>1</v>
      </c>
      <c r="J21" s="44">
        <v>2</v>
      </c>
      <c r="K21" s="266">
        <f t="shared" si="0"/>
        <v>0.37356464144298934</v>
      </c>
      <c r="L21" s="441" t="str">
        <f>Agriculture!M31</f>
        <v>Estimation using 3.36% conversion to NL (Plastics Europe, 2014)</v>
      </c>
    </row>
    <row r="22" spans="1:12">
      <c r="A22" s="60" t="s">
        <v>109</v>
      </c>
      <c r="B22" s="823">
        <v>1995</v>
      </c>
      <c r="C22" s="824" t="s">
        <v>85</v>
      </c>
      <c r="D22" s="824">
        <v>1435</v>
      </c>
      <c r="E22" s="442" t="s">
        <v>110</v>
      </c>
      <c r="F22" s="630">
        <v>1</v>
      </c>
      <c r="G22" s="118">
        <v>1</v>
      </c>
      <c r="H22" s="118">
        <v>1</v>
      </c>
      <c r="I22" s="118">
        <v>2</v>
      </c>
      <c r="J22" s="677">
        <v>2</v>
      </c>
      <c r="K22" s="588">
        <f t="shared" si="0"/>
        <v>0.35859414261160716</v>
      </c>
      <c r="L22" s="669" t="s">
        <v>111</v>
      </c>
    </row>
    <row r="23" spans="1:12">
      <c r="A23" s="34" t="s">
        <v>109</v>
      </c>
      <c r="B23" s="344">
        <v>1995</v>
      </c>
      <c r="C23" s="59" t="s">
        <v>86</v>
      </c>
      <c r="D23" s="59">
        <v>290</v>
      </c>
      <c r="E23" s="370" t="s">
        <v>110</v>
      </c>
      <c r="F23" s="122">
        <v>1</v>
      </c>
      <c r="G23" s="9">
        <v>1</v>
      </c>
      <c r="H23" s="9">
        <v>1</v>
      </c>
      <c r="I23" s="9">
        <v>2</v>
      </c>
      <c r="J23" s="43">
        <v>2</v>
      </c>
      <c r="K23" s="265">
        <f t="shared" si="0"/>
        <v>0.35859414261160716</v>
      </c>
      <c r="L23" s="164" t="s">
        <v>111</v>
      </c>
    </row>
    <row r="24" spans="1:12">
      <c r="A24" s="34" t="s">
        <v>109</v>
      </c>
      <c r="B24" s="344">
        <v>1995</v>
      </c>
      <c r="C24" s="59" t="s">
        <v>87</v>
      </c>
      <c r="D24" s="59">
        <v>852</v>
      </c>
      <c r="E24" s="370" t="s">
        <v>110</v>
      </c>
      <c r="F24" s="122">
        <v>1</v>
      </c>
      <c r="G24" s="9">
        <v>1</v>
      </c>
      <c r="H24" s="9">
        <v>1</v>
      </c>
      <c r="I24" s="9">
        <v>2</v>
      </c>
      <c r="J24" s="43">
        <v>2</v>
      </c>
      <c r="K24" s="265">
        <f t="shared" si="0"/>
        <v>0.35859414261160716</v>
      </c>
      <c r="L24" s="164" t="s">
        <v>111</v>
      </c>
    </row>
    <row r="25" spans="1:12">
      <c r="A25" s="34" t="s">
        <v>109</v>
      </c>
      <c r="B25" s="344">
        <v>1995</v>
      </c>
      <c r="C25" s="59" t="s">
        <v>88</v>
      </c>
      <c r="D25" s="59">
        <v>4</v>
      </c>
      <c r="E25" s="370" t="s">
        <v>110</v>
      </c>
      <c r="F25" s="122">
        <v>1</v>
      </c>
      <c r="G25" s="9">
        <v>1</v>
      </c>
      <c r="H25" s="9">
        <v>1</v>
      </c>
      <c r="I25" s="9">
        <v>2</v>
      </c>
      <c r="J25" s="43">
        <v>2</v>
      </c>
      <c r="K25" s="265">
        <f t="shared" si="0"/>
        <v>0.35859414261160716</v>
      </c>
      <c r="L25" s="164" t="s">
        <v>111</v>
      </c>
    </row>
    <row r="26" spans="1:12">
      <c r="A26" s="34" t="s">
        <v>109</v>
      </c>
      <c r="B26" s="344">
        <v>1995</v>
      </c>
      <c r="C26" s="59" t="s">
        <v>89</v>
      </c>
      <c r="D26" s="59">
        <v>191</v>
      </c>
      <c r="E26" s="370" t="s">
        <v>110</v>
      </c>
      <c r="F26" s="122">
        <v>1</v>
      </c>
      <c r="G26" s="9">
        <v>1</v>
      </c>
      <c r="H26" s="9">
        <v>1</v>
      </c>
      <c r="I26" s="9">
        <v>2</v>
      </c>
      <c r="J26" s="43">
        <v>2</v>
      </c>
      <c r="K26" s="265">
        <f t="shared" si="0"/>
        <v>0.35859414261160716</v>
      </c>
      <c r="L26" s="164" t="s">
        <v>111</v>
      </c>
    </row>
    <row r="27" spans="1:12">
      <c r="A27" s="34" t="s">
        <v>109</v>
      </c>
      <c r="B27" s="344">
        <v>1995</v>
      </c>
      <c r="C27" s="59" t="s">
        <v>90</v>
      </c>
      <c r="D27" s="59">
        <v>610</v>
      </c>
      <c r="E27" s="370" t="s">
        <v>110</v>
      </c>
      <c r="F27" s="122">
        <v>1</v>
      </c>
      <c r="G27" s="9">
        <v>1</v>
      </c>
      <c r="H27" s="9">
        <v>1</v>
      </c>
      <c r="I27" s="9">
        <v>2</v>
      </c>
      <c r="J27" s="43">
        <v>2</v>
      </c>
      <c r="K27" s="265">
        <f t="shared" si="0"/>
        <v>0.35859414261160716</v>
      </c>
      <c r="L27" s="164" t="s">
        <v>111</v>
      </c>
    </row>
    <row r="28" spans="1:12">
      <c r="A28" s="34" t="s">
        <v>109</v>
      </c>
      <c r="B28" s="344">
        <v>1995</v>
      </c>
      <c r="C28" s="59" t="s">
        <v>91</v>
      </c>
      <c r="D28" s="59">
        <v>0</v>
      </c>
      <c r="E28" s="370" t="s">
        <v>110</v>
      </c>
      <c r="F28" s="122">
        <v>1</v>
      </c>
      <c r="G28" s="9">
        <v>1</v>
      </c>
      <c r="H28" s="9">
        <v>1</v>
      </c>
      <c r="I28" s="9">
        <v>2</v>
      </c>
      <c r="J28" s="43">
        <v>2</v>
      </c>
      <c r="K28" s="265">
        <f t="shared" si="0"/>
        <v>0.35859414261160716</v>
      </c>
      <c r="L28" s="164" t="s">
        <v>111</v>
      </c>
    </row>
    <row r="29" spans="1:12">
      <c r="A29" s="34" t="s">
        <v>109</v>
      </c>
      <c r="B29" s="344">
        <v>1995</v>
      </c>
      <c r="C29" s="59" t="s">
        <v>94</v>
      </c>
      <c r="D29" s="59">
        <v>144</v>
      </c>
      <c r="E29" s="370" t="s">
        <v>110</v>
      </c>
      <c r="F29" s="122">
        <v>1</v>
      </c>
      <c r="G29" s="9">
        <v>1</v>
      </c>
      <c r="H29" s="9">
        <v>1</v>
      </c>
      <c r="I29" s="9">
        <v>2</v>
      </c>
      <c r="J29" s="43">
        <v>2</v>
      </c>
      <c r="K29" s="265">
        <f t="shared" si="0"/>
        <v>0.35859414261160716</v>
      </c>
      <c r="L29" s="164" t="s">
        <v>111</v>
      </c>
    </row>
    <row r="30" spans="1:12">
      <c r="A30" s="34" t="s">
        <v>109</v>
      </c>
      <c r="B30" s="344">
        <v>1995</v>
      </c>
      <c r="C30" s="59" t="s">
        <v>96</v>
      </c>
      <c r="D30" s="59">
        <v>337</v>
      </c>
      <c r="E30" s="370" t="s">
        <v>110</v>
      </c>
      <c r="F30" s="122">
        <v>1</v>
      </c>
      <c r="G30" s="9">
        <v>1</v>
      </c>
      <c r="H30" s="9">
        <v>1</v>
      </c>
      <c r="I30" s="9">
        <v>2</v>
      </c>
      <c r="J30" s="43">
        <v>2</v>
      </c>
      <c r="K30" s="265">
        <f t="shared" si="0"/>
        <v>0.35859414261160716</v>
      </c>
      <c r="L30" s="164" t="s">
        <v>111</v>
      </c>
    </row>
    <row r="31" spans="1:12">
      <c r="A31" s="34" t="s">
        <v>109</v>
      </c>
      <c r="B31" s="344">
        <v>1995</v>
      </c>
      <c r="C31" s="59" t="s">
        <v>97</v>
      </c>
      <c r="D31" s="59">
        <v>233</v>
      </c>
      <c r="E31" s="370" t="s">
        <v>110</v>
      </c>
      <c r="F31" s="122">
        <v>1</v>
      </c>
      <c r="G31" s="9">
        <v>1</v>
      </c>
      <c r="H31" s="9">
        <v>1</v>
      </c>
      <c r="I31" s="9">
        <v>2</v>
      </c>
      <c r="J31" s="43">
        <v>2</v>
      </c>
      <c r="K31" s="265">
        <f t="shared" si="0"/>
        <v>0.35859414261160716</v>
      </c>
      <c r="L31" s="164" t="s">
        <v>111</v>
      </c>
    </row>
    <row r="32" spans="1:12">
      <c r="A32" s="34" t="s">
        <v>109</v>
      </c>
      <c r="B32" s="344">
        <v>1995</v>
      </c>
      <c r="C32" s="59" t="s">
        <v>95</v>
      </c>
      <c r="D32" s="59">
        <v>200</v>
      </c>
      <c r="E32" s="370" t="s">
        <v>110</v>
      </c>
      <c r="F32" s="122">
        <v>1</v>
      </c>
      <c r="G32" s="9">
        <v>1</v>
      </c>
      <c r="H32" s="9">
        <v>1</v>
      </c>
      <c r="I32" s="9">
        <v>2</v>
      </c>
      <c r="J32" s="43">
        <v>2</v>
      </c>
      <c r="K32" s="265">
        <f t="shared" si="0"/>
        <v>0.35859414261160716</v>
      </c>
      <c r="L32" s="164" t="s">
        <v>111</v>
      </c>
    </row>
    <row r="33" spans="1:12">
      <c r="A33" s="34" t="s">
        <v>109</v>
      </c>
      <c r="B33" s="344">
        <v>1995</v>
      </c>
      <c r="C33" s="59" t="s">
        <v>93</v>
      </c>
      <c r="D33" s="59">
        <v>98</v>
      </c>
      <c r="E33" s="370" t="s">
        <v>110</v>
      </c>
      <c r="F33" s="122">
        <v>1</v>
      </c>
      <c r="G33" s="9">
        <v>1</v>
      </c>
      <c r="H33" s="9">
        <v>1</v>
      </c>
      <c r="I33" s="9">
        <v>2</v>
      </c>
      <c r="J33" s="43">
        <v>2</v>
      </c>
      <c r="K33" s="265">
        <f t="shared" si="0"/>
        <v>0.35859414261160716</v>
      </c>
      <c r="L33" s="164" t="s">
        <v>111</v>
      </c>
    </row>
    <row r="34" spans="1:12">
      <c r="A34" s="34" t="s">
        <v>109</v>
      </c>
      <c r="B34" s="344">
        <v>1995</v>
      </c>
      <c r="C34" s="59" t="s">
        <v>98</v>
      </c>
      <c r="D34" s="59">
        <v>1106</v>
      </c>
      <c r="E34" s="370" t="s">
        <v>110</v>
      </c>
      <c r="F34" s="122">
        <v>1</v>
      </c>
      <c r="G34" s="9">
        <v>1</v>
      </c>
      <c r="H34" s="9">
        <v>1</v>
      </c>
      <c r="I34" s="9">
        <v>2</v>
      </c>
      <c r="J34" s="43">
        <v>2</v>
      </c>
      <c r="K34" s="265">
        <f t="shared" si="0"/>
        <v>0.35859414261160716</v>
      </c>
      <c r="L34" s="164" t="s">
        <v>111</v>
      </c>
    </row>
    <row r="35" spans="1:12">
      <c r="A35" s="34" t="s">
        <v>109</v>
      </c>
      <c r="B35" s="344">
        <v>1996</v>
      </c>
      <c r="C35" s="59" t="s">
        <v>85</v>
      </c>
      <c r="D35" s="59">
        <v>1435</v>
      </c>
      <c r="E35" s="370" t="s">
        <v>110</v>
      </c>
      <c r="F35" s="122">
        <v>1</v>
      </c>
      <c r="G35" s="9">
        <v>1</v>
      </c>
      <c r="H35" s="9">
        <v>1</v>
      </c>
      <c r="I35" s="9">
        <v>2</v>
      </c>
      <c r="J35" s="43">
        <v>2</v>
      </c>
      <c r="K35" s="265">
        <f t="shared" si="0"/>
        <v>0.35859414261160716</v>
      </c>
      <c r="L35" s="164" t="s">
        <v>111</v>
      </c>
    </row>
    <row r="36" spans="1:12">
      <c r="A36" s="34" t="s">
        <v>109</v>
      </c>
      <c r="B36" s="344">
        <v>1996</v>
      </c>
      <c r="C36" s="59" t="s">
        <v>86</v>
      </c>
      <c r="D36" s="59">
        <v>290</v>
      </c>
      <c r="E36" s="370" t="s">
        <v>110</v>
      </c>
      <c r="F36" s="122">
        <v>1</v>
      </c>
      <c r="G36" s="9">
        <v>1</v>
      </c>
      <c r="H36" s="9">
        <v>1</v>
      </c>
      <c r="I36" s="9">
        <v>2</v>
      </c>
      <c r="J36" s="43">
        <v>2</v>
      </c>
      <c r="K36" s="265">
        <f t="shared" si="0"/>
        <v>0.35859414261160716</v>
      </c>
      <c r="L36" s="164" t="s">
        <v>111</v>
      </c>
    </row>
    <row r="37" spans="1:12">
      <c r="A37" s="34" t="s">
        <v>109</v>
      </c>
      <c r="B37" s="344">
        <v>1996</v>
      </c>
      <c r="C37" s="59" t="s">
        <v>87</v>
      </c>
      <c r="D37" s="59">
        <v>852</v>
      </c>
      <c r="E37" s="370" t="s">
        <v>110</v>
      </c>
      <c r="F37" s="122">
        <v>1</v>
      </c>
      <c r="G37" s="9">
        <v>1</v>
      </c>
      <c r="H37" s="9">
        <v>1</v>
      </c>
      <c r="I37" s="9">
        <v>2</v>
      </c>
      <c r="J37" s="43">
        <v>2</v>
      </c>
      <c r="K37" s="265">
        <f t="shared" si="0"/>
        <v>0.35859414261160716</v>
      </c>
      <c r="L37" s="164" t="s">
        <v>111</v>
      </c>
    </row>
    <row r="38" spans="1:12">
      <c r="A38" s="34" t="s">
        <v>109</v>
      </c>
      <c r="B38" s="344">
        <v>1996</v>
      </c>
      <c r="C38" s="59" t="s">
        <v>88</v>
      </c>
      <c r="D38" s="59">
        <v>4</v>
      </c>
      <c r="E38" s="370" t="s">
        <v>110</v>
      </c>
      <c r="F38" s="122">
        <v>1</v>
      </c>
      <c r="G38" s="9">
        <v>1</v>
      </c>
      <c r="H38" s="9">
        <v>1</v>
      </c>
      <c r="I38" s="9">
        <v>2</v>
      </c>
      <c r="J38" s="43">
        <v>2</v>
      </c>
      <c r="K38" s="265">
        <f t="shared" si="0"/>
        <v>0.35859414261160716</v>
      </c>
      <c r="L38" s="164" t="s">
        <v>111</v>
      </c>
    </row>
    <row r="39" spans="1:12">
      <c r="A39" s="34" t="s">
        <v>109</v>
      </c>
      <c r="B39" s="344">
        <v>1996</v>
      </c>
      <c r="C39" s="59" t="s">
        <v>89</v>
      </c>
      <c r="D39" s="59">
        <v>191</v>
      </c>
      <c r="E39" s="370" t="s">
        <v>110</v>
      </c>
      <c r="F39" s="122">
        <v>1</v>
      </c>
      <c r="G39" s="9">
        <v>1</v>
      </c>
      <c r="H39" s="9">
        <v>1</v>
      </c>
      <c r="I39" s="9">
        <v>2</v>
      </c>
      <c r="J39" s="43">
        <v>2</v>
      </c>
      <c r="K39" s="265">
        <f t="shared" si="0"/>
        <v>0.35859414261160716</v>
      </c>
      <c r="L39" s="164" t="s">
        <v>111</v>
      </c>
    </row>
    <row r="40" spans="1:12">
      <c r="A40" s="34" t="s">
        <v>109</v>
      </c>
      <c r="B40" s="344">
        <v>1996</v>
      </c>
      <c r="C40" s="59" t="s">
        <v>90</v>
      </c>
      <c r="D40" s="59">
        <v>610</v>
      </c>
      <c r="E40" s="370" t="s">
        <v>110</v>
      </c>
      <c r="F40" s="122">
        <v>1</v>
      </c>
      <c r="G40" s="9">
        <v>1</v>
      </c>
      <c r="H40" s="9">
        <v>1</v>
      </c>
      <c r="I40" s="9">
        <v>2</v>
      </c>
      <c r="J40" s="43">
        <v>2</v>
      </c>
      <c r="K40" s="265">
        <f t="shared" si="0"/>
        <v>0.35859414261160716</v>
      </c>
      <c r="L40" s="164" t="s">
        <v>111</v>
      </c>
    </row>
    <row r="41" spans="1:12">
      <c r="A41" s="34" t="s">
        <v>109</v>
      </c>
      <c r="B41" s="344">
        <v>1996</v>
      </c>
      <c r="C41" s="59" t="s">
        <v>91</v>
      </c>
      <c r="D41" s="59">
        <v>0</v>
      </c>
      <c r="E41" s="370" t="s">
        <v>110</v>
      </c>
      <c r="F41" s="122">
        <v>1</v>
      </c>
      <c r="G41" s="9">
        <v>1</v>
      </c>
      <c r="H41" s="9">
        <v>1</v>
      </c>
      <c r="I41" s="9">
        <v>2</v>
      </c>
      <c r="J41" s="43">
        <v>2</v>
      </c>
      <c r="K41" s="265">
        <f t="shared" si="0"/>
        <v>0.35859414261160716</v>
      </c>
      <c r="L41" s="164" t="s">
        <v>111</v>
      </c>
    </row>
    <row r="42" spans="1:12">
      <c r="A42" s="34" t="s">
        <v>109</v>
      </c>
      <c r="B42" s="344">
        <v>1996</v>
      </c>
      <c r="C42" s="59" t="s">
        <v>94</v>
      </c>
      <c r="D42" s="59">
        <v>149</v>
      </c>
      <c r="E42" s="370" t="s">
        <v>110</v>
      </c>
      <c r="F42" s="122">
        <v>1</v>
      </c>
      <c r="G42" s="9">
        <v>1</v>
      </c>
      <c r="H42" s="9">
        <v>1</v>
      </c>
      <c r="I42" s="9">
        <v>2</v>
      </c>
      <c r="J42" s="43">
        <v>2</v>
      </c>
      <c r="K42" s="265">
        <f t="shared" si="0"/>
        <v>0.35859414261160716</v>
      </c>
      <c r="L42" s="164" t="s">
        <v>111</v>
      </c>
    </row>
    <row r="43" spans="1:12">
      <c r="A43" s="34" t="s">
        <v>109</v>
      </c>
      <c r="B43" s="344">
        <v>1996</v>
      </c>
      <c r="C43" s="59" t="s">
        <v>96</v>
      </c>
      <c r="D43" s="59">
        <v>337</v>
      </c>
      <c r="E43" s="370" t="s">
        <v>110</v>
      </c>
      <c r="F43" s="122">
        <v>1</v>
      </c>
      <c r="G43" s="9">
        <v>1</v>
      </c>
      <c r="H43" s="9">
        <v>1</v>
      </c>
      <c r="I43" s="9">
        <v>2</v>
      </c>
      <c r="J43" s="43">
        <v>2</v>
      </c>
      <c r="K43" s="265">
        <f t="shared" si="0"/>
        <v>0.35859414261160716</v>
      </c>
      <c r="L43" s="164" t="s">
        <v>111</v>
      </c>
    </row>
    <row r="44" spans="1:12">
      <c r="A44" s="34" t="s">
        <v>109</v>
      </c>
      <c r="B44" s="344">
        <v>1996</v>
      </c>
      <c r="C44" s="59" t="s">
        <v>97</v>
      </c>
      <c r="D44" s="59">
        <v>233</v>
      </c>
      <c r="E44" s="370" t="s">
        <v>110</v>
      </c>
      <c r="F44" s="122">
        <v>1</v>
      </c>
      <c r="G44" s="9">
        <v>1</v>
      </c>
      <c r="H44" s="9">
        <v>1</v>
      </c>
      <c r="I44" s="9">
        <v>2</v>
      </c>
      <c r="J44" s="43">
        <v>2</v>
      </c>
      <c r="K44" s="265">
        <f t="shared" si="0"/>
        <v>0.35859414261160716</v>
      </c>
      <c r="L44" s="164" t="s">
        <v>111</v>
      </c>
    </row>
    <row r="45" spans="1:12">
      <c r="A45" s="34" t="s">
        <v>109</v>
      </c>
      <c r="B45" s="344">
        <v>1996</v>
      </c>
      <c r="C45" s="59" t="s">
        <v>95</v>
      </c>
      <c r="D45" s="59">
        <v>200</v>
      </c>
      <c r="E45" s="370" t="s">
        <v>110</v>
      </c>
      <c r="F45" s="122">
        <v>1</v>
      </c>
      <c r="G45" s="9">
        <v>1</v>
      </c>
      <c r="H45" s="9">
        <v>1</v>
      </c>
      <c r="I45" s="9">
        <v>2</v>
      </c>
      <c r="J45" s="43">
        <v>2</v>
      </c>
      <c r="K45" s="265">
        <f t="shared" si="0"/>
        <v>0.35859414261160716</v>
      </c>
      <c r="L45" s="164" t="s">
        <v>111</v>
      </c>
    </row>
    <row r="46" spans="1:12">
      <c r="A46" s="34" t="s">
        <v>109</v>
      </c>
      <c r="B46" s="344">
        <v>1996</v>
      </c>
      <c r="C46" s="59" t="s">
        <v>93</v>
      </c>
      <c r="D46" s="59">
        <v>98</v>
      </c>
      <c r="E46" s="370" t="s">
        <v>110</v>
      </c>
      <c r="F46" s="122">
        <v>1</v>
      </c>
      <c r="G46" s="9">
        <v>1</v>
      </c>
      <c r="H46" s="9">
        <v>1</v>
      </c>
      <c r="I46" s="9">
        <v>2</v>
      </c>
      <c r="J46" s="43">
        <v>2</v>
      </c>
      <c r="K46" s="265">
        <f t="shared" si="0"/>
        <v>0.35859414261160716</v>
      </c>
      <c r="L46" s="164" t="s">
        <v>111</v>
      </c>
    </row>
    <row r="47" spans="1:12">
      <c r="A47" s="34" t="s">
        <v>109</v>
      </c>
      <c r="B47" s="344">
        <v>1996</v>
      </c>
      <c r="C47" s="59" t="s">
        <v>98</v>
      </c>
      <c r="D47" s="59">
        <v>1106</v>
      </c>
      <c r="E47" s="370" t="s">
        <v>110</v>
      </c>
      <c r="F47" s="122">
        <v>1</v>
      </c>
      <c r="G47" s="9">
        <v>1</v>
      </c>
      <c r="H47" s="9">
        <v>1</v>
      </c>
      <c r="I47" s="9">
        <v>2</v>
      </c>
      <c r="J47" s="43">
        <v>2</v>
      </c>
      <c r="K47" s="265">
        <f t="shared" si="0"/>
        <v>0.35859414261160716</v>
      </c>
      <c r="L47" s="164" t="s">
        <v>111</v>
      </c>
    </row>
    <row r="48" spans="1:12">
      <c r="A48" s="34" t="s">
        <v>109</v>
      </c>
      <c r="B48" s="344">
        <v>1997</v>
      </c>
      <c r="C48" s="59" t="s">
        <v>85</v>
      </c>
      <c r="D48" s="59">
        <v>1435</v>
      </c>
      <c r="E48" s="370" t="s">
        <v>110</v>
      </c>
      <c r="F48" s="122">
        <v>1</v>
      </c>
      <c r="G48" s="9">
        <v>1</v>
      </c>
      <c r="H48" s="9">
        <v>1</v>
      </c>
      <c r="I48" s="9">
        <v>2</v>
      </c>
      <c r="J48" s="43">
        <v>2</v>
      </c>
      <c r="K48" s="265">
        <f t="shared" si="0"/>
        <v>0.35859414261160716</v>
      </c>
      <c r="L48" s="164" t="s">
        <v>111</v>
      </c>
    </row>
    <row r="49" spans="1:12">
      <c r="A49" s="34" t="s">
        <v>109</v>
      </c>
      <c r="B49" s="344">
        <v>1997</v>
      </c>
      <c r="C49" s="59" t="s">
        <v>86</v>
      </c>
      <c r="D49" s="59">
        <v>290</v>
      </c>
      <c r="E49" s="370" t="s">
        <v>110</v>
      </c>
      <c r="F49" s="122">
        <v>1</v>
      </c>
      <c r="G49" s="9">
        <v>1</v>
      </c>
      <c r="H49" s="9">
        <v>1</v>
      </c>
      <c r="I49" s="9">
        <v>2</v>
      </c>
      <c r="J49" s="43">
        <v>2</v>
      </c>
      <c r="K49" s="265">
        <f t="shared" si="0"/>
        <v>0.35859414261160716</v>
      </c>
      <c r="L49" s="164" t="s">
        <v>111</v>
      </c>
    </row>
    <row r="50" spans="1:12">
      <c r="A50" s="34" t="s">
        <v>109</v>
      </c>
      <c r="B50" s="344">
        <v>1997</v>
      </c>
      <c r="C50" s="59" t="s">
        <v>87</v>
      </c>
      <c r="D50" s="59">
        <v>852</v>
      </c>
      <c r="E50" s="370" t="s">
        <v>110</v>
      </c>
      <c r="F50" s="122">
        <v>1</v>
      </c>
      <c r="G50" s="9">
        <v>1</v>
      </c>
      <c r="H50" s="9">
        <v>1</v>
      </c>
      <c r="I50" s="9">
        <v>2</v>
      </c>
      <c r="J50" s="43">
        <v>2</v>
      </c>
      <c r="K50" s="265">
        <f t="shared" si="0"/>
        <v>0.35859414261160716</v>
      </c>
      <c r="L50" s="164" t="s">
        <v>111</v>
      </c>
    </row>
    <row r="51" spans="1:12">
      <c r="A51" s="34" t="s">
        <v>109</v>
      </c>
      <c r="B51" s="344">
        <v>1997</v>
      </c>
      <c r="C51" s="59" t="s">
        <v>88</v>
      </c>
      <c r="D51" s="59">
        <v>38</v>
      </c>
      <c r="E51" s="370" t="s">
        <v>110</v>
      </c>
      <c r="F51" s="122">
        <v>1</v>
      </c>
      <c r="G51" s="9">
        <v>1</v>
      </c>
      <c r="H51" s="9">
        <v>1</v>
      </c>
      <c r="I51" s="9">
        <v>2</v>
      </c>
      <c r="J51" s="43">
        <v>2</v>
      </c>
      <c r="K51" s="265">
        <f t="shared" si="0"/>
        <v>0.35859414261160716</v>
      </c>
      <c r="L51" s="164" t="s">
        <v>111</v>
      </c>
    </row>
    <row r="52" spans="1:12">
      <c r="A52" s="34" t="s">
        <v>109</v>
      </c>
      <c r="B52" s="344">
        <v>1997</v>
      </c>
      <c r="C52" s="59" t="s">
        <v>89</v>
      </c>
      <c r="D52" s="59">
        <v>191</v>
      </c>
      <c r="E52" s="370" t="s">
        <v>110</v>
      </c>
      <c r="F52" s="122">
        <v>1</v>
      </c>
      <c r="G52" s="9">
        <v>1</v>
      </c>
      <c r="H52" s="9">
        <v>1</v>
      </c>
      <c r="I52" s="9">
        <v>2</v>
      </c>
      <c r="J52" s="43">
        <v>2</v>
      </c>
      <c r="K52" s="265">
        <f t="shared" si="0"/>
        <v>0.35859414261160716</v>
      </c>
      <c r="L52" s="164" t="s">
        <v>111</v>
      </c>
    </row>
    <row r="53" spans="1:12">
      <c r="A53" s="34" t="s">
        <v>109</v>
      </c>
      <c r="B53" s="344">
        <v>1997</v>
      </c>
      <c r="C53" s="59" t="s">
        <v>90</v>
      </c>
      <c r="D53" s="59">
        <v>610</v>
      </c>
      <c r="E53" s="370" t="s">
        <v>110</v>
      </c>
      <c r="F53" s="122">
        <v>1</v>
      </c>
      <c r="G53" s="9">
        <v>1</v>
      </c>
      <c r="H53" s="9">
        <v>1</v>
      </c>
      <c r="I53" s="9">
        <v>2</v>
      </c>
      <c r="J53" s="43">
        <v>2</v>
      </c>
      <c r="K53" s="265">
        <f t="shared" si="0"/>
        <v>0.35859414261160716</v>
      </c>
      <c r="L53" s="164" t="s">
        <v>111</v>
      </c>
    </row>
    <row r="54" spans="1:12">
      <c r="A54" s="34" t="s">
        <v>109</v>
      </c>
      <c r="B54" s="344">
        <v>1997</v>
      </c>
      <c r="C54" s="59" t="s">
        <v>91</v>
      </c>
      <c r="D54" s="59">
        <v>0</v>
      </c>
      <c r="E54" s="370" t="s">
        <v>110</v>
      </c>
      <c r="F54" s="122">
        <v>1</v>
      </c>
      <c r="G54" s="9">
        <v>1</v>
      </c>
      <c r="H54" s="9">
        <v>1</v>
      </c>
      <c r="I54" s="9">
        <v>2</v>
      </c>
      <c r="J54" s="43">
        <v>2</v>
      </c>
      <c r="K54" s="265">
        <f t="shared" si="0"/>
        <v>0.35859414261160716</v>
      </c>
      <c r="L54" s="164" t="s">
        <v>111</v>
      </c>
    </row>
    <row r="55" spans="1:12">
      <c r="A55" s="34" t="s">
        <v>109</v>
      </c>
      <c r="B55" s="344">
        <v>1997</v>
      </c>
      <c r="C55" s="59" t="s">
        <v>94</v>
      </c>
      <c r="D55" s="59">
        <v>155</v>
      </c>
      <c r="E55" s="370" t="s">
        <v>110</v>
      </c>
      <c r="F55" s="122">
        <v>1</v>
      </c>
      <c r="G55" s="9">
        <v>1</v>
      </c>
      <c r="H55" s="9">
        <v>1</v>
      </c>
      <c r="I55" s="9">
        <v>2</v>
      </c>
      <c r="J55" s="43">
        <v>2</v>
      </c>
      <c r="K55" s="265">
        <f t="shared" si="0"/>
        <v>0.35859414261160716</v>
      </c>
      <c r="L55" s="164" t="s">
        <v>111</v>
      </c>
    </row>
    <row r="56" spans="1:12">
      <c r="A56" s="34" t="s">
        <v>109</v>
      </c>
      <c r="B56" s="344">
        <v>1997</v>
      </c>
      <c r="C56" s="59" t="s">
        <v>96</v>
      </c>
      <c r="D56" s="59">
        <v>337</v>
      </c>
      <c r="E56" s="370" t="s">
        <v>110</v>
      </c>
      <c r="F56" s="122">
        <v>1</v>
      </c>
      <c r="G56" s="9">
        <v>1</v>
      </c>
      <c r="H56" s="9">
        <v>1</v>
      </c>
      <c r="I56" s="9">
        <v>2</v>
      </c>
      <c r="J56" s="43">
        <v>2</v>
      </c>
      <c r="K56" s="265">
        <f t="shared" si="0"/>
        <v>0.35859414261160716</v>
      </c>
      <c r="L56" s="164" t="s">
        <v>111</v>
      </c>
    </row>
    <row r="57" spans="1:12">
      <c r="A57" s="34" t="s">
        <v>109</v>
      </c>
      <c r="B57" s="344">
        <v>1997</v>
      </c>
      <c r="C57" s="59" t="s">
        <v>97</v>
      </c>
      <c r="D57" s="59">
        <v>233</v>
      </c>
      <c r="E57" s="370" t="s">
        <v>110</v>
      </c>
      <c r="F57" s="122">
        <v>1</v>
      </c>
      <c r="G57" s="9">
        <v>1</v>
      </c>
      <c r="H57" s="9">
        <v>1</v>
      </c>
      <c r="I57" s="9">
        <v>2</v>
      </c>
      <c r="J57" s="43">
        <v>2</v>
      </c>
      <c r="K57" s="265">
        <f t="shared" si="0"/>
        <v>0.35859414261160716</v>
      </c>
      <c r="L57" s="164" t="s">
        <v>111</v>
      </c>
    </row>
    <row r="58" spans="1:12">
      <c r="A58" s="34" t="s">
        <v>109</v>
      </c>
      <c r="B58" s="344">
        <v>1997</v>
      </c>
      <c r="C58" s="59" t="s">
        <v>95</v>
      </c>
      <c r="D58" s="59">
        <v>200</v>
      </c>
      <c r="E58" s="370" t="s">
        <v>110</v>
      </c>
      <c r="F58" s="122">
        <v>1</v>
      </c>
      <c r="G58" s="9">
        <v>1</v>
      </c>
      <c r="H58" s="9">
        <v>1</v>
      </c>
      <c r="I58" s="9">
        <v>2</v>
      </c>
      <c r="J58" s="43">
        <v>2</v>
      </c>
      <c r="K58" s="265">
        <f t="shared" si="0"/>
        <v>0.35859414261160716</v>
      </c>
      <c r="L58" s="164" t="s">
        <v>111</v>
      </c>
    </row>
    <row r="59" spans="1:12">
      <c r="A59" s="34" t="s">
        <v>109</v>
      </c>
      <c r="B59" s="344">
        <v>1997</v>
      </c>
      <c r="C59" s="59" t="s">
        <v>93</v>
      </c>
      <c r="D59" s="59">
        <v>98</v>
      </c>
      <c r="E59" s="370" t="s">
        <v>110</v>
      </c>
      <c r="F59" s="122">
        <v>1</v>
      </c>
      <c r="G59" s="9">
        <v>1</v>
      </c>
      <c r="H59" s="9">
        <v>1</v>
      </c>
      <c r="I59" s="9">
        <v>2</v>
      </c>
      <c r="J59" s="43">
        <v>2</v>
      </c>
      <c r="K59" s="265">
        <f t="shared" si="0"/>
        <v>0.35859414261160716</v>
      </c>
      <c r="L59" s="164" t="s">
        <v>111</v>
      </c>
    </row>
    <row r="60" spans="1:12">
      <c r="A60" s="34" t="s">
        <v>109</v>
      </c>
      <c r="B60" s="344">
        <v>1997</v>
      </c>
      <c r="C60" s="59" t="s">
        <v>98</v>
      </c>
      <c r="D60" s="59">
        <v>1233</v>
      </c>
      <c r="E60" s="370" t="s">
        <v>110</v>
      </c>
      <c r="F60" s="122">
        <v>1</v>
      </c>
      <c r="G60" s="9">
        <v>1</v>
      </c>
      <c r="H60" s="9">
        <v>1</v>
      </c>
      <c r="I60" s="9">
        <v>2</v>
      </c>
      <c r="J60" s="43">
        <v>2</v>
      </c>
      <c r="K60" s="265">
        <f t="shared" si="0"/>
        <v>0.35859414261160716</v>
      </c>
      <c r="L60" s="164" t="s">
        <v>111</v>
      </c>
    </row>
    <row r="61" spans="1:12">
      <c r="A61" s="34" t="s">
        <v>109</v>
      </c>
      <c r="B61" s="344">
        <v>1998</v>
      </c>
      <c r="C61" s="59" t="s">
        <v>85</v>
      </c>
      <c r="D61" s="59">
        <v>1435</v>
      </c>
      <c r="E61" s="370" t="s">
        <v>110</v>
      </c>
      <c r="F61" s="122">
        <v>1</v>
      </c>
      <c r="G61" s="9">
        <v>1</v>
      </c>
      <c r="H61" s="9">
        <v>1</v>
      </c>
      <c r="I61" s="9">
        <v>2</v>
      </c>
      <c r="J61" s="43">
        <v>2</v>
      </c>
      <c r="K61" s="265">
        <f t="shared" ref="K61:K124" si="1">IF( OR( ISBLANK(F61),ISBLANK(G61), ISBLANK(H61), ISBLANK(I61), ISBLANK(J61) ), "", 1.5*SQRT(   EXP(2.21*(F61-1)) + EXP(2.21*(G61-1)) + EXP(2.21*(H61-1)) + EXP(2.21*(I61-1)) + EXP(2.21*J61)   )/100*2.45 )</f>
        <v>0.35859414261160716</v>
      </c>
      <c r="L61" s="164" t="s">
        <v>111</v>
      </c>
    </row>
    <row r="62" spans="1:12">
      <c r="A62" s="34" t="s">
        <v>109</v>
      </c>
      <c r="B62" s="344">
        <v>1998</v>
      </c>
      <c r="C62" s="59" t="s">
        <v>86</v>
      </c>
      <c r="D62" s="59">
        <v>290</v>
      </c>
      <c r="E62" s="370" t="s">
        <v>110</v>
      </c>
      <c r="F62" s="122">
        <v>1</v>
      </c>
      <c r="G62" s="9">
        <v>1</v>
      </c>
      <c r="H62" s="9">
        <v>1</v>
      </c>
      <c r="I62" s="9">
        <v>2</v>
      </c>
      <c r="J62" s="43">
        <v>2</v>
      </c>
      <c r="K62" s="265">
        <f t="shared" si="1"/>
        <v>0.35859414261160716</v>
      </c>
      <c r="L62" s="164" t="s">
        <v>111</v>
      </c>
    </row>
    <row r="63" spans="1:12">
      <c r="A63" s="34" t="s">
        <v>109</v>
      </c>
      <c r="B63" s="344">
        <v>1998</v>
      </c>
      <c r="C63" s="59" t="s">
        <v>87</v>
      </c>
      <c r="D63" s="59">
        <v>852</v>
      </c>
      <c r="E63" s="370" t="s">
        <v>110</v>
      </c>
      <c r="F63" s="122">
        <v>1</v>
      </c>
      <c r="G63" s="9">
        <v>1</v>
      </c>
      <c r="H63" s="9">
        <v>1</v>
      </c>
      <c r="I63" s="9">
        <v>2</v>
      </c>
      <c r="J63" s="43">
        <v>2</v>
      </c>
      <c r="K63" s="265">
        <f t="shared" si="1"/>
        <v>0.35859414261160716</v>
      </c>
      <c r="L63" s="164" t="s">
        <v>111</v>
      </c>
    </row>
    <row r="64" spans="1:12">
      <c r="A64" s="34" t="s">
        <v>109</v>
      </c>
      <c r="B64" s="344">
        <v>1998</v>
      </c>
      <c r="C64" s="59" t="s">
        <v>88</v>
      </c>
      <c r="D64" s="59">
        <v>33</v>
      </c>
      <c r="E64" s="370" t="s">
        <v>110</v>
      </c>
      <c r="F64" s="122">
        <v>1</v>
      </c>
      <c r="G64" s="9">
        <v>1</v>
      </c>
      <c r="H64" s="9">
        <v>1</v>
      </c>
      <c r="I64" s="9">
        <v>2</v>
      </c>
      <c r="J64" s="43">
        <v>2</v>
      </c>
      <c r="K64" s="265">
        <f t="shared" si="1"/>
        <v>0.35859414261160716</v>
      </c>
      <c r="L64" s="164" t="s">
        <v>111</v>
      </c>
    </row>
    <row r="65" spans="1:12">
      <c r="A65" s="34" t="s">
        <v>109</v>
      </c>
      <c r="B65" s="344">
        <v>1998</v>
      </c>
      <c r="C65" s="59" t="s">
        <v>89</v>
      </c>
      <c r="D65" s="59">
        <v>191</v>
      </c>
      <c r="E65" s="370" t="s">
        <v>110</v>
      </c>
      <c r="F65" s="122">
        <v>1</v>
      </c>
      <c r="G65" s="9">
        <v>1</v>
      </c>
      <c r="H65" s="9">
        <v>1</v>
      </c>
      <c r="I65" s="9">
        <v>2</v>
      </c>
      <c r="J65" s="43">
        <v>2</v>
      </c>
      <c r="K65" s="265">
        <f t="shared" si="1"/>
        <v>0.35859414261160716</v>
      </c>
      <c r="L65" s="164" t="s">
        <v>111</v>
      </c>
    </row>
    <row r="66" spans="1:12">
      <c r="A66" s="34" t="s">
        <v>109</v>
      </c>
      <c r="B66" s="344">
        <v>1998</v>
      </c>
      <c r="C66" s="59" t="s">
        <v>90</v>
      </c>
      <c r="D66" s="59">
        <v>610</v>
      </c>
      <c r="E66" s="370" t="s">
        <v>110</v>
      </c>
      <c r="F66" s="122">
        <v>1</v>
      </c>
      <c r="G66" s="9">
        <v>1</v>
      </c>
      <c r="H66" s="9">
        <v>1</v>
      </c>
      <c r="I66" s="9">
        <v>2</v>
      </c>
      <c r="J66" s="43">
        <v>2</v>
      </c>
      <c r="K66" s="265">
        <f t="shared" si="1"/>
        <v>0.35859414261160716</v>
      </c>
      <c r="L66" s="164" t="s">
        <v>111</v>
      </c>
    </row>
    <row r="67" spans="1:12">
      <c r="A67" s="34" t="s">
        <v>109</v>
      </c>
      <c r="B67" s="344">
        <v>1998</v>
      </c>
      <c r="C67" s="59" t="s">
        <v>91</v>
      </c>
      <c r="D67" s="59">
        <v>0</v>
      </c>
      <c r="E67" s="370" t="s">
        <v>110</v>
      </c>
      <c r="F67" s="122">
        <v>1</v>
      </c>
      <c r="G67" s="9">
        <v>1</v>
      </c>
      <c r="H67" s="9">
        <v>1</v>
      </c>
      <c r="I67" s="9">
        <v>2</v>
      </c>
      <c r="J67" s="43">
        <v>2</v>
      </c>
      <c r="K67" s="265">
        <f t="shared" si="1"/>
        <v>0.35859414261160716</v>
      </c>
      <c r="L67" s="164" t="s">
        <v>111</v>
      </c>
    </row>
    <row r="68" spans="1:12">
      <c r="A68" s="34" t="s">
        <v>109</v>
      </c>
      <c r="B68" s="344">
        <v>1998</v>
      </c>
      <c r="C68" s="59" t="s">
        <v>94</v>
      </c>
      <c r="D68" s="59">
        <v>144</v>
      </c>
      <c r="E68" s="370" t="s">
        <v>110</v>
      </c>
      <c r="F68" s="122">
        <v>1</v>
      </c>
      <c r="G68" s="9">
        <v>1</v>
      </c>
      <c r="H68" s="9">
        <v>1</v>
      </c>
      <c r="I68" s="9">
        <v>2</v>
      </c>
      <c r="J68" s="43">
        <v>2</v>
      </c>
      <c r="K68" s="265">
        <f t="shared" si="1"/>
        <v>0.35859414261160716</v>
      </c>
      <c r="L68" s="164" t="s">
        <v>111</v>
      </c>
    </row>
    <row r="69" spans="1:12">
      <c r="A69" s="34" t="s">
        <v>109</v>
      </c>
      <c r="B69" s="344">
        <v>1998</v>
      </c>
      <c r="C69" s="59" t="s">
        <v>96</v>
      </c>
      <c r="D69" s="59">
        <v>337</v>
      </c>
      <c r="E69" s="370" t="s">
        <v>110</v>
      </c>
      <c r="F69" s="122">
        <v>1</v>
      </c>
      <c r="G69" s="9">
        <v>1</v>
      </c>
      <c r="H69" s="9">
        <v>1</v>
      </c>
      <c r="I69" s="9">
        <v>2</v>
      </c>
      <c r="J69" s="43">
        <v>2</v>
      </c>
      <c r="K69" s="265">
        <f t="shared" si="1"/>
        <v>0.35859414261160716</v>
      </c>
      <c r="L69" s="164" t="s">
        <v>111</v>
      </c>
    </row>
    <row r="70" spans="1:12">
      <c r="A70" s="34" t="s">
        <v>109</v>
      </c>
      <c r="B70" s="344">
        <v>1998</v>
      </c>
      <c r="C70" s="59" t="s">
        <v>97</v>
      </c>
      <c r="D70" s="59">
        <v>233</v>
      </c>
      <c r="E70" s="370" t="s">
        <v>110</v>
      </c>
      <c r="F70" s="122">
        <v>1</v>
      </c>
      <c r="G70" s="9">
        <v>1</v>
      </c>
      <c r="H70" s="9">
        <v>1</v>
      </c>
      <c r="I70" s="9">
        <v>2</v>
      </c>
      <c r="J70" s="43">
        <v>2</v>
      </c>
      <c r="K70" s="265">
        <f t="shared" si="1"/>
        <v>0.35859414261160716</v>
      </c>
      <c r="L70" s="164" t="s">
        <v>111</v>
      </c>
    </row>
    <row r="71" spans="1:12">
      <c r="A71" s="34" t="s">
        <v>109</v>
      </c>
      <c r="B71" s="344">
        <v>1998</v>
      </c>
      <c r="C71" s="59" t="s">
        <v>95</v>
      </c>
      <c r="D71" s="59">
        <v>200</v>
      </c>
      <c r="E71" s="370" t="s">
        <v>110</v>
      </c>
      <c r="F71" s="122">
        <v>1</v>
      </c>
      <c r="G71" s="9">
        <v>1</v>
      </c>
      <c r="H71" s="9">
        <v>1</v>
      </c>
      <c r="I71" s="9">
        <v>2</v>
      </c>
      <c r="J71" s="43">
        <v>2</v>
      </c>
      <c r="K71" s="265">
        <f t="shared" si="1"/>
        <v>0.35859414261160716</v>
      </c>
      <c r="L71" s="164" t="s">
        <v>111</v>
      </c>
    </row>
    <row r="72" spans="1:12">
      <c r="A72" s="34" t="s">
        <v>109</v>
      </c>
      <c r="B72" s="344">
        <v>1998</v>
      </c>
      <c r="C72" s="59" t="s">
        <v>93</v>
      </c>
      <c r="D72" s="59">
        <v>98</v>
      </c>
      <c r="E72" s="652" t="s">
        <v>110</v>
      </c>
      <c r="F72" s="9">
        <v>1</v>
      </c>
      <c r="G72" s="9">
        <v>1</v>
      </c>
      <c r="H72" s="9">
        <v>1</v>
      </c>
      <c r="I72" s="9">
        <v>2</v>
      </c>
      <c r="J72" s="43">
        <v>2</v>
      </c>
      <c r="K72" s="265">
        <f t="shared" si="1"/>
        <v>0.35859414261160716</v>
      </c>
      <c r="L72" s="164" t="s">
        <v>111</v>
      </c>
    </row>
    <row r="73" spans="1:12">
      <c r="A73" s="34" t="s">
        <v>109</v>
      </c>
      <c r="B73" s="344">
        <v>1998</v>
      </c>
      <c r="C73" s="59" t="s">
        <v>98</v>
      </c>
      <c r="D73" s="59">
        <v>1521</v>
      </c>
      <c r="E73" s="652" t="s">
        <v>110</v>
      </c>
      <c r="F73" s="9">
        <v>1</v>
      </c>
      <c r="G73" s="9">
        <v>1</v>
      </c>
      <c r="H73" s="9">
        <v>1</v>
      </c>
      <c r="I73" s="9">
        <v>2</v>
      </c>
      <c r="J73" s="43">
        <v>2</v>
      </c>
      <c r="K73" s="265">
        <f t="shared" si="1"/>
        <v>0.35859414261160716</v>
      </c>
      <c r="L73" s="164" t="s">
        <v>111</v>
      </c>
    </row>
    <row r="74" spans="1:12">
      <c r="A74" s="34" t="s">
        <v>109</v>
      </c>
      <c r="B74" s="344">
        <v>1999</v>
      </c>
      <c r="C74" s="59" t="s">
        <v>85</v>
      </c>
      <c r="D74" s="59">
        <v>1435</v>
      </c>
      <c r="E74" s="652" t="s">
        <v>110</v>
      </c>
      <c r="F74" s="9">
        <v>1</v>
      </c>
      <c r="G74" s="9">
        <v>1</v>
      </c>
      <c r="H74" s="9">
        <v>1</v>
      </c>
      <c r="I74" s="9">
        <v>2</v>
      </c>
      <c r="J74" s="43">
        <v>2</v>
      </c>
      <c r="K74" s="265">
        <f t="shared" si="1"/>
        <v>0.35859414261160716</v>
      </c>
      <c r="L74" s="164" t="s">
        <v>111</v>
      </c>
    </row>
    <row r="75" spans="1:12">
      <c r="A75" s="34" t="s">
        <v>109</v>
      </c>
      <c r="B75" s="344">
        <v>1999</v>
      </c>
      <c r="C75" s="59" t="s">
        <v>86</v>
      </c>
      <c r="D75" s="59">
        <v>290</v>
      </c>
      <c r="E75" s="652" t="s">
        <v>110</v>
      </c>
      <c r="F75" s="9">
        <v>1</v>
      </c>
      <c r="G75" s="9">
        <v>1</v>
      </c>
      <c r="H75" s="9">
        <v>1</v>
      </c>
      <c r="I75" s="9">
        <v>2</v>
      </c>
      <c r="J75" s="43">
        <v>2</v>
      </c>
      <c r="K75" s="265">
        <f t="shared" si="1"/>
        <v>0.35859414261160716</v>
      </c>
      <c r="L75" s="164" t="s">
        <v>111</v>
      </c>
    </row>
    <row r="76" spans="1:12">
      <c r="A76" s="34" t="s">
        <v>109</v>
      </c>
      <c r="B76" s="344">
        <v>1999</v>
      </c>
      <c r="C76" s="59" t="s">
        <v>87</v>
      </c>
      <c r="D76" s="59">
        <v>852</v>
      </c>
      <c r="E76" s="652" t="s">
        <v>110</v>
      </c>
      <c r="F76" s="9">
        <v>1</v>
      </c>
      <c r="G76" s="9">
        <v>1</v>
      </c>
      <c r="H76" s="9">
        <v>1</v>
      </c>
      <c r="I76" s="9">
        <v>2</v>
      </c>
      <c r="J76" s="43">
        <v>2</v>
      </c>
      <c r="K76" s="265">
        <f t="shared" si="1"/>
        <v>0.35859414261160716</v>
      </c>
      <c r="L76" s="164" t="s">
        <v>111</v>
      </c>
    </row>
    <row r="77" spans="1:12">
      <c r="A77" s="34" t="s">
        <v>109</v>
      </c>
      <c r="B77" s="344">
        <v>1999</v>
      </c>
      <c r="C77" s="59" t="s">
        <v>88</v>
      </c>
      <c r="D77" s="59">
        <v>38</v>
      </c>
      <c r="E77" s="652" t="s">
        <v>110</v>
      </c>
      <c r="F77" s="9">
        <v>1</v>
      </c>
      <c r="G77" s="9">
        <v>1</v>
      </c>
      <c r="H77" s="9">
        <v>1</v>
      </c>
      <c r="I77" s="9">
        <v>2</v>
      </c>
      <c r="J77" s="43">
        <v>2</v>
      </c>
      <c r="K77" s="265">
        <f t="shared" si="1"/>
        <v>0.35859414261160716</v>
      </c>
      <c r="L77" s="164" t="s">
        <v>111</v>
      </c>
    </row>
    <row r="78" spans="1:12">
      <c r="A78" s="34" t="s">
        <v>109</v>
      </c>
      <c r="B78" s="344">
        <v>1999</v>
      </c>
      <c r="C78" s="59" t="s">
        <v>89</v>
      </c>
      <c r="D78" s="59">
        <v>191</v>
      </c>
      <c r="E78" s="652" t="s">
        <v>110</v>
      </c>
      <c r="F78" s="9">
        <v>1</v>
      </c>
      <c r="G78" s="9">
        <v>1</v>
      </c>
      <c r="H78" s="9">
        <v>1</v>
      </c>
      <c r="I78" s="9">
        <v>2</v>
      </c>
      <c r="J78" s="43">
        <v>2</v>
      </c>
      <c r="K78" s="265">
        <f t="shared" si="1"/>
        <v>0.35859414261160716</v>
      </c>
      <c r="L78" s="164" t="s">
        <v>111</v>
      </c>
    </row>
    <row r="79" spans="1:12">
      <c r="A79" s="34" t="s">
        <v>109</v>
      </c>
      <c r="B79" s="344">
        <v>1999</v>
      </c>
      <c r="C79" s="59" t="s">
        <v>90</v>
      </c>
      <c r="D79" s="59">
        <v>610</v>
      </c>
      <c r="E79" s="652" t="s">
        <v>110</v>
      </c>
      <c r="F79" s="9">
        <v>1</v>
      </c>
      <c r="G79" s="9">
        <v>1</v>
      </c>
      <c r="H79" s="9">
        <v>1</v>
      </c>
      <c r="I79" s="9">
        <v>2</v>
      </c>
      <c r="J79" s="43">
        <v>2</v>
      </c>
      <c r="K79" s="265">
        <f t="shared" si="1"/>
        <v>0.35859414261160716</v>
      </c>
      <c r="L79" s="164" t="s">
        <v>111</v>
      </c>
    </row>
    <row r="80" spans="1:12">
      <c r="A80" s="34" t="s">
        <v>109</v>
      </c>
      <c r="B80" s="344">
        <v>1999</v>
      </c>
      <c r="C80" s="59" t="s">
        <v>91</v>
      </c>
      <c r="D80" s="59">
        <v>0</v>
      </c>
      <c r="E80" s="652" t="s">
        <v>110</v>
      </c>
      <c r="F80" s="9">
        <v>1</v>
      </c>
      <c r="G80" s="9">
        <v>1</v>
      </c>
      <c r="H80" s="9">
        <v>1</v>
      </c>
      <c r="I80" s="9">
        <v>2</v>
      </c>
      <c r="J80" s="43">
        <v>2</v>
      </c>
      <c r="K80" s="265">
        <f t="shared" si="1"/>
        <v>0.35859414261160716</v>
      </c>
      <c r="L80" s="164" t="s">
        <v>111</v>
      </c>
    </row>
    <row r="81" spans="1:12">
      <c r="A81" s="34" t="s">
        <v>109</v>
      </c>
      <c r="B81" s="344">
        <v>1999</v>
      </c>
      <c r="C81" s="59" t="s">
        <v>94</v>
      </c>
      <c r="D81" s="59">
        <v>108</v>
      </c>
      <c r="E81" s="652" t="s">
        <v>110</v>
      </c>
      <c r="F81" s="9">
        <v>1</v>
      </c>
      <c r="G81" s="9">
        <v>1</v>
      </c>
      <c r="H81" s="9">
        <v>1</v>
      </c>
      <c r="I81" s="9">
        <v>2</v>
      </c>
      <c r="J81" s="43">
        <v>2</v>
      </c>
      <c r="K81" s="265">
        <f t="shared" si="1"/>
        <v>0.35859414261160716</v>
      </c>
      <c r="L81" s="164" t="s">
        <v>111</v>
      </c>
    </row>
    <row r="82" spans="1:12">
      <c r="A82" s="34" t="s">
        <v>109</v>
      </c>
      <c r="B82" s="344">
        <v>1999</v>
      </c>
      <c r="C82" s="59" t="s">
        <v>96</v>
      </c>
      <c r="D82" s="59">
        <v>337</v>
      </c>
      <c r="E82" s="652" t="s">
        <v>110</v>
      </c>
      <c r="F82" s="9">
        <v>1</v>
      </c>
      <c r="G82" s="9">
        <v>1</v>
      </c>
      <c r="H82" s="9">
        <v>1</v>
      </c>
      <c r="I82" s="9">
        <v>2</v>
      </c>
      <c r="J82" s="43">
        <v>2</v>
      </c>
      <c r="K82" s="265">
        <f t="shared" si="1"/>
        <v>0.35859414261160716</v>
      </c>
      <c r="L82" s="164" t="s">
        <v>111</v>
      </c>
    </row>
    <row r="83" spans="1:12">
      <c r="A83" s="34" t="s">
        <v>109</v>
      </c>
      <c r="B83" s="344">
        <v>1999</v>
      </c>
      <c r="C83" s="59" t="s">
        <v>97</v>
      </c>
      <c r="D83" s="59">
        <v>233</v>
      </c>
      <c r="E83" s="652" t="s">
        <v>110</v>
      </c>
      <c r="F83" s="9">
        <v>1</v>
      </c>
      <c r="G83" s="9">
        <v>1</v>
      </c>
      <c r="H83" s="9">
        <v>1</v>
      </c>
      <c r="I83" s="9">
        <v>2</v>
      </c>
      <c r="J83" s="43">
        <v>2</v>
      </c>
      <c r="K83" s="265">
        <f t="shared" si="1"/>
        <v>0.35859414261160716</v>
      </c>
      <c r="L83" s="164" t="s">
        <v>111</v>
      </c>
    </row>
    <row r="84" spans="1:12">
      <c r="A84" s="34" t="s">
        <v>109</v>
      </c>
      <c r="B84" s="344">
        <v>1999</v>
      </c>
      <c r="C84" s="59" t="s">
        <v>95</v>
      </c>
      <c r="D84" s="59">
        <v>200</v>
      </c>
      <c r="E84" s="503" t="s">
        <v>110</v>
      </c>
      <c r="F84" s="122">
        <v>1</v>
      </c>
      <c r="G84" s="118">
        <v>1</v>
      </c>
      <c r="H84" s="118">
        <v>1</v>
      </c>
      <c r="I84" s="9">
        <v>2</v>
      </c>
      <c r="J84" s="43">
        <v>2</v>
      </c>
      <c r="K84" s="265">
        <f t="shared" si="1"/>
        <v>0.35859414261160716</v>
      </c>
      <c r="L84" s="164" t="s">
        <v>111</v>
      </c>
    </row>
    <row r="85" spans="1:12">
      <c r="A85" s="34" t="s">
        <v>109</v>
      </c>
      <c r="B85" s="344">
        <v>1999</v>
      </c>
      <c r="C85" s="59" t="s">
        <v>93</v>
      </c>
      <c r="D85" s="59">
        <v>98</v>
      </c>
      <c r="E85" s="503" t="s">
        <v>110</v>
      </c>
      <c r="F85" s="122">
        <v>1</v>
      </c>
      <c r="G85" s="118">
        <v>1</v>
      </c>
      <c r="H85" s="118">
        <v>1</v>
      </c>
      <c r="I85" s="9">
        <v>2</v>
      </c>
      <c r="J85" s="43">
        <v>2</v>
      </c>
      <c r="K85" s="265">
        <f t="shared" si="1"/>
        <v>0.35859414261160716</v>
      </c>
      <c r="L85" s="164" t="s">
        <v>111</v>
      </c>
    </row>
    <row r="86" spans="1:12">
      <c r="A86" s="34" t="s">
        <v>109</v>
      </c>
      <c r="B86" s="344">
        <v>1999</v>
      </c>
      <c r="C86" s="59" t="s">
        <v>98</v>
      </c>
      <c r="D86" s="59">
        <v>1633</v>
      </c>
      <c r="E86" s="503" t="s">
        <v>110</v>
      </c>
      <c r="F86" s="122">
        <v>1</v>
      </c>
      <c r="G86" s="118">
        <v>1</v>
      </c>
      <c r="H86" s="118">
        <v>1</v>
      </c>
      <c r="I86" s="9">
        <v>2</v>
      </c>
      <c r="J86" s="43">
        <v>2</v>
      </c>
      <c r="K86" s="265">
        <f t="shared" si="1"/>
        <v>0.35859414261160716</v>
      </c>
      <c r="L86" s="164" t="s">
        <v>111</v>
      </c>
    </row>
    <row r="87" spans="1:12">
      <c r="A87" s="34" t="s">
        <v>109</v>
      </c>
      <c r="B87" s="344">
        <v>2000</v>
      </c>
      <c r="C87" s="59" t="s">
        <v>85</v>
      </c>
      <c r="D87" s="59">
        <v>1435</v>
      </c>
      <c r="E87" s="503" t="s">
        <v>110</v>
      </c>
      <c r="F87" s="630">
        <v>1</v>
      </c>
      <c r="G87" s="118">
        <v>1</v>
      </c>
      <c r="H87" s="118">
        <v>1</v>
      </c>
      <c r="I87" s="118">
        <v>2</v>
      </c>
      <c r="J87" s="677">
        <v>2</v>
      </c>
      <c r="K87" s="265">
        <f t="shared" si="1"/>
        <v>0.35859414261160716</v>
      </c>
      <c r="L87" s="164" t="s">
        <v>111</v>
      </c>
    </row>
    <row r="88" spans="1:12">
      <c r="A88" s="34" t="s">
        <v>109</v>
      </c>
      <c r="B88" s="344">
        <v>2000</v>
      </c>
      <c r="C88" s="59" t="s">
        <v>86</v>
      </c>
      <c r="D88" s="59">
        <v>290</v>
      </c>
      <c r="E88" s="503" t="s">
        <v>110</v>
      </c>
      <c r="F88" s="122">
        <v>1</v>
      </c>
      <c r="G88" s="118">
        <v>1</v>
      </c>
      <c r="H88" s="118">
        <v>1</v>
      </c>
      <c r="I88" s="9">
        <v>2</v>
      </c>
      <c r="J88" s="43">
        <v>2</v>
      </c>
      <c r="K88" s="265">
        <f t="shared" si="1"/>
        <v>0.35859414261160716</v>
      </c>
      <c r="L88" s="164" t="s">
        <v>111</v>
      </c>
    </row>
    <row r="89" spans="1:12">
      <c r="A89" s="34" t="s">
        <v>109</v>
      </c>
      <c r="B89" s="344">
        <v>2000</v>
      </c>
      <c r="C89" s="59" t="s">
        <v>87</v>
      </c>
      <c r="D89" s="59">
        <v>852</v>
      </c>
      <c r="E89" s="503" t="s">
        <v>110</v>
      </c>
      <c r="F89" s="122">
        <v>1</v>
      </c>
      <c r="G89" s="118">
        <v>1</v>
      </c>
      <c r="H89" s="118">
        <v>1</v>
      </c>
      <c r="I89" s="9">
        <v>2</v>
      </c>
      <c r="J89" s="43">
        <v>2</v>
      </c>
      <c r="K89" s="265">
        <f t="shared" si="1"/>
        <v>0.35859414261160716</v>
      </c>
      <c r="L89" s="164" t="s">
        <v>111</v>
      </c>
    </row>
    <row r="90" spans="1:12">
      <c r="A90" s="34" t="s">
        <v>109</v>
      </c>
      <c r="B90" s="344">
        <v>2000</v>
      </c>
      <c r="C90" s="59" t="s">
        <v>88</v>
      </c>
      <c r="D90" s="59">
        <v>18</v>
      </c>
      <c r="E90" s="503" t="s">
        <v>110</v>
      </c>
      <c r="F90" s="122">
        <v>1</v>
      </c>
      <c r="G90" s="118">
        <v>1</v>
      </c>
      <c r="H90" s="118">
        <v>1</v>
      </c>
      <c r="I90" s="9">
        <v>2</v>
      </c>
      <c r="J90" s="43">
        <v>2</v>
      </c>
      <c r="K90" s="265">
        <f t="shared" si="1"/>
        <v>0.35859414261160716</v>
      </c>
      <c r="L90" s="164" t="s">
        <v>111</v>
      </c>
    </row>
    <row r="91" spans="1:12">
      <c r="A91" s="34" t="s">
        <v>109</v>
      </c>
      <c r="B91" s="344">
        <v>2000</v>
      </c>
      <c r="C91" s="59" t="s">
        <v>89</v>
      </c>
      <c r="D91" s="59">
        <v>191</v>
      </c>
      <c r="E91" s="503" t="s">
        <v>110</v>
      </c>
      <c r="F91" s="122">
        <v>1</v>
      </c>
      <c r="G91" s="118">
        <v>1</v>
      </c>
      <c r="H91" s="118">
        <v>1</v>
      </c>
      <c r="I91" s="9">
        <v>2</v>
      </c>
      <c r="J91" s="43">
        <v>2</v>
      </c>
      <c r="K91" s="265">
        <f t="shared" si="1"/>
        <v>0.35859414261160716</v>
      </c>
      <c r="L91" s="164" t="s">
        <v>111</v>
      </c>
    </row>
    <row r="92" spans="1:12">
      <c r="A92" s="34" t="s">
        <v>109</v>
      </c>
      <c r="B92" s="344">
        <v>2000</v>
      </c>
      <c r="C92" s="59" t="s">
        <v>90</v>
      </c>
      <c r="D92" s="59">
        <v>610</v>
      </c>
      <c r="E92" s="503" t="s">
        <v>110</v>
      </c>
      <c r="F92" s="630">
        <v>1</v>
      </c>
      <c r="G92" s="118">
        <v>1</v>
      </c>
      <c r="H92" s="118">
        <v>1</v>
      </c>
      <c r="I92" s="118">
        <v>2</v>
      </c>
      <c r="J92" s="677">
        <v>2</v>
      </c>
      <c r="K92" s="265">
        <f t="shared" si="1"/>
        <v>0.35859414261160716</v>
      </c>
      <c r="L92" s="164" t="s">
        <v>111</v>
      </c>
    </row>
    <row r="93" spans="1:12">
      <c r="A93" s="34" t="s">
        <v>109</v>
      </c>
      <c r="B93" s="344">
        <v>2000</v>
      </c>
      <c r="C93" s="59" t="s">
        <v>91</v>
      </c>
      <c r="D93" s="59">
        <v>149</v>
      </c>
      <c r="E93" s="503" t="s">
        <v>110</v>
      </c>
      <c r="F93" s="122">
        <v>1</v>
      </c>
      <c r="G93" s="118">
        <v>1</v>
      </c>
      <c r="H93" s="118">
        <v>1</v>
      </c>
      <c r="I93" s="9">
        <v>2</v>
      </c>
      <c r="J93" s="43">
        <v>2</v>
      </c>
      <c r="K93" s="265">
        <f t="shared" si="1"/>
        <v>0.35859414261160716</v>
      </c>
      <c r="L93" s="164" t="s">
        <v>111</v>
      </c>
    </row>
    <row r="94" spans="1:12">
      <c r="A94" s="34" t="s">
        <v>109</v>
      </c>
      <c r="B94" s="344">
        <v>2000</v>
      </c>
      <c r="C94" s="59" t="s">
        <v>94</v>
      </c>
      <c r="D94" s="59">
        <v>109</v>
      </c>
      <c r="E94" s="503" t="s">
        <v>110</v>
      </c>
      <c r="F94" s="122">
        <v>1</v>
      </c>
      <c r="G94" s="118">
        <v>1</v>
      </c>
      <c r="H94" s="118">
        <v>1</v>
      </c>
      <c r="I94" s="9">
        <v>2</v>
      </c>
      <c r="J94" s="43">
        <v>2</v>
      </c>
      <c r="K94" s="265">
        <f t="shared" si="1"/>
        <v>0.35859414261160716</v>
      </c>
      <c r="L94" s="164" t="s">
        <v>111</v>
      </c>
    </row>
    <row r="95" spans="1:12">
      <c r="A95" s="34" t="s">
        <v>109</v>
      </c>
      <c r="B95" s="344">
        <v>2000</v>
      </c>
      <c r="C95" s="59" t="s">
        <v>96</v>
      </c>
      <c r="D95" s="59">
        <v>337</v>
      </c>
      <c r="E95" s="503" t="s">
        <v>110</v>
      </c>
      <c r="F95" s="122">
        <v>1</v>
      </c>
      <c r="G95" s="118">
        <v>1</v>
      </c>
      <c r="H95" s="118">
        <v>1</v>
      </c>
      <c r="I95" s="9">
        <v>2</v>
      </c>
      <c r="J95" s="43">
        <v>2</v>
      </c>
      <c r="K95" s="265">
        <f t="shared" si="1"/>
        <v>0.35859414261160716</v>
      </c>
      <c r="L95" s="164" t="s">
        <v>111</v>
      </c>
    </row>
    <row r="96" spans="1:12">
      <c r="A96" s="34" t="s">
        <v>109</v>
      </c>
      <c r="B96" s="344">
        <v>2000</v>
      </c>
      <c r="C96" s="59" t="s">
        <v>97</v>
      </c>
      <c r="D96" s="59">
        <v>233</v>
      </c>
      <c r="E96" s="503" t="s">
        <v>110</v>
      </c>
      <c r="F96" s="122">
        <v>1</v>
      </c>
      <c r="G96" s="118">
        <v>1</v>
      </c>
      <c r="H96" s="118">
        <v>1</v>
      </c>
      <c r="I96" s="9">
        <v>2</v>
      </c>
      <c r="J96" s="43">
        <v>2</v>
      </c>
      <c r="K96" s="265">
        <f t="shared" si="1"/>
        <v>0.35859414261160716</v>
      </c>
      <c r="L96" s="164" t="s">
        <v>111</v>
      </c>
    </row>
    <row r="97" spans="1:12">
      <c r="A97" s="34" t="s">
        <v>109</v>
      </c>
      <c r="B97" s="344">
        <v>2000</v>
      </c>
      <c r="C97" s="59" t="s">
        <v>95</v>
      </c>
      <c r="D97" s="59">
        <v>200</v>
      </c>
      <c r="E97" s="503" t="s">
        <v>110</v>
      </c>
      <c r="F97" s="630">
        <v>1</v>
      </c>
      <c r="G97" s="118">
        <v>1</v>
      </c>
      <c r="H97" s="118">
        <v>1</v>
      </c>
      <c r="I97" s="118">
        <v>2</v>
      </c>
      <c r="J97" s="677">
        <v>2</v>
      </c>
      <c r="K97" s="265">
        <f t="shared" si="1"/>
        <v>0.35859414261160716</v>
      </c>
      <c r="L97" s="164" t="s">
        <v>111</v>
      </c>
    </row>
    <row r="98" spans="1:12">
      <c r="A98" s="34" t="s">
        <v>109</v>
      </c>
      <c r="B98" s="344">
        <v>2000</v>
      </c>
      <c r="C98" s="59" t="s">
        <v>93</v>
      </c>
      <c r="D98" s="59">
        <v>98</v>
      </c>
      <c r="E98" s="503" t="s">
        <v>110</v>
      </c>
      <c r="F98" s="122">
        <v>1</v>
      </c>
      <c r="G98" s="118">
        <v>1</v>
      </c>
      <c r="H98" s="118">
        <v>1</v>
      </c>
      <c r="I98" s="9">
        <v>2</v>
      </c>
      <c r="J98" s="43">
        <v>2</v>
      </c>
      <c r="K98" s="265">
        <f t="shared" si="1"/>
        <v>0.35859414261160716</v>
      </c>
      <c r="L98" s="164" t="s">
        <v>111</v>
      </c>
    </row>
    <row r="99" spans="1:12">
      <c r="A99" s="34" t="s">
        <v>109</v>
      </c>
      <c r="B99" s="344">
        <v>2000</v>
      </c>
      <c r="C99" s="59" t="s">
        <v>98</v>
      </c>
      <c r="D99" s="59">
        <v>1381</v>
      </c>
      <c r="E99" s="503" t="s">
        <v>110</v>
      </c>
      <c r="F99" s="122">
        <v>1</v>
      </c>
      <c r="G99" s="118">
        <v>1</v>
      </c>
      <c r="H99" s="118">
        <v>1</v>
      </c>
      <c r="I99" s="9">
        <v>2</v>
      </c>
      <c r="J99" s="43">
        <v>2</v>
      </c>
      <c r="K99" s="265">
        <f t="shared" si="1"/>
        <v>0.35859414261160716</v>
      </c>
      <c r="L99" s="164" t="s">
        <v>111</v>
      </c>
    </row>
    <row r="100" spans="1:12">
      <c r="A100" s="34" t="s">
        <v>109</v>
      </c>
      <c r="B100" s="344">
        <v>2001</v>
      </c>
      <c r="C100" s="59" t="s">
        <v>85</v>
      </c>
      <c r="D100" s="59">
        <v>1435</v>
      </c>
      <c r="E100" s="503" t="s">
        <v>110</v>
      </c>
      <c r="F100" s="122">
        <v>1</v>
      </c>
      <c r="G100" s="118">
        <v>1</v>
      </c>
      <c r="H100" s="118">
        <v>1</v>
      </c>
      <c r="I100" s="9">
        <v>2</v>
      </c>
      <c r="J100" s="43">
        <v>2</v>
      </c>
      <c r="K100" s="265">
        <f t="shared" si="1"/>
        <v>0.35859414261160716</v>
      </c>
      <c r="L100" s="164" t="s">
        <v>111</v>
      </c>
    </row>
    <row r="101" spans="1:12">
      <c r="A101" s="34" t="s">
        <v>109</v>
      </c>
      <c r="B101" s="344">
        <v>2001</v>
      </c>
      <c r="C101" s="59" t="s">
        <v>86</v>
      </c>
      <c r="D101" s="59">
        <v>290</v>
      </c>
      <c r="E101" s="652" t="s">
        <v>110</v>
      </c>
      <c r="F101" s="9">
        <v>1</v>
      </c>
      <c r="G101" s="9">
        <v>1</v>
      </c>
      <c r="H101" s="9">
        <v>1</v>
      </c>
      <c r="I101" s="9">
        <v>2</v>
      </c>
      <c r="J101" s="43">
        <v>2</v>
      </c>
      <c r="K101" s="265">
        <f t="shared" si="1"/>
        <v>0.35859414261160716</v>
      </c>
      <c r="L101" s="164" t="s">
        <v>111</v>
      </c>
    </row>
    <row r="102" spans="1:12">
      <c r="A102" s="34" t="s">
        <v>109</v>
      </c>
      <c r="B102" s="344">
        <v>2001</v>
      </c>
      <c r="C102" s="59" t="s">
        <v>87</v>
      </c>
      <c r="D102" s="59">
        <v>852</v>
      </c>
      <c r="E102" s="652" t="s">
        <v>110</v>
      </c>
      <c r="F102" s="9">
        <v>1</v>
      </c>
      <c r="G102" s="9">
        <v>1</v>
      </c>
      <c r="H102" s="9">
        <v>1</v>
      </c>
      <c r="I102" s="9">
        <v>2</v>
      </c>
      <c r="J102" s="43">
        <v>2</v>
      </c>
      <c r="K102" s="265">
        <f t="shared" si="1"/>
        <v>0.35859414261160716</v>
      </c>
      <c r="L102" s="164" t="s">
        <v>111</v>
      </c>
    </row>
    <row r="103" spans="1:12">
      <c r="A103" s="34" t="s">
        <v>109</v>
      </c>
      <c r="B103" s="344">
        <v>2001</v>
      </c>
      <c r="C103" s="59" t="s">
        <v>88</v>
      </c>
      <c r="D103" s="59">
        <v>4</v>
      </c>
      <c r="E103" s="652" t="s">
        <v>110</v>
      </c>
      <c r="F103" s="9">
        <v>1</v>
      </c>
      <c r="G103" s="9">
        <v>1</v>
      </c>
      <c r="H103" s="9">
        <v>1</v>
      </c>
      <c r="I103" s="9">
        <v>2</v>
      </c>
      <c r="J103" s="43">
        <v>2</v>
      </c>
      <c r="K103" s="265">
        <f t="shared" si="1"/>
        <v>0.35859414261160716</v>
      </c>
      <c r="L103" s="164" t="s">
        <v>111</v>
      </c>
    </row>
    <row r="104" spans="1:12">
      <c r="A104" s="34" t="s">
        <v>109</v>
      </c>
      <c r="B104" s="344">
        <v>2001</v>
      </c>
      <c r="C104" s="59" t="s">
        <v>89</v>
      </c>
      <c r="D104" s="59">
        <v>191</v>
      </c>
      <c r="E104" s="652" t="s">
        <v>110</v>
      </c>
      <c r="F104" s="9">
        <v>1</v>
      </c>
      <c r="G104" s="9">
        <v>1</v>
      </c>
      <c r="H104" s="9">
        <v>1</v>
      </c>
      <c r="I104" s="9">
        <v>2</v>
      </c>
      <c r="J104" s="43">
        <v>2</v>
      </c>
      <c r="K104" s="265">
        <f t="shared" si="1"/>
        <v>0.35859414261160716</v>
      </c>
      <c r="L104" s="164" t="s">
        <v>111</v>
      </c>
    </row>
    <row r="105" spans="1:12">
      <c r="A105" s="34" t="s">
        <v>109</v>
      </c>
      <c r="B105" s="344">
        <v>2001</v>
      </c>
      <c r="C105" s="59" t="s">
        <v>90</v>
      </c>
      <c r="D105" s="59">
        <v>610</v>
      </c>
      <c r="E105" s="652" t="s">
        <v>110</v>
      </c>
      <c r="F105" s="9">
        <v>1</v>
      </c>
      <c r="G105" s="9">
        <v>1</v>
      </c>
      <c r="H105" s="9">
        <v>1</v>
      </c>
      <c r="I105" s="9">
        <v>2</v>
      </c>
      <c r="J105" s="43">
        <v>2</v>
      </c>
      <c r="K105" s="265">
        <f t="shared" si="1"/>
        <v>0.35859414261160716</v>
      </c>
      <c r="L105" s="164" t="s">
        <v>111</v>
      </c>
    </row>
    <row r="106" spans="1:12">
      <c r="A106" s="34" t="s">
        <v>109</v>
      </c>
      <c r="B106" s="344">
        <v>2001</v>
      </c>
      <c r="C106" s="59" t="s">
        <v>91</v>
      </c>
      <c r="D106" s="59">
        <v>129</v>
      </c>
      <c r="E106" s="652" t="s">
        <v>110</v>
      </c>
      <c r="F106" s="9">
        <v>1</v>
      </c>
      <c r="G106" s="9">
        <v>1</v>
      </c>
      <c r="H106" s="9">
        <v>1</v>
      </c>
      <c r="I106" s="9">
        <v>2</v>
      </c>
      <c r="J106" s="43">
        <v>2</v>
      </c>
      <c r="K106" s="265">
        <f t="shared" si="1"/>
        <v>0.35859414261160716</v>
      </c>
      <c r="L106" s="164" t="s">
        <v>111</v>
      </c>
    </row>
    <row r="107" spans="1:12">
      <c r="A107" s="34" t="s">
        <v>109</v>
      </c>
      <c r="B107" s="344">
        <v>2001</v>
      </c>
      <c r="C107" s="59" t="s">
        <v>94</v>
      </c>
      <c r="D107" s="59">
        <v>88</v>
      </c>
      <c r="E107" s="652" t="s">
        <v>110</v>
      </c>
      <c r="F107" s="9">
        <v>1</v>
      </c>
      <c r="G107" s="9">
        <v>1</v>
      </c>
      <c r="H107" s="9">
        <v>1</v>
      </c>
      <c r="I107" s="9">
        <v>2</v>
      </c>
      <c r="J107" s="43">
        <v>2</v>
      </c>
      <c r="K107" s="265">
        <f t="shared" si="1"/>
        <v>0.35859414261160716</v>
      </c>
      <c r="L107" s="164" t="s">
        <v>111</v>
      </c>
    </row>
    <row r="108" spans="1:12">
      <c r="A108" s="34" t="s">
        <v>109</v>
      </c>
      <c r="B108" s="344">
        <v>2001</v>
      </c>
      <c r="C108" s="59" t="s">
        <v>96</v>
      </c>
      <c r="D108" s="59">
        <v>337</v>
      </c>
      <c r="E108" s="652" t="s">
        <v>110</v>
      </c>
      <c r="F108" s="9">
        <v>1</v>
      </c>
      <c r="G108" s="9">
        <v>1</v>
      </c>
      <c r="H108" s="9">
        <v>1</v>
      </c>
      <c r="I108" s="9">
        <v>2</v>
      </c>
      <c r="J108" s="43">
        <v>2</v>
      </c>
      <c r="K108" s="265">
        <f t="shared" si="1"/>
        <v>0.35859414261160716</v>
      </c>
      <c r="L108" s="164" t="s">
        <v>111</v>
      </c>
    </row>
    <row r="109" spans="1:12">
      <c r="A109" s="34" t="s">
        <v>109</v>
      </c>
      <c r="B109" s="344">
        <v>2001</v>
      </c>
      <c r="C109" s="59" t="s">
        <v>97</v>
      </c>
      <c r="D109" s="59">
        <v>233</v>
      </c>
      <c r="E109" s="652" t="s">
        <v>110</v>
      </c>
      <c r="F109" s="9">
        <v>1</v>
      </c>
      <c r="G109" s="9">
        <v>1</v>
      </c>
      <c r="H109" s="9">
        <v>1</v>
      </c>
      <c r="I109" s="9">
        <v>2</v>
      </c>
      <c r="J109" s="43">
        <v>2</v>
      </c>
      <c r="K109" s="265">
        <f t="shared" si="1"/>
        <v>0.35859414261160716</v>
      </c>
      <c r="L109" s="164" t="s">
        <v>111</v>
      </c>
    </row>
    <row r="110" spans="1:12">
      <c r="A110" s="34" t="s">
        <v>109</v>
      </c>
      <c r="B110" s="344">
        <v>2001</v>
      </c>
      <c r="C110" s="59" t="s">
        <v>95</v>
      </c>
      <c r="D110" s="59">
        <v>200</v>
      </c>
      <c r="E110" s="652" t="s">
        <v>110</v>
      </c>
      <c r="F110" s="9">
        <v>1</v>
      </c>
      <c r="G110" s="9">
        <v>1</v>
      </c>
      <c r="H110" s="9">
        <v>1</v>
      </c>
      <c r="I110" s="9">
        <v>2</v>
      </c>
      <c r="J110" s="43">
        <v>2</v>
      </c>
      <c r="K110" s="265">
        <f t="shared" si="1"/>
        <v>0.35859414261160716</v>
      </c>
      <c r="L110" s="164" t="s">
        <v>111</v>
      </c>
    </row>
    <row r="111" spans="1:12">
      <c r="A111" s="34" t="s">
        <v>109</v>
      </c>
      <c r="B111" s="344">
        <v>2001</v>
      </c>
      <c r="C111" s="59" t="s">
        <v>93</v>
      </c>
      <c r="D111" s="59">
        <v>98</v>
      </c>
      <c r="E111" s="652" t="s">
        <v>110</v>
      </c>
      <c r="F111" s="9">
        <v>1</v>
      </c>
      <c r="G111" s="9">
        <v>1</v>
      </c>
      <c r="H111" s="9">
        <v>1</v>
      </c>
      <c r="I111" s="9">
        <v>2</v>
      </c>
      <c r="J111" s="43">
        <v>2</v>
      </c>
      <c r="K111" s="265">
        <f t="shared" si="1"/>
        <v>0.35859414261160716</v>
      </c>
      <c r="L111" s="164" t="s">
        <v>111</v>
      </c>
    </row>
    <row r="112" spans="1:12">
      <c r="A112" s="34" t="s">
        <v>109</v>
      </c>
      <c r="B112" s="344">
        <v>2001</v>
      </c>
      <c r="C112" s="59" t="s">
        <v>98</v>
      </c>
      <c r="D112" s="59">
        <v>1473</v>
      </c>
      <c r="E112" s="503" t="s">
        <v>110</v>
      </c>
      <c r="F112" s="29">
        <v>1</v>
      </c>
      <c r="G112" s="9">
        <v>1</v>
      </c>
      <c r="H112" s="9">
        <v>1</v>
      </c>
      <c r="I112" s="9">
        <v>2</v>
      </c>
      <c r="J112" s="43">
        <v>2</v>
      </c>
      <c r="K112" s="265">
        <f t="shared" si="1"/>
        <v>0.35859414261160716</v>
      </c>
      <c r="L112" s="164" t="s">
        <v>111</v>
      </c>
    </row>
    <row r="113" spans="1:12">
      <c r="A113" s="34" t="s">
        <v>109</v>
      </c>
      <c r="B113" s="344">
        <v>2002</v>
      </c>
      <c r="C113" s="59" t="s">
        <v>85</v>
      </c>
      <c r="D113" s="59">
        <v>1435</v>
      </c>
      <c r="E113" s="503" t="s">
        <v>110</v>
      </c>
      <c r="F113" s="29">
        <v>1</v>
      </c>
      <c r="G113" s="9">
        <v>1</v>
      </c>
      <c r="H113" s="9">
        <v>1</v>
      </c>
      <c r="I113" s="9">
        <v>2</v>
      </c>
      <c r="J113" s="43">
        <v>2</v>
      </c>
      <c r="K113" s="265">
        <f t="shared" si="1"/>
        <v>0.35859414261160716</v>
      </c>
      <c r="L113" s="164" t="s">
        <v>111</v>
      </c>
    </row>
    <row r="114" spans="1:12">
      <c r="A114" s="34" t="s">
        <v>109</v>
      </c>
      <c r="B114" s="344">
        <v>2002</v>
      </c>
      <c r="C114" s="59" t="s">
        <v>86</v>
      </c>
      <c r="D114" s="59">
        <v>290</v>
      </c>
      <c r="E114" s="503" t="s">
        <v>110</v>
      </c>
      <c r="F114" s="29">
        <v>1</v>
      </c>
      <c r="G114" s="9">
        <v>1</v>
      </c>
      <c r="H114" s="9">
        <v>1</v>
      </c>
      <c r="I114" s="9">
        <v>2</v>
      </c>
      <c r="J114" s="43">
        <v>2</v>
      </c>
      <c r="K114" s="265">
        <f t="shared" si="1"/>
        <v>0.35859414261160716</v>
      </c>
      <c r="L114" s="164" t="s">
        <v>111</v>
      </c>
    </row>
    <row r="115" spans="1:12">
      <c r="A115" s="34" t="s">
        <v>109</v>
      </c>
      <c r="B115" s="344">
        <v>2002</v>
      </c>
      <c r="C115" s="59" t="s">
        <v>87</v>
      </c>
      <c r="D115" s="59">
        <v>852</v>
      </c>
      <c r="E115" s="503" t="s">
        <v>110</v>
      </c>
      <c r="F115" s="29">
        <v>1</v>
      </c>
      <c r="G115" s="9">
        <v>1</v>
      </c>
      <c r="H115" s="9">
        <v>1</v>
      </c>
      <c r="I115" s="9">
        <v>2</v>
      </c>
      <c r="J115" s="43">
        <v>2</v>
      </c>
      <c r="K115" s="265">
        <f t="shared" si="1"/>
        <v>0.35859414261160716</v>
      </c>
      <c r="L115" s="164" t="s">
        <v>111</v>
      </c>
    </row>
    <row r="116" spans="1:12">
      <c r="A116" s="34" t="s">
        <v>109</v>
      </c>
      <c r="B116" s="344">
        <v>2002</v>
      </c>
      <c r="C116" s="59" t="s">
        <v>88</v>
      </c>
      <c r="D116" s="59">
        <v>19</v>
      </c>
      <c r="E116" s="503" t="s">
        <v>110</v>
      </c>
      <c r="F116" s="29">
        <v>1</v>
      </c>
      <c r="G116" s="9">
        <v>1</v>
      </c>
      <c r="H116" s="9">
        <v>1</v>
      </c>
      <c r="I116" s="9">
        <v>2</v>
      </c>
      <c r="J116" s="43">
        <v>2</v>
      </c>
      <c r="K116" s="265">
        <f t="shared" si="1"/>
        <v>0.35859414261160716</v>
      </c>
      <c r="L116" s="164" t="s">
        <v>111</v>
      </c>
    </row>
    <row r="117" spans="1:12">
      <c r="A117" s="34" t="s">
        <v>109</v>
      </c>
      <c r="B117" s="344">
        <v>2002</v>
      </c>
      <c r="C117" s="59" t="s">
        <v>89</v>
      </c>
      <c r="D117" s="59">
        <v>191</v>
      </c>
      <c r="E117" s="503" t="s">
        <v>110</v>
      </c>
      <c r="F117" s="29">
        <v>1</v>
      </c>
      <c r="G117" s="9">
        <v>1</v>
      </c>
      <c r="H117" s="9">
        <v>1</v>
      </c>
      <c r="I117" s="9">
        <v>2</v>
      </c>
      <c r="J117" s="43">
        <v>2</v>
      </c>
      <c r="K117" s="265">
        <f t="shared" si="1"/>
        <v>0.35859414261160716</v>
      </c>
      <c r="L117" s="164" t="s">
        <v>111</v>
      </c>
    </row>
    <row r="118" spans="1:12">
      <c r="A118" s="34" t="s">
        <v>109</v>
      </c>
      <c r="B118" s="344">
        <v>2002</v>
      </c>
      <c r="C118" s="59" t="s">
        <v>90</v>
      </c>
      <c r="D118" s="59">
        <v>610</v>
      </c>
      <c r="E118" s="503" t="s">
        <v>110</v>
      </c>
      <c r="F118" s="29">
        <v>1</v>
      </c>
      <c r="G118" s="9">
        <v>1</v>
      </c>
      <c r="H118" s="9">
        <v>1</v>
      </c>
      <c r="I118" s="9">
        <v>2</v>
      </c>
      <c r="J118" s="43">
        <v>2</v>
      </c>
      <c r="K118" s="265">
        <f t="shared" si="1"/>
        <v>0.35859414261160716</v>
      </c>
      <c r="L118" s="164" t="s">
        <v>111</v>
      </c>
    </row>
    <row r="119" spans="1:12">
      <c r="A119" s="34" t="s">
        <v>109</v>
      </c>
      <c r="B119" s="344">
        <v>2002</v>
      </c>
      <c r="C119" s="59" t="s">
        <v>91</v>
      </c>
      <c r="D119" s="59">
        <v>144</v>
      </c>
      <c r="E119" s="503" t="s">
        <v>110</v>
      </c>
      <c r="F119" s="29">
        <v>1</v>
      </c>
      <c r="G119" s="9">
        <v>1</v>
      </c>
      <c r="H119" s="9">
        <v>1</v>
      </c>
      <c r="I119" s="9">
        <v>2</v>
      </c>
      <c r="J119" s="43">
        <v>2</v>
      </c>
      <c r="K119" s="265">
        <f t="shared" si="1"/>
        <v>0.35859414261160716</v>
      </c>
      <c r="L119" s="164" t="s">
        <v>111</v>
      </c>
    </row>
    <row r="120" spans="1:12">
      <c r="A120" s="34" t="s">
        <v>109</v>
      </c>
      <c r="B120" s="344">
        <v>2002</v>
      </c>
      <c r="C120" s="59" t="s">
        <v>94</v>
      </c>
      <c r="D120" s="59">
        <v>68</v>
      </c>
      <c r="E120" s="503" t="s">
        <v>110</v>
      </c>
      <c r="F120" s="29">
        <v>1</v>
      </c>
      <c r="G120" s="9">
        <v>1</v>
      </c>
      <c r="H120" s="9">
        <v>1</v>
      </c>
      <c r="I120" s="9">
        <v>2</v>
      </c>
      <c r="J120" s="43">
        <v>2</v>
      </c>
      <c r="K120" s="265">
        <f t="shared" si="1"/>
        <v>0.35859414261160716</v>
      </c>
      <c r="L120" s="164" t="s">
        <v>111</v>
      </c>
    </row>
    <row r="121" spans="1:12">
      <c r="A121" s="34" t="s">
        <v>109</v>
      </c>
      <c r="B121" s="344">
        <v>2002</v>
      </c>
      <c r="C121" s="59" t="s">
        <v>96</v>
      </c>
      <c r="D121" s="59">
        <v>337</v>
      </c>
      <c r="E121" s="503" t="s">
        <v>110</v>
      </c>
      <c r="F121" s="29">
        <v>1</v>
      </c>
      <c r="G121" s="9">
        <v>1</v>
      </c>
      <c r="H121" s="9">
        <v>1</v>
      </c>
      <c r="I121" s="9">
        <v>2</v>
      </c>
      <c r="J121" s="43">
        <v>2</v>
      </c>
      <c r="K121" s="265">
        <f t="shared" si="1"/>
        <v>0.35859414261160716</v>
      </c>
      <c r="L121" s="164" t="s">
        <v>111</v>
      </c>
    </row>
    <row r="122" spans="1:12">
      <c r="A122" s="34" t="s">
        <v>109</v>
      </c>
      <c r="B122" s="344">
        <v>2002</v>
      </c>
      <c r="C122" s="59" t="s">
        <v>97</v>
      </c>
      <c r="D122" s="59">
        <v>233</v>
      </c>
      <c r="E122" s="503" t="s">
        <v>110</v>
      </c>
      <c r="F122" s="29">
        <v>1</v>
      </c>
      <c r="G122" s="9">
        <v>1</v>
      </c>
      <c r="H122" s="9">
        <v>1</v>
      </c>
      <c r="I122" s="9">
        <v>2</v>
      </c>
      <c r="J122" s="43">
        <v>2</v>
      </c>
      <c r="K122" s="265">
        <f t="shared" si="1"/>
        <v>0.35859414261160716</v>
      </c>
      <c r="L122" s="164" t="s">
        <v>111</v>
      </c>
    </row>
    <row r="123" spans="1:12">
      <c r="A123" s="34" t="s">
        <v>109</v>
      </c>
      <c r="B123" s="344">
        <v>2002</v>
      </c>
      <c r="C123" s="59" t="s">
        <v>95</v>
      </c>
      <c r="D123" s="59">
        <v>200</v>
      </c>
      <c r="E123" s="503" t="s">
        <v>110</v>
      </c>
      <c r="F123" s="29">
        <v>1</v>
      </c>
      <c r="G123" s="9">
        <v>1</v>
      </c>
      <c r="H123" s="9">
        <v>1</v>
      </c>
      <c r="I123" s="9">
        <v>2</v>
      </c>
      <c r="J123" s="43">
        <v>2</v>
      </c>
      <c r="K123" s="265">
        <f t="shared" si="1"/>
        <v>0.35859414261160716</v>
      </c>
      <c r="L123" s="164" t="s">
        <v>111</v>
      </c>
    </row>
    <row r="124" spans="1:12">
      <c r="A124" s="34" t="s">
        <v>109</v>
      </c>
      <c r="B124" s="344">
        <v>2002</v>
      </c>
      <c r="C124" s="59" t="s">
        <v>93</v>
      </c>
      <c r="D124" s="59">
        <v>98</v>
      </c>
      <c r="E124" s="503" t="s">
        <v>110</v>
      </c>
      <c r="F124" s="29">
        <v>1</v>
      </c>
      <c r="G124" s="9">
        <v>1</v>
      </c>
      <c r="H124" s="9">
        <v>1</v>
      </c>
      <c r="I124" s="9">
        <v>2</v>
      </c>
      <c r="J124" s="43">
        <v>2</v>
      </c>
      <c r="K124" s="265">
        <f t="shared" si="1"/>
        <v>0.35859414261160716</v>
      </c>
      <c r="L124" s="164" t="s">
        <v>111</v>
      </c>
    </row>
    <row r="125" spans="1:12">
      <c r="A125" s="34" t="s">
        <v>109</v>
      </c>
      <c r="B125" s="344">
        <v>2002</v>
      </c>
      <c r="C125" s="59" t="s">
        <v>98</v>
      </c>
      <c r="D125" s="59">
        <v>1400</v>
      </c>
      <c r="E125" s="503" t="s">
        <v>110</v>
      </c>
      <c r="F125" s="29">
        <v>1</v>
      </c>
      <c r="G125" s="9">
        <v>1</v>
      </c>
      <c r="H125" s="9">
        <v>1</v>
      </c>
      <c r="I125" s="9">
        <v>2</v>
      </c>
      <c r="J125" s="43">
        <v>2</v>
      </c>
      <c r="K125" s="265">
        <f t="shared" ref="K125:K188" si="2">IF( OR( ISBLANK(F125),ISBLANK(G125), ISBLANK(H125), ISBLANK(I125), ISBLANK(J125) ), "", 1.5*SQRT(   EXP(2.21*(F125-1)) + EXP(2.21*(G125-1)) + EXP(2.21*(H125-1)) + EXP(2.21*(I125-1)) + EXP(2.21*J125)   )/100*2.45 )</f>
        <v>0.35859414261160716</v>
      </c>
      <c r="L125" s="164" t="s">
        <v>111</v>
      </c>
    </row>
    <row r="126" spans="1:12">
      <c r="A126" s="34" t="s">
        <v>109</v>
      </c>
      <c r="B126" s="344">
        <v>2003</v>
      </c>
      <c r="C126" s="59" t="s">
        <v>85</v>
      </c>
      <c r="D126" s="59">
        <v>1435</v>
      </c>
      <c r="E126" s="503" t="s">
        <v>110</v>
      </c>
      <c r="F126" s="29">
        <v>1</v>
      </c>
      <c r="G126" s="9">
        <v>1</v>
      </c>
      <c r="H126" s="9">
        <v>1</v>
      </c>
      <c r="I126" s="9">
        <v>2</v>
      </c>
      <c r="J126" s="43">
        <v>2</v>
      </c>
      <c r="K126" s="265">
        <f t="shared" si="2"/>
        <v>0.35859414261160716</v>
      </c>
      <c r="L126" s="164" t="s">
        <v>111</v>
      </c>
    </row>
    <row r="127" spans="1:12">
      <c r="A127" s="34" t="s">
        <v>109</v>
      </c>
      <c r="B127" s="344">
        <v>2003</v>
      </c>
      <c r="C127" s="59" t="s">
        <v>86</v>
      </c>
      <c r="D127" s="59">
        <v>290</v>
      </c>
      <c r="E127" s="503" t="s">
        <v>110</v>
      </c>
      <c r="F127" s="29">
        <v>1</v>
      </c>
      <c r="G127" s="9">
        <v>1</v>
      </c>
      <c r="H127" s="9">
        <v>1</v>
      </c>
      <c r="I127" s="9">
        <v>2</v>
      </c>
      <c r="J127" s="43">
        <v>2</v>
      </c>
      <c r="K127" s="265">
        <f t="shared" si="2"/>
        <v>0.35859414261160716</v>
      </c>
      <c r="L127" s="164" t="s">
        <v>111</v>
      </c>
    </row>
    <row r="128" spans="1:12">
      <c r="A128" s="34" t="s">
        <v>109</v>
      </c>
      <c r="B128" s="344">
        <v>2003</v>
      </c>
      <c r="C128" s="59" t="s">
        <v>87</v>
      </c>
      <c r="D128" s="59">
        <v>852</v>
      </c>
      <c r="E128" s="503" t="s">
        <v>110</v>
      </c>
      <c r="F128" s="29">
        <v>1</v>
      </c>
      <c r="G128" s="9">
        <v>1</v>
      </c>
      <c r="H128" s="9">
        <v>1</v>
      </c>
      <c r="I128" s="9">
        <v>2</v>
      </c>
      <c r="J128" s="43">
        <v>2</v>
      </c>
      <c r="K128" s="265">
        <f t="shared" si="2"/>
        <v>0.35859414261160716</v>
      </c>
      <c r="L128" s="164" t="s">
        <v>111</v>
      </c>
    </row>
    <row r="129" spans="1:12">
      <c r="A129" s="34" t="s">
        <v>109</v>
      </c>
      <c r="B129" s="344">
        <v>2003</v>
      </c>
      <c r="C129" s="59" t="s">
        <v>88</v>
      </c>
      <c r="D129" s="59">
        <v>4</v>
      </c>
      <c r="E129" s="503" t="s">
        <v>110</v>
      </c>
      <c r="F129" s="29">
        <v>1</v>
      </c>
      <c r="G129" s="9">
        <v>1</v>
      </c>
      <c r="H129" s="9">
        <v>1</v>
      </c>
      <c r="I129" s="9">
        <v>2</v>
      </c>
      <c r="J129" s="43">
        <v>2</v>
      </c>
      <c r="K129" s="265">
        <f t="shared" si="2"/>
        <v>0.35859414261160716</v>
      </c>
      <c r="L129" s="164" t="s">
        <v>111</v>
      </c>
    </row>
    <row r="130" spans="1:12">
      <c r="A130" s="34" t="s">
        <v>109</v>
      </c>
      <c r="B130" s="344">
        <v>2003</v>
      </c>
      <c r="C130" s="59" t="s">
        <v>89</v>
      </c>
      <c r="D130" s="59">
        <v>191</v>
      </c>
      <c r="E130" s="503" t="s">
        <v>110</v>
      </c>
      <c r="F130" s="29">
        <v>1</v>
      </c>
      <c r="G130" s="9">
        <v>1</v>
      </c>
      <c r="H130" s="9">
        <v>1</v>
      </c>
      <c r="I130" s="9">
        <v>2</v>
      </c>
      <c r="J130" s="43">
        <v>2</v>
      </c>
      <c r="K130" s="265">
        <f t="shared" si="2"/>
        <v>0.35859414261160716</v>
      </c>
      <c r="L130" s="164" t="s">
        <v>111</v>
      </c>
    </row>
    <row r="131" spans="1:12">
      <c r="A131" s="34" t="s">
        <v>109</v>
      </c>
      <c r="B131" s="344">
        <v>2003</v>
      </c>
      <c r="C131" s="59" t="s">
        <v>90</v>
      </c>
      <c r="D131" s="59">
        <v>610</v>
      </c>
      <c r="E131" s="503" t="s">
        <v>110</v>
      </c>
      <c r="F131" s="29">
        <v>1</v>
      </c>
      <c r="G131" s="9">
        <v>1</v>
      </c>
      <c r="H131" s="9">
        <v>1</v>
      </c>
      <c r="I131" s="9">
        <v>2</v>
      </c>
      <c r="J131" s="43">
        <v>2</v>
      </c>
      <c r="K131" s="265">
        <f t="shared" si="2"/>
        <v>0.35859414261160716</v>
      </c>
      <c r="L131" s="164" t="s">
        <v>111</v>
      </c>
    </row>
    <row r="132" spans="1:12">
      <c r="A132" s="34" t="s">
        <v>109</v>
      </c>
      <c r="B132" s="344">
        <v>2003</v>
      </c>
      <c r="C132" s="59" t="s">
        <v>91</v>
      </c>
      <c r="D132" s="59">
        <v>167</v>
      </c>
      <c r="E132" s="503" t="s">
        <v>110</v>
      </c>
      <c r="F132" s="29">
        <v>1</v>
      </c>
      <c r="G132" s="9">
        <v>1</v>
      </c>
      <c r="H132" s="9">
        <v>1</v>
      </c>
      <c r="I132" s="9">
        <v>2</v>
      </c>
      <c r="J132" s="43">
        <v>2</v>
      </c>
      <c r="K132" s="265">
        <f t="shared" si="2"/>
        <v>0.35859414261160716</v>
      </c>
      <c r="L132" s="164" t="s">
        <v>111</v>
      </c>
    </row>
    <row r="133" spans="1:12">
      <c r="A133" s="34" t="s">
        <v>109</v>
      </c>
      <c r="B133" s="344">
        <v>2003</v>
      </c>
      <c r="C133" s="59" t="s">
        <v>94</v>
      </c>
      <c r="D133" s="59">
        <v>83</v>
      </c>
      <c r="E133" s="503" t="s">
        <v>110</v>
      </c>
      <c r="F133" s="29">
        <v>1</v>
      </c>
      <c r="G133" s="9">
        <v>1</v>
      </c>
      <c r="H133" s="9">
        <v>1</v>
      </c>
      <c r="I133" s="9">
        <v>2</v>
      </c>
      <c r="J133" s="43">
        <v>2</v>
      </c>
      <c r="K133" s="265">
        <f t="shared" si="2"/>
        <v>0.35859414261160716</v>
      </c>
      <c r="L133" s="164" t="s">
        <v>111</v>
      </c>
    </row>
    <row r="134" spans="1:12">
      <c r="A134" s="34" t="s">
        <v>109</v>
      </c>
      <c r="B134" s="344">
        <v>2003</v>
      </c>
      <c r="C134" s="59" t="s">
        <v>96</v>
      </c>
      <c r="D134" s="59">
        <v>337</v>
      </c>
      <c r="E134" s="503" t="s">
        <v>110</v>
      </c>
      <c r="F134" s="29">
        <v>1</v>
      </c>
      <c r="G134" s="9">
        <v>1</v>
      </c>
      <c r="H134" s="9">
        <v>1</v>
      </c>
      <c r="I134" s="9">
        <v>2</v>
      </c>
      <c r="J134" s="43">
        <v>2</v>
      </c>
      <c r="K134" s="265">
        <f t="shared" si="2"/>
        <v>0.35859414261160716</v>
      </c>
      <c r="L134" s="164" t="s">
        <v>111</v>
      </c>
    </row>
    <row r="135" spans="1:12">
      <c r="A135" s="34" t="s">
        <v>109</v>
      </c>
      <c r="B135" s="344">
        <v>2003</v>
      </c>
      <c r="C135" s="59" t="s">
        <v>97</v>
      </c>
      <c r="D135" s="59">
        <v>233</v>
      </c>
      <c r="E135" s="503" t="s">
        <v>110</v>
      </c>
      <c r="F135" s="29">
        <v>1</v>
      </c>
      <c r="G135" s="9">
        <v>1</v>
      </c>
      <c r="H135" s="9">
        <v>1</v>
      </c>
      <c r="I135" s="9">
        <v>2</v>
      </c>
      <c r="J135" s="43">
        <v>2</v>
      </c>
      <c r="K135" s="265">
        <f t="shared" si="2"/>
        <v>0.35859414261160716</v>
      </c>
      <c r="L135" s="164" t="s">
        <v>111</v>
      </c>
    </row>
    <row r="136" spans="1:12">
      <c r="A136" s="34" t="s">
        <v>109</v>
      </c>
      <c r="B136" s="344">
        <v>2003</v>
      </c>
      <c r="C136" s="59" t="s">
        <v>95</v>
      </c>
      <c r="D136" s="59">
        <v>200</v>
      </c>
      <c r="E136" s="503" t="s">
        <v>110</v>
      </c>
      <c r="F136" s="29">
        <v>1</v>
      </c>
      <c r="G136" s="9">
        <v>1</v>
      </c>
      <c r="H136" s="9">
        <v>1</v>
      </c>
      <c r="I136" s="9">
        <v>2</v>
      </c>
      <c r="J136" s="43">
        <v>2</v>
      </c>
      <c r="K136" s="265">
        <f t="shared" si="2"/>
        <v>0.35859414261160716</v>
      </c>
      <c r="L136" s="164" t="s">
        <v>111</v>
      </c>
    </row>
    <row r="137" spans="1:12">
      <c r="A137" s="34" t="s">
        <v>109</v>
      </c>
      <c r="B137" s="344">
        <v>2003</v>
      </c>
      <c r="C137" s="59" t="s">
        <v>93</v>
      </c>
      <c r="D137" s="59">
        <v>98</v>
      </c>
      <c r="E137" s="503" t="s">
        <v>110</v>
      </c>
      <c r="F137" s="29">
        <v>1</v>
      </c>
      <c r="G137" s="9">
        <v>1</v>
      </c>
      <c r="H137" s="9">
        <v>1</v>
      </c>
      <c r="I137" s="9">
        <v>2</v>
      </c>
      <c r="J137" s="43">
        <v>2</v>
      </c>
      <c r="K137" s="265">
        <f t="shared" si="2"/>
        <v>0.35859414261160716</v>
      </c>
      <c r="L137" s="164" t="s">
        <v>111</v>
      </c>
    </row>
    <row r="138" spans="1:12">
      <c r="A138" s="34" t="s">
        <v>109</v>
      </c>
      <c r="B138" s="344">
        <v>2003</v>
      </c>
      <c r="C138" s="59" t="s">
        <v>98</v>
      </c>
      <c r="D138" s="59">
        <v>1732</v>
      </c>
      <c r="E138" s="503" t="s">
        <v>110</v>
      </c>
      <c r="F138" s="29">
        <v>1</v>
      </c>
      <c r="G138" s="9">
        <v>1</v>
      </c>
      <c r="H138" s="9">
        <v>1</v>
      </c>
      <c r="I138" s="9">
        <v>2</v>
      </c>
      <c r="J138" s="43">
        <v>2</v>
      </c>
      <c r="K138" s="265">
        <f t="shared" si="2"/>
        <v>0.35859414261160716</v>
      </c>
      <c r="L138" s="164" t="s">
        <v>111</v>
      </c>
    </row>
    <row r="139" spans="1:12">
      <c r="A139" s="34" t="s">
        <v>109</v>
      </c>
      <c r="B139" s="344">
        <v>2004</v>
      </c>
      <c r="C139" s="59" t="s">
        <v>85</v>
      </c>
      <c r="D139" s="59">
        <v>1435</v>
      </c>
      <c r="E139" s="503" t="s">
        <v>110</v>
      </c>
      <c r="F139" s="29">
        <v>1</v>
      </c>
      <c r="G139" s="9">
        <v>1</v>
      </c>
      <c r="H139" s="9">
        <v>1</v>
      </c>
      <c r="I139" s="9">
        <v>2</v>
      </c>
      <c r="J139" s="43">
        <v>2</v>
      </c>
      <c r="K139" s="265">
        <f t="shared" si="2"/>
        <v>0.35859414261160716</v>
      </c>
      <c r="L139" s="164" t="s">
        <v>111</v>
      </c>
    </row>
    <row r="140" spans="1:12">
      <c r="A140" s="34" t="s">
        <v>109</v>
      </c>
      <c r="B140" s="344">
        <v>2004</v>
      </c>
      <c r="C140" s="59" t="s">
        <v>86</v>
      </c>
      <c r="D140" s="59">
        <v>290</v>
      </c>
      <c r="E140" s="503" t="s">
        <v>110</v>
      </c>
      <c r="F140" s="29">
        <v>1</v>
      </c>
      <c r="G140" s="9">
        <v>1</v>
      </c>
      <c r="H140" s="9">
        <v>1</v>
      </c>
      <c r="I140" s="9">
        <v>2</v>
      </c>
      <c r="J140" s="43">
        <v>2</v>
      </c>
      <c r="K140" s="265">
        <f t="shared" si="2"/>
        <v>0.35859414261160716</v>
      </c>
      <c r="L140" s="164" t="s">
        <v>111</v>
      </c>
    </row>
    <row r="141" spans="1:12">
      <c r="A141" s="34" t="s">
        <v>109</v>
      </c>
      <c r="B141" s="344">
        <v>2004</v>
      </c>
      <c r="C141" s="59" t="s">
        <v>87</v>
      </c>
      <c r="D141" s="59">
        <v>852</v>
      </c>
      <c r="E141" s="503" t="s">
        <v>110</v>
      </c>
      <c r="F141" s="29">
        <v>1</v>
      </c>
      <c r="G141" s="9">
        <v>1</v>
      </c>
      <c r="H141" s="9">
        <v>1</v>
      </c>
      <c r="I141" s="9">
        <v>2</v>
      </c>
      <c r="J141" s="43">
        <v>2</v>
      </c>
      <c r="K141" s="265">
        <f t="shared" si="2"/>
        <v>0.35859414261160716</v>
      </c>
      <c r="L141" s="164" t="s">
        <v>111</v>
      </c>
    </row>
    <row r="142" spans="1:12">
      <c r="A142" s="34" t="s">
        <v>109</v>
      </c>
      <c r="B142" s="344">
        <v>2004</v>
      </c>
      <c r="C142" s="59" t="s">
        <v>88</v>
      </c>
      <c r="D142" s="59">
        <v>11</v>
      </c>
      <c r="E142" s="503" t="s">
        <v>110</v>
      </c>
      <c r="F142" s="29">
        <v>1</v>
      </c>
      <c r="G142" s="9">
        <v>1</v>
      </c>
      <c r="H142" s="9">
        <v>1</v>
      </c>
      <c r="I142" s="9">
        <v>2</v>
      </c>
      <c r="J142" s="43">
        <v>2</v>
      </c>
      <c r="K142" s="265">
        <f t="shared" si="2"/>
        <v>0.35859414261160716</v>
      </c>
      <c r="L142" s="164" t="s">
        <v>111</v>
      </c>
    </row>
    <row r="143" spans="1:12">
      <c r="A143" s="34" t="s">
        <v>109</v>
      </c>
      <c r="B143" s="344">
        <v>2004</v>
      </c>
      <c r="C143" s="59" t="s">
        <v>89</v>
      </c>
      <c r="D143" s="59">
        <v>191</v>
      </c>
      <c r="E143" s="503" t="s">
        <v>110</v>
      </c>
      <c r="F143" s="29">
        <v>1</v>
      </c>
      <c r="G143" s="9">
        <v>1</v>
      </c>
      <c r="H143" s="9">
        <v>1</v>
      </c>
      <c r="I143" s="9">
        <v>2</v>
      </c>
      <c r="J143" s="43">
        <v>2</v>
      </c>
      <c r="K143" s="265">
        <f t="shared" si="2"/>
        <v>0.35859414261160716</v>
      </c>
      <c r="L143" s="164" t="s">
        <v>111</v>
      </c>
    </row>
    <row r="144" spans="1:12">
      <c r="A144" s="34" t="s">
        <v>109</v>
      </c>
      <c r="B144" s="344">
        <v>2004</v>
      </c>
      <c r="C144" s="59" t="s">
        <v>90</v>
      </c>
      <c r="D144" s="59">
        <v>610</v>
      </c>
      <c r="E144" s="503" t="s">
        <v>110</v>
      </c>
      <c r="F144" s="29">
        <v>1</v>
      </c>
      <c r="G144" s="9">
        <v>1</v>
      </c>
      <c r="H144" s="9">
        <v>1</v>
      </c>
      <c r="I144" s="9">
        <v>2</v>
      </c>
      <c r="J144" s="43">
        <v>2</v>
      </c>
      <c r="K144" s="265">
        <f t="shared" si="2"/>
        <v>0.35859414261160716</v>
      </c>
      <c r="L144" s="164" t="s">
        <v>111</v>
      </c>
    </row>
    <row r="145" spans="1:12">
      <c r="A145" s="34" t="s">
        <v>109</v>
      </c>
      <c r="B145" s="344">
        <v>2004</v>
      </c>
      <c r="C145" s="59" t="s">
        <v>91</v>
      </c>
      <c r="D145" s="59">
        <v>0</v>
      </c>
      <c r="E145" s="503" t="s">
        <v>110</v>
      </c>
      <c r="F145" s="29">
        <v>1</v>
      </c>
      <c r="G145" s="9">
        <v>1</v>
      </c>
      <c r="H145" s="9">
        <v>1</v>
      </c>
      <c r="I145" s="9">
        <v>2</v>
      </c>
      <c r="J145" s="43">
        <v>2</v>
      </c>
      <c r="K145" s="265">
        <f t="shared" si="2"/>
        <v>0.35859414261160716</v>
      </c>
      <c r="L145" s="164" t="s">
        <v>111</v>
      </c>
    </row>
    <row r="146" spans="1:12">
      <c r="A146" s="34" t="s">
        <v>109</v>
      </c>
      <c r="B146" s="344">
        <v>2004</v>
      </c>
      <c r="C146" s="59" t="s">
        <v>94</v>
      </c>
      <c r="D146" s="59">
        <v>67</v>
      </c>
      <c r="E146" s="503" t="s">
        <v>110</v>
      </c>
      <c r="F146" s="29">
        <v>1</v>
      </c>
      <c r="G146" s="9">
        <v>1</v>
      </c>
      <c r="H146" s="9">
        <v>1</v>
      </c>
      <c r="I146" s="9">
        <v>2</v>
      </c>
      <c r="J146" s="43">
        <v>2</v>
      </c>
      <c r="K146" s="265">
        <f t="shared" si="2"/>
        <v>0.35859414261160716</v>
      </c>
      <c r="L146" s="164" t="s">
        <v>111</v>
      </c>
    </row>
    <row r="147" spans="1:12">
      <c r="A147" s="34" t="s">
        <v>109</v>
      </c>
      <c r="B147" s="344">
        <v>2004</v>
      </c>
      <c r="C147" s="59" t="s">
        <v>96</v>
      </c>
      <c r="D147" s="59">
        <v>337</v>
      </c>
      <c r="E147" s="503" t="s">
        <v>110</v>
      </c>
      <c r="F147" s="29">
        <v>1</v>
      </c>
      <c r="G147" s="9">
        <v>1</v>
      </c>
      <c r="H147" s="9">
        <v>1</v>
      </c>
      <c r="I147" s="9">
        <v>2</v>
      </c>
      <c r="J147" s="43">
        <v>2</v>
      </c>
      <c r="K147" s="265">
        <f t="shared" si="2"/>
        <v>0.35859414261160716</v>
      </c>
      <c r="L147" s="164" t="s">
        <v>111</v>
      </c>
    </row>
    <row r="148" spans="1:12">
      <c r="A148" s="34" t="s">
        <v>109</v>
      </c>
      <c r="B148" s="344">
        <v>2004</v>
      </c>
      <c r="C148" s="59" t="s">
        <v>97</v>
      </c>
      <c r="D148" s="59">
        <v>233</v>
      </c>
      <c r="E148" s="503" t="s">
        <v>110</v>
      </c>
      <c r="F148" s="29">
        <v>1</v>
      </c>
      <c r="G148" s="9">
        <v>1</v>
      </c>
      <c r="H148" s="9">
        <v>1</v>
      </c>
      <c r="I148" s="9">
        <v>2</v>
      </c>
      <c r="J148" s="43">
        <v>2</v>
      </c>
      <c r="K148" s="265">
        <f t="shared" si="2"/>
        <v>0.35859414261160716</v>
      </c>
      <c r="L148" s="164" t="s">
        <v>111</v>
      </c>
    </row>
    <row r="149" spans="1:12">
      <c r="A149" s="34" t="s">
        <v>109</v>
      </c>
      <c r="B149" s="344">
        <v>2004</v>
      </c>
      <c r="C149" s="59" t="s">
        <v>95</v>
      </c>
      <c r="D149" s="59">
        <v>200</v>
      </c>
      <c r="E149" s="503" t="s">
        <v>110</v>
      </c>
      <c r="F149" s="29">
        <v>1</v>
      </c>
      <c r="G149" s="9">
        <v>1</v>
      </c>
      <c r="H149" s="9">
        <v>1</v>
      </c>
      <c r="I149" s="9">
        <v>2</v>
      </c>
      <c r="J149" s="43">
        <v>2</v>
      </c>
      <c r="K149" s="265">
        <f t="shared" si="2"/>
        <v>0.35859414261160716</v>
      </c>
      <c r="L149" s="164" t="s">
        <v>111</v>
      </c>
    </row>
    <row r="150" spans="1:12">
      <c r="A150" s="34" t="s">
        <v>109</v>
      </c>
      <c r="B150" s="344">
        <v>2004</v>
      </c>
      <c r="C150" s="59" t="s">
        <v>93</v>
      </c>
      <c r="D150" s="59">
        <v>98</v>
      </c>
      <c r="E150" s="503" t="s">
        <v>110</v>
      </c>
      <c r="F150" s="29">
        <v>1</v>
      </c>
      <c r="G150" s="9">
        <v>1</v>
      </c>
      <c r="H150" s="9">
        <v>1</v>
      </c>
      <c r="I150" s="9">
        <v>2</v>
      </c>
      <c r="J150" s="43">
        <v>2</v>
      </c>
      <c r="K150" s="265">
        <f t="shared" si="2"/>
        <v>0.35859414261160716</v>
      </c>
      <c r="L150" s="164" t="s">
        <v>111</v>
      </c>
    </row>
    <row r="151" spans="1:12">
      <c r="A151" s="34" t="s">
        <v>109</v>
      </c>
      <c r="B151" s="344">
        <v>2004</v>
      </c>
      <c r="C151" s="59" t="s">
        <v>98</v>
      </c>
      <c r="D151" s="59">
        <v>2287</v>
      </c>
      <c r="E151" s="503" t="s">
        <v>110</v>
      </c>
      <c r="F151" s="29">
        <v>1</v>
      </c>
      <c r="G151" s="9">
        <v>1</v>
      </c>
      <c r="H151" s="9">
        <v>1</v>
      </c>
      <c r="I151" s="9">
        <v>2</v>
      </c>
      <c r="J151" s="43">
        <v>2</v>
      </c>
      <c r="K151" s="265">
        <f t="shared" si="2"/>
        <v>0.35859414261160716</v>
      </c>
      <c r="L151" s="164" t="s">
        <v>111</v>
      </c>
    </row>
    <row r="152" spans="1:12">
      <c r="A152" s="34" t="s">
        <v>109</v>
      </c>
      <c r="B152" s="344">
        <v>2005</v>
      </c>
      <c r="C152" s="59" t="s">
        <v>85</v>
      </c>
      <c r="D152" s="59">
        <v>1435</v>
      </c>
      <c r="E152" s="503" t="s">
        <v>110</v>
      </c>
      <c r="F152" s="29">
        <v>1</v>
      </c>
      <c r="G152" s="9">
        <v>1</v>
      </c>
      <c r="H152" s="9">
        <v>1</v>
      </c>
      <c r="I152" s="9">
        <v>2</v>
      </c>
      <c r="J152" s="43">
        <v>2</v>
      </c>
      <c r="K152" s="265">
        <f t="shared" si="2"/>
        <v>0.35859414261160716</v>
      </c>
      <c r="L152" s="164" t="s">
        <v>111</v>
      </c>
    </row>
    <row r="153" spans="1:12">
      <c r="A153" s="34" t="s">
        <v>109</v>
      </c>
      <c r="B153" s="344">
        <v>2005</v>
      </c>
      <c r="C153" s="59" t="s">
        <v>86</v>
      </c>
      <c r="D153" s="59">
        <v>290</v>
      </c>
      <c r="E153" s="503" t="s">
        <v>110</v>
      </c>
      <c r="F153" s="29">
        <v>1</v>
      </c>
      <c r="G153" s="9">
        <v>1</v>
      </c>
      <c r="H153" s="9">
        <v>1</v>
      </c>
      <c r="I153" s="9">
        <v>2</v>
      </c>
      <c r="J153" s="43">
        <v>2</v>
      </c>
      <c r="K153" s="265">
        <f t="shared" si="2"/>
        <v>0.35859414261160716</v>
      </c>
      <c r="L153" s="164" t="s">
        <v>111</v>
      </c>
    </row>
    <row r="154" spans="1:12">
      <c r="A154" s="34" t="s">
        <v>109</v>
      </c>
      <c r="B154" s="344">
        <v>2005</v>
      </c>
      <c r="C154" s="59" t="s">
        <v>87</v>
      </c>
      <c r="D154" s="59">
        <v>852</v>
      </c>
      <c r="E154" s="503" t="s">
        <v>110</v>
      </c>
      <c r="F154" s="29">
        <v>1</v>
      </c>
      <c r="G154" s="9">
        <v>1</v>
      </c>
      <c r="H154" s="9">
        <v>1</v>
      </c>
      <c r="I154" s="9">
        <v>2</v>
      </c>
      <c r="J154" s="43">
        <v>2</v>
      </c>
      <c r="K154" s="265">
        <f t="shared" si="2"/>
        <v>0.35859414261160716</v>
      </c>
      <c r="L154" s="164" t="s">
        <v>111</v>
      </c>
    </row>
    <row r="155" spans="1:12">
      <c r="A155" s="34" t="s">
        <v>109</v>
      </c>
      <c r="B155" s="344">
        <v>2005</v>
      </c>
      <c r="C155" s="59" t="s">
        <v>88</v>
      </c>
      <c r="D155" s="59">
        <v>4</v>
      </c>
      <c r="E155" s="503" t="s">
        <v>110</v>
      </c>
      <c r="F155" s="29">
        <v>1</v>
      </c>
      <c r="G155" s="9">
        <v>1</v>
      </c>
      <c r="H155" s="9">
        <v>1</v>
      </c>
      <c r="I155" s="9">
        <v>2</v>
      </c>
      <c r="J155" s="43">
        <v>2</v>
      </c>
      <c r="K155" s="265">
        <f t="shared" si="2"/>
        <v>0.35859414261160716</v>
      </c>
      <c r="L155" s="164" t="s">
        <v>111</v>
      </c>
    </row>
    <row r="156" spans="1:12">
      <c r="A156" s="34" t="s">
        <v>109</v>
      </c>
      <c r="B156" s="344">
        <v>2005</v>
      </c>
      <c r="C156" s="59" t="s">
        <v>89</v>
      </c>
      <c r="D156" s="59">
        <v>191</v>
      </c>
      <c r="E156" s="503" t="s">
        <v>110</v>
      </c>
      <c r="F156" s="29">
        <v>1</v>
      </c>
      <c r="G156" s="9">
        <v>1</v>
      </c>
      <c r="H156" s="9">
        <v>1</v>
      </c>
      <c r="I156" s="9">
        <v>2</v>
      </c>
      <c r="J156" s="43">
        <v>2</v>
      </c>
      <c r="K156" s="265">
        <f t="shared" si="2"/>
        <v>0.35859414261160716</v>
      </c>
      <c r="L156" s="164" t="s">
        <v>111</v>
      </c>
    </row>
    <row r="157" spans="1:12">
      <c r="A157" s="34" t="s">
        <v>109</v>
      </c>
      <c r="B157" s="344">
        <v>2005</v>
      </c>
      <c r="C157" s="59" t="s">
        <v>90</v>
      </c>
      <c r="D157" s="59">
        <v>610</v>
      </c>
      <c r="E157" s="503" t="s">
        <v>110</v>
      </c>
      <c r="F157" s="29">
        <v>1</v>
      </c>
      <c r="G157" s="9">
        <v>1</v>
      </c>
      <c r="H157" s="9">
        <v>1</v>
      </c>
      <c r="I157" s="9">
        <v>2</v>
      </c>
      <c r="J157" s="43">
        <v>2</v>
      </c>
      <c r="K157" s="265">
        <f t="shared" si="2"/>
        <v>0.35859414261160716</v>
      </c>
      <c r="L157" s="164" t="s">
        <v>111</v>
      </c>
    </row>
    <row r="158" spans="1:12">
      <c r="A158" s="34" t="s">
        <v>109</v>
      </c>
      <c r="B158" s="344">
        <v>2005</v>
      </c>
      <c r="C158" s="59" t="s">
        <v>91</v>
      </c>
      <c r="D158" s="59">
        <v>156</v>
      </c>
      <c r="E158" s="503" t="s">
        <v>110</v>
      </c>
      <c r="F158" s="29">
        <v>1</v>
      </c>
      <c r="G158" s="9">
        <v>1</v>
      </c>
      <c r="H158" s="9">
        <v>1</v>
      </c>
      <c r="I158" s="9">
        <v>2</v>
      </c>
      <c r="J158" s="43">
        <v>2</v>
      </c>
      <c r="K158" s="265">
        <f t="shared" si="2"/>
        <v>0.35859414261160716</v>
      </c>
      <c r="L158" s="164" t="s">
        <v>111</v>
      </c>
    </row>
    <row r="159" spans="1:12">
      <c r="A159" s="34" t="s">
        <v>109</v>
      </c>
      <c r="B159" s="344">
        <v>2005</v>
      </c>
      <c r="C159" s="59" t="s">
        <v>94</v>
      </c>
      <c r="D159" s="59">
        <v>78</v>
      </c>
      <c r="E159" s="503" t="s">
        <v>110</v>
      </c>
      <c r="F159" s="29">
        <v>1</v>
      </c>
      <c r="G159" s="9">
        <v>1</v>
      </c>
      <c r="H159" s="9">
        <v>1</v>
      </c>
      <c r="I159" s="9">
        <v>2</v>
      </c>
      <c r="J159" s="43">
        <v>2</v>
      </c>
      <c r="K159" s="265">
        <f t="shared" si="2"/>
        <v>0.35859414261160716</v>
      </c>
      <c r="L159" s="164" t="s">
        <v>111</v>
      </c>
    </row>
    <row r="160" spans="1:12">
      <c r="A160" s="34" t="s">
        <v>109</v>
      </c>
      <c r="B160" s="344">
        <v>2005</v>
      </c>
      <c r="C160" s="59" t="s">
        <v>96</v>
      </c>
      <c r="D160" s="59">
        <v>337</v>
      </c>
      <c r="E160" s="503" t="s">
        <v>110</v>
      </c>
      <c r="F160" s="29">
        <v>1</v>
      </c>
      <c r="G160" s="9">
        <v>1</v>
      </c>
      <c r="H160" s="9">
        <v>1</v>
      </c>
      <c r="I160" s="9">
        <v>2</v>
      </c>
      <c r="J160" s="43">
        <v>2</v>
      </c>
      <c r="K160" s="265">
        <f t="shared" si="2"/>
        <v>0.35859414261160716</v>
      </c>
      <c r="L160" s="164" t="s">
        <v>111</v>
      </c>
    </row>
    <row r="161" spans="1:12">
      <c r="A161" s="34" t="s">
        <v>109</v>
      </c>
      <c r="B161" s="344">
        <v>2005</v>
      </c>
      <c r="C161" s="59" t="s">
        <v>97</v>
      </c>
      <c r="D161" s="59">
        <v>233</v>
      </c>
      <c r="E161" s="503" t="s">
        <v>110</v>
      </c>
      <c r="F161" s="29">
        <v>1</v>
      </c>
      <c r="G161" s="9">
        <v>1</v>
      </c>
      <c r="H161" s="9">
        <v>1</v>
      </c>
      <c r="I161" s="9">
        <v>2</v>
      </c>
      <c r="J161" s="43">
        <v>2</v>
      </c>
      <c r="K161" s="265">
        <f t="shared" si="2"/>
        <v>0.35859414261160716</v>
      </c>
      <c r="L161" s="164" t="s">
        <v>111</v>
      </c>
    </row>
    <row r="162" spans="1:12">
      <c r="A162" s="34" t="s">
        <v>109</v>
      </c>
      <c r="B162" s="344">
        <v>2005</v>
      </c>
      <c r="C162" s="59" t="s">
        <v>95</v>
      </c>
      <c r="D162" s="59">
        <v>200</v>
      </c>
      <c r="E162" s="503" t="s">
        <v>110</v>
      </c>
      <c r="F162" s="29">
        <v>1</v>
      </c>
      <c r="G162" s="9">
        <v>1</v>
      </c>
      <c r="H162" s="9">
        <v>1</v>
      </c>
      <c r="I162" s="9">
        <v>2</v>
      </c>
      <c r="J162" s="43">
        <v>2</v>
      </c>
      <c r="K162" s="265">
        <f t="shared" si="2"/>
        <v>0.35859414261160716</v>
      </c>
      <c r="L162" s="164" t="s">
        <v>111</v>
      </c>
    </row>
    <row r="163" spans="1:12">
      <c r="A163" s="34" t="s">
        <v>109</v>
      </c>
      <c r="B163" s="344">
        <v>2005</v>
      </c>
      <c r="C163" s="59" t="s">
        <v>93</v>
      </c>
      <c r="D163" s="59">
        <v>98</v>
      </c>
      <c r="E163" s="503" t="s">
        <v>110</v>
      </c>
      <c r="F163" s="29">
        <v>1</v>
      </c>
      <c r="G163" s="9">
        <v>1</v>
      </c>
      <c r="H163" s="9">
        <v>1</v>
      </c>
      <c r="I163" s="9">
        <v>2</v>
      </c>
      <c r="J163" s="43">
        <v>2</v>
      </c>
      <c r="K163" s="265">
        <f t="shared" si="2"/>
        <v>0.35859414261160716</v>
      </c>
      <c r="L163" s="164" t="s">
        <v>111</v>
      </c>
    </row>
    <row r="164" spans="1:12">
      <c r="A164" s="34" t="s">
        <v>109</v>
      </c>
      <c r="B164" s="344">
        <v>2005</v>
      </c>
      <c r="C164" s="59" t="s">
        <v>98</v>
      </c>
      <c r="D164" s="59">
        <v>2309</v>
      </c>
      <c r="E164" s="503" t="s">
        <v>110</v>
      </c>
      <c r="F164" s="29">
        <v>1</v>
      </c>
      <c r="G164" s="9">
        <v>1</v>
      </c>
      <c r="H164" s="9">
        <v>1</v>
      </c>
      <c r="I164" s="9">
        <v>2</v>
      </c>
      <c r="J164" s="43">
        <v>2</v>
      </c>
      <c r="K164" s="265">
        <f t="shared" si="2"/>
        <v>0.35859414261160716</v>
      </c>
      <c r="L164" s="164" t="s">
        <v>111</v>
      </c>
    </row>
    <row r="165" spans="1:12">
      <c r="A165" s="34" t="s">
        <v>109</v>
      </c>
      <c r="B165" s="344">
        <v>2006</v>
      </c>
      <c r="C165" s="59" t="s">
        <v>85</v>
      </c>
      <c r="D165" s="59">
        <v>1448</v>
      </c>
      <c r="E165" s="503" t="s">
        <v>110</v>
      </c>
      <c r="F165" s="29">
        <v>1</v>
      </c>
      <c r="G165" s="9">
        <v>1</v>
      </c>
      <c r="H165" s="9">
        <v>1</v>
      </c>
      <c r="I165" s="9">
        <v>2</v>
      </c>
      <c r="J165" s="43">
        <v>2</v>
      </c>
      <c r="K165" s="265">
        <f t="shared" si="2"/>
        <v>0.35859414261160716</v>
      </c>
      <c r="L165" s="164" t="s">
        <v>111</v>
      </c>
    </row>
    <row r="166" spans="1:12">
      <c r="A166" s="34" t="s">
        <v>109</v>
      </c>
      <c r="B166" s="344">
        <v>2006</v>
      </c>
      <c r="C166" s="59" t="s">
        <v>86</v>
      </c>
      <c r="D166" s="59">
        <v>290</v>
      </c>
      <c r="E166" s="503" t="s">
        <v>110</v>
      </c>
      <c r="F166" s="29">
        <v>1</v>
      </c>
      <c r="G166" s="9">
        <v>1</v>
      </c>
      <c r="H166" s="9">
        <v>1</v>
      </c>
      <c r="I166" s="9">
        <v>2</v>
      </c>
      <c r="J166" s="43">
        <v>2</v>
      </c>
      <c r="K166" s="265">
        <f t="shared" si="2"/>
        <v>0.35859414261160716</v>
      </c>
      <c r="L166" s="164" t="s">
        <v>111</v>
      </c>
    </row>
    <row r="167" spans="1:12">
      <c r="A167" s="34" t="s">
        <v>109</v>
      </c>
      <c r="B167" s="344">
        <v>2006</v>
      </c>
      <c r="C167" s="59" t="s">
        <v>87</v>
      </c>
      <c r="D167" s="59">
        <v>955</v>
      </c>
      <c r="E167" s="503" t="s">
        <v>110</v>
      </c>
      <c r="F167" s="29">
        <v>1</v>
      </c>
      <c r="G167" s="9">
        <v>1</v>
      </c>
      <c r="H167" s="9">
        <v>1</v>
      </c>
      <c r="I167" s="9">
        <v>2</v>
      </c>
      <c r="J167" s="43">
        <v>2</v>
      </c>
      <c r="K167" s="265">
        <f t="shared" si="2"/>
        <v>0.35859414261160716</v>
      </c>
      <c r="L167" s="164" t="s">
        <v>111</v>
      </c>
    </row>
    <row r="168" spans="1:12">
      <c r="A168" s="34" t="s">
        <v>109</v>
      </c>
      <c r="B168" s="344">
        <v>2006</v>
      </c>
      <c r="C168" s="59" t="s">
        <v>88</v>
      </c>
      <c r="D168" s="59">
        <v>13</v>
      </c>
      <c r="E168" s="503" t="s">
        <v>110</v>
      </c>
      <c r="F168" s="29">
        <v>1</v>
      </c>
      <c r="G168" s="9">
        <v>1</v>
      </c>
      <c r="H168" s="9">
        <v>1</v>
      </c>
      <c r="I168" s="9">
        <v>2</v>
      </c>
      <c r="J168" s="43">
        <v>2</v>
      </c>
      <c r="K168" s="265">
        <f t="shared" si="2"/>
        <v>0.35859414261160716</v>
      </c>
      <c r="L168" s="164" t="s">
        <v>111</v>
      </c>
    </row>
    <row r="169" spans="1:12">
      <c r="A169" s="34" t="s">
        <v>109</v>
      </c>
      <c r="B169" s="344">
        <v>2006</v>
      </c>
      <c r="C169" s="59" t="s">
        <v>89</v>
      </c>
      <c r="D169" s="59">
        <v>191</v>
      </c>
      <c r="E169" s="503" t="s">
        <v>110</v>
      </c>
      <c r="F169" s="29">
        <v>1</v>
      </c>
      <c r="G169" s="9">
        <v>1</v>
      </c>
      <c r="H169" s="9">
        <v>1</v>
      </c>
      <c r="I169" s="9">
        <v>2</v>
      </c>
      <c r="J169" s="43">
        <v>2</v>
      </c>
      <c r="K169" s="265">
        <f t="shared" si="2"/>
        <v>0.35859414261160716</v>
      </c>
      <c r="L169" s="164" t="s">
        <v>111</v>
      </c>
    </row>
    <row r="170" spans="1:12">
      <c r="A170" s="34" t="s">
        <v>109</v>
      </c>
      <c r="B170" s="344">
        <v>2006</v>
      </c>
      <c r="C170" s="59" t="s">
        <v>90</v>
      </c>
      <c r="D170" s="59">
        <v>610</v>
      </c>
      <c r="E170" s="503" t="s">
        <v>110</v>
      </c>
      <c r="F170" s="29">
        <v>1</v>
      </c>
      <c r="G170" s="9">
        <v>1</v>
      </c>
      <c r="H170" s="9">
        <v>1</v>
      </c>
      <c r="I170" s="9">
        <v>2</v>
      </c>
      <c r="J170" s="43">
        <v>2</v>
      </c>
      <c r="K170" s="265">
        <f t="shared" si="2"/>
        <v>0.35859414261160716</v>
      </c>
      <c r="L170" s="164" t="s">
        <v>111</v>
      </c>
    </row>
    <row r="171" spans="1:12">
      <c r="A171" s="34" t="s">
        <v>109</v>
      </c>
      <c r="B171" s="344">
        <v>2006</v>
      </c>
      <c r="C171" s="59" t="s">
        <v>91</v>
      </c>
      <c r="D171" s="59">
        <v>177</v>
      </c>
      <c r="E171" s="503" t="s">
        <v>110</v>
      </c>
      <c r="F171" s="29">
        <v>1</v>
      </c>
      <c r="G171" s="9">
        <v>1</v>
      </c>
      <c r="H171" s="9">
        <v>1</v>
      </c>
      <c r="I171" s="9">
        <v>2</v>
      </c>
      <c r="J171" s="43">
        <v>2</v>
      </c>
      <c r="K171" s="265">
        <f t="shared" si="2"/>
        <v>0.35859414261160716</v>
      </c>
      <c r="L171" s="164" t="s">
        <v>111</v>
      </c>
    </row>
    <row r="172" spans="1:12">
      <c r="A172" s="34" t="s">
        <v>109</v>
      </c>
      <c r="B172" s="344">
        <v>2006</v>
      </c>
      <c r="C172" s="59" t="s">
        <v>94</v>
      </c>
      <c r="D172" s="59">
        <v>122</v>
      </c>
      <c r="E172" s="503" t="s">
        <v>110</v>
      </c>
      <c r="F172" s="29">
        <v>1</v>
      </c>
      <c r="G172" s="9">
        <v>1</v>
      </c>
      <c r="H172" s="9">
        <v>1</v>
      </c>
      <c r="I172" s="9">
        <v>2</v>
      </c>
      <c r="J172" s="43">
        <v>2</v>
      </c>
      <c r="K172" s="265">
        <f t="shared" si="2"/>
        <v>0.35859414261160716</v>
      </c>
      <c r="L172" s="164" t="s">
        <v>111</v>
      </c>
    </row>
    <row r="173" spans="1:12">
      <c r="A173" s="34" t="s">
        <v>109</v>
      </c>
      <c r="B173" s="344">
        <v>2006</v>
      </c>
      <c r="C173" s="59" t="s">
        <v>96</v>
      </c>
      <c r="D173" s="59">
        <v>204</v>
      </c>
      <c r="E173" s="503" t="s">
        <v>110</v>
      </c>
      <c r="F173" s="29">
        <v>1</v>
      </c>
      <c r="G173" s="9">
        <v>1</v>
      </c>
      <c r="H173" s="9">
        <v>1</v>
      </c>
      <c r="I173" s="9">
        <v>2</v>
      </c>
      <c r="J173" s="43">
        <v>2</v>
      </c>
      <c r="K173" s="265">
        <f t="shared" si="2"/>
        <v>0.35859414261160716</v>
      </c>
      <c r="L173" s="164" t="s">
        <v>111</v>
      </c>
    </row>
    <row r="174" spans="1:12">
      <c r="A174" s="34" t="s">
        <v>109</v>
      </c>
      <c r="B174" s="344">
        <v>2006</v>
      </c>
      <c r="C174" s="59" t="s">
        <v>97</v>
      </c>
      <c r="D174" s="59">
        <v>126</v>
      </c>
      <c r="E174" s="503" t="s">
        <v>110</v>
      </c>
      <c r="F174" s="29">
        <v>1</v>
      </c>
      <c r="G174" s="9">
        <v>1</v>
      </c>
      <c r="H174" s="9">
        <v>1</v>
      </c>
      <c r="I174" s="9">
        <v>2</v>
      </c>
      <c r="J174" s="43">
        <v>2</v>
      </c>
      <c r="K174" s="265">
        <f t="shared" si="2"/>
        <v>0.35859414261160716</v>
      </c>
      <c r="L174" s="164" t="s">
        <v>111</v>
      </c>
    </row>
    <row r="175" spans="1:12">
      <c r="A175" s="34" t="s">
        <v>109</v>
      </c>
      <c r="B175" s="344">
        <v>2006</v>
      </c>
      <c r="C175" s="59" t="s">
        <v>95</v>
      </c>
      <c r="D175" s="59">
        <v>241</v>
      </c>
      <c r="E175" s="503" t="s">
        <v>110</v>
      </c>
      <c r="F175" s="29">
        <v>1</v>
      </c>
      <c r="G175" s="9">
        <v>1</v>
      </c>
      <c r="H175" s="9">
        <v>1</v>
      </c>
      <c r="I175" s="9">
        <v>2</v>
      </c>
      <c r="J175" s="43">
        <v>2</v>
      </c>
      <c r="K175" s="265">
        <f t="shared" si="2"/>
        <v>0.35859414261160716</v>
      </c>
      <c r="L175" s="164" t="s">
        <v>111</v>
      </c>
    </row>
    <row r="176" spans="1:12">
      <c r="A176" s="34" t="s">
        <v>109</v>
      </c>
      <c r="B176" s="344">
        <v>2006</v>
      </c>
      <c r="C176" s="59" t="s">
        <v>93</v>
      </c>
      <c r="D176" s="59">
        <v>98</v>
      </c>
      <c r="E176" s="503" t="s">
        <v>110</v>
      </c>
      <c r="F176" s="29">
        <v>1</v>
      </c>
      <c r="G176" s="9">
        <v>1</v>
      </c>
      <c r="H176" s="9">
        <v>1</v>
      </c>
      <c r="I176" s="9">
        <v>2</v>
      </c>
      <c r="J176" s="43">
        <v>2</v>
      </c>
      <c r="K176" s="265">
        <f t="shared" si="2"/>
        <v>0.35859414261160716</v>
      </c>
      <c r="L176" s="164" t="s">
        <v>111</v>
      </c>
    </row>
    <row r="177" spans="1:12">
      <c r="A177" s="34" t="s">
        <v>109</v>
      </c>
      <c r="B177" s="344">
        <v>2006</v>
      </c>
      <c r="C177" s="59" t="s">
        <v>98</v>
      </c>
      <c r="D177" s="59">
        <v>2399</v>
      </c>
      <c r="E177" s="503" t="s">
        <v>110</v>
      </c>
      <c r="F177" s="29">
        <v>1</v>
      </c>
      <c r="G177" s="9">
        <v>1</v>
      </c>
      <c r="H177" s="9">
        <v>1</v>
      </c>
      <c r="I177" s="9">
        <v>2</v>
      </c>
      <c r="J177" s="43">
        <v>2</v>
      </c>
      <c r="K177" s="265">
        <f t="shared" si="2"/>
        <v>0.35859414261160716</v>
      </c>
      <c r="L177" s="164" t="s">
        <v>111</v>
      </c>
    </row>
    <row r="178" spans="1:12">
      <c r="A178" s="34" t="s">
        <v>109</v>
      </c>
      <c r="B178" s="344">
        <v>2007</v>
      </c>
      <c r="C178" s="59" t="s">
        <v>85</v>
      </c>
      <c r="D178" s="59">
        <v>1685</v>
      </c>
      <c r="E178" s="503" t="s">
        <v>110</v>
      </c>
      <c r="F178" s="29">
        <v>1</v>
      </c>
      <c r="G178" s="9">
        <v>1</v>
      </c>
      <c r="H178" s="9">
        <v>1</v>
      </c>
      <c r="I178" s="9">
        <v>2</v>
      </c>
      <c r="J178" s="43">
        <v>2</v>
      </c>
      <c r="K178" s="265">
        <f t="shared" si="2"/>
        <v>0.35859414261160716</v>
      </c>
      <c r="L178" s="164" t="s">
        <v>111</v>
      </c>
    </row>
    <row r="179" spans="1:12">
      <c r="A179" s="34" t="s">
        <v>109</v>
      </c>
      <c r="B179" s="344">
        <v>2007</v>
      </c>
      <c r="C179" s="59" t="s">
        <v>86</v>
      </c>
      <c r="D179" s="59">
        <v>290</v>
      </c>
      <c r="E179" s="503" t="s">
        <v>110</v>
      </c>
      <c r="F179" s="29">
        <v>1</v>
      </c>
      <c r="G179" s="9">
        <v>1</v>
      </c>
      <c r="H179" s="9">
        <v>1</v>
      </c>
      <c r="I179" s="9">
        <v>2</v>
      </c>
      <c r="J179" s="43">
        <v>2</v>
      </c>
      <c r="K179" s="265">
        <f t="shared" si="2"/>
        <v>0.35859414261160716</v>
      </c>
      <c r="L179" s="164" t="s">
        <v>111</v>
      </c>
    </row>
    <row r="180" spans="1:12">
      <c r="A180" s="34" t="s">
        <v>109</v>
      </c>
      <c r="B180" s="344">
        <v>2007</v>
      </c>
      <c r="C180" s="59" t="s">
        <v>87</v>
      </c>
      <c r="D180" s="59">
        <v>1021</v>
      </c>
      <c r="E180" s="503" t="s">
        <v>110</v>
      </c>
      <c r="F180" s="29">
        <v>1</v>
      </c>
      <c r="G180" s="9">
        <v>1</v>
      </c>
      <c r="H180" s="9">
        <v>1</v>
      </c>
      <c r="I180" s="9">
        <v>2</v>
      </c>
      <c r="J180" s="43">
        <v>2</v>
      </c>
      <c r="K180" s="265">
        <f t="shared" si="2"/>
        <v>0.35859414261160716</v>
      </c>
      <c r="L180" s="164" t="s">
        <v>111</v>
      </c>
    </row>
    <row r="181" spans="1:12">
      <c r="A181" s="34" t="s">
        <v>109</v>
      </c>
      <c r="B181" s="344">
        <v>2007</v>
      </c>
      <c r="C181" s="59" t="s">
        <v>88</v>
      </c>
      <c r="D181" s="59">
        <v>8</v>
      </c>
      <c r="E181" s="503" t="s">
        <v>110</v>
      </c>
      <c r="F181" s="29">
        <v>1</v>
      </c>
      <c r="G181" s="9">
        <v>1</v>
      </c>
      <c r="H181" s="9">
        <v>1</v>
      </c>
      <c r="I181" s="9">
        <v>2</v>
      </c>
      <c r="J181" s="43">
        <v>2</v>
      </c>
      <c r="K181" s="265">
        <f t="shared" si="2"/>
        <v>0.35859414261160716</v>
      </c>
      <c r="L181" s="164" t="s">
        <v>111</v>
      </c>
    </row>
    <row r="182" spans="1:12">
      <c r="A182" s="34" t="s">
        <v>109</v>
      </c>
      <c r="B182" s="344">
        <v>2007</v>
      </c>
      <c r="C182" s="59" t="s">
        <v>89</v>
      </c>
      <c r="D182" s="59">
        <v>191</v>
      </c>
      <c r="E182" s="503" t="s">
        <v>110</v>
      </c>
      <c r="F182" s="29">
        <v>1</v>
      </c>
      <c r="G182" s="9">
        <v>1</v>
      </c>
      <c r="H182" s="9">
        <v>1</v>
      </c>
      <c r="I182" s="9">
        <v>2</v>
      </c>
      <c r="J182" s="43">
        <v>2</v>
      </c>
      <c r="K182" s="265">
        <f t="shared" si="2"/>
        <v>0.35859414261160716</v>
      </c>
      <c r="L182" s="164" t="s">
        <v>111</v>
      </c>
    </row>
    <row r="183" spans="1:12">
      <c r="A183" s="34" t="s">
        <v>109</v>
      </c>
      <c r="B183" s="344">
        <v>2007</v>
      </c>
      <c r="C183" s="59" t="s">
        <v>90</v>
      </c>
      <c r="D183" s="59">
        <v>610</v>
      </c>
      <c r="E183" s="503" t="s">
        <v>110</v>
      </c>
      <c r="F183" s="29">
        <v>1</v>
      </c>
      <c r="G183" s="9">
        <v>1</v>
      </c>
      <c r="H183" s="9">
        <v>1</v>
      </c>
      <c r="I183" s="9">
        <v>2</v>
      </c>
      <c r="J183" s="43">
        <v>2</v>
      </c>
      <c r="K183" s="265">
        <f t="shared" si="2"/>
        <v>0.35859414261160716</v>
      </c>
      <c r="L183" s="164" t="s">
        <v>111</v>
      </c>
    </row>
    <row r="184" spans="1:12">
      <c r="A184" s="34" t="s">
        <v>109</v>
      </c>
      <c r="B184" s="344">
        <v>2007</v>
      </c>
      <c r="C184" s="59" t="s">
        <v>91</v>
      </c>
      <c r="D184" s="59">
        <v>209</v>
      </c>
      <c r="E184" s="503" t="s">
        <v>110</v>
      </c>
      <c r="F184" s="29">
        <v>1</v>
      </c>
      <c r="G184" s="9">
        <v>1</v>
      </c>
      <c r="H184" s="9">
        <v>1</v>
      </c>
      <c r="I184" s="9">
        <v>2</v>
      </c>
      <c r="J184" s="43">
        <v>2</v>
      </c>
      <c r="K184" s="265">
        <f t="shared" si="2"/>
        <v>0.35859414261160716</v>
      </c>
      <c r="L184" s="164" t="s">
        <v>111</v>
      </c>
    </row>
    <row r="185" spans="1:12">
      <c r="A185" s="34" t="s">
        <v>109</v>
      </c>
      <c r="B185" s="344">
        <v>2007</v>
      </c>
      <c r="C185" s="59" t="s">
        <v>94</v>
      </c>
      <c r="D185" s="59">
        <v>140</v>
      </c>
      <c r="E185" s="503" t="s">
        <v>110</v>
      </c>
      <c r="F185" s="29">
        <v>1</v>
      </c>
      <c r="G185" s="9">
        <v>1</v>
      </c>
      <c r="H185" s="9">
        <v>1</v>
      </c>
      <c r="I185" s="9">
        <v>2</v>
      </c>
      <c r="J185" s="43">
        <v>2</v>
      </c>
      <c r="K185" s="265">
        <f t="shared" si="2"/>
        <v>0.35859414261160716</v>
      </c>
      <c r="L185" s="164" t="s">
        <v>111</v>
      </c>
    </row>
    <row r="186" spans="1:12">
      <c r="A186" s="34" t="s">
        <v>109</v>
      </c>
      <c r="B186" s="344">
        <v>2007</v>
      </c>
      <c r="C186" s="59" t="s">
        <v>96</v>
      </c>
      <c r="D186" s="59">
        <v>337</v>
      </c>
      <c r="E186" s="503" t="s">
        <v>110</v>
      </c>
      <c r="F186" s="29">
        <v>1</v>
      </c>
      <c r="G186" s="9">
        <v>1</v>
      </c>
      <c r="H186" s="9">
        <v>1</v>
      </c>
      <c r="I186" s="9">
        <v>2</v>
      </c>
      <c r="J186" s="43">
        <v>2</v>
      </c>
      <c r="K186" s="265">
        <f t="shared" si="2"/>
        <v>0.35859414261160716</v>
      </c>
      <c r="L186" s="164" t="s">
        <v>111</v>
      </c>
    </row>
    <row r="187" spans="1:12">
      <c r="A187" s="34" t="s">
        <v>109</v>
      </c>
      <c r="B187" s="344">
        <v>2007</v>
      </c>
      <c r="C187" s="59" t="s">
        <v>97</v>
      </c>
      <c r="D187" s="59">
        <v>139</v>
      </c>
      <c r="E187" s="503" t="s">
        <v>110</v>
      </c>
      <c r="F187" s="29">
        <v>1</v>
      </c>
      <c r="G187" s="9">
        <v>1</v>
      </c>
      <c r="H187" s="9">
        <v>1</v>
      </c>
      <c r="I187" s="9">
        <v>2</v>
      </c>
      <c r="J187" s="43">
        <v>2</v>
      </c>
      <c r="K187" s="265">
        <f t="shared" si="2"/>
        <v>0.35859414261160716</v>
      </c>
      <c r="L187" s="164" t="s">
        <v>111</v>
      </c>
    </row>
    <row r="188" spans="1:12">
      <c r="A188" s="34" t="s">
        <v>109</v>
      </c>
      <c r="B188" s="344">
        <v>2007</v>
      </c>
      <c r="C188" s="59" t="s">
        <v>95</v>
      </c>
      <c r="D188" s="59">
        <v>219</v>
      </c>
      <c r="E188" s="503" t="s">
        <v>110</v>
      </c>
      <c r="F188" s="29">
        <v>1</v>
      </c>
      <c r="G188" s="9">
        <v>1</v>
      </c>
      <c r="H188" s="9">
        <v>1</v>
      </c>
      <c r="I188" s="9">
        <v>2</v>
      </c>
      <c r="J188" s="43">
        <v>2</v>
      </c>
      <c r="K188" s="265">
        <f t="shared" si="2"/>
        <v>0.35859414261160716</v>
      </c>
      <c r="L188" s="164" t="s">
        <v>111</v>
      </c>
    </row>
    <row r="189" spans="1:12">
      <c r="A189" s="34" t="s">
        <v>109</v>
      </c>
      <c r="B189" s="344">
        <v>2007</v>
      </c>
      <c r="C189" s="59" t="s">
        <v>93</v>
      </c>
      <c r="D189" s="59">
        <v>98</v>
      </c>
      <c r="E189" s="503" t="s">
        <v>110</v>
      </c>
      <c r="F189" s="29">
        <v>1</v>
      </c>
      <c r="G189" s="9">
        <v>1</v>
      </c>
      <c r="H189" s="9">
        <v>1</v>
      </c>
      <c r="I189" s="9">
        <v>2</v>
      </c>
      <c r="J189" s="43">
        <v>2</v>
      </c>
      <c r="K189" s="265">
        <f t="shared" ref="K189:K252" si="3">IF( OR( ISBLANK(F189),ISBLANK(G189), ISBLANK(H189), ISBLANK(I189), ISBLANK(J189) ), "", 1.5*SQRT(   EXP(2.21*(F189-1)) + EXP(2.21*(G189-1)) + EXP(2.21*(H189-1)) + EXP(2.21*(I189-1)) + EXP(2.21*J189)   )/100*2.45 )</f>
        <v>0.35859414261160716</v>
      </c>
      <c r="L189" s="164" t="s">
        <v>111</v>
      </c>
    </row>
    <row r="190" spans="1:12">
      <c r="A190" s="34" t="s">
        <v>109</v>
      </c>
      <c r="B190" s="344">
        <v>2007</v>
      </c>
      <c r="C190" s="59" t="s">
        <v>98</v>
      </c>
      <c r="D190" s="59">
        <v>2337</v>
      </c>
      <c r="E190" s="503" t="s">
        <v>110</v>
      </c>
      <c r="F190" s="29">
        <v>1</v>
      </c>
      <c r="G190" s="9">
        <v>1</v>
      </c>
      <c r="H190" s="9">
        <v>1</v>
      </c>
      <c r="I190" s="9">
        <v>2</v>
      </c>
      <c r="J190" s="43">
        <v>2</v>
      </c>
      <c r="K190" s="265">
        <f t="shared" si="3"/>
        <v>0.35859414261160716</v>
      </c>
      <c r="L190" s="164" t="s">
        <v>111</v>
      </c>
    </row>
    <row r="191" spans="1:12">
      <c r="A191" s="34" t="s">
        <v>109</v>
      </c>
      <c r="B191" s="344">
        <v>2008</v>
      </c>
      <c r="C191" s="59" t="s">
        <v>85</v>
      </c>
      <c r="D191" s="59">
        <v>1680</v>
      </c>
      <c r="E191" s="503" t="s">
        <v>110</v>
      </c>
      <c r="F191" s="29">
        <v>1</v>
      </c>
      <c r="G191" s="9">
        <v>1</v>
      </c>
      <c r="H191" s="9">
        <v>1</v>
      </c>
      <c r="I191" s="9">
        <v>2</v>
      </c>
      <c r="J191" s="43">
        <v>2</v>
      </c>
      <c r="K191" s="265">
        <f t="shared" si="3"/>
        <v>0.35859414261160716</v>
      </c>
      <c r="L191" s="164" t="s">
        <v>111</v>
      </c>
    </row>
    <row r="192" spans="1:12">
      <c r="A192" s="34" t="s">
        <v>109</v>
      </c>
      <c r="B192" s="344">
        <v>2008</v>
      </c>
      <c r="C192" s="59" t="s">
        <v>86</v>
      </c>
      <c r="D192" s="59">
        <v>290</v>
      </c>
      <c r="E192" s="503" t="s">
        <v>110</v>
      </c>
      <c r="F192" s="29">
        <v>1</v>
      </c>
      <c r="G192" s="9">
        <v>1</v>
      </c>
      <c r="H192" s="9">
        <v>1</v>
      </c>
      <c r="I192" s="9">
        <v>2</v>
      </c>
      <c r="J192" s="43">
        <v>2</v>
      </c>
      <c r="K192" s="265">
        <f t="shared" si="3"/>
        <v>0.35859414261160716</v>
      </c>
      <c r="L192" s="164" t="s">
        <v>111</v>
      </c>
    </row>
    <row r="193" spans="1:12">
      <c r="A193" s="34" t="s">
        <v>109</v>
      </c>
      <c r="B193" s="344">
        <v>2008</v>
      </c>
      <c r="C193" s="59" t="s">
        <v>87</v>
      </c>
      <c r="D193" s="59">
        <v>852</v>
      </c>
      <c r="E193" s="503" t="s">
        <v>110</v>
      </c>
      <c r="F193" s="29">
        <v>1</v>
      </c>
      <c r="G193" s="9">
        <v>1</v>
      </c>
      <c r="H193" s="9">
        <v>1</v>
      </c>
      <c r="I193" s="9">
        <v>2</v>
      </c>
      <c r="J193" s="43">
        <v>2</v>
      </c>
      <c r="K193" s="265">
        <f t="shared" si="3"/>
        <v>0.35859414261160716</v>
      </c>
      <c r="L193" s="164" t="s">
        <v>111</v>
      </c>
    </row>
    <row r="194" spans="1:12">
      <c r="A194" s="34" t="s">
        <v>109</v>
      </c>
      <c r="B194" s="344">
        <v>2008</v>
      </c>
      <c r="C194" s="59" t="s">
        <v>88</v>
      </c>
      <c r="D194" s="59">
        <v>25</v>
      </c>
      <c r="E194" s="503" t="s">
        <v>110</v>
      </c>
      <c r="F194" s="29">
        <v>1</v>
      </c>
      <c r="G194" s="9">
        <v>1</v>
      </c>
      <c r="H194" s="9">
        <v>1</v>
      </c>
      <c r="I194" s="9">
        <v>2</v>
      </c>
      <c r="J194" s="43">
        <v>2</v>
      </c>
      <c r="K194" s="265">
        <f t="shared" si="3"/>
        <v>0.35859414261160716</v>
      </c>
      <c r="L194" s="164" t="s">
        <v>111</v>
      </c>
    </row>
    <row r="195" spans="1:12">
      <c r="A195" s="34" t="s">
        <v>109</v>
      </c>
      <c r="B195" s="344">
        <v>2008</v>
      </c>
      <c r="C195" s="59" t="s">
        <v>89</v>
      </c>
      <c r="D195" s="59">
        <v>191</v>
      </c>
      <c r="E195" s="503" t="s">
        <v>110</v>
      </c>
      <c r="F195" s="29">
        <v>1</v>
      </c>
      <c r="G195" s="9">
        <v>1</v>
      </c>
      <c r="H195" s="9">
        <v>1</v>
      </c>
      <c r="I195" s="9">
        <v>2</v>
      </c>
      <c r="J195" s="43">
        <v>2</v>
      </c>
      <c r="K195" s="265">
        <f t="shared" si="3"/>
        <v>0.35859414261160716</v>
      </c>
      <c r="L195" s="164" t="s">
        <v>111</v>
      </c>
    </row>
    <row r="196" spans="1:12">
      <c r="A196" s="34" t="s">
        <v>109</v>
      </c>
      <c r="B196" s="344">
        <v>2008</v>
      </c>
      <c r="C196" s="59" t="s">
        <v>90</v>
      </c>
      <c r="D196" s="59">
        <v>610</v>
      </c>
      <c r="E196" s="503" t="s">
        <v>110</v>
      </c>
      <c r="F196" s="29">
        <v>1</v>
      </c>
      <c r="G196" s="9">
        <v>1</v>
      </c>
      <c r="H196" s="9">
        <v>1</v>
      </c>
      <c r="I196" s="9">
        <v>2</v>
      </c>
      <c r="J196" s="43">
        <v>2</v>
      </c>
      <c r="K196" s="265">
        <f t="shared" si="3"/>
        <v>0.35859414261160716</v>
      </c>
      <c r="L196" s="164" t="s">
        <v>111</v>
      </c>
    </row>
    <row r="197" spans="1:12">
      <c r="A197" s="34" t="s">
        <v>109</v>
      </c>
      <c r="B197" s="344">
        <v>2008</v>
      </c>
      <c r="C197" s="59" t="s">
        <v>91</v>
      </c>
      <c r="D197" s="59">
        <v>176</v>
      </c>
      <c r="E197" s="503" t="s">
        <v>110</v>
      </c>
      <c r="F197" s="29">
        <v>1</v>
      </c>
      <c r="G197" s="9">
        <v>1</v>
      </c>
      <c r="H197" s="9">
        <v>1</v>
      </c>
      <c r="I197" s="9">
        <v>2</v>
      </c>
      <c r="J197" s="43">
        <v>2</v>
      </c>
      <c r="K197" s="265">
        <f t="shared" si="3"/>
        <v>0.35859414261160716</v>
      </c>
      <c r="L197" s="164" t="s">
        <v>111</v>
      </c>
    </row>
    <row r="198" spans="1:12">
      <c r="A198" s="34" t="s">
        <v>109</v>
      </c>
      <c r="B198" s="344">
        <v>2008</v>
      </c>
      <c r="C198" s="59" t="s">
        <v>94</v>
      </c>
      <c r="D198" s="59">
        <v>128</v>
      </c>
      <c r="E198" s="503" t="s">
        <v>110</v>
      </c>
      <c r="F198" s="29">
        <v>1</v>
      </c>
      <c r="G198" s="9">
        <v>1</v>
      </c>
      <c r="H198" s="9">
        <v>1</v>
      </c>
      <c r="I198" s="9">
        <v>2</v>
      </c>
      <c r="J198" s="43">
        <v>2</v>
      </c>
      <c r="K198" s="265">
        <f t="shared" si="3"/>
        <v>0.35859414261160716</v>
      </c>
      <c r="L198" s="164" t="s">
        <v>111</v>
      </c>
    </row>
    <row r="199" spans="1:12">
      <c r="A199" s="34" t="s">
        <v>109</v>
      </c>
      <c r="B199" s="344">
        <v>2008</v>
      </c>
      <c r="C199" s="59" t="s">
        <v>96</v>
      </c>
      <c r="D199" s="59">
        <v>337</v>
      </c>
      <c r="E199" s="503" t="s">
        <v>110</v>
      </c>
      <c r="F199" s="29">
        <v>1</v>
      </c>
      <c r="G199" s="9">
        <v>1</v>
      </c>
      <c r="H199" s="9">
        <v>1</v>
      </c>
      <c r="I199" s="9">
        <v>2</v>
      </c>
      <c r="J199" s="43">
        <v>2</v>
      </c>
      <c r="K199" s="265">
        <f t="shared" si="3"/>
        <v>0.35859414261160716</v>
      </c>
      <c r="L199" s="164" t="s">
        <v>111</v>
      </c>
    </row>
    <row r="200" spans="1:12">
      <c r="A200" s="34" t="s">
        <v>109</v>
      </c>
      <c r="B200" s="344">
        <v>2008</v>
      </c>
      <c r="C200" s="59" t="s">
        <v>97</v>
      </c>
      <c r="D200" s="59">
        <v>125</v>
      </c>
      <c r="E200" s="503" t="s">
        <v>110</v>
      </c>
      <c r="F200" s="29">
        <v>1</v>
      </c>
      <c r="G200" s="9">
        <v>1</v>
      </c>
      <c r="H200" s="9">
        <v>1</v>
      </c>
      <c r="I200" s="9">
        <v>2</v>
      </c>
      <c r="J200" s="43">
        <v>2</v>
      </c>
      <c r="K200" s="265">
        <f t="shared" si="3"/>
        <v>0.35859414261160716</v>
      </c>
      <c r="L200" s="164" t="s">
        <v>111</v>
      </c>
    </row>
    <row r="201" spans="1:12">
      <c r="A201" s="34" t="s">
        <v>109</v>
      </c>
      <c r="B201" s="344">
        <v>2008</v>
      </c>
      <c r="C201" s="59" t="s">
        <v>95</v>
      </c>
      <c r="D201" s="59">
        <v>199</v>
      </c>
      <c r="E201" s="503" t="s">
        <v>110</v>
      </c>
      <c r="F201" s="29">
        <v>1</v>
      </c>
      <c r="G201" s="9">
        <v>1</v>
      </c>
      <c r="H201" s="9">
        <v>1</v>
      </c>
      <c r="I201" s="9">
        <v>2</v>
      </c>
      <c r="J201" s="43">
        <v>2</v>
      </c>
      <c r="K201" s="265">
        <f t="shared" si="3"/>
        <v>0.35859414261160716</v>
      </c>
      <c r="L201" s="164" t="s">
        <v>111</v>
      </c>
    </row>
    <row r="202" spans="1:12">
      <c r="A202" s="34" t="s">
        <v>109</v>
      </c>
      <c r="B202" s="344">
        <v>2008</v>
      </c>
      <c r="C202" s="59" t="s">
        <v>93</v>
      </c>
      <c r="D202" s="59">
        <v>98</v>
      </c>
      <c r="E202" s="503" t="s">
        <v>110</v>
      </c>
      <c r="F202" s="29">
        <v>1</v>
      </c>
      <c r="G202" s="9">
        <v>1</v>
      </c>
      <c r="H202" s="9">
        <v>1</v>
      </c>
      <c r="I202" s="9">
        <v>2</v>
      </c>
      <c r="J202" s="43">
        <v>2</v>
      </c>
      <c r="K202" s="265">
        <f t="shared" si="3"/>
        <v>0.35859414261160716</v>
      </c>
      <c r="L202" s="164" t="s">
        <v>111</v>
      </c>
    </row>
    <row r="203" spans="1:12">
      <c r="A203" s="34" t="s">
        <v>109</v>
      </c>
      <c r="B203" s="344">
        <v>2008</v>
      </c>
      <c r="C203" s="59" t="s">
        <v>98</v>
      </c>
      <c r="D203" s="59">
        <v>2137</v>
      </c>
      <c r="E203" s="503" t="s">
        <v>110</v>
      </c>
      <c r="F203" s="29">
        <v>1</v>
      </c>
      <c r="G203" s="9">
        <v>1</v>
      </c>
      <c r="H203" s="9">
        <v>1</v>
      </c>
      <c r="I203" s="9">
        <v>2</v>
      </c>
      <c r="J203" s="43">
        <v>2</v>
      </c>
      <c r="K203" s="265">
        <f t="shared" si="3"/>
        <v>0.35859414261160716</v>
      </c>
      <c r="L203" s="164" t="s">
        <v>111</v>
      </c>
    </row>
    <row r="204" spans="1:12">
      <c r="A204" s="34" t="s">
        <v>109</v>
      </c>
      <c r="B204" s="344">
        <v>2009</v>
      </c>
      <c r="C204" s="59" t="s">
        <v>85</v>
      </c>
      <c r="D204" s="59">
        <v>1560</v>
      </c>
      <c r="E204" s="503" t="s">
        <v>110</v>
      </c>
      <c r="F204" s="29">
        <v>1</v>
      </c>
      <c r="G204" s="9">
        <v>1</v>
      </c>
      <c r="H204" s="9">
        <v>1</v>
      </c>
      <c r="I204" s="9">
        <v>2</v>
      </c>
      <c r="J204" s="43">
        <v>2</v>
      </c>
      <c r="K204" s="265">
        <f t="shared" si="3"/>
        <v>0.35859414261160716</v>
      </c>
      <c r="L204" s="164" t="s">
        <v>111</v>
      </c>
    </row>
    <row r="205" spans="1:12">
      <c r="A205" s="34" t="s">
        <v>109</v>
      </c>
      <c r="B205" s="344">
        <v>2009</v>
      </c>
      <c r="C205" s="59" t="s">
        <v>86</v>
      </c>
      <c r="D205" s="59">
        <v>290</v>
      </c>
      <c r="E205" s="503" t="s">
        <v>110</v>
      </c>
      <c r="F205" s="29">
        <v>1</v>
      </c>
      <c r="G205" s="9">
        <v>1</v>
      </c>
      <c r="H205" s="9">
        <v>1</v>
      </c>
      <c r="I205" s="9">
        <v>2</v>
      </c>
      <c r="J205" s="43">
        <v>2</v>
      </c>
      <c r="K205" s="265">
        <f t="shared" si="3"/>
        <v>0.35859414261160716</v>
      </c>
      <c r="L205" s="164" t="s">
        <v>111</v>
      </c>
    </row>
    <row r="206" spans="1:12">
      <c r="A206" s="34" t="s">
        <v>109</v>
      </c>
      <c r="B206" s="344">
        <v>2009</v>
      </c>
      <c r="C206" s="59" t="s">
        <v>87</v>
      </c>
      <c r="D206" s="59">
        <v>852</v>
      </c>
      <c r="E206" s="503" t="s">
        <v>110</v>
      </c>
      <c r="F206" s="29">
        <v>1</v>
      </c>
      <c r="G206" s="9">
        <v>1</v>
      </c>
      <c r="H206" s="9">
        <v>1</v>
      </c>
      <c r="I206" s="9">
        <v>2</v>
      </c>
      <c r="J206" s="43">
        <v>2</v>
      </c>
      <c r="K206" s="265">
        <f t="shared" si="3"/>
        <v>0.35859414261160716</v>
      </c>
      <c r="L206" s="164" t="s">
        <v>111</v>
      </c>
    </row>
    <row r="207" spans="1:12">
      <c r="A207" s="34" t="s">
        <v>109</v>
      </c>
      <c r="B207" s="344">
        <v>2009</v>
      </c>
      <c r="C207" s="59" t="s">
        <v>88</v>
      </c>
      <c r="D207" s="59">
        <v>9</v>
      </c>
      <c r="E207" s="503" t="s">
        <v>110</v>
      </c>
      <c r="F207" s="29">
        <v>1</v>
      </c>
      <c r="G207" s="9">
        <v>1</v>
      </c>
      <c r="H207" s="9">
        <v>1</v>
      </c>
      <c r="I207" s="9">
        <v>2</v>
      </c>
      <c r="J207" s="43">
        <v>2</v>
      </c>
      <c r="K207" s="265">
        <f t="shared" si="3"/>
        <v>0.35859414261160716</v>
      </c>
      <c r="L207" s="164" t="s">
        <v>111</v>
      </c>
    </row>
    <row r="208" spans="1:12">
      <c r="A208" s="34" t="s">
        <v>109</v>
      </c>
      <c r="B208" s="344">
        <v>2009</v>
      </c>
      <c r="C208" s="59" t="s">
        <v>89</v>
      </c>
      <c r="D208" s="59">
        <v>191</v>
      </c>
      <c r="E208" s="503" t="s">
        <v>110</v>
      </c>
      <c r="F208" s="29">
        <v>1</v>
      </c>
      <c r="G208" s="9">
        <v>1</v>
      </c>
      <c r="H208" s="9">
        <v>1</v>
      </c>
      <c r="I208" s="9">
        <v>2</v>
      </c>
      <c r="J208" s="43">
        <v>2</v>
      </c>
      <c r="K208" s="265">
        <f t="shared" si="3"/>
        <v>0.35859414261160716</v>
      </c>
      <c r="L208" s="164" t="s">
        <v>111</v>
      </c>
    </row>
    <row r="209" spans="1:12">
      <c r="A209" s="34" t="s">
        <v>109</v>
      </c>
      <c r="B209" s="344">
        <v>2009</v>
      </c>
      <c r="C209" s="59" t="s">
        <v>90</v>
      </c>
      <c r="D209" s="59">
        <v>610</v>
      </c>
      <c r="E209" s="503" t="s">
        <v>110</v>
      </c>
      <c r="F209" s="29">
        <v>1</v>
      </c>
      <c r="G209" s="9">
        <v>1</v>
      </c>
      <c r="H209" s="9">
        <v>1</v>
      </c>
      <c r="I209" s="9">
        <v>2</v>
      </c>
      <c r="J209" s="43">
        <v>2</v>
      </c>
      <c r="K209" s="265">
        <f t="shared" si="3"/>
        <v>0.35859414261160716</v>
      </c>
      <c r="L209" s="164" t="s">
        <v>111</v>
      </c>
    </row>
    <row r="210" spans="1:12">
      <c r="A210" s="34" t="s">
        <v>109</v>
      </c>
      <c r="B210" s="344">
        <v>2009</v>
      </c>
      <c r="C210" s="59" t="s">
        <v>91</v>
      </c>
      <c r="D210" s="59">
        <v>184</v>
      </c>
      <c r="E210" s="503" t="s">
        <v>110</v>
      </c>
      <c r="F210" s="29">
        <v>1</v>
      </c>
      <c r="G210" s="9">
        <v>1</v>
      </c>
      <c r="H210" s="9">
        <v>1</v>
      </c>
      <c r="I210" s="9">
        <v>2</v>
      </c>
      <c r="J210" s="43">
        <v>2</v>
      </c>
      <c r="K210" s="265">
        <f t="shared" si="3"/>
        <v>0.35859414261160716</v>
      </c>
      <c r="L210" s="164" t="s">
        <v>111</v>
      </c>
    </row>
    <row r="211" spans="1:12">
      <c r="A211" s="34" t="s">
        <v>109</v>
      </c>
      <c r="B211" s="344">
        <v>2009</v>
      </c>
      <c r="C211" s="59" t="s">
        <v>94</v>
      </c>
      <c r="D211" s="59">
        <v>109</v>
      </c>
      <c r="E211" s="503" t="s">
        <v>110</v>
      </c>
      <c r="F211" s="29">
        <v>1</v>
      </c>
      <c r="G211" s="9">
        <v>1</v>
      </c>
      <c r="H211" s="9">
        <v>1</v>
      </c>
      <c r="I211" s="9">
        <v>2</v>
      </c>
      <c r="J211" s="43">
        <v>2</v>
      </c>
      <c r="K211" s="265">
        <f t="shared" si="3"/>
        <v>0.35859414261160716</v>
      </c>
      <c r="L211" s="164" t="s">
        <v>111</v>
      </c>
    </row>
    <row r="212" spans="1:12">
      <c r="A212" s="34" t="s">
        <v>109</v>
      </c>
      <c r="B212" s="344">
        <v>2009</v>
      </c>
      <c r="C212" s="59" t="s">
        <v>96</v>
      </c>
      <c r="D212" s="59">
        <v>337</v>
      </c>
      <c r="E212" s="503" t="s">
        <v>110</v>
      </c>
      <c r="F212" s="29">
        <v>1</v>
      </c>
      <c r="G212" s="9">
        <v>1</v>
      </c>
      <c r="H212" s="9">
        <v>1</v>
      </c>
      <c r="I212" s="9">
        <v>2</v>
      </c>
      <c r="J212" s="43">
        <v>2</v>
      </c>
      <c r="K212" s="265">
        <f t="shared" si="3"/>
        <v>0.35859414261160716</v>
      </c>
      <c r="L212" s="164" t="s">
        <v>111</v>
      </c>
    </row>
    <row r="213" spans="1:12">
      <c r="A213" s="34" t="s">
        <v>109</v>
      </c>
      <c r="B213" s="344">
        <v>2009</v>
      </c>
      <c r="C213" s="59" t="s">
        <v>97</v>
      </c>
      <c r="D213" s="59">
        <v>126</v>
      </c>
      <c r="E213" s="503" t="s">
        <v>110</v>
      </c>
      <c r="F213" s="29">
        <v>1</v>
      </c>
      <c r="G213" s="9">
        <v>1</v>
      </c>
      <c r="H213" s="9">
        <v>1</v>
      </c>
      <c r="I213" s="9">
        <v>2</v>
      </c>
      <c r="J213" s="43">
        <v>2</v>
      </c>
      <c r="K213" s="265">
        <f t="shared" si="3"/>
        <v>0.35859414261160716</v>
      </c>
      <c r="L213" s="164" t="s">
        <v>111</v>
      </c>
    </row>
    <row r="214" spans="1:12">
      <c r="A214" s="34" t="s">
        <v>109</v>
      </c>
      <c r="B214" s="344">
        <v>2009</v>
      </c>
      <c r="C214" s="59" t="s">
        <v>95</v>
      </c>
      <c r="D214" s="59">
        <v>205</v>
      </c>
      <c r="E214" s="503" t="s">
        <v>110</v>
      </c>
      <c r="F214" s="29">
        <v>1</v>
      </c>
      <c r="G214" s="9">
        <v>1</v>
      </c>
      <c r="H214" s="9">
        <v>1</v>
      </c>
      <c r="I214" s="9">
        <v>2</v>
      </c>
      <c r="J214" s="43">
        <v>2</v>
      </c>
      <c r="K214" s="265">
        <f t="shared" si="3"/>
        <v>0.35859414261160716</v>
      </c>
      <c r="L214" s="164" t="s">
        <v>111</v>
      </c>
    </row>
    <row r="215" spans="1:12">
      <c r="A215" s="34" t="s">
        <v>109</v>
      </c>
      <c r="B215" s="344">
        <v>2009</v>
      </c>
      <c r="C215" s="59" t="s">
        <v>93</v>
      </c>
      <c r="D215" s="59">
        <v>69</v>
      </c>
      <c r="E215" s="503" t="s">
        <v>110</v>
      </c>
      <c r="F215" s="29">
        <v>1</v>
      </c>
      <c r="G215" s="9">
        <v>1</v>
      </c>
      <c r="H215" s="9">
        <v>1</v>
      </c>
      <c r="I215" s="9">
        <v>2</v>
      </c>
      <c r="J215" s="43">
        <v>2</v>
      </c>
      <c r="K215" s="265">
        <f t="shared" si="3"/>
        <v>0.35859414261160716</v>
      </c>
      <c r="L215" s="164" t="s">
        <v>111</v>
      </c>
    </row>
    <row r="216" spans="1:12">
      <c r="A216" s="34" t="s">
        <v>109</v>
      </c>
      <c r="B216" s="344">
        <v>2009</v>
      </c>
      <c r="C216" s="59" t="s">
        <v>98</v>
      </c>
      <c r="D216" s="59">
        <v>2139</v>
      </c>
      <c r="E216" s="503" t="s">
        <v>110</v>
      </c>
      <c r="F216" s="29">
        <v>1</v>
      </c>
      <c r="G216" s="9">
        <v>1</v>
      </c>
      <c r="H216" s="9">
        <v>1</v>
      </c>
      <c r="I216" s="9">
        <v>2</v>
      </c>
      <c r="J216" s="43">
        <v>2</v>
      </c>
      <c r="K216" s="265">
        <f t="shared" si="3"/>
        <v>0.35859414261160716</v>
      </c>
      <c r="L216" s="164" t="s">
        <v>111</v>
      </c>
    </row>
    <row r="217" spans="1:12">
      <c r="A217" s="34" t="s">
        <v>109</v>
      </c>
      <c r="B217" s="344">
        <v>2010</v>
      </c>
      <c r="C217" s="59" t="s">
        <v>85</v>
      </c>
      <c r="D217" s="59">
        <v>1474</v>
      </c>
      <c r="E217" s="503" t="s">
        <v>110</v>
      </c>
      <c r="F217" s="29">
        <v>1</v>
      </c>
      <c r="G217" s="9">
        <v>1</v>
      </c>
      <c r="H217" s="9">
        <v>1</v>
      </c>
      <c r="I217" s="9">
        <v>2</v>
      </c>
      <c r="J217" s="43">
        <v>2</v>
      </c>
      <c r="K217" s="265">
        <f t="shared" si="3"/>
        <v>0.35859414261160716</v>
      </c>
      <c r="L217" s="164" t="s">
        <v>111</v>
      </c>
    </row>
    <row r="218" spans="1:12">
      <c r="A218" s="34" t="s">
        <v>109</v>
      </c>
      <c r="B218" s="344">
        <v>2010</v>
      </c>
      <c r="C218" s="59" t="s">
        <v>86</v>
      </c>
      <c r="D218" s="59">
        <v>290</v>
      </c>
      <c r="E218" s="503" t="s">
        <v>110</v>
      </c>
      <c r="F218" s="29">
        <v>1</v>
      </c>
      <c r="G218" s="9">
        <v>1</v>
      </c>
      <c r="H218" s="9">
        <v>1</v>
      </c>
      <c r="I218" s="9">
        <v>2</v>
      </c>
      <c r="J218" s="43">
        <v>2</v>
      </c>
      <c r="K218" s="265">
        <f t="shared" si="3"/>
        <v>0.35859414261160716</v>
      </c>
      <c r="L218" s="164" t="s">
        <v>111</v>
      </c>
    </row>
    <row r="219" spans="1:12">
      <c r="A219" s="34" t="s">
        <v>109</v>
      </c>
      <c r="B219" s="344">
        <v>2010</v>
      </c>
      <c r="C219" s="59" t="s">
        <v>87</v>
      </c>
      <c r="D219" s="59">
        <v>852</v>
      </c>
      <c r="E219" s="503" t="s">
        <v>110</v>
      </c>
      <c r="F219" s="29">
        <v>1</v>
      </c>
      <c r="G219" s="9">
        <v>1</v>
      </c>
      <c r="H219" s="9">
        <v>1</v>
      </c>
      <c r="I219" s="9">
        <v>2</v>
      </c>
      <c r="J219" s="43">
        <v>2</v>
      </c>
      <c r="K219" s="265">
        <f t="shared" si="3"/>
        <v>0.35859414261160716</v>
      </c>
      <c r="L219" s="164" t="s">
        <v>111</v>
      </c>
    </row>
    <row r="220" spans="1:12">
      <c r="A220" s="34" t="s">
        <v>109</v>
      </c>
      <c r="B220" s="344">
        <v>2010</v>
      </c>
      <c r="C220" s="59" t="s">
        <v>88</v>
      </c>
      <c r="D220" s="59">
        <v>4</v>
      </c>
      <c r="E220" s="503" t="s">
        <v>110</v>
      </c>
      <c r="F220" s="29">
        <v>1</v>
      </c>
      <c r="G220" s="9">
        <v>1</v>
      </c>
      <c r="H220" s="9">
        <v>1</v>
      </c>
      <c r="I220" s="9">
        <v>2</v>
      </c>
      <c r="J220" s="43">
        <v>2</v>
      </c>
      <c r="K220" s="265">
        <f t="shared" si="3"/>
        <v>0.35859414261160716</v>
      </c>
      <c r="L220" s="164" t="s">
        <v>111</v>
      </c>
    </row>
    <row r="221" spans="1:12">
      <c r="A221" s="34" t="s">
        <v>109</v>
      </c>
      <c r="B221" s="344">
        <v>2010</v>
      </c>
      <c r="C221" s="59" t="s">
        <v>89</v>
      </c>
      <c r="D221" s="59">
        <v>191</v>
      </c>
      <c r="E221" s="503" t="s">
        <v>110</v>
      </c>
      <c r="F221" s="29">
        <v>1</v>
      </c>
      <c r="G221" s="9">
        <v>1</v>
      </c>
      <c r="H221" s="9">
        <v>1</v>
      </c>
      <c r="I221" s="9">
        <v>2</v>
      </c>
      <c r="J221" s="43">
        <v>2</v>
      </c>
      <c r="K221" s="265">
        <f t="shared" si="3"/>
        <v>0.35859414261160716</v>
      </c>
      <c r="L221" s="164" t="s">
        <v>111</v>
      </c>
    </row>
    <row r="222" spans="1:12">
      <c r="A222" s="34" t="s">
        <v>109</v>
      </c>
      <c r="B222" s="344">
        <v>2010</v>
      </c>
      <c r="C222" s="59" t="s">
        <v>90</v>
      </c>
      <c r="D222" s="59">
        <v>610</v>
      </c>
      <c r="E222" s="503" t="s">
        <v>110</v>
      </c>
      <c r="F222" s="29">
        <v>1</v>
      </c>
      <c r="G222" s="9">
        <v>1</v>
      </c>
      <c r="H222" s="9">
        <v>1</v>
      </c>
      <c r="I222" s="9">
        <v>2</v>
      </c>
      <c r="J222" s="43">
        <v>2</v>
      </c>
      <c r="K222" s="265">
        <f t="shared" si="3"/>
        <v>0.35859414261160716</v>
      </c>
      <c r="L222" s="164" t="s">
        <v>111</v>
      </c>
    </row>
    <row r="223" spans="1:12">
      <c r="A223" s="34" t="s">
        <v>109</v>
      </c>
      <c r="B223" s="344">
        <v>2010</v>
      </c>
      <c r="C223" s="59" t="s">
        <v>91</v>
      </c>
      <c r="D223" s="59">
        <v>356</v>
      </c>
      <c r="E223" s="503" t="s">
        <v>110</v>
      </c>
      <c r="F223" s="29">
        <v>1</v>
      </c>
      <c r="G223" s="9">
        <v>1</v>
      </c>
      <c r="H223" s="9">
        <v>1</v>
      </c>
      <c r="I223" s="9">
        <v>2</v>
      </c>
      <c r="J223" s="43">
        <v>2</v>
      </c>
      <c r="K223" s="265">
        <f t="shared" si="3"/>
        <v>0.35859414261160716</v>
      </c>
      <c r="L223" s="164" t="s">
        <v>111</v>
      </c>
    </row>
    <row r="224" spans="1:12">
      <c r="A224" s="34" t="s">
        <v>109</v>
      </c>
      <c r="B224" s="344">
        <v>2010</v>
      </c>
      <c r="C224" s="59" t="s">
        <v>94</v>
      </c>
      <c r="D224" s="59">
        <v>55</v>
      </c>
      <c r="E224" s="503" t="s">
        <v>110</v>
      </c>
      <c r="F224" s="29">
        <v>1</v>
      </c>
      <c r="G224" s="9">
        <v>1</v>
      </c>
      <c r="H224" s="9">
        <v>1</v>
      </c>
      <c r="I224" s="9">
        <v>2</v>
      </c>
      <c r="J224" s="43">
        <v>2</v>
      </c>
      <c r="K224" s="265">
        <f t="shared" si="3"/>
        <v>0.35859414261160716</v>
      </c>
      <c r="L224" s="164" t="s">
        <v>111</v>
      </c>
    </row>
    <row r="225" spans="1:12">
      <c r="A225" s="34" t="s">
        <v>109</v>
      </c>
      <c r="B225" s="344">
        <v>2010</v>
      </c>
      <c r="C225" s="59" t="s">
        <v>96</v>
      </c>
      <c r="D225" s="59">
        <v>250</v>
      </c>
      <c r="E225" s="503" t="s">
        <v>110</v>
      </c>
      <c r="F225" s="29">
        <v>1</v>
      </c>
      <c r="G225" s="9">
        <v>1</v>
      </c>
      <c r="H225" s="9">
        <v>1</v>
      </c>
      <c r="I225" s="9">
        <v>2</v>
      </c>
      <c r="J225" s="43">
        <v>2</v>
      </c>
      <c r="K225" s="265">
        <f t="shared" si="3"/>
        <v>0.35859414261160716</v>
      </c>
      <c r="L225" s="164" t="s">
        <v>111</v>
      </c>
    </row>
    <row r="226" spans="1:12">
      <c r="A226" s="34" t="s">
        <v>109</v>
      </c>
      <c r="B226" s="344">
        <v>2010</v>
      </c>
      <c r="C226" s="59" t="s">
        <v>97</v>
      </c>
      <c r="D226" s="59">
        <v>188</v>
      </c>
      <c r="E226" s="503" t="s">
        <v>110</v>
      </c>
      <c r="F226" s="29">
        <v>1</v>
      </c>
      <c r="G226" s="9">
        <v>1</v>
      </c>
      <c r="H226" s="9">
        <v>1</v>
      </c>
      <c r="I226" s="9">
        <v>2</v>
      </c>
      <c r="J226" s="43">
        <v>2</v>
      </c>
      <c r="K226" s="265">
        <f t="shared" si="3"/>
        <v>0.35859414261160716</v>
      </c>
      <c r="L226" s="164" t="s">
        <v>111</v>
      </c>
    </row>
    <row r="227" spans="1:12">
      <c r="A227" s="34" t="s">
        <v>109</v>
      </c>
      <c r="B227" s="344">
        <v>2010</v>
      </c>
      <c r="C227" s="59" t="s">
        <v>95</v>
      </c>
      <c r="D227" s="59">
        <v>247</v>
      </c>
      <c r="E227" s="503" t="s">
        <v>110</v>
      </c>
      <c r="F227" s="29">
        <v>1</v>
      </c>
      <c r="G227" s="9">
        <v>1</v>
      </c>
      <c r="H227" s="9">
        <v>1</v>
      </c>
      <c r="I227" s="9">
        <v>2</v>
      </c>
      <c r="J227" s="43">
        <v>2</v>
      </c>
      <c r="K227" s="265">
        <f t="shared" si="3"/>
        <v>0.35859414261160716</v>
      </c>
      <c r="L227" s="164" t="s">
        <v>111</v>
      </c>
    </row>
    <row r="228" spans="1:12">
      <c r="A228" s="34" t="s">
        <v>109</v>
      </c>
      <c r="B228" s="344">
        <v>2010</v>
      </c>
      <c r="C228" s="59" t="s">
        <v>93</v>
      </c>
      <c r="D228" s="59">
        <v>78</v>
      </c>
      <c r="E228" s="503" t="s">
        <v>110</v>
      </c>
      <c r="F228" s="29">
        <v>1</v>
      </c>
      <c r="G228" s="9">
        <v>1</v>
      </c>
      <c r="H228" s="9">
        <v>1</v>
      </c>
      <c r="I228" s="9">
        <v>2</v>
      </c>
      <c r="J228" s="43">
        <v>2</v>
      </c>
      <c r="K228" s="265">
        <f t="shared" si="3"/>
        <v>0.35859414261160716</v>
      </c>
      <c r="L228" s="164" t="s">
        <v>111</v>
      </c>
    </row>
    <row r="229" spans="1:12">
      <c r="A229" s="34" t="s">
        <v>109</v>
      </c>
      <c r="B229" s="344">
        <v>2010</v>
      </c>
      <c r="C229" s="59" t="s">
        <v>98</v>
      </c>
      <c r="D229" s="59">
        <v>2132</v>
      </c>
      <c r="E229" s="503" t="s">
        <v>110</v>
      </c>
      <c r="F229" s="29">
        <v>1</v>
      </c>
      <c r="G229" s="9">
        <v>1</v>
      </c>
      <c r="H229" s="9">
        <v>1</v>
      </c>
      <c r="I229" s="9">
        <v>2</v>
      </c>
      <c r="J229" s="43">
        <v>2</v>
      </c>
      <c r="K229" s="265">
        <f t="shared" si="3"/>
        <v>0.35859414261160716</v>
      </c>
      <c r="L229" s="164" t="s">
        <v>111</v>
      </c>
    </row>
    <row r="230" spans="1:12">
      <c r="A230" s="34" t="s">
        <v>109</v>
      </c>
      <c r="B230" s="344">
        <v>2011</v>
      </c>
      <c r="C230" s="59" t="s">
        <v>85</v>
      </c>
      <c r="D230" s="59">
        <v>1435</v>
      </c>
      <c r="E230" s="503" t="s">
        <v>110</v>
      </c>
      <c r="F230" s="29">
        <v>1</v>
      </c>
      <c r="G230" s="9">
        <v>1</v>
      </c>
      <c r="H230" s="9">
        <v>1</v>
      </c>
      <c r="I230" s="9">
        <v>2</v>
      </c>
      <c r="J230" s="43">
        <v>2</v>
      </c>
      <c r="K230" s="265">
        <f t="shared" si="3"/>
        <v>0.35859414261160716</v>
      </c>
      <c r="L230" s="164" t="s">
        <v>111</v>
      </c>
    </row>
    <row r="231" spans="1:12">
      <c r="A231" s="34" t="s">
        <v>109</v>
      </c>
      <c r="B231" s="344">
        <v>2011</v>
      </c>
      <c r="C231" s="59" t="s">
        <v>86</v>
      </c>
      <c r="D231" s="59">
        <v>290</v>
      </c>
      <c r="E231" s="503" t="s">
        <v>110</v>
      </c>
      <c r="F231" s="29">
        <v>1</v>
      </c>
      <c r="G231" s="9">
        <v>1</v>
      </c>
      <c r="H231" s="9">
        <v>1</v>
      </c>
      <c r="I231" s="9">
        <v>2</v>
      </c>
      <c r="J231" s="43">
        <v>2</v>
      </c>
      <c r="K231" s="265">
        <f t="shared" si="3"/>
        <v>0.35859414261160716</v>
      </c>
      <c r="L231" s="164" t="s">
        <v>111</v>
      </c>
    </row>
    <row r="232" spans="1:12">
      <c r="A232" s="34" t="s">
        <v>109</v>
      </c>
      <c r="B232" s="344">
        <v>2011</v>
      </c>
      <c r="C232" s="59" t="s">
        <v>87</v>
      </c>
      <c r="D232" s="59">
        <v>852</v>
      </c>
      <c r="E232" s="503" t="s">
        <v>110</v>
      </c>
      <c r="F232" s="29">
        <v>1</v>
      </c>
      <c r="G232" s="9">
        <v>1</v>
      </c>
      <c r="H232" s="9">
        <v>1</v>
      </c>
      <c r="I232" s="9">
        <v>2</v>
      </c>
      <c r="J232" s="43">
        <v>2</v>
      </c>
      <c r="K232" s="265">
        <f t="shared" si="3"/>
        <v>0.35859414261160716</v>
      </c>
      <c r="L232" s="164" t="s">
        <v>111</v>
      </c>
    </row>
    <row r="233" spans="1:12">
      <c r="A233" s="34" t="s">
        <v>109</v>
      </c>
      <c r="B233" s="344">
        <v>2011</v>
      </c>
      <c r="C233" s="59" t="s">
        <v>88</v>
      </c>
      <c r="D233" s="59">
        <v>4</v>
      </c>
      <c r="E233" s="503" t="s">
        <v>110</v>
      </c>
      <c r="F233" s="29">
        <v>1</v>
      </c>
      <c r="G233" s="9">
        <v>1</v>
      </c>
      <c r="H233" s="9">
        <v>1</v>
      </c>
      <c r="I233" s="9">
        <v>2</v>
      </c>
      <c r="J233" s="43">
        <v>2</v>
      </c>
      <c r="K233" s="265">
        <f t="shared" si="3"/>
        <v>0.35859414261160716</v>
      </c>
      <c r="L233" s="164" t="s">
        <v>111</v>
      </c>
    </row>
    <row r="234" spans="1:12">
      <c r="A234" s="34" t="s">
        <v>109</v>
      </c>
      <c r="B234" s="344">
        <v>2011</v>
      </c>
      <c r="C234" s="59" t="s">
        <v>89</v>
      </c>
      <c r="D234" s="59">
        <v>191</v>
      </c>
      <c r="E234" s="503" t="s">
        <v>110</v>
      </c>
      <c r="F234" s="29">
        <v>1</v>
      </c>
      <c r="G234" s="9">
        <v>1</v>
      </c>
      <c r="H234" s="9">
        <v>1</v>
      </c>
      <c r="I234" s="9">
        <v>2</v>
      </c>
      <c r="J234" s="43">
        <v>2</v>
      </c>
      <c r="K234" s="265">
        <f t="shared" si="3"/>
        <v>0.35859414261160716</v>
      </c>
      <c r="L234" s="164" t="s">
        <v>111</v>
      </c>
    </row>
    <row r="235" spans="1:12">
      <c r="A235" s="34" t="s">
        <v>109</v>
      </c>
      <c r="B235" s="344">
        <v>2011</v>
      </c>
      <c r="C235" s="59" t="s">
        <v>90</v>
      </c>
      <c r="D235" s="59">
        <v>610</v>
      </c>
      <c r="E235" s="503" t="s">
        <v>110</v>
      </c>
      <c r="F235" s="29">
        <v>1</v>
      </c>
      <c r="G235" s="9">
        <v>1</v>
      </c>
      <c r="H235" s="9">
        <v>1</v>
      </c>
      <c r="I235" s="9">
        <v>2</v>
      </c>
      <c r="J235" s="43">
        <v>2</v>
      </c>
      <c r="K235" s="265">
        <f t="shared" si="3"/>
        <v>0.35859414261160716</v>
      </c>
      <c r="L235" s="164" t="s">
        <v>111</v>
      </c>
    </row>
    <row r="236" spans="1:12">
      <c r="A236" s="34" t="s">
        <v>109</v>
      </c>
      <c r="B236" s="344">
        <v>2011</v>
      </c>
      <c r="C236" s="59" t="s">
        <v>91</v>
      </c>
      <c r="D236" s="59">
        <v>389</v>
      </c>
      <c r="E236" s="503" t="s">
        <v>110</v>
      </c>
      <c r="F236" s="29">
        <v>1</v>
      </c>
      <c r="G236" s="9">
        <v>1</v>
      </c>
      <c r="H236" s="9">
        <v>1</v>
      </c>
      <c r="I236" s="9">
        <v>2</v>
      </c>
      <c r="J236" s="43">
        <v>2</v>
      </c>
      <c r="K236" s="265">
        <f t="shared" si="3"/>
        <v>0.35859414261160716</v>
      </c>
      <c r="L236" s="164" t="s">
        <v>111</v>
      </c>
    </row>
    <row r="237" spans="1:12">
      <c r="A237" s="34" t="s">
        <v>109</v>
      </c>
      <c r="B237" s="344">
        <v>2011</v>
      </c>
      <c r="C237" s="59" t="s">
        <v>94</v>
      </c>
      <c r="D237" s="59">
        <v>141</v>
      </c>
      <c r="E237" s="503" t="s">
        <v>110</v>
      </c>
      <c r="F237" s="29">
        <v>1</v>
      </c>
      <c r="G237" s="9">
        <v>1</v>
      </c>
      <c r="H237" s="9">
        <v>1</v>
      </c>
      <c r="I237" s="9">
        <v>2</v>
      </c>
      <c r="J237" s="43">
        <v>2</v>
      </c>
      <c r="K237" s="265">
        <f t="shared" si="3"/>
        <v>0.35859414261160716</v>
      </c>
      <c r="L237" s="164" t="s">
        <v>111</v>
      </c>
    </row>
    <row r="238" spans="1:12">
      <c r="A238" s="34" t="s">
        <v>109</v>
      </c>
      <c r="B238" s="344">
        <v>2011</v>
      </c>
      <c r="C238" s="59" t="s">
        <v>96</v>
      </c>
      <c r="D238" s="59">
        <v>337</v>
      </c>
      <c r="E238" s="503" t="s">
        <v>110</v>
      </c>
      <c r="F238" s="29">
        <v>1</v>
      </c>
      <c r="G238" s="9">
        <v>1</v>
      </c>
      <c r="H238" s="9">
        <v>1</v>
      </c>
      <c r="I238" s="9">
        <v>2</v>
      </c>
      <c r="J238" s="43">
        <v>2</v>
      </c>
      <c r="K238" s="265">
        <f t="shared" si="3"/>
        <v>0.35859414261160716</v>
      </c>
      <c r="L238" s="164" t="s">
        <v>111</v>
      </c>
    </row>
    <row r="239" spans="1:12">
      <c r="A239" s="34" t="s">
        <v>109</v>
      </c>
      <c r="B239" s="344">
        <v>2011</v>
      </c>
      <c r="C239" s="59" t="s">
        <v>97</v>
      </c>
      <c r="D239" s="59">
        <v>252</v>
      </c>
      <c r="E239" s="503" t="s">
        <v>110</v>
      </c>
      <c r="F239" s="29">
        <v>1</v>
      </c>
      <c r="G239" s="9">
        <v>1</v>
      </c>
      <c r="H239" s="9">
        <v>1</v>
      </c>
      <c r="I239" s="9">
        <v>2</v>
      </c>
      <c r="J239" s="43">
        <v>2</v>
      </c>
      <c r="K239" s="265">
        <f t="shared" si="3"/>
        <v>0.35859414261160716</v>
      </c>
      <c r="L239" s="164" t="s">
        <v>111</v>
      </c>
    </row>
    <row r="240" spans="1:12">
      <c r="A240" s="34" t="s">
        <v>109</v>
      </c>
      <c r="B240" s="344">
        <v>2011</v>
      </c>
      <c r="C240" s="59" t="s">
        <v>95</v>
      </c>
      <c r="D240" s="59">
        <v>240</v>
      </c>
      <c r="E240" s="503" t="s">
        <v>110</v>
      </c>
      <c r="F240" s="29">
        <v>1</v>
      </c>
      <c r="G240" s="9">
        <v>1</v>
      </c>
      <c r="H240" s="9">
        <v>1</v>
      </c>
      <c r="I240" s="9">
        <v>2</v>
      </c>
      <c r="J240" s="43">
        <v>2</v>
      </c>
      <c r="K240" s="265">
        <f t="shared" si="3"/>
        <v>0.35859414261160716</v>
      </c>
      <c r="L240" s="164" t="s">
        <v>111</v>
      </c>
    </row>
    <row r="241" spans="1:12">
      <c r="A241" s="34" t="s">
        <v>109</v>
      </c>
      <c r="B241" s="344">
        <v>2011</v>
      </c>
      <c r="C241" s="59" t="s">
        <v>93</v>
      </c>
      <c r="D241" s="59">
        <v>101</v>
      </c>
      <c r="E241" s="503" t="s">
        <v>110</v>
      </c>
      <c r="F241" s="29">
        <v>1</v>
      </c>
      <c r="G241" s="9">
        <v>1</v>
      </c>
      <c r="H241" s="9">
        <v>1</v>
      </c>
      <c r="I241" s="9">
        <v>2</v>
      </c>
      <c r="J241" s="43">
        <v>2</v>
      </c>
      <c r="K241" s="265">
        <f t="shared" si="3"/>
        <v>0.35859414261160716</v>
      </c>
      <c r="L241" s="164" t="s">
        <v>111</v>
      </c>
    </row>
    <row r="242" spans="1:12">
      <c r="A242" s="34" t="s">
        <v>109</v>
      </c>
      <c r="B242" s="344">
        <v>2011</v>
      </c>
      <c r="C242" s="59" t="s">
        <v>98</v>
      </c>
      <c r="D242" s="59">
        <v>2115</v>
      </c>
      <c r="E242" s="503" t="s">
        <v>110</v>
      </c>
      <c r="F242" s="29">
        <v>1</v>
      </c>
      <c r="G242" s="9">
        <v>1</v>
      </c>
      <c r="H242" s="9">
        <v>1</v>
      </c>
      <c r="I242" s="9">
        <v>2</v>
      </c>
      <c r="J242" s="43">
        <v>2</v>
      </c>
      <c r="K242" s="265">
        <f t="shared" si="3"/>
        <v>0.35859414261160716</v>
      </c>
      <c r="L242" s="164" t="s">
        <v>111</v>
      </c>
    </row>
    <row r="243" spans="1:12">
      <c r="A243" s="34" t="s">
        <v>109</v>
      </c>
      <c r="B243" s="344">
        <v>2012</v>
      </c>
      <c r="C243" s="59" t="s">
        <v>85</v>
      </c>
      <c r="D243" s="59">
        <v>1807</v>
      </c>
      <c r="E243" s="503" t="s">
        <v>110</v>
      </c>
      <c r="F243" s="29">
        <v>1</v>
      </c>
      <c r="G243" s="9">
        <v>1</v>
      </c>
      <c r="H243" s="9">
        <v>1</v>
      </c>
      <c r="I243" s="9">
        <v>2</v>
      </c>
      <c r="J243" s="43">
        <v>2</v>
      </c>
      <c r="K243" s="265">
        <f t="shared" si="3"/>
        <v>0.35859414261160716</v>
      </c>
      <c r="L243" s="164" t="s">
        <v>111</v>
      </c>
    </row>
    <row r="244" spans="1:12">
      <c r="A244" s="34" t="s">
        <v>109</v>
      </c>
      <c r="B244" s="344">
        <v>2012</v>
      </c>
      <c r="C244" s="59" t="s">
        <v>86</v>
      </c>
      <c r="D244" s="59">
        <v>290</v>
      </c>
      <c r="E244" s="503" t="s">
        <v>110</v>
      </c>
      <c r="F244" s="29">
        <v>1</v>
      </c>
      <c r="G244" s="9">
        <v>1</v>
      </c>
      <c r="H244" s="9">
        <v>1</v>
      </c>
      <c r="I244" s="9">
        <v>2</v>
      </c>
      <c r="J244" s="43">
        <v>2</v>
      </c>
      <c r="K244" s="265">
        <f t="shared" si="3"/>
        <v>0.35859414261160716</v>
      </c>
      <c r="L244" s="164" t="s">
        <v>111</v>
      </c>
    </row>
    <row r="245" spans="1:12">
      <c r="A245" s="34" t="s">
        <v>109</v>
      </c>
      <c r="B245" s="344">
        <v>2012</v>
      </c>
      <c r="C245" s="59" t="s">
        <v>87</v>
      </c>
      <c r="D245" s="59">
        <v>631</v>
      </c>
      <c r="E245" s="503" t="s">
        <v>110</v>
      </c>
      <c r="F245" s="29">
        <v>1</v>
      </c>
      <c r="G245" s="9">
        <v>1</v>
      </c>
      <c r="H245" s="9">
        <v>1</v>
      </c>
      <c r="I245" s="9">
        <v>2</v>
      </c>
      <c r="J245" s="43">
        <v>2</v>
      </c>
      <c r="K245" s="265">
        <f t="shared" si="3"/>
        <v>0.35859414261160716</v>
      </c>
      <c r="L245" s="164" t="s">
        <v>111</v>
      </c>
    </row>
    <row r="246" spans="1:12">
      <c r="A246" s="34" t="s">
        <v>109</v>
      </c>
      <c r="B246" s="344">
        <v>2012</v>
      </c>
      <c r="C246" s="59" t="s">
        <v>88</v>
      </c>
      <c r="D246" s="59">
        <v>1</v>
      </c>
      <c r="E246" s="503" t="s">
        <v>110</v>
      </c>
      <c r="F246" s="29">
        <v>1</v>
      </c>
      <c r="G246" s="9">
        <v>1</v>
      </c>
      <c r="H246" s="9">
        <v>1</v>
      </c>
      <c r="I246" s="9">
        <v>2</v>
      </c>
      <c r="J246" s="43">
        <v>2</v>
      </c>
      <c r="K246" s="265">
        <f t="shared" si="3"/>
        <v>0.35859414261160716</v>
      </c>
      <c r="L246" s="164" t="s">
        <v>111</v>
      </c>
    </row>
    <row r="247" spans="1:12">
      <c r="A247" s="34" t="s">
        <v>109</v>
      </c>
      <c r="B247" s="344">
        <v>2012</v>
      </c>
      <c r="C247" s="59" t="s">
        <v>89</v>
      </c>
      <c r="D247" s="59">
        <v>191</v>
      </c>
      <c r="E247" s="503" t="s">
        <v>110</v>
      </c>
      <c r="F247" s="29">
        <v>1</v>
      </c>
      <c r="G247" s="9">
        <v>1</v>
      </c>
      <c r="H247" s="9">
        <v>1</v>
      </c>
      <c r="I247" s="9">
        <v>2</v>
      </c>
      <c r="J247" s="43">
        <v>2</v>
      </c>
      <c r="K247" s="265">
        <f t="shared" si="3"/>
        <v>0.35859414261160716</v>
      </c>
      <c r="L247" s="164" t="s">
        <v>111</v>
      </c>
    </row>
    <row r="248" spans="1:12">
      <c r="A248" s="34" t="s">
        <v>109</v>
      </c>
      <c r="B248" s="344">
        <v>2012</v>
      </c>
      <c r="C248" s="59" t="s">
        <v>90</v>
      </c>
      <c r="D248" s="59">
        <v>610</v>
      </c>
      <c r="E248" s="503" t="s">
        <v>110</v>
      </c>
      <c r="F248" s="29">
        <v>1</v>
      </c>
      <c r="G248" s="9">
        <v>1</v>
      </c>
      <c r="H248" s="9">
        <v>1</v>
      </c>
      <c r="I248" s="9">
        <v>2</v>
      </c>
      <c r="J248" s="43">
        <v>2</v>
      </c>
      <c r="K248" s="265">
        <f t="shared" si="3"/>
        <v>0.35859414261160716</v>
      </c>
      <c r="L248" s="164" t="s">
        <v>111</v>
      </c>
    </row>
    <row r="249" spans="1:12">
      <c r="A249" s="34" t="s">
        <v>109</v>
      </c>
      <c r="B249" s="344">
        <v>2012</v>
      </c>
      <c r="C249" s="59" t="s">
        <v>91</v>
      </c>
      <c r="D249" s="59">
        <v>208</v>
      </c>
      <c r="E249" s="503" t="s">
        <v>110</v>
      </c>
      <c r="F249" s="29">
        <v>1</v>
      </c>
      <c r="G249" s="9">
        <v>1</v>
      </c>
      <c r="H249" s="9">
        <v>1</v>
      </c>
      <c r="I249" s="9">
        <v>2</v>
      </c>
      <c r="J249" s="43">
        <v>2</v>
      </c>
      <c r="K249" s="265">
        <f t="shared" si="3"/>
        <v>0.35859414261160716</v>
      </c>
      <c r="L249" s="164" t="s">
        <v>111</v>
      </c>
    </row>
    <row r="250" spans="1:12">
      <c r="A250" s="34" t="s">
        <v>109</v>
      </c>
      <c r="B250" s="344">
        <v>2012</v>
      </c>
      <c r="C250" s="59" t="s">
        <v>94</v>
      </c>
      <c r="D250" s="59">
        <v>143</v>
      </c>
      <c r="E250" s="503" t="s">
        <v>110</v>
      </c>
      <c r="F250" s="29">
        <v>1</v>
      </c>
      <c r="G250" s="9">
        <v>1</v>
      </c>
      <c r="H250" s="9">
        <v>1</v>
      </c>
      <c r="I250" s="9">
        <v>2</v>
      </c>
      <c r="J250" s="43">
        <v>2</v>
      </c>
      <c r="K250" s="265">
        <f t="shared" si="3"/>
        <v>0.35859414261160716</v>
      </c>
      <c r="L250" s="164" t="s">
        <v>111</v>
      </c>
    </row>
    <row r="251" spans="1:12">
      <c r="A251" s="34" t="s">
        <v>109</v>
      </c>
      <c r="B251" s="344">
        <v>2012</v>
      </c>
      <c r="C251" s="59" t="s">
        <v>96</v>
      </c>
      <c r="D251" s="59">
        <v>306</v>
      </c>
      <c r="E251" s="503" t="s">
        <v>110</v>
      </c>
      <c r="F251" s="29">
        <v>1</v>
      </c>
      <c r="G251" s="9">
        <v>1</v>
      </c>
      <c r="H251" s="9">
        <v>1</v>
      </c>
      <c r="I251" s="9">
        <v>2</v>
      </c>
      <c r="J251" s="43">
        <v>2</v>
      </c>
      <c r="K251" s="265">
        <f t="shared" si="3"/>
        <v>0.35859414261160716</v>
      </c>
      <c r="L251" s="164" t="s">
        <v>111</v>
      </c>
    </row>
    <row r="252" spans="1:12">
      <c r="A252" s="34" t="s">
        <v>109</v>
      </c>
      <c r="B252" s="344">
        <v>2012</v>
      </c>
      <c r="C252" s="59" t="s">
        <v>97</v>
      </c>
      <c r="D252" s="59">
        <v>232</v>
      </c>
      <c r="E252" s="503" t="s">
        <v>110</v>
      </c>
      <c r="F252" s="29">
        <v>1</v>
      </c>
      <c r="G252" s="9">
        <v>1</v>
      </c>
      <c r="H252" s="9">
        <v>1</v>
      </c>
      <c r="I252" s="9">
        <v>2</v>
      </c>
      <c r="J252" s="43">
        <v>2</v>
      </c>
      <c r="K252" s="265">
        <f t="shared" si="3"/>
        <v>0.35859414261160716</v>
      </c>
      <c r="L252" s="164" t="s">
        <v>111</v>
      </c>
    </row>
    <row r="253" spans="1:12">
      <c r="A253" s="34" t="s">
        <v>109</v>
      </c>
      <c r="B253" s="344">
        <v>2012</v>
      </c>
      <c r="C253" s="59" t="s">
        <v>95</v>
      </c>
      <c r="D253" s="59">
        <v>221</v>
      </c>
      <c r="E253" s="503" t="s">
        <v>110</v>
      </c>
      <c r="F253" s="29">
        <v>1</v>
      </c>
      <c r="G253" s="9">
        <v>1</v>
      </c>
      <c r="H253" s="9">
        <v>1</v>
      </c>
      <c r="I253" s="9">
        <v>2</v>
      </c>
      <c r="J253" s="43">
        <v>2</v>
      </c>
      <c r="K253" s="265">
        <f t="shared" ref="K253:K316" si="4">IF( OR( ISBLANK(F253),ISBLANK(G253), ISBLANK(H253), ISBLANK(I253), ISBLANK(J253) ), "", 1.5*SQRT(   EXP(2.21*(F253-1)) + EXP(2.21*(G253-1)) + EXP(2.21*(H253-1)) + EXP(2.21*(I253-1)) + EXP(2.21*J253)   )/100*2.45 )</f>
        <v>0.35859414261160716</v>
      </c>
      <c r="L253" s="164" t="s">
        <v>111</v>
      </c>
    </row>
    <row r="254" spans="1:12">
      <c r="A254" s="34" t="s">
        <v>109</v>
      </c>
      <c r="B254" s="344">
        <v>2012</v>
      </c>
      <c r="C254" s="59" t="s">
        <v>93</v>
      </c>
      <c r="D254" s="59">
        <v>86</v>
      </c>
      <c r="E254" s="503" t="s">
        <v>110</v>
      </c>
      <c r="F254" s="29">
        <v>1</v>
      </c>
      <c r="G254" s="9">
        <v>1</v>
      </c>
      <c r="H254" s="9">
        <v>1</v>
      </c>
      <c r="I254" s="9">
        <v>2</v>
      </c>
      <c r="J254" s="43">
        <v>2</v>
      </c>
      <c r="K254" s="265">
        <f t="shared" si="4"/>
        <v>0.35859414261160716</v>
      </c>
      <c r="L254" s="164" t="s">
        <v>111</v>
      </c>
    </row>
    <row r="255" spans="1:12">
      <c r="A255" s="34" t="s">
        <v>109</v>
      </c>
      <c r="B255" s="344">
        <v>2012</v>
      </c>
      <c r="C255" s="59" t="s">
        <v>98</v>
      </c>
      <c r="D255" s="59">
        <v>2322</v>
      </c>
      <c r="E255" s="503" t="s">
        <v>110</v>
      </c>
      <c r="F255" s="29">
        <v>1</v>
      </c>
      <c r="G255" s="9">
        <v>1</v>
      </c>
      <c r="H255" s="9">
        <v>1</v>
      </c>
      <c r="I255" s="9">
        <v>2</v>
      </c>
      <c r="J255" s="43">
        <v>2</v>
      </c>
      <c r="K255" s="265">
        <f t="shared" si="4"/>
        <v>0.35859414261160716</v>
      </c>
      <c r="L255" s="164" t="s">
        <v>111</v>
      </c>
    </row>
    <row r="256" spans="1:12">
      <c r="A256" s="34" t="s">
        <v>109</v>
      </c>
      <c r="B256" s="344">
        <v>2013</v>
      </c>
      <c r="C256" s="59" t="s">
        <v>85</v>
      </c>
      <c r="D256" s="59">
        <v>1347</v>
      </c>
      <c r="E256" s="503" t="s">
        <v>110</v>
      </c>
      <c r="F256" s="29">
        <v>1</v>
      </c>
      <c r="G256" s="9">
        <v>1</v>
      </c>
      <c r="H256" s="9">
        <v>1</v>
      </c>
      <c r="I256" s="9">
        <v>2</v>
      </c>
      <c r="J256" s="43">
        <v>2</v>
      </c>
      <c r="K256" s="265">
        <f t="shared" si="4"/>
        <v>0.35859414261160716</v>
      </c>
      <c r="L256" s="164" t="s">
        <v>111</v>
      </c>
    </row>
    <row r="257" spans="1:12">
      <c r="A257" s="34" t="s">
        <v>109</v>
      </c>
      <c r="B257" s="344">
        <v>2013</v>
      </c>
      <c r="C257" s="59" t="s">
        <v>86</v>
      </c>
      <c r="D257" s="59">
        <v>290</v>
      </c>
      <c r="E257" s="503" t="s">
        <v>110</v>
      </c>
      <c r="F257" s="29">
        <v>1</v>
      </c>
      <c r="G257" s="9">
        <v>1</v>
      </c>
      <c r="H257" s="9">
        <v>1</v>
      </c>
      <c r="I257" s="9">
        <v>2</v>
      </c>
      <c r="J257" s="43">
        <v>2</v>
      </c>
      <c r="K257" s="265">
        <f t="shared" si="4"/>
        <v>0.35859414261160716</v>
      </c>
      <c r="L257" s="164" t="s">
        <v>111</v>
      </c>
    </row>
    <row r="258" spans="1:12">
      <c r="A258" s="34" t="s">
        <v>109</v>
      </c>
      <c r="B258" s="344">
        <v>2013</v>
      </c>
      <c r="C258" s="59" t="s">
        <v>87</v>
      </c>
      <c r="D258" s="59">
        <v>613</v>
      </c>
      <c r="E258" s="503" t="s">
        <v>110</v>
      </c>
      <c r="F258" s="29">
        <v>1</v>
      </c>
      <c r="G258" s="9">
        <v>1</v>
      </c>
      <c r="H258" s="9">
        <v>1</v>
      </c>
      <c r="I258" s="9">
        <v>2</v>
      </c>
      <c r="J258" s="43">
        <v>2</v>
      </c>
      <c r="K258" s="265">
        <f t="shared" si="4"/>
        <v>0.35859414261160716</v>
      </c>
      <c r="L258" s="164" t="s">
        <v>111</v>
      </c>
    </row>
    <row r="259" spans="1:12">
      <c r="A259" s="34" t="s">
        <v>109</v>
      </c>
      <c r="B259" s="344">
        <v>2013</v>
      </c>
      <c r="C259" s="59" t="s">
        <v>88</v>
      </c>
      <c r="D259" s="59">
        <v>1</v>
      </c>
      <c r="E259" s="503" t="s">
        <v>110</v>
      </c>
      <c r="F259" s="29">
        <v>1</v>
      </c>
      <c r="G259" s="9">
        <v>1</v>
      </c>
      <c r="H259" s="9">
        <v>1</v>
      </c>
      <c r="I259" s="9">
        <v>2</v>
      </c>
      <c r="J259" s="43">
        <v>2</v>
      </c>
      <c r="K259" s="265">
        <f t="shared" si="4"/>
        <v>0.35859414261160716</v>
      </c>
      <c r="L259" s="164" t="s">
        <v>111</v>
      </c>
    </row>
    <row r="260" spans="1:12">
      <c r="A260" s="34" t="s">
        <v>109</v>
      </c>
      <c r="B260" s="344">
        <v>2013</v>
      </c>
      <c r="C260" s="59" t="s">
        <v>89</v>
      </c>
      <c r="D260" s="59">
        <v>191</v>
      </c>
      <c r="E260" s="503" t="s">
        <v>110</v>
      </c>
      <c r="F260" s="29">
        <v>1</v>
      </c>
      <c r="G260" s="9">
        <v>1</v>
      </c>
      <c r="H260" s="9">
        <v>1</v>
      </c>
      <c r="I260" s="9">
        <v>2</v>
      </c>
      <c r="J260" s="43">
        <v>2</v>
      </c>
      <c r="K260" s="265">
        <f t="shared" si="4"/>
        <v>0.35859414261160716</v>
      </c>
      <c r="L260" s="164" t="s">
        <v>111</v>
      </c>
    </row>
    <row r="261" spans="1:12">
      <c r="A261" s="34" t="s">
        <v>109</v>
      </c>
      <c r="B261" s="344">
        <v>2013</v>
      </c>
      <c r="C261" s="59" t="s">
        <v>90</v>
      </c>
      <c r="D261" s="59">
        <v>610</v>
      </c>
      <c r="E261" s="503" t="s">
        <v>110</v>
      </c>
      <c r="F261" s="29">
        <v>1</v>
      </c>
      <c r="G261" s="9">
        <v>1</v>
      </c>
      <c r="H261" s="9">
        <v>1</v>
      </c>
      <c r="I261" s="9">
        <v>2</v>
      </c>
      <c r="J261" s="43">
        <v>2</v>
      </c>
      <c r="K261" s="265">
        <f t="shared" si="4"/>
        <v>0.35859414261160716</v>
      </c>
      <c r="L261" s="164" t="s">
        <v>111</v>
      </c>
    </row>
    <row r="262" spans="1:12">
      <c r="A262" s="34" t="s">
        <v>109</v>
      </c>
      <c r="B262" s="344">
        <v>2013</v>
      </c>
      <c r="C262" s="59" t="s">
        <v>91</v>
      </c>
      <c r="D262" s="59">
        <v>343</v>
      </c>
      <c r="E262" s="503" t="s">
        <v>110</v>
      </c>
      <c r="F262" s="29">
        <v>1</v>
      </c>
      <c r="G262" s="9">
        <v>1</v>
      </c>
      <c r="H262" s="9">
        <v>1</v>
      </c>
      <c r="I262" s="9">
        <v>2</v>
      </c>
      <c r="J262" s="43">
        <v>2</v>
      </c>
      <c r="K262" s="265">
        <f t="shared" si="4"/>
        <v>0.35859414261160716</v>
      </c>
      <c r="L262" s="164" t="s">
        <v>111</v>
      </c>
    </row>
    <row r="263" spans="1:12">
      <c r="A263" s="34" t="s">
        <v>109</v>
      </c>
      <c r="B263" s="344">
        <v>2013</v>
      </c>
      <c r="C263" s="59" t="s">
        <v>94</v>
      </c>
      <c r="D263" s="59">
        <v>156</v>
      </c>
      <c r="E263" s="503" t="s">
        <v>110</v>
      </c>
      <c r="F263" s="29">
        <v>1</v>
      </c>
      <c r="G263" s="9">
        <v>1</v>
      </c>
      <c r="H263" s="9">
        <v>1</v>
      </c>
      <c r="I263" s="9">
        <v>2</v>
      </c>
      <c r="J263" s="43">
        <v>2</v>
      </c>
      <c r="K263" s="265">
        <f t="shared" si="4"/>
        <v>0.35859414261160716</v>
      </c>
      <c r="L263" s="164" t="s">
        <v>111</v>
      </c>
    </row>
    <row r="264" spans="1:12">
      <c r="A264" s="34" t="s">
        <v>109</v>
      </c>
      <c r="B264" s="344">
        <v>2013</v>
      </c>
      <c r="C264" s="59" t="s">
        <v>96</v>
      </c>
      <c r="D264" s="59">
        <v>337</v>
      </c>
      <c r="E264" s="503" t="s">
        <v>110</v>
      </c>
      <c r="F264" s="29">
        <v>1</v>
      </c>
      <c r="G264" s="9">
        <v>1</v>
      </c>
      <c r="H264" s="9">
        <v>1</v>
      </c>
      <c r="I264" s="9">
        <v>2</v>
      </c>
      <c r="J264" s="43">
        <v>2</v>
      </c>
      <c r="K264" s="265">
        <f t="shared" si="4"/>
        <v>0.35859414261160716</v>
      </c>
      <c r="L264" s="164" t="s">
        <v>111</v>
      </c>
    </row>
    <row r="265" spans="1:12">
      <c r="A265" s="34" t="s">
        <v>109</v>
      </c>
      <c r="B265" s="344">
        <v>2013</v>
      </c>
      <c r="C265" s="59" t="s">
        <v>97</v>
      </c>
      <c r="D265" s="59">
        <v>246</v>
      </c>
      <c r="E265" s="503" t="s">
        <v>110</v>
      </c>
      <c r="F265" s="29">
        <v>1</v>
      </c>
      <c r="G265" s="9">
        <v>1</v>
      </c>
      <c r="H265" s="9">
        <v>1</v>
      </c>
      <c r="I265" s="9">
        <v>2</v>
      </c>
      <c r="J265" s="43">
        <v>2</v>
      </c>
      <c r="K265" s="265">
        <f t="shared" si="4"/>
        <v>0.35859414261160716</v>
      </c>
      <c r="L265" s="164" t="s">
        <v>111</v>
      </c>
    </row>
    <row r="266" spans="1:12">
      <c r="A266" s="34" t="s">
        <v>109</v>
      </c>
      <c r="B266" s="344">
        <v>2013</v>
      </c>
      <c r="C266" s="59" t="s">
        <v>95</v>
      </c>
      <c r="D266" s="59">
        <v>248</v>
      </c>
      <c r="E266" s="503" t="s">
        <v>110</v>
      </c>
      <c r="F266" s="29">
        <v>1</v>
      </c>
      <c r="G266" s="9">
        <v>1</v>
      </c>
      <c r="H266" s="9">
        <v>1</v>
      </c>
      <c r="I266" s="9">
        <v>2</v>
      </c>
      <c r="J266" s="43">
        <v>2</v>
      </c>
      <c r="K266" s="265">
        <f t="shared" si="4"/>
        <v>0.35859414261160716</v>
      </c>
      <c r="L266" s="164" t="s">
        <v>111</v>
      </c>
    </row>
    <row r="267" spans="1:12">
      <c r="A267" s="34" t="s">
        <v>109</v>
      </c>
      <c r="B267" s="344">
        <v>2013</v>
      </c>
      <c r="C267" s="59" t="s">
        <v>93</v>
      </c>
      <c r="D267" s="59">
        <v>120</v>
      </c>
      <c r="E267" s="503" t="s">
        <v>110</v>
      </c>
      <c r="F267" s="29">
        <v>1</v>
      </c>
      <c r="G267" s="9">
        <v>1</v>
      </c>
      <c r="H267" s="9">
        <v>1</v>
      </c>
      <c r="I267" s="9">
        <v>2</v>
      </c>
      <c r="J267" s="43">
        <v>2</v>
      </c>
      <c r="K267" s="265">
        <f t="shared" si="4"/>
        <v>0.35859414261160716</v>
      </c>
      <c r="L267" s="164" t="s">
        <v>111</v>
      </c>
    </row>
    <row r="268" spans="1:12">
      <c r="A268" s="34" t="s">
        <v>109</v>
      </c>
      <c r="B268" s="344">
        <v>2013</v>
      </c>
      <c r="C268" s="59" t="s">
        <v>98</v>
      </c>
      <c r="D268" s="59">
        <v>2021</v>
      </c>
      <c r="E268" s="503" t="s">
        <v>110</v>
      </c>
      <c r="F268" s="29">
        <v>1</v>
      </c>
      <c r="G268" s="9">
        <v>1</v>
      </c>
      <c r="H268" s="9">
        <v>1</v>
      </c>
      <c r="I268" s="9">
        <v>2</v>
      </c>
      <c r="J268" s="43">
        <v>2</v>
      </c>
      <c r="K268" s="265">
        <f t="shared" si="4"/>
        <v>0.35859414261160716</v>
      </c>
      <c r="L268" s="164" t="s">
        <v>111</v>
      </c>
    </row>
    <row r="269" spans="1:12">
      <c r="A269" s="34" t="s">
        <v>109</v>
      </c>
      <c r="B269" s="344">
        <v>2014</v>
      </c>
      <c r="C269" s="59" t="s">
        <v>85</v>
      </c>
      <c r="D269" s="59">
        <v>1317</v>
      </c>
      <c r="E269" s="503" t="s">
        <v>110</v>
      </c>
      <c r="F269" s="29">
        <v>1</v>
      </c>
      <c r="G269" s="9">
        <v>1</v>
      </c>
      <c r="H269" s="9">
        <v>1</v>
      </c>
      <c r="I269" s="9">
        <v>2</v>
      </c>
      <c r="J269" s="43">
        <v>2</v>
      </c>
      <c r="K269" s="265">
        <f t="shared" si="4"/>
        <v>0.35859414261160716</v>
      </c>
      <c r="L269" s="164" t="s">
        <v>111</v>
      </c>
    </row>
    <row r="270" spans="1:12">
      <c r="A270" s="34" t="s">
        <v>109</v>
      </c>
      <c r="B270" s="344">
        <v>2014</v>
      </c>
      <c r="C270" s="59" t="s">
        <v>86</v>
      </c>
      <c r="D270" s="59">
        <v>290</v>
      </c>
      <c r="E270" s="503" t="s">
        <v>110</v>
      </c>
      <c r="F270" s="29">
        <v>1</v>
      </c>
      <c r="G270" s="9">
        <v>1</v>
      </c>
      <c r="H270" s="9">
        <v>1</v>
      </c>
      <c r="I270" s="9">
        <v>2</v>
      </c>
      <c r="J270" s="43">
        <v>2</v>
      </c>
      <c r="K270" s="265">
        <f t="shared" si="4"/>
        <v>0.35859414261160716</v>
      </c>
      <c r="L270" s="164" t="s">
        <v>111</v>
      </c>
    </row>
    <row r="271" spans="1:12">
      <c r="A271" s="34" t="s">
        <v>109</v>
      </c>
      <c r="B271" s="344">
        <v>2014</v>
      </c>
      <c r="C271" s="59" t="s">
        <v>87</v>
      </c>
      <c r="D271" s="59">
        <v>852</v>
      </c>
      <c r="E271" s="503" t="s">
        <v>110</v>
      </c>
      <c r="F271" s="29">
        <v>1</v>
      </c>
      <c r="G271" s="9">
        <v>1</v>
      </c>
      <c r="H271" s="9">
        <v>1</v>
      </c>
      <c r="I271" s="9">
        <v>2</v>
      </c>
      <c r="J271" s="43">
        <v>2</v>
      </c>
      <c r="K271" s="265">
        <f t="shared" si="4"/>
        <v>0.35859414261160716</v>
      </c>
      <c r="L271" s="164" t="s">
        <v>111</v>
      </c>
    </row>
    <row r="272" spans="1:12">
      <c r="A272" s="34" t="s">
        <v>109</v>
      </c>
      <c r="B272" s="344">
        <v>2014</v>
      </c>
      <c r="C272" s="59" t="s">
        <v>88</v>
      </c>
      <c r="D272" s="59">
        <v>4</v>
      </c>
      <c r="E272" s="503" t="s">
        <v>110</v>
      </c>
      <c r="F272" s="29">
        <v>1</v>
      </c>
      <c r="G272" s="9">
        <v>1</v>
      </c>
      <c r="H272" s="9">
        <v>1</v>
      </c>
      <c r="I272" s="9">
        <v>2</v>
      </c>
      <c r="J272" s="43">
        <v>2</v>
      </c>
      <c r="K272" s="265">
        <f t="shared" si="4"/>
        <v>0.35859414261160716</v>
      </c>
      <c r="L272" s="164" t="s">
        <v>111</v>
      </c>
    </row>
    <row r="273" spans="1:12">
      <c r="A273" s="34" t="s">
        <v>109</v>
      </c>
      <c r="B273" s="344">
        <v>2014</v>
      </c>
      <c r="C273" s="59" t="s">
        <v>89</v>
      </c>
      <c r="D273" s="59">
        <v>191</v>
      </c>
      <c r="E273" s="503" t="s">
        <v>110</v>
      </c>
      <c r="F273" s="29">
        <v>1</v>
      </c>
      <c r="G273" s="9">
        <v>1</v>
      </c>
      <c r="H273" s="9">
        <v>1</v>
      </c>
      <c r="I273" s="9">
        <v>2</v>
      </c>
      <c r="J273" s="43">
        <v>2</v>
      </c>
      <c r="K273" s="265">
        <f t="shared" si="4"/>
        <v>0.35859414261160716</v>
      </c>
      <c r="L273" s="164" t="s">
        <v>111</v>
      </c>
    </row>
    <row r="274" spans="1:12">
      <c r="A274" s="34" t="s">
        <v>109</v>
      </c>
      <c r="B274" s="344">
        <v>2014</v>
      </c>
      <c r="C274" s="59" t="s">
        <v>90</v>
      </c>
      <c r="D274" s="59">
        <v>610</v>
      </c>
      <c r="E274" s="503" t="s">
        <v>110</v>
      </c>
      <c r="F274" s="29">
        <v>1</v>
      </c>
      <c r="G274" s="9">
        <v>1</v>
      </c>
      <c r="H274" s="9">
        <v>1</v>
      </c>
      <c r="I274" s="9">
        <v>2</v>
      </c>
      <c r="J274" s="43">
        <v>2</v>
      </c>
      <c r="K274" s="265">
        <f t="shared" si="4"/>
        <v>0.35859414261160716</v>
      </c>
      <c r="L274" s="164" t="s">
        <v>111</v>
      </c>
    </row>
    <row r="275" spans="1:12">
      <c r="A275" s="34" t="s">
        <v>109</v>
      </c>
      <c r="B275" s="344">
        <v>2014</v>
      </c>
      <c r="C275" s="59" t="s">
        <v>91</v>
      </c>
      <c r="D275" s="59">
        <v>359</v>
      </c>
      <c r="E275" s="503" t="s">
        <v>110</v>
      </c>
      <c r="F275" s="29">
        <v>1</v>
      </c>
      <c r="G275" s="9">
        <v>1</v>
      </c>
      <c r="H275" s="9">
        <v>1</v>
      </c>
      <c r="I275" s="9">
        <v>2</v>
      </c>
      <c r="J275" s="43">
        <v>2</v>
      </c>
      <c r="K275" s="265">
        <f t="shared" si="4"/>
        <v>0.35859414261160716</v>
      </c>
      <c r="L275" s="164" t="s">
        <v>111</v>
      </c>
    </row>
    <row r="276" spans="1:12">
      <c r="A276" s="34" t="s">
        <v>109</v>
      </c>
      <c r="B276" s="344">
        <v>2014</v>
      </c>
      <c r="C276" s="59" t="s">
        <v>94</v>
      </c>
      <c r="D276" s="59">
        <v>137</v>
      </c>
      <c r="E276" s="503" t="s">
        <v>110</v>
      </c>
      <c r="F276" s="29">
        <v>1</v>
      </c>
      <c r="G276" s="9">
        <v>1</v>
      </c>
      <c r="H276" s="9">
        <v>1</v>
      </c>
      <c r="I276" s="9">
        <v>2</v>
      </c>
      <c r="J276" s="43">
        <v>2</v>
      </c>
      <c r="K276" s="265">
        <f t="shared" si="4"/>
        <v>0.35859414261160716</v>
      </c>
      <c r="L276" s="164" t="s">
        <v>111</v>
      </c>
    </row>
    <row r="277" spans="1:12">
      <c r="A277" s="34" t="s">
        <v>109</v>
      </c>
      <c r="B277" s="344">
        <v>2014</v>
      </c>
      <c r="C277" s="59" t="s">
        <v>96</v>
      </c>
      <c r="D277" s="59">
        <v>337</v>
      </c>
      <c r="E277" s="503" t="s">
        <v>110</v>
      </c>
      <c r="F277" s="29">
        <v>1</v>
      </c>
      <c r="G277" s="9">
        <v>1</v>
      </c>
      <c r="H277" s="9">
        <v>1</v>
      </c>
      <c r="I277" s="9">
        <v>2</v>
      </c>
      <c r="J277" s="43">
        <v>2</v>
      </c>
      <c r="K277" s="265">
        <f t="shared" si="4"/>
        <v>0.35859414261160716</v>
      </c>
      <c r="L277" s="164" t="s">
        <v>111</v>
      </c>
    </row>
    <row r="278" spans="1:12">
      <c r="A278" s="34" t="s">
        <v>109</v>
      </c>
      <c r="B278" s="344">
        <v>2014</v>
      </c>
      <c r="C278" s="59" t="s">
        <v>97</v>
      </c>
      <c r="D278" s="59">
        <v>249</v>
      </c>
      <c r="E278" s="503" t="s">
        <v>110</v>
      </c>
      <c r="F278" s="29">
        <v>1</v>
      </c>
      <c r="G278" s="9">
        <v>1</v>
      </c>
      <c r="H278" s="9">
        <v>1</v>
      </c>
      <c r="I278" s="9">
        <v>2</v>
      </c>
      <c r="J278" s="43">
        <v>2</v>
      </c>
      <c r="K278" s="265">
        <f t="shared" si="4"/>
        <v>0.35859414261160716</v>
      </c>
      <c r="L278" s="164" t="s">
        <v>111</v>
      </c>
    </row>
    <row r="279" spans="1:12">
      <c r="A279" s="34" t="s">
        <v>109</v>
      </c>
      <c r="B279" s="344">
        <v>2014</v>
      </c>
      <c r="C279" s="59" t="s">
        <v>95</v>
      </c>
      <c r="D279" s="59">
        <v>254</v>
      </c>
      <c r="E279" s="503" t="s">
        <v>110</v>
      </c>
      <c r="F279" s="29">
        <v>1</v>
      </c>
      <c r="G279" s="9">
        <v>1</v>
      </c>
      <c r="H279" s="9">
        <v>1</v>
      </c>
      <c r="I279" s="9">
        <v>2</v>
      </c>
      <c r="J279" s="43">
        <v>2</v>
      </c>
      <c r="K279" s="265">
        <f t="shared" si="4"/>
        <v>0.35859414261160716</v>
      </c>
      <c r="L279" s="164" t="s">
        <v>111</v>
      </c>
    </row>
    <row r="280" spans="1:12">
      <c r="A280" s="34" t="s">
        <v>109</v>
      </c>
      <c r="B280" s="344">
        <v>2014</v>
      </c>
      <c r="C280" s="59" t="s">
        <v>93</v>
      </c>
      <c r="D280" s="59">
        <v>102</v>
      </c>
      <c r="E280" s="503" t="s">
        <v>110</v>
      </c>
      <c r="F280" s="29">
        <v>1</v>
      </c>
      <c r="G280" s="9">
        <v>1</v>
      </c>
      <c r="H280" s="9">
        <v>1</v>
      </c>
      <c r="I280" s="9">
        <v>2</v>
      </c>
      <c r="J280" s="43">
        <v>2</v>
      </c>
      <c r="K280" s="265">
        <f t="shared" si="4"/>
        <v>0.35859414261160716</v>
      </c>
      <c r="L280" s="164" t="s">
        <v>111</v>
      </c>
    </row>
    <row r="281" spans="1:12">
      <c r="A281" s="34" t="s">
        <v>109</v>
      </c>
      <c r="B281" s="344">
        <v>2014</v>
      </c>
      <c r="C281" s="59" t="s">
        <v>98</v>
      </c>
      <c r="D281" s="59">
        <v>2236</v>
      </c>
      <c r="E281" s="503" t="s">
        <v>110</v>
      </c>
      <c r="F281" s="29">
        <v>1</v>
      </c>
      <c r="G281" s="9">
        <v>1</v>
      </c>
      <c r="H281" s="9">
        <v>1</v>
      </c>
      <c r="I281" s="9">
        <v>2</v>
      </c>
      <c r="J281" s="43">
        <v>2</v>
      </c>
      <c r="K281" s="265">
        <f t="shared" si="4"/>
        <v>0.35859414261160716</v>
      </c>
      <c r="L281" s="164" t="s">
        <v>111</v>
      </c>
    </row>
    <row r="282" spans="1:12">
      <c r="A282" s="34" t="s">
        <v>109</v>
      </c>
      <c r="B282" s="344">
        <v>2015</v>
      </c>
      <c r="C282" s="59" t="s">
        <v>85</v>
      </c>
      <c r="D282" s="59">
        <v>1455</v>
      </c>
      <c r="E282" s="503" t="s">
        <v>110</v>
      </c>
      <c r="F282" s="29">
        <v>1</v>
      </c>
      <c r="G282" s="9">
        <v>1</v>
      </c>
      <c r="H282" s="9">
        <v>1</v>
      </c>
      <c r="I282" s="9">
        <v>2</v>
      </c>
      <c r="J282" s="43">
        <v>2</v>
      </c>
      <c r="K282" s="265">
        <f t="shared" si="4"/>
        <v>0.35859414261160716</v>
      </c>
      <c r="L282" s="164" t="s">
        <v>111</v>
      </c>
    </row>
    <row r="283" spans="1:12">
      <c r="A283" s="34" t="s">
        <v>109</v>
      </c>
      <c r="B283" s="344">
        <v>2015</v>
      </c>
      <c r="C283" s="59" t="s">
        <v>86</v>
      </c>
      <c r="D283" s="59">
        <v>290</v>
      </c>
      <c r="E283" s="503" t="s">
        <v>110</v>
      </c>
      <c r="F283" s="29">
        <v>1</v>
      </c>
      <c r="G283" s="9">
        <v>1</v>
      </c>
      <c r="H283" s="9">
        <v>1</v>
      </c>
      <c r="I283" s="9">
        <v>2</v>
      </c>
      <c r="J283" s="43">
        <v>2</v>
      </c>
      <c r="K283" s="265">
        <f t="shared" si="4"/>
        <v>0.35859414261160716</v>
      </c>
      <c r="L283" s="164" t="s">
        <v>111</v>
      </c>
    </row>
    <row r="284" spans="1:12">
      <c r="A284" s="34" t="s">
        <v>109</v>
      </c>
      <c r="B284" s="344">
        <v>2015</v>
      </c>
      <c r="C284" s="59" t="s">
        <v>87</v>
      </c>
      <c r="D284" s="59">
        <v>852</v>
      </c>
      <c r="E284" s="503" t="s">
        <v>110</v>
      </c>
      <c r="F284" s="29">
        <v>1</v>
      </c>
      <c r="G284" s="9">
        <v>1</v>
      </c>
      <c r="H284" s="9">
        <v>1</v>
      </c>
      <c r="I284" s="9">
        <v>2</v>
      </c>
      <c r="J284" s="43">
        <v>2</v>
      </c>
      <c r="K284" s="265">
        <f t="shared" si="4"/>
        <v>0.35859414261160716</v>
      </c>
      <c r="L284" s="164" t="s">
        <v>111</v>
      </c>
    </row>
    <row r="285" spans="1:12">
      <c r="A285" s="34" t="s">
        <v>109</v>
      </c>
      <c r="B285" s="344">
        <v>2015</v>
      </c>
      <c r="C285" s="59" t="s">
        <v>88</v>
      </c>
      <c r="D285" s="59">
        <v>4</v>
      </c>
      <c r="E285" s="503" t="s">
        <v>110</v>
      </c>
      <c r="F285" s="29">
        <v>1</v>
      </c>
      <c r="G285" s="9">
        <v>1</v>
      </c>
      <c r="H285" s="9">
        <v>1</v>
      </c>
      <c r="I285" s="9">
        <v>2</v>
      </c>
      <c r="J285" s="43">
        <v>2</v>
      </c>
      <c r="K285" s="265">
        <f t="shared" si="4"/>
        <v>0.35859414261160716</v>
      </c>
      <c r="L285" s="164" t="s">
        <v>111</v>
      </c>
    </row>
    <row r="286" spans="1:12">
      <c r="A286" s="34" t="s">
        <v>109</v>
      </c>
      <c r="B286" s="344">
        <v>2015</v>
      </c>
      <c r="C286" s="59" t="s">
        <v>89</v>
      </c>
      <c r="D286" s="59">
        <v>191</v>
      </c>
      <c r="E286" s="503" t="s">
        <v>110</v>
      </c>
      <c r="F286" s="29">
        <v>1</v>
      </c>
      <c r="G286" s="9">
        <v>1</v>
      </c>
      <c r="H286" s="9">
        <v>1</v>
      </c>
      <c r="I286" s="9">
        <v>2</v>
      </c>
      <c r="J286" s="43">
        <v>2</v>
      </c>
      <c r="K286" s="265">
        <f t="shared" si="4"/>
        <v>0.35859414261160716</v>
      </c>
      <c r="L286" s="164" t="s">
        <v>111</v>
      </c>
    </row>
    <row r="287" spans="1:12">
      <c r="A287" s="34" t="s">
        <v>109</v>
      </c>
      <c r="B287" s="344">
        <v>2015</v>
      </c>
      <c r="C287" s="59" t="s">
        <v>90</v>
      </c>
      <c r="D287" s="59">
        <v>610</v>
      </c>
      <c r="E287" s="503" t="s">
        <v>110</v>
      </c>
      <c r="F287" s="29">
        <v>1</v>
      </c>
      <c r="G287" s="9">
        <v>1</v>
      </c>
      <c r="H287" s="9">
        <v>1</v>
      </c>
      <c r="I287" s="9">
        <v>2</v>
      </c>
      <c r="J287" s="43">
        <v>2</v>
      </c>
      <c r="K287" s="265">
        <f t="shared" si="4"/>
        <v>0.35859414261160716</v>
      </c>
      <c r="L287" s="164" t="s">
        <v>111</v>
      </c>
    </row>
    <row r="288" spans="1:12">
      <c r="A288" s="34" t="s">
        <v>109</v>
      </c>
      <c r="B288" s="344">
        <v>2015</v>
      </c>
      <c r="C288" s="59" t="s">
        <v>91</v>
      </c>
      <c r="D288" s="59">
        <v>421</v>
      </c>
      <c r="E288" s="503" t="s">
        <v>110</v>
      </c>
      <c r="F288" s="29">
        <v>1</v>
      </c>
      <c r="G288" s="9">
        <v>1</v>
      </c>
      <c r="H288" s="9">
        <v>1</v>
      </c>
      <c r="I288" s="9">
        <v>2</v>
      </c>
      <c r="J288" s="43">
        <v>2</v>
      </c>
      <c r="K288" s="265">
        <f t="shared" si="4"/>
        <v>0.35859414261160716</v>
      </c>
      <c r="L288" s="164" t="s">
        <v>111</v>
      </c>
    </row>
    <row r="289" spans="1:12">
      <c r="A289" s="34" t="s">
        <v>109</v>
      </c>
      <c r="B289" s="344">
        <v>2015</v>
      </c>
      <c r="C289" s="59" t="s">
        <v>94</v>
      </c>
      <c r="D289" s="59">
        <v>159</v>
      </c>
      <c r="E289" s="503" t="s">
        <v>110</v>
      </c>
      <c r="F289" s="29">
        <v>1</v>
      </c>
      <c r="G289" s="9">
        <v>1</v>
      </c>
      <c r="H289" s="9">
        <v>1</v>
      </c>
      <c r="I289" s="9">
        <v>2</v>
      </c>
      <c r="J289" s="43">
        <v>2</v>
      </c>
      <c r="K289" s="265">
        <f t="shared" si="4"/>
        <v>0.35859414261160716</v>
      </c>
      <c r="L289" s="164" t="s">
        <v>111</v>
      </c>
    </row>
    <row r="290" spans="1:12">
      <c r="A290" s="34" t="s">
        <v>109</v>
      </c>
      <c r="B290" s="344">
        <v>2015</v>
      </c>
      <c r="C290" s="59" t="s">
        <v>96</v>
      </c>
      <c r="D290" s="59">
        <v>337</v>
      </c>
      <c r="E290" s="503" t="s">
        <v>110</v>
      </c>
      <c r="F290" s="29">
        <v>1</v>
      </c>
      <c r="G290" s="9">
        <v>1</v>
      </c>
      <c r="H290" s="9">
        <v>1</v>
      </c>
      <c r="I290" s="9">
        <v>2</v>
      </c>
      <c r="J290" s="43">
        <v>2</v>
      </c>
      <c r="K290" s="265">
        <f t="shared" si="4"/>
        <v>0.35859414261160716</v>
      </c>
      <c r="L290" s="164" t="s">
        <v>111</v>
      </c>
    </row>
    <row r="291" spans="1:12">
      <c r="A291" s="34" t="s">
        <v>109</v>
      </c>
      <c r="B291" s="344">
        <v>2015</v>
      </c>
      <c r="C291" s="59" t="s">
        <v>97</v>
      </c>
      <c r="D291" s="59">
        <v>280</v>
      </c>
      <c r="E291" s="503" t="s">
        <v>110</v>
      </c>
      <c r="F291" s="29">
        <v>1</v>
      </c>
      <c r="G291" s="9">
        <v>1</v>
      </c>
      <c r="H291" s="9">
        <v>1</v>
      </c>
      <c r="I291" s="9">
        <v>2</v>
      </c>
      <c r="J291" s="43">
        <v>2</v>
      </c>
      <c r="K291" s="265">
        <f t="shared" si="4"/>
        <v>0.35859414261160716</v>
      </c>
      <c r="L291" s="164" t="s">
        <v>111</v>
      </c>
    </row>
    <row r="292" spans="1:12">
      <c r="A292" s="34" t="s">
        <v>109</v>
      </c>
      <c r="B292" s="344">
        <v>2015</v>
      </c>
      <c r="C292" s="59" t="s">
        <v>95</v>
      </c>
      <c r="D292" s="59">
        <v>270</v>
      </c>
      <c r="E292" s="503" t="s">
        <v>110</v>
      </c>
      <c r="F292" s="29">
        <v>1</v>
      </c>
      <c r="G292" s="9">
        <v>1</v>
      </c>
      <c r="H292" s="9">
        <v>1</v>
      </c>
      <c r="I292" s="9">
        <v>2</v>
      </c>
      <c r="J292" s="43">
        <v>2</v>
      </c>
      <c r="K292" s="265">
        <f t="shared" si="4"/>
        <v>0.35859414261160716</v>
      </c>
      <c r="L292" s="164" t="s">
        <v>111</v>
      </c>
    </row>
    <row r="293" spans="1:12">
      <c r="A293" s="34" t="s">
        <v>109</v>
      </c>
      <c r="B293" s="344">
        <v>2015</v>
      </c>
      <c r="C293" s="59" t="s">
        <v>93</v>
      </c>
      <c r="D293" s="59">
        <v>116</v>
      </c>
      <c r="E293" s="503" t="s">
        <v>110</v>
      </c>
      <c r="F293" s="29">
        <v>1</v>
      </c>
      <c r="G293" s="9">
        <v>1</v>
      </c>
      <c r="H293" s="9">
        <v>1</v>
      </c>
      <c r="I293" s="9">
        <v>2</v>
      </c>
      <c r="J293" s="43">
        <v>2</v>
      </c>
      <c r="K293" s="265">
        <f t="shared" si="4"/>
        <v>0.35859414261160716</v>
      </c>
      <c r="L293" s="164" t="s">
        <v>111</v>
      </c>
    </row>
    <row r="294" spans="1:12">
      <c r="A294" s="34" t="s">
        <v>109</v>
      </c>
      <c r="B294" s="344">
        <v>2015</v>
      </c>
      <c r="C294" s="59" t="s">
        <v>98</v>
      </c>
      <c r="D294" s="59">
        <v>2411</v>
      </c>
      <c r="E294" s="503" t="s">
        <v>110</v>
      </c>
      <c r="F294" s="29">
        <v>1</v>
      </c>
      <c r="G294" s="9">
        <v>1</v>
      </c>
      <c r="H294" s="9">
        <v>1</v>
      </c>
      <c r="I294" s="9">
        <v>2</v>
      </c>
      <c r="J294" s="43">
        <v>2</v>
      </c>
      <c r="K294" s="265">
        <f t="shared" si="4"/>
        <v>0.35859414261160716</v>
      </c>
      <c r="L294" s="164" t="s">
        <v>111</v>
      </c>
    </row>
    <row r="295" spans="1:12">
      <c r="A295" s="34" t="s">
        <v>109</v>
      </c>
      <c r="B295" s="344">
        <v>2016</v>
      </c>
      <c r="C295" s="59" t="s">
        <v>85</v>
      </c>
      <c r="D295" s="59">
        <v>1633</v>
      </c>
      <c r="E295" s="503" t="s">
        <v>110</v>
      </c>
      <c r="F295" s="29">
        <v>1</v>
      </c>
      <c r="G295" s="9">
        <v>1</v>
      </c>
      <c r="H295" s="9">
        <v>1</v>
      </c>
      <c r="I295" s="9">
        <v>2</v>
      </c>
      <c r="J295" s="43">
        <v>2</v>
      </c>
      <c r="K295" s="265">
        <f t="shared" si="4"/>
        <v>0.35859414261160716</v>
      </c>
      <c r="L295" s="164" t="s">
        <v>111</v>
      </c>
    </row>
    <row r="296" spans="1:12">
      <c r="A296" s="34" t="s">
        <v>109</v>
      </c>
      <c r="B296" s="344">
        <v>2016</v>
      </c>
      <c r="C296" s="59" t="s">
        <v>86</v>
      </c>
      <c r="D296" s="59">
        <v>290</v>
      </c>
      <c r="E296" s="503" t="s">
        <v>110</v>
      </c>
      <c r="F296" s="29">
        <v>1</v>
      </c>
      <c r="G296" s="9">
        <v>1</v>
      </c>
      <c r="H296" s="9">
        <v>1</v>
      </c>
      <c r="I296" s="9">
        <v>2</v>
      </c>
      <c r="J296" s="43">
        <v>2</v>
      </c>
      <c r="K296" s="265">
        <f t="shared" si="4"/>
        <v>0.35859414261160716</v>
      </c>
      <c r="L296" s="164" t="s">
        <v>111</v>
      </c>
    </row>
    <row r="297" spans="1:12">
      <c r="A297" s="34" t="s">
        <v>109</v>
      </c>
      <c r="B297" s="344">
        <v>2016</v>
      </c>
      <c r="C297" s="59" t="s">
        <v>87</v>
      </c>
      <c r="D297" s="59">
        <v>852</v>
      </c>
      <c r="E297" s="503" t="s">
        <v>110</v>
      </c>
      <c r="F297" s="29">
        <v>1</v>
      </c>
      <c r="G297" s="9">
        <v>1</v>
      </c>
      <c r="H297" s="9">
        <v>1</v>
      </c>
      <c r="I297" s="9">
        <v>2</v>
      </c>
      <c r="J297" s="43">
        <v>2</v>
      </c>
      <c r="K297" s="265">
        <f t="shared" si="4"/>
        <v>0.35859414261160716</v>
      </c>
      <c r="L297" s="164" t="s">
        <v>111</v>
      </c>
    </row>
    <row r="298" spans="1:12">
      <c r="A298" s="34" t="s">
        <v>109</v>
      </c>
      <c r="B298" s="344">
        <v>2016</v>
      </c>
      <c r="C298" s="59" t="s">
        <v>88</v>
      </c>
      <c r="D298" s="59">
        <v>4</v>
      </c>
      <c r="E298" s="503" t="s">
        <v>110</v>
      </c>
      <c r="F298" s="29">
        <v>1</v>
      </c>
      <c r="G298" s="9">
        <v>1</v>
      </c>
      <c r="H298" s="9">
        <v>1</v>
      </c>
      <c r="I298" s="9">
        <v>2</v>
      </c>
      <c r="J298" s="43">
        <v>2</v>
      </c>
      <c r="K298" s="265">
        <f t="shared" si="4"/>
        <v>0.35859414261160716</v>
      </c>
      <c r="L298" s="164" t="s">
        <v>111</v>
      </c>
    </row>
    <row r="299" spans="1:12">
      <c r="A299" s="34" t="s">
        <v>109</v>
      </c>
      <c r="B299" s="344">
        <v>2016</v>
      </c>
      <c r="C299" s="59" t="s">
        <v>89</v>
      </c>
      <c r="D299" s="59">
        <v>185</v>
      </c>
      <c r="E299" s="503" t="s">
        <v>110</v>
      </c>
      <c r="F299" s="29">
        <v>1</v>
      </c>
      <c r="G299" s="9">
        <v>1</v>
      </c>
      <c r="H299" s="9">
        <v>1</v>
      </c>
      <c r="I299" s="9">
        <v>2</v>
      </c>
      <c r="J299" s="43">
        <v>2</v>
      </c>
      <c r="K299" s="265">
        <f t="shared" si="4"/>
        <v>0.35859414261160716</v>
      </c>
      <c r="L299" s="164" t="s">
        <v>111</v>
      </c>
    </row>
    <row r="300" spans="1:12">
      <c r="A300" s="34" t="s">
        <v>109</v>
      </c>
      <c r="B300" s="344">
        <v>2016</v>
      </c>
      <c r="C300" s="59" t="s">
        <v>90</v>
      </c>
      <c r="D300" s="59">
        <v>610</v>
      </c>
      <c r="E300" s="503" t="s">
        <v>110</v>
      </c>
      <c r="F300" s="29">
        <v>1</v>
      </c>
      <c r="G300" s="9">
        <v>1</v>
      </c>
      <c r="H300" s="9">
        <v>1</v>
      </c>
      <c r="I300" s="9">
        <v>2</v>
      </c>
      <c r="J300" s="43">
        <v>2</v>
      </c>
      <c r="K300" s="265">
        <f t="shared" si="4"/>
        <v>0.35859414261160716</v>
      </c>
      <c r="L300" s="164" t="s">
        <v>111</v>
      </c>
    </row>
    <row r="301" spans="1:12">
      <c r="A301" s="34" t="s">
        <v>109</v>
      </c>
      <c r="B301" s="344">
        <v>2016</v>
      </c>
      <c r="C301" s="59" t="s">
        <v>91</v>
      </c>
      <c r="D301" s="59">
        <v>386</v>
      </c>
      <c r="E301" s="503" t="s">
        <v>110</v>
      </c>
      <c r="F301" s="29">
        <v>1</v>
      </c>
      <c r="G301" s="9">
        <v>1</v>
      </c>
      <c r="H301" s="9">
        <v>1</v>
      </c>
      <c r="I301" s="9">
        <v>2</v>
      </c>
      <c r="J301" s="43">
        <v>2</v>
      </c>
      <c r="K301" s="265">
        <f t="shared" si="4"/>
        <v>0.35859414261160716</v>
      </c>
      <c r="L301" s="164" t="s">
        <v>111</v>
      </c>
    </row>
    <row r="302" spans="1:12">
      <c r="A302" s="34" t="s">
        <v>109</v>
      </c>
      <c r="B302" s="344">
        <v>2016</v>
      </c>
      <c r="C302" s="59" t="s">
        <v>94</v>
      </c>
      <c r="D302" s="59">
        <v>155</v>
      </c>
      <c r="E302" s="503" t="s">
        <v>110</v>
      </c>
      <c r="F302" s="29">
        <v>1</v>
      </c>
      <c r="G302" s="9">
        <v>1</v>
      </c>
      <c r="H302" s="9">
        <v>1</v>
      </c>
      <c r="I302" s="9">
        <v>2</v>
      </c>
      <c r="J302" s="43">
        <v>2</v>
      </c>
      <c r="K302" s="265">
        <f t="shared" si="4"/>
        <v>0.35859414261160716</v>
      </c>
      <c r="L302" s="164" t="s">
        <v>111</v>
      </c>
    </row>
    <row r="303" spans="1:12">
      <c r="A303" s="34" t="s">
        <v>109</v>
      </c>
      <c r="B303" s="344">
        <v>2016</v>
      </c>
      <c r="C303" s="59" t="s">
        <v>96</v>
      </c>
      <c r="D303" s="59">
        <v>337</v>
      </c>
      <c r="E303" s="503" t="s">
        <v>110</v>
      </c>
      <c r="F303" s="29">
        <v>1</v>
      </c>
      <c r="G303" s="9">
        <v>1</v>
      </c>
      <c r="H303" s="9">
        <v>1</v>
      </c>
      <c r="I303" s="9">
        <v>2</v>
      </c>
      <c r="J303" s="43">
        <v>2</v>
      </c>
      <c r="K303" s="265">
        <f t="shared" si="4"/>
        <v>0.35859414261160716</v>
      </c>
      <c r="L303" s="164" t="s">
        <v>111</v>
      </c>
    </row>
    <row r="304" spans="1:12">
      <c r="A304" s="34" t="s">
        <v>109</v>
      </c>
      <c r="B304" s="344">
        <v>2016</v>
      </c>
      <c r="C304" s="59" t="s">
        <v>97</v>
      </c>
      <c r="D304" s="59">
        <v>373</v>
      </c>
      <c r="E304" s="503" t="s">
        <v>110</v>
      </c>
      <c r="F304" s="29">
        <v>1</v>
      </c>
      <c r="G304" s="9">
        <v>1</v>
      </c>
      <c r="H304" s="9">
        <v>1</v>
      </c>
      <c r="I304" s="9">
        <v>2</v>
      </c>
      <c r="J304" s="43">
        <v>2</v>
      </c>
      <c r="K304" s="265">
        <f t="shared" si="4"/>
        <v>0.35859414261160716</v>
      </c>
      <c r="L304" s="164" t="s">
        <v>111</v>
      </c>
    </row>
    <row r="305" spans="1:12">
      <c r="A305" s="34" t="s">
        <v>109</v>
      </c>
      <c r="B305" s="344">
        <v>2016</v>
      </c>
      <c r="C305" s="59" t="s">
        <v>95</v>
      </c>
      <c r="D305" s="59">
        <v>258</v>
      </c>
      <c r="E305" s="503" t="s">
        <v>110</v>
      </c>
      <c r="F305" s="29">
        <v>1</v>
      </c>
      <c r="G305" s="9">
        <v>1</v>
      </c>
      <c r="H305" s="9">
        <v>1</v>
      </c>
      <c r="I305" s="9">
        <v>2</v>
      </c>
      <c r="J305" s="43">
        <v>2</v>
      </c>
      <c r="K305" s="265">
        <f t="shared" si="4"/>
        <v>0.35859414261160716</v>
      </c>
      <c r="L305" s="164" t="s">
        <v>111</v>
      </c>
    </row>
    <row r="306" spans="1:12">
      <c r="A306" s="34" t="s">
        <v>109</v>
      </c>
      <c r="B306" s="344">
        <v>2016</v>
      </c>
      <c r="C306" s="59" t="s">
        <v>93</v>
      </c>
      <c r="D306" s="59">
        <v>121</v>
      </c>
      <c r="E306" s="503" t="s">
        <v>110</v>
      </c>
      <c r="F306" s="29">
        <v>1</v>
      </c>
      <c r="G306" s="9">
        <v>1</v>
      </c>
      <c r="H306" s="9">
        <v>1</v>
      </c>
      <c r="I306" s="9">
        <v>2</v>
      </c>
      <c r="J306" s="43">
        <v>2</v>
      </c>
      <c r="K306" s="265">
        <f t="shared" si="4"/>
        <v>0.35859414261160716</v>
      </c>
      <c r="L306" s="164" t="s">
        <v>111</v>
      </c>
    </row>
    <row r="307" spans="1:12">
      <c r="A307" s="34" t="s">
        <v>109</v>
      </c>
      <c r="B307" s="344">
        <v>2016</v>
      </c>
      <c r="C307" s="59" t="s">
        <v>98</v>
      </c>
      <c r="D307" s="59">
        <v>2513</v>
      </c>
      <c r="E307" s="503" t="s">
        <v>110</v>
      </c>
      <c r="F307" s="29">
        <v>1</v>
      </c>
      <c r="G307" s="9">
        <v>1</v>
      </c>
      <c r="H307" s="9">
        <v>1</v>
      </c>
      <c r="I307" s="9">
        <v>2</v>
      </c>
      <c r="J307" s="43">
        <v>2</v>
      </c>
      <c r="K307" s="265">
        <f t="shared" si="4"/>
        <v>0.35859414261160716</v>
      </c>
      <c r="L307" s="164" t="s">
        <v>111</v>
      </c>
    </row>
    <row r="308" spans="1:12">
      <c r="A308" s="34" t="s">
        <v>109</v>
      </c>
      <c r="B308" s="344">
        <v>2017</v>
      </c>
      <c r="C308" s="59" t="s">
        <v>85</v>
      </c>
      <c r="D308" s="59">
        <v>786</v>
      </c>
      <c r="E308" s="503" t="s">
        <v>110</v>
      </c>
      <c r="F308" s="29">
        <v>1</v>
      </c>
      <c r="G308" s="9">
        <v>1</v>
      </c>
      <c r="H308" s="9">
        <v>1</v>
      </c>
      <c r="I308" s="9">
        <v>2</v>
      </c>
      <c r="J308" s="43">
        <v>2</v>
      </c>
      <c r="K308" s="265">
        <f t="shared" si="4"/>
        <v>0.35859414261160716</v>
      </c>
      <c r="L308" s="164" t="s">
        <v>111</v>
      </c>
    </row>
    <row r="309" spans="1:12">
      <c r="A309" s="34" t="s">
        <v>109</v>
      </c>
      <c r="B309" s="344">
        <v>2017</v>
      </c>
      <c r="C309" s="59" t="s">
        <v>86</v>
      </c>
      <c r="D309" s="59">
        <v>290</v>
      </c>
      <c r="E309" s="503" t="s">
        <v>110</v>
      </c>
      <c r="F309" s="29">
        <v>1</v>
      </c>
      <c r="G309" s="9">
        <v>1</v>
      </c>
      <c r="H309" s="9">
        <v>1</v>
      </c>
      <c r="I309" s="9">
        <v>2</v>
      </c>
      <c r="J309" s="43">
        <v>2</v>
      </c>
      <c r="K309" s="265">
        <f t="shared" si="4"/>
        <v>0.35859414261160716</v>
      </c>
      <c r="L309" s="164" t="s">
        <v>111</v>
      </c>
    </row>
    <row r="310" spans="1:12">
      <c r="A310" s="34" t="s">
        <v>109</v>
      </c>
      <c r="B310" s="344">
        <v>2017</v>
      </c>
      <c r="C310" s="59" t="s">
        <v>87</v>
      </c>
      <c r="D310" s="59">
        <v>852</v>
      </c>
      <c r="E310" s="503" t="s">
        <v>110</v>
      </c>
      <c r="F310" s="29">
        <v>1</v>
      </c>
      <c r="G310" s="9">
        <v>1</v>
      </c>
      <c r="H310" s="9">
        <v>1</v>
      </c>
      <c r="I310" s="9">
        <v>2</v>
      </c>
      <c r="J310" s="43">
        <v>2</v>
      </c>
      <c r="K310" s="265">
        <f t="shared" si="4"/>
        <v>0.35859414261160716</v>
      </c>
      <c r="L310" s="164" t="s">
        <v>111</v>
      </c>
    </row>
    <row r="311" spans="1:12">
      <c r="A311" s="34" t="s">
        <v>109</v>
      </c>
      <c r="B311" s="344">
        <v>2017</v>
      </c>
      <c r="C311" s="59" t="s">
        <v>88</v>
      </c>
      <c r="D311" s="59">
        <v>4</v>
      </c>
      <c r="E311" s="503" t="s">
        <v>110</v>
      </c>
      <c r="F311" s="29">
        <v>1</v>
      </c>
      <c r="G311" s="9">
        <v>1</v>
      </c>
      <c r="H311" s="9">
        <v>1</v>
      </c>
      <c r="I311" s="9">
        <v>2</v>
      </c>
      <c r="J311" s="43">
        <v>2</v>
      </c>
      <c r="K311" s="265">
        <f t="shared" si="4"/>
        <v>0.35859414261160716</v>
      </c>
      <c r="L311" s="164" t="s">
        <v>111</v>
      </c>
    </row>
    <row r="312" spans="1:12">
      <c r="A312" s="34" t="s">
        <v>109</v>
      </c>
      <c r="B312" s="344">
        <v>2017</v>
      </c>
      <c r="C312" s="59" t="s">
        <v>89</v>
      </c>
      <c r="D312" s="59">
        <v>199</v>
      </c>
      <c r="E312" s="503" t="s">
        <v>110</v>
      </c>
      <c r="F312" s="29">
        <v>1</v>
      </c>
      <c r="G312" s="9">
        <v>1</v>
      </c>
      <c r="H312" s="9">
        <v>1</v>
      </c>
      <c r="I312" s="9">
        <v>2</v>
      </c>
      <c r="J312" s="43">
        <v>2</v>
      </c>
      <c r="K312" s="265">
        <f t="shared" si="4"/>
        <v>0.35859414261160716</v>
      </c>
      <c r="L312" s="164" t="s">
        <v>111</v>
      </c>
    </row>
    <row r="313" spans="1:12">
      <c r="A313" s="34" t="s">
        <v>109</v>
      </c>
      <c r="B313" s="344">
        <v>2017</v>
      </c>
      <c r="C313" s="59" t="s">
        <v>90</v>
      </c>
      <c r="D313" s="59">
        <v>610</v>
      </c>
      <c r="E313" s="503" t="s">
        <v>110</v>
      </c>
      <c r="F313" s="29">
        <v>1</v>
      </c>
      <c r="G313" s="9">
        <v>1</v>
      </c>
      <c r="H313" s="9">
        <v>1</v>
      </c>
      <c r="I313" s="9">
        <v>2</v>
      </c>
      <c r="J313" s="43">
        <v>2</v>
      </c>
      <c r="K313" s="265">
        <f t="shared" si="4"/>
        <v>0.35859414261160716</v>
      </c>
      <c r="L313" s="164" t="s">
        <v>111</v>
      </c>
    </row>
    <row r="314" spans="1:12">
      <c r="A314" s="34" t="s">
        <v>109</v>
      </c>
      <c r="B314" s="344">
        <v>2017</v>
      </c>
      <c r="C314" s="59" t="s">
        <v>91</v>
      </c>
      <c r="D314" s="59">
        <v>331</v>
      </c>
      <c r="E314" s="503" t="s">
        <v>110</v>
      </c>
      <c r="F314" s="29">
        <v>1</v>
      </c>
      <c r="G314" s="9">
        <v>1</v>
      </c>
      <c r="H314" s="9">
        <v>1</v>
      </c>
      <c r="I314" s="9">
        <v>2</v>
      </c>
      <c r="J314" s="43">
        <v>2</v>
      </c>
      <c r="K314" s="265">
        <f t="shared" si="4"/>
        <v>0.35859414261160716</v>
      </c>
      <c r="L314" s="164" t="s">
        <v>111</v>
      </c>
    </row>
    <row r="315" spans="1:12">
      <c r="A315" s="34" t="s">
        <v>109</v>
      </c>
      <c r="B315" s="344">
        <v>2017</v>
      </c>
      <c r="C315" s="59" t="s">
        <v>94</v>
      </c>
      <c r="D315" s="59">
        <v>193</v>
      </c>
      <c r="E315" s="503" t="s">
        <v>110</v>
      </c>
      <c r="F315" s="29">
        <v>1</v>
      </c>
      <c r="G315" s="9">
        <v>1</v>
      </c>
      <c r="H315" s="9">
        <v>1</v>
      </c>
      <c r="I315" s="9">
        <v>2</v>
      </c>
      <c r="J315" s="43">
        <v>2</v>
      </c>
      <c r="K315" s="265">
        <f t="shared" si="4"/>
        <v>0.35859414261160716</v>
      </c>
      <c r="L315" s="164" t="s">
        <v>111</v>
      </c>
    </row>
    <row r="316" spans="1:12">
      <c r="A316" s="34" t="s">
        <v>109</v>
      </c>
      <c r="B316" s="344">
        <v>2017</v>
      </c>
      <c r="C316" s="59" t="s">
        <v>96</v>
      </c>
      <c r="D316" s="59">
        <v>337</v>
      </c>
      <c r="E316" s="503" t="s">
        <v>110</v>
      </c>
      <c r="F316" s="29">
        <v>1</v>
      </c>
      <c r="G316" s="9">
        <v>1</v>
      </c>
      <c r="H316" s="9">
        <v>1</v>
      </c>
      <c r="I316" s="9">
        <v>2</v>
      </c>
      <c r="J316" s="43">
        <v>2</v>
      </c>
      <c r="K316" s="265">
        <f t="shared" si="4"/>
        <v>0.35859414261160716</v>
      </c>
      <c r="L316" s="164" t="s">
        <v>111</v>
      </c>
    </row>
    <row r="317" spans="1:12">
      <c r="A317" s="34" t="s">
        <v>109</v>
      </c>
      <c r="B317" s="344">
        <v>2017</v>
      </c>
      <c r="C317" s="59" t="s">
        <v>97</v>
      </c>
      <c r="D317" s="59">
        <v>313</v>
      </c>
      <c r="E317" s="503" t="s">
        <v>110</v>
      </c>
      <c r="F317" s="29">
        <v>1</v>
      </c>
      <c r="G317" s="9">
        <v>1</v>
      </c>
      <c r="H317" s="9">
        <v>1</v>
      </c>
      <c r="I317" s="9">
        <v>2</v>
      </c>
      <c r="J317" s="43">
        <v>2</v>
      </c>
      <c r="K317" s="265">
        <f t="shared" ref="K317:K380" si="5">IF( OR( ISBLANK(F317),ISBLANK(G317), ISBLANK(H317), ISBLANK(I317), ISBLANK(J317) ), "", 1.5*SQRT(   EXP(2.21*(F317-1)) + EXP(2.21*(G317-1)) + EXP(2.21*(H317-1)) + EXP(2.21*(I317-1)) + EXP(2.21*J317)   )/100*2.45 )</f>
        <v>0.35859414261160716</v>
      </c>
      <c r="L317" s="164" t="s">
        <v>111</v>
      </c>
    </row>
    <row r="318" spans="1:12">
      <c r="A318" s="34" t="s">
        <v>109</v>
      </c>
      <c r="B318" s="344">
        <v>2017</v>
      </c>
      <c r="C318" s="59" t="s">
        <v>95</v>
      </c>
      <c r="D318" s="59">
        <v>280</v>
      </c>
      <c r="E318" s="503" t="s">
        <v>110</v>
      </c>
      <c r="F318" s="29">
        <v>1</v>
      </c>
      <c r="G318" s="9">
        <v>1</v>
      </c>
      <c r="H318" s="9">
        <v>1</v>
      </c>
      <c r="I318" s="9">
        <v>2</v>
      </c>
      <c r="J318" s="43">
        <v>2</v>
      </c>
      <c r="K318" s="265">
        <f t="shared" si="5"/>
        <v>0.35859414261160716</v>
      </c>
      <c r="L318" s="164" t="s">
        <v>111</v>
      </c>
    </row>
    <row r="319" spans="1:12">
      <c r="A319" s="34" t="s">
        <v>109</v>
      </c>
      <c r="B319" s="344">
        <v>2017</v>
      </c>
      <c r="C319" s="59" t="s">
        <v>93</v>
      </c>
      <c r="D319" s="59">
        <v>124</v>
      </c>
      <c r="E319" s="503" t="s">
        <v>110</v>
      </c>
      <c r="F319" s="29">
        <v>1</v>
      </c>
      <c r="G319" s="9">
        <v>1</v>
      </c>
      <c r="H319" s="9">
        <v>1</v>
      </c>
      <c r="I319" s="9">
        <v>2</v>
      </c>
      <c r="J319" s="43">
        <v>2</v>
      </c>
      <c r="K319" s="265">
        <f t="shared" si="5"/>
        <v>0.35859414261160716</v>
      </c>
      <c r="L319" s="164" t="s">
        <v>111</v>
      </c>
    </row>
    <row r="320" spans="1:12">
      <c r="A320" s="34" t="s">
        <v>109</v>
      </c>
      <c r="B320" s="344">
        <v>2017</v>
      </c>
      <c r="C320" s="59" t="s">
        <v>98</v>
      </c>
      <c r="D320" s="59">
        <v>2566</v>
      </c>
      <c r="E320" s="503" t="s">
        <v>110</v>
      </c>
      <c r="F320" s="29">
        <v>1</v>
      </c>
      <c r="G320" s="9">
        <v>1</v>
      </c>
      <c r="H320" s="9">
        <v>1</v>
      </c>
      <c r="I320" s="9">
        <v>2</v>
      </c>
      <c r="J320" s="43">
        <v>2</v>
      </c>
      <c r="K320" s="265">
        <f t="shared" si="5"/>
        <v>0.35859414261160716</v>
      </c>
      <c r="L320" s="164" t="s">
        <v>111</v>
      </c>
    </row>
    <row r="321" spans="1:12">
      <c r="A321" s="34" t="s">
        <v>109</v>
      </c>
      <c r="B321" s="344">
        <v>2018</v>
      </c>
      <c r="C321" s="59" t="s">
        <v>85</v>
      </c>
      <c r="D321" s="59">
        <v>1661</v>
      </c>
      <c r="E321" s="503" t="s">
        <v>110</v>
      </c>
      <c r="F321" s="29">
        <v>1</v>
      </c>
      <c r="G321" s="9">
        <v>1</v>
      </c>
      <c r="H321" s="9">
        <v>1</v>
      </c>
      <c r="I321" s="9">
        <v>2</v>
      </c>
      <c r="J321" s="43">
        <v>2</v>
      </c>
      <c r="K321" s="265">
        <f t="shared" si="5"/>
        <v>0.35859414261160716</v>
      </c>
      <c r="L321" s="164" t="s">
        <v>111</v>
      </c>
    </row>
    <row r="322" spans="1:12">
      <c r="A322" s="34" t="s">
        <v>109</v>
      </c>
      <c r="B322" s="344">
        <v>2018</v>
      </c>
      <c r="C322" s="59" t="s">
        <v>86</v>
      </c>
      <c r="D322" s="59">
        <v>290</v>
      </c>
      <c r="E322" s="503" t="s">
        <v>110</v>
      </c>
      <c r="F322" s="29">
        <v>1</v>
      </c>
      <c r="G322" s="9">
        <v>1</v>
      </c>
      <c r="H322" s="9">
        <v>1</v>
      </c>
      <c r="I322" s="9">
        <v>2</v>
      </c>
      <c r="J322" s="43">
        <v>2</v>
      </c>
      <c r="K322" s="265">
        <f t="shared" si="5"/>
        <v>0.35859414261160716</v>
      </c>
      <c r="L322" s="164" t="s">
        <v>111</v>
      </c>
    </row>
    <row r="323" spans="1:12">
      <c r="A323" s="34" t="s">
        <v>109</v>
      </c>
      <c r="B323" s="344">
        <v>2018</v>
      </c>
      <c r="C323" s="59" t="s">
        <v>87</v>
      </c>
      <c r="D323" s="59">
        <v>1105</v>
      </c>
      <c r="E323" s="503" t="s">
        <v>110</v>
      </c>
      <c r="F323" s="29">
        <v>1</v>
      </c>
      <c r="G323" s="9">
        <v>1</v>
      </c>
      <c r="H323" s="9">
        <v>1</v>
      </c>
      <c r="I323" s="9">
        <v>2</v>
      </c>
      <c r="J323" s="43">
        <v>2</v>
      </c>
      <c r="K323" s="265">
        <f t="shared" si="5"/>
        <v>0.35859414261160716</v>
      </c>
      <c r="L323" s="164" t="s">
        <v>111</v>
      </c>
    </row>
    <row r="324" spans="1:12">
      <c r="A324" s="34" t="s">
        <v>109</v>
      </c>
      <c r="B324" s="344">
        <v>2018</v>
      </c>
      <c r="C324" s="59" t="s">
        <v>88</v>
      </c>
      <c r="D324" s="59">
        <v>4</v>
      </c>
      <c r="E324" s="503" t="s">
        <v>110</v>
      </c>
      <c r="F324" s="29">
        <v>1</v>
      </c>
      <c r="G324" s="9">
        <v>1</v>
      </c>
      <c r="H324" s="9">
        <v>1</v>
      </c>
      <c r="I324" s="9">
        <v>2</v>
      </c>
      <c r="J324" s="43">
        <v>2</v>
      </c>
      <c r="K324" s="265">
        <f t="shared" si="5"/>
        <v>0.35859414261160716</v>
      </c>
      <c r="L324" s="164" t="s">
        <v>111</v>
      </c>
    </row>
    <row r="325" spans="1:12">
      <c r="A325" s="34" t="s">
        <v>109</v>
      </c>
      <c r="B325" s="344">
        <v>2018</v>
      </c>
      <c r="C325" s="59" t="s">
        <v>89</v>
      </c>
      <c r="D325" s="59">
        <v>185</v>
      </c>
      <c r="E325" s="503" t="s">
        <v>110</v>
      </c>
      <c r="F325" s="29">
        <v>1</v>
      </c>
      <c r="G325" s="9">
        <v>1</v>
      </c>
      <c r="H325" s="9">
        <v>1</v>
      </c>
      <c r="I325" s="9">
        <v>2</v>
      </c>
      <c r="J325" s="43">
        <v>2</v>
      </c>
      <c r="K325" s="265">
        <f t="shared" si="5"/>
        <v>0.35859414261160716</v>
      </c>
      <c r="L325" s="164" t="s">
        <v>111</v>
      </c>
    </row>
    <row r="326" spans="1:12">
      <c r="A326" s="34" t="s">
        <v>109</v>
      </c>
      <c r="B326" s="344">
        <v>2018</v>
      </c>
      <c r="C326" s="59" t="s">
        <v>90</v>
      </c>
      <c r="D326" s="59">
        <v>610</v>
      </c>
      <c r="E326" s="503" t="s">
        <v>110</v>
      </c>
      <c r="F326" s="29">
        <v>1</v>
      </c>
      <c r="G326" s="9">
        <v>1</v>
      </c>
      <c r="H326" s="9">
        <v>1</v>
      </c>
      <c r="I326" s="9">
        <v>2</v>
      </c>
      <c r="J326" s="43">
        <v>2</v>
      </c>
      <c r="K326" s="265">
        <f t="shared" si="5"/>
        <v>0.35859414261160716</v>
      </c>
      <c r="L326" s="164" t="s">
        <v>111</v>
      </c>
    </row>
    <row r="327" spans="1:12">
      <c r="A327" s="34" t="s">
        <v>109</v>
      </c>
      <c r="B327" s="344">
        <v>2018</v>
      </c>
      <c r="C327" s="59" t="s">
        <v>91</v>
      </c>
      <c r="D327" s="59">
        <v>516</v>
      </c>
      <c r="E327" s="503" t="s">
        <v>110</v>
      </c>
      <c r="F327" s="29">
        <v>1</v>
      </c>
      <c r="G327" s="9">
        <v>1</v>
      </c>
      <c r="H327" s="9">
        <v>1</v>
      </c>
      <c r="I327" s="9">
        <v>2</v>
      </c>
      <c r="J327" s="43">
        <v>2</v>
      </c>
      <c r="K327" s="265">
        <f t="shared" si="5"/>
        <v>0.35859414261160716</v>
      </c>
      <c r="L327" s="164" t="s">
        <v>111</v>
      </c>
    </row>
    <row r="328" spans="1:12">
      <c r="A328" s="34" t="s">
        <v>109</v>
      </c>
      <c r="B328" s="344">
        <v>2018</v>
      </c>
      <c r="C328" s="59" t="s">
        <v>94</v>
      </c>
      <c r="D328" s="59">
        <v>192</v>
      </c>
      <c r="E328" s="503" t="s">
        <v>110</v>
      </c>
      <c r="F328" s="29">
        <v>1</v>
      </c>
      <c r="G328" s="9">
        <v>1</v>
      </c>
      <c r="H328" s="9">
        <v>1</v>
      </c>
      <c r="I328" s="9">
        <v>2</v>
      </c>
      <c r="J328" s="43">
        <v>2</v>
      </c>
      <c r="K328" s="265">
        <f t="shared" si="5"/>
        <v>0.35859414261160716</v>
      </c>
      <c r="L328" s="164" t="s">
        <v>111</v>
      </c>
    </row>
    <row r="329" spans="1:12">
      <c r="A329" s="34" t="s">
        <v>109</v>
      </c>
      <c r="B329" s="344">
        <v>2018</v>
      </c>
      <c r="C329" s="59" t="s">
        <v>96</v>
      </c>
      <c r="D329" s="59">
        <v>337</v>
      </c>
      <c r="E329" s="503" t="s">
        <v>110</v>
      </c>
      <c r="F329" s="29">
        <v>1</v>
      </c>
      <c r="G329" s="9">
        <v>1</v>
      </c>
      <c r="H329" s="9">
        <v>1</v>
      </c>
      <c r="I329" s="9">
        <v>2</v>
      </c>
      <c r="J329" s="43">
        <v>2</v>
      </c>
      <c r="K329" s="265">
        <f t="shared" si="5"/>
        <v>0.35859414261160716</v>
      </c>
      <c r="L329" s="164" t="s">
        <v>111</v>
      </c>
    </row>
    <row r="330" spans="1:12">
      <c r="A330" s="34" t="s">
        <v>109</v>
      </c>
      <c r="B330" s="344">
        <v>2018</v>
      </c>
      <c r="C330" s="59" t="s">
        <v>97</v>
      </c>
      <c r="D330" s="59">
        <v>355</v>
      </c>
      <c r="E330" s="503" t="s">
        <v>110</v>
      </c>
      <c r="F330" s="29">
        <v>1</v>
      </c>
      <c r="G330" s="9">
        <v>1</v>
      </c>
      <c r="H330" s="9">
        <v>1</v>
      </c>
      <c r="I330" s="9">
        <v>2</v>
      </c>
      <c r="J330" s="43">
        <v>2</v>
      </c>
      <c r="K330" s="265">
        <f t="shared" si="5"/>
        <v>0.35859414261160716</v>
      </c>
      <c r="L330" s="164" t="s">
        <v>111</v>
      </c>
    </row>
    <row r="331" spans="1:12">
      <c r="A331" s="34" t="s">
        <v>109</v>
      </c>
      <c r="B331" s="344">
        <v>2018</v>
      </c>
      <c r="C331" s="59" t="s">
        <v>95</v>
      </c>
      <c r="D331" s="59">
        <v>257</v>
      </c>
      <c r="E331" s="503" t="s">
        <v>110</v>
      </c>
      <c r="F331" s="29">
        <v>1</v>
      </c>
      <c r="G331" s="9">
        <v>1</v>
      </c>
      <c r="H331" s="9">
        <v>1</v>
      </c>
      <c r="I331" s="9">
        <v>2</v>
      </c>
      <c r="J331" s="43">
        <v>2</v>
      </c>
      <c r="K331" s="265">
        <f t="shared" si="5"/>
        <v>0.35859414261160716</v>
      </c>
      <c r="L331" s="164" t="s">
        <v>111</v>
      </c>
    </row>
    <row r="332" spans="1:12">
      <c r="A332" s="34" t="s">
        <v>109</v>
      </c>
      <c r="B332" s="344">
        <v>2018</v>
      </c>
      <c r="C332" s="59" t="s">
        <v>93</v>
      </c>
      <c r="D332" s="59">
        <v>104</v>
      </c>
      <c r="E332" s="503" t="s">
        <v>110</v>
      </c>
      <c r="F332" s="29">
        <v>1</v>
      </c>
      <c r="G332" s="9">
        <v>1</v>
      </c>
      <c r="H332" s="9">
        <v>1</v>
      </c>
      <c r="I332" s="9">
        <v>2</v>
      </c>
      <c r="J332" s="43">
        <v>2</v>
      </c>
      <c r="K332" s="265">
        <f t="shared" si="5"/>
        <v>0.35859414261160716</v>
      </c>
      <c r="L332" s="164" t="s">
        <v>111</v>
      </c>
    </row>
    <row r="333" spans="1:12">
      <c r="A333" s="34" t="s">
        <v>109</v>
      </c>
      <c r="B333" s="344">
        <v>2018</v>
      </c>
      <c r="C333" s="59" t="s">
        <v>98</v>
      </c>
      <c r="D333" s="59">
        <v>2403</v>
      </c>
      <c r="E333" s="503" t="s">
        <v>110</v>
      </c>
      <c r="F333" s="29">
        <v>1</v>
      </c>
      <c r="G333" s="9">
        <v>1</v>
      </c>
      <c r="H333" s="9">
        <v>1</v>
      </c>
      <c r="I333" s="9">
        <v>2</v>
      </c>
      <c r="J333" s="43">
        <v>2</v>
      </c>
      <c r="K333" s="265">
        <f t="shared" si="5"/>
        <v>0.35859414261160716</v>
      </c>
      <c r="L333" s="164" t="s">
        <v>111</v>
      </c>
    </row>
    <row r="334" spans="1:12">
      <c r="A334" s="34" t="s">
        <v>109</v>
      </c>
      <c r="B334" s="344">
        <v>2019</v>
      </c>
      <c r="C334" s="59" t="s">
        <v>85</v>
      </c>
      <c r="D334" s="59">
        <v>1278</v>
      </c>
      <c r="E334" s="503" t="s">
        <v>110</v>
      </c>
      <c r="F334" s="29">
        <v>1</v>
      </c>
      <c r="G334" s="9">
        <v>1</v>
      </c>
      <c r="H334" s="9">
        <v>1</v>
      </c>
      <c r="I334" s="9">
        <v>2</v>
      </c>
      <c r="J334" s="43">
        <v>2</v>
      </c>
      <c r="K334" s="265">
        <f t="shared" si="5"/>
        <v>0.35859414261160716</v>
      </c>
      <c r="L334" s="164" t="s">
        <v>111</v>
      </c>
    </row>
    <row r="335" spans="1:12">
      <c r="A335" s="34" t="s">
        <v>109</v>
      </c>
      <c r="B335" s="344">
        <v>2019</v>
      </c>
      <c r="C335" s="59" t="s">
        <v>86</v>
      </c>
      <c r="D335" s="59">
        <v>266</v>
      </c>
      <c r="E335" s="503" t="s">
        <v>110</v>
      </c>
      <c r="F335" s="29">
        <v>1</v>
      </c>
      <c r="G335" s="9">
        <v>1</v>
      </c>
      <c r="H335" s="9">
        <v>1</v>
      </c>
      <c r="I335" s="9">
        <v>2</v>
      </c>
      <c r="J335" s="43">
        <v>2</v>
      </c>
      <c r="K335" s="265">
        <f t="shared" si="5"/>
        <v>0.35859414261160716</v>
      </c>
      <c r="L335" s="164" t="s">
        <v>111</v>
      </c>
    </row>
    <row r="336" spans="1:12">
      <c r="A336" s="34" t="s">
        <v>109</v>
      </c>
      <c r="B336" s="344">
        <v>2019</v>
      </c>
      <c r="C336" s="59" t="s">
        <v>87</v>
      </c>
      <c r="D336" s="59">
        <v>936</v>
      </c>
      <c r="E336" s="503" t="s">
        <v>110</v>
      </c>
      <c r="F336" s="29">
        <v>1</v>
      </c>
      <c r="G336" s="9">
        <v>1</v>
      </c>
      <c r="H336" s="9">
        <v>1</v>
      </c>
      <c r="I336" s="9">
        <v>2</v>
      </c>
      <c r="J336" s="43">
        <v>2</v>
      </c>
      <c r="K336" s="265">
        <f t="shared" si="5"/>
        <v>0.35859414261160716</v>
      </c>
      <c r="L336" s="164" t="s">
        <v>111</v>
      </c>
    </row>
    <row r="337" spans="1:12">
      <c r="A337" s="34" t="s">
        <v>109</v>
      </c>
      <c r="B337" s="344">
        <v>2019</v>
      </c>
      <c r="C337" s="59" t="s">
        <v>88</v>
      </c>
      <c r="D337" s="59">
        <v>4</v>
      </c>
      <c r="E337" s="503" t="s">
        <v>110</v>
      </c>
      <c r="F337" s="29">
        <v>1</v>
      </c>
      <c r="G337" s="9">
        <v>1</v>
      </c>
      <c r="H337" s="9">
        <v>1</v>
      </c>
      <c r="I337" s="9">
        <v>2</v>
      </c>
      <c r="J337" s="43">
        <v>2</v>
      </c>
      <c r="K337" s="265">
        <f t="shared" si="5"/>
        <v>0.35859414261160716</v>
      </c>
      <c r="L337" s="164" t="s">
        <v>111</v>
      </c>
    </row>
    <row r="338" spans="1:12">
      <c r="A338" s="34" t="s">
        <v>109</v>
      </c>
      <c r="B338" s="344">
        <v>2019</v>
      </c>
      <c r="C338" s="59" t="s">
        <v>89</v>
      </c>
      <c r="D338" s="59">
        <v>306</v>
      </c>
      <c r="E338" s="503" t="s">
        <v>110</v>
      </c>
      <c r="F338" s="29">
        <v>1</v>
      </c>
      <c r="G338" s="9">
        <v>1</v>
      </c>
      <c r="H338" s="9">
        <v>1</v>
      </c>
      <c r="I338" s="9">
        <v>2</v>
      </c>
      <c r="J338" s="43">
        <v>2</v>
      </c>
      <c r="K338" s="265">
        <f t="shared" si="5"/>
        <v>0.35859414261160716</v>
      </c>
      <c r="L338" s="164" t="s">
        <v>111</v>
      </c>
    </row>
    <row r="339" spans="1:12">
      <c r="A339" s="34" t="s">
        <v>109</v>
      </c>
      <c r="B339" s="344">
        <v>2019</v>
      </c>
      <c r="C339" s="59" t="s">
        <v>90</v>
      </c>
      <c r="D339" s="59">
        <v>610</v>
      </c>
      <c r="E339" s="503" t="s">
        <v>110</v>
      </c>
      <c r="F339" s="29">
        <v>1</v>
      </c>
      <c r="G339" s="9">
        <v>1</v>
      </c>
      <c r="H339" s="9">
        <v>1</v>
      </c>
      <c r="I339" s="9">
        <v>2</v>
      </c>
      <c r="J339" s="43">
        <v>2</v>
      </c>
      <c r="K339" s="265">
        <f t="shared" si="5"/>
        <v>0.35859414261160716</v>
      </c>
      <c r="L339" s="164" t="s">
        <v>111</v>
      </c>
    </row>
    <row r="340" spans="1:12">
      <c r="A340" s="34" t="s">
        <v>109</v>
      </c>
      <c r="B340" s="344">
        <v>2019</v>
      </c>
      <c r="C340" s="59" t="s">
        <v>91</v>
      </c>
      <c r="D340" s="59">
        <v>443</v>
      </c>
      <c r="E340" s="503" t="s">
        <v>110</v>
      </c>
      <c r="F340" s="29">
        <v>1</v>
      </c>
      <c r="G340" s="9">
        <v>1</v>
      </c>
      <c r="H340" s="9">
        <v>1</v>
      </c>
      <c r="I340" s="9">
        <v>2</v>
      </c>
      <c r="J340" s="43">
        <v>2</v>
      </c>
      <c r="K340" s="265">
        <f t="shared" si="5"/>
        <v>0.35859414261160716</v>
      </c>
      <c r="L340" s="164" t="s">
        <v>111</v>
      </c>
    </row>
    <row r="341" spans="1:12">
      <c r="A341" s="34" t="s">
        <v>109</v>
      </c>
      <c r="B341" s="344">
        <v>2019</v>
      </c>
      <c r="C341" s="59" t="s">
        <v>94</v>
      </c>
      <c r="D341" s="59">
        <v>202</v>
      </c>
      <c r="E341" s="503" t="s">
        <v>110</v>
      </c>
      <c r="F341" s="29">
        <v>1</v>
      </c>
      <c r="G341" s="9">
        <v>1</v>
      </c>
      <c r="H341" s="9">
        <v>1</v>
      </c>
      <c r="I341" s="9">
        <v>2</v>
      </c>
      <c r="J341" s="43">
        <v>2</v>
      </c>
      <c r="K341" s="265">
        <f t="shared" si="5"/>
        <v>0.35859414261160716</v>
      </c>
      <c r="L341" s="164" t="s">
        <v>111</v>
      </c>
    </row>
    <row r="342" spans="1:12">
      <c r="A342" s="34" t="s">
        <v>109</v>
      </c>
      <c r="B342" s="344">
        <v>2019</v>
      </c>
      <c r="C342" s="59" t="s">
        <v>96</v>
      </c>
      <c r="D342" s="59">
        <v>448</v>
      </c>
      <c r="E342" s="503" t="s">
        <v>110</v>
      </c>
      <c r="F342" s="29">
        <v>1</v>
      </c>
      <c r="G342" s="9">
        <v>1</v>
      </c>
      <c r="H342" s="9">
        <v>1</v>
      </c>
      <c r="I342" s="9">
        <v>2</v>
      </c>
      <c r="J342" s="43">
        <v>2</v>
      </c>
      <c r="K342" s="265">
        <f t="shared" si="5"/>
        <v>0.35859414261160716</v>
      </c>
      <c r="L342" s="164" t="s">
        <v>111</v>
      </c>
    </row>
    <row r="343" spans="1:12">
      <c r="A343" s="34" t="s">
        <v>109</v>
      </c>
      <c r="B343" s="344">
        <v>2019</v>
      </c>
      <c r="C343" s="59" t="s">
        <v>97</v>
      </c>
      <c r="D343" s="59">
        <v>360</v>
      </c>
      <c r="E343" s="503" t="s">
        <v>110</v>
      </c>
      <c r="F343" s="29">
        <v>1</v>
      </c>
      <c r="G343" s="9">
        <v>1</v>
      </c>
      <c r="H343" s="9">
        <v>1</v>
      </c>
      <c r="I343" s="9">
        <v>2</v>
      </c>
      <c r="J343" s="43">
        <v>2</v>
      </c>
      <c r="K343" s="265">
        <f t="shared" si="5"/>
        <v>0.35859414261160716</v>
      </c>
      <c r="L343" s="164" t="s">
        <v>111</v>
      </c>
    </row>
    <row r="344" spans="1:12">
      <c r="A344" s="34" t="s">
        <v>109</v>
      </c>
      <c r="B344" s="344">
        <v>2019</v>
      </c>
      <c r="C344" s="59" t="s">
        <v>95</v>
      </c>
      <c r="D344" s="59">
        <v>165</v>
      </c>
      <c r="E344" s="503" t="s">
        <v>110</v>
      </c>
      <c r="F344" s="29">
        <v>1</v>
      </c>
      <c r="G344" s="9">
        <v>1</v>
      </c>
      <c r="H344" s="9">
        <v>1</v>
      </c>
      <c r="I344" s="9">
        <v>2</v>
      </c>
      <c r="J344" s="43">
        <v>2</v>
      </c>
      <c r="K344" s="265">
        <f t="shared" si="5"/>
        <v>0.35859414261160716</v>
      </c>
      <c r="L344" s="164" t="s">
        <v>111</v>
      </c>
    </row>
    <row r="345" spans="1:12">
      <c r="A345" s="34" t="s">
        <v>109</v>
      </c>
      <c r="B345" s="344">
        <v>2019</v>
      </c>
      <c r="C345" s="59" t="s">
        <v>93</v>
      </c>
      <c r="D345" s="59">
        <v>98</v>
      </c>
      <c r="E345" s="503" t="s">
        <v>110</v>
      </c>
      <c r="F345" s="29">
        <v>1</v>
      </c>
      <c r="G345" s="9">
        <v>1</v>
      </c>
      <c r="H345" s="9">
        <v>1</v>
      </c>
      <c r="I345" s="9">
        <v>2</v>
      </c>
      <c r="J345" s="43">
        <v>2</v>
      </c>
      <c r="K345" s="265">
        <f t="shared" si="5"/>
        <v>0.35859414261160716</v>
      </c>
      <c r="L345" s="164" t="s">
        <v>111</v>
      </c>
    </row>
    <row r="346" spans="1:12">
      <c r="A346" s="34" t="s">
        <v>109</v>
      </c>
      <c r="B346" s="344">
        <v>2019</v>
      </c>
      <c r="C346" s="59" t="s">
        <v>98</v>
      </c>
      <c r="D346" s="59">
        <v>2309</v>
      </c>
      <c r="E346" s="503" t="s">
        <v>110</v>
      </c>
      <c r="F346" s="29">
        <v>1</v>
      </c>
      <c r="G346" s="9">
        <v>1</v>
      </c>
      <c r="H346" s="9">
        <v>1</v>
      </c>
      <c r="I346" s="9">
        <v>2</v>
      </c>
      <c r="J346" s="43">
        <v>2</v>
      </c>
      <c r="K346" s="265">
        <f t="shared" si="5"/>
        <v>0.35859414261160716</v>
      </c>
      <c r="L346" s="164" t="s">
        <v>111</v>
      </c>
    </row>
    <row r="347" spans="1:12">
      <c r="A347" s="34" t="s">
        <v>109</v>
      </c>
      <c r="B347" s="344">
        <v>2020</v>
      </c>
      <c r="C347" s="59" t="s">
        <v>85</v>
      </c>
      <c r="D347" s="59">
        <v>1665</v>
      </c>
      <c r="E347" s="503" t="s">
        <v>110</v>
      </c>
      <c r="F347" s="29">
        <v>1</v>
      </c>
      <c r="G347" s="9">
        <v>1</v>
      </c>
      <c r="H347" s="9">
        <v>1</v>
      </c>
      <c r="I347" s="9">
        <v>2</v>
      </c>
      <c r="J347" s="43">
        <v>2</v>
      </c>
      <c r="K347" s="265">
        <f t="shared" si="5"/>
        <v>0.35859414261160716</v>
      </c>
      <c r="L347" s="164" t="s">
        <v>111</v>
      </c>
    </row>
    <row r="348" spans="1:12">
      <c r="A348" s="34" t="s">
        <v>109</v>
      </c>
      <c r="B348" s="344">
        <v>2020</v>
      </c>
      <c r="C348" s="59" t="s">
        <v>86</v>
      </c>
      <c r="D348" s="59">
        <v>315</v>
      </c>
      <c r="E348" s="503" t="s">
        <v>110</v>
      </c>
      <c r="F348" s="29">
        <v>1</v>
      </c>
      <c r="G348" s="9">
        <v>1</v>
      </c>
      <c r="H348" s="9">
        <v>1</v>
      </c>
      <c r="I348" s="9">
        <v>2</v>
      </c>
      <c r="J348" s="43">
        <v>2</v>
      </c>
      <c r="K348" s="265">
        <f t="shared" si="5"/>
        <v>0.35859414261160716</v>
      </c>
      <c r="L348" s="164" t="s">
        <v>111</v>
      </c>
    </row>
    <row r="349" spans="1:12">
      <c r="A349" s="34" t="s">
        <v>109</v>
      </c>
      <c r="B349" s="344">
        <v>2020</v>
      </c>
      <c r="C349" s="59" t="s">
        <v>87</v>
      </c>
      <c r="D349" s="59">
        <v>701</v>
      </c>
      <c r="E349" s="503" t="s">
        <v>110</v>
      </c>
      <c r="F349" s="29">
        <v>1</v>
      </c>
      <c r="G349" s="9">
        <v>1</v>
      </c>
      <c r="H349" s="9">
        <v>1</v>
      </c>
      <c r="I349" s="9">
        <v>2</v>
      </c>
      <c r="J349" s="43">
        <v>2</v>
      </c>
      <c r="K349" s="265">
        <f t="shared" si="5"/>
        <v>0.35859414261160716</v>
      </c>
      <c r="L349" s="164" t="s">
        <v>111</v>
      </c>
    </row>
    <row r="350" spans="1:12">
      <c r="A350" s="34" t="s">
        <v>109</v>
      </c>
      <c r="B350" s="344">
        <v>2020</v>
      </c>
      <c r="C350" s="59" t="s">
        <v>88</v>
      </c>
      <c r="D350" s="59">
        <v>4</v>
      </c>
      <c r="E350" s="503" t="s">
        <v>110</v>
      </c>
      <c r="F350" s="29">
        <v>1</v>
      </c>
      <c r="G350" s="9">
        <v>1</v>
      </c>
      <c r="H350" s="9">
        <v>1</v>
      </c>
      <c r="I350" s="9">
        <v>2</v>
      </c>
      <c r="J350" s="43">
        <v>2</v>
      </c>
      <c r="K350" s="265">
        <f t="shared" si="5"/>
        <v>0.35859414261160716</v>
      </c>
      <c r="L350" s="164" t="s">
        <v>111</v>
      </c>
    </row>
    <row r="351" spans="1:12">
      <c r="A351" s="34" t="s">
        <v>109</v>
      </c>
      <c r="B351" s="344">
        <v>2020</v>
      </c>
      <c r="C351" s="59" t="s">
        <v>89</v>
      </c>
      <c r="D351" s="59">
        <v>317</v>
      </c>
      <c r="E351" s="503" t="s">
        <v>110</v>
      </c>
      <c r="F351" s="29">
        <v>1</v>
      </c>
      <c r="G351" s="9">
        <v>1</v>
      </c>
      <c r="H351" s="9">
        <v>1</v>
      </c>
      <c r="I351" s="9">
        <v>2</v>
      </c>
      <c r="J351" s="43">
        <v>2</v>
      </c>
      <c r="K351" s="265">
        <f t="shared" si="5"/>
        <v>0.35859414261160716</v>
      </c>
      <c r="L351" s="164" t="s">
        <v>111</v>
      </c>
    </row>
    <row r="352" spans="1:12">
      <c r="A352" s="34" t="s">
        <v>109</v>
      </c>
      <c r="B352" s="344">
        <v>2020</v>
      </c>
      <c r="C352" s="59" t="s">
        <v>90</v>
      </c>
      <c r="D352" s="59">
        <v>610</v>
      </c>
      <c r="E352" s="503" t="s">
        <v>110</v>
      </c>
      <c r="F352" s="29">
        <v>1</v>
      </c>
      <c r="G352" s="9">
        <v>1</v>
      </c>
      <c r="H352" s="9">
        <v>1</v>
      </c>
      <c r="I352" s="9">
        <v>2</v>
      </c>
      <c r="J352" s="43">
        <v>2</v>
      </c>
      <c r="K352" s="265">
        <f t="shared" si="5"/>
        <v>0.35859414261160716</v>
      </c>
      <c r="L352" s="164" t="s">
        <v>111</v>
      </c>
    </row>
    <row r="353" spans="1:12">
      <c r="A353" s="34" t="s">
        <v>109</v>
      </c>
      <c r="B353" s="344">
        <v>2020</v>
      </c>
      <c r="C353" s="59" t="s">
        <v>91</v>
      </c>
      <c r="D353" s="59">
        <v>474</v>
      </c>
      <c r="E353" s="503" t="s">
        <v>110</v>
      </c>
      <c r="F353" s="29">
        <v>1</v>
      </c>
      <c r="G353" s="9">
        <v>1</v>
      </c>
      <c r="H353" s="9">
        <v>1</v>
      </c>
      <c r="I353" s="9">
        <v>2</v>
      </c>
      <c r="J353" s="43">
        <v>2</v>
      </c>
      <c r="K353" s="265">
        <f t="shared" si="5"/>
        <v>0.35859414261160716</v>
      </c>
      <c r="L353" s="164" t="s">
        <v>111</v>
      </c>
    </row>
    <row r="354" spans="1:12">
      <c r="A354" s="34" t="s">
        <v>109</v>
      </c>
      <c r="B354" s="344">
        <v>2020</v>
      </c>
      <c r="C354" s="59" t="s">
        <v>94</v>
      </c>
      <c r="D354" s="59">
        <v>184</v>
      </c>
      <c r="E354" s="503" t="s">
        <v>110</v>
      </c>
      <c r="F354" s="29">
        <v>1</v>
      </c>
      <c r="G354" s="9">
        <v>1</v>
      </c>
      <c r="H354" s="9">
        <v>1</v>
      </c>
      <c r="I354" s="9">
        <v>2</v>
      </c>
      <c r="J354" s="43">
        <v>2</v>
      </c>
      <c r="K354" s="265">
        <f t="shared" si="5"/>
        <v>0.35859414261160716</v>
      </c>
      <c r="L354" s="164" t="s">
        <v>111</v>
      </c>
    </row>
    <row r="355" spans="1:12">
      <c r="A355" s="34" t="s">
        <v>109</v>
      </c>
      <c r="B355" s="344">
        <v>2020</v>
      </c>
      <c r="C355" s="59" t="s">
        <v>96</v>
      </c>
      <c r="D355" s="59">
        <v>337</v>
      </c>
      <c r="E355" s="503" t="s">
        <v>110</v>
      </c>
      <c r="F355" s="29">
        <v>1</v>
      </c>
      <c r="G355" s="9">
        <v>1</v>
      </c>
      <c r="H355" s="9">
        <v>1</v>
      </c>
      <c r="I355" s="9">
        <v>2</v>
      </c>
      <c r="J355" s="43">
        <v>2</v>
      </c>
      <c r="K355" s="265">
        <f t="shared" si="5"/>
        <v>0.35859414261160716</v>
      </c>
      <c r="L355" s="164" t="s">
        <v>111</v>
      </c>
    </row>
    <row r="356" spans="1:12">
      <c r="A356" s="34" t="s">
        <v>109</v>
      </c>
      <c r="B356" s="344">
        <v>2020</v>
      </c>
      <c r="C356" s="59" t="s">
        <v>97</v>
      </c>
      <c r="D356" s="59">
        <v>344</v>
      </c>
      <c r="E356" s="503" t="s">
        <v>110</v>
      </c>
      <c r="F356" s="29">
        <v>1</v>
      </c>
      <c r="G356" s="9">
        <v>1</v>
      </c>
      <c r="H356" s="9">
        <v>1</v>
      </c>
      <c r="I356" s="9">
        <v>2</v>
      </c>
      <c r="J356" s="43">
        <v>2</v>
      </c>
      <c r="K356" s="265">
        <f t="shared" si="5"/>
        <v>0.35859414261160716</v>
      </c>
      <c r="L356" s="164" t="s">
        <v>111</v>
      </c>
    </row>
    <row r="357" spans="1:12">
      <c r="A357" s="34" t="s">
        <v>109</v>
      </c>
      <c r="B357" s="344">
        <v>2020</v>
      </c>
      <c r="C357" s="59" t="s">
        <v>95</v>
      </c>
      <c r="D357" s="59">
        <v>200</v>
      </c>
      <c r="E357" s="503" t="s">
        <v>110</v>
      </c>
      <c r="F357" s="29">
        <v>1</v>
      </c>
      <c r="G357" s="9">
        <v>1</v>
      </c>
      <c r="H357" s="9">
        <v>1</v>
      </c>
      <c r="I357" s="9">
        <v>2</v>
      </c>
      <c r="J357" s="43">
        <v>2</v>
      </c>
      <c r="K357" s="265">
        <f t="shared" si="5"/>
        <v>0.35859414261160716</v>
      </c>
      <c r="L357" s="164" t="s">
        <v>111</v>
      </c>
    </row>
    <row r="358" spans="1:12">
      <c r="A358" s="34" t="s">
        <v>109</v>
      </c>
      <c r="B358" s="344">
        <v>2020</v>
      </c>
      <c r="C358" s="59" t="s">
        <v>93</v>
      </c>
      <c r="D358" s="59">
        <v>80</v>
      </c>
      <c r="E358" s="503" t="s">
        <v>110</v>
      </c>
      <c r="F358" s="29">
        <v>1</v>
      </c>
      <c r="G358" s="9">
        <v>1</v>
      </c>
      <c r="H358" s="9">
        <v>1</v>
      </c>
      <c r="I358" s="9">
        <v>2</v>
      </c>
      <c r="J358" s="43">
        <v>2</v>
      </c>
      <c r="K358" s="265">
        <f t="shared" si="5"/>
        <v>0.35859414261160716</v>
      </c>
      <c r="L358" s="164" t="s">
        <v>111</v>
      </c>
    </row>
    <row r="359" spans="1:12">
      <c r="A359" s="34" t="s">
        <v>109</v>
      </c>
      <c r="B359" s="344">
        <v>2020</v>
      </c>
      <c r="C359" s="59" t="s">
        <v>98</v>
      </c>
      <c r="D359" s="59">
        <v>2520</v>
      </c>
      <c r="E359" s="503" t="s">
        <v>110</v>
      </c>
      <c r="F359" s="29">
        <v>1</v>
      </c>
      <c r="G359" s="9">
        <v>1</v>
      </c>
      <c r="H359" s="9">
        <v>1</v>
      </c>
      <c r="I359" s="9">
        <v>2</v>
      </c>
      <c r="J359" s="43">
        <v>2</v>
      </c>
      <c r="K359" s="265">
        <f t="shared" si="5"/>
        <v>0.35859414261160716</v>
      </c>
      <c r="L359" s="164" t="s">
        <v>111</v>
      </c>
    </row>
    <row r="360" spans="1:12">
      <c r="A360" s="34" t="s">
        <v>109</v>
      </c>
      <c r="B360" s="344">
        <v>2021</v>
      </c>
      <c r="C360" s="59" t="s">
        <v>85</v>
      </c>
      <c r="D360" s="59">
        <v>1559</v>
      </c>
      <c r="E360" s="503" t="s">
        <v>110</v>
      </c>
      <c r="F360" s="29">
        <v>1</v>
      </c>
      <c r="G360" s="9">
        <v>1</v>
      </c>
      <c r="H360" s="9">
        <v>1</v>
      </c>
      <c r="I360" s="9">
        <v>2</v>
      </c>
      <c r="J360" s="43">
        <v>2</v>
      </c>
      <c r="K360" s="265">
        <f t="shared" si="5"/>
        <v>0.35859414261160716</v>
      </c>
      <c r="L360" s="164" t="s">
        <v>111</v>
      </c>
    </row>
    <row r="361" spans="1:12">
      <c r="A361" s="34" t="s">
        <v>109</v>
      </c>
      <c r="B361" s="344">
        <v>2021</v>
      </c>
      <c r="C361" s="59" t="s">
        <v>86</v>
      </c>
      <c r="D361" s="59">
        <v>290</v>
      </c>
      <c r="E361" s="503" t="s">
        <v>110</v>
      </c>
      <c r="F361" s="29">
        <v>1</v>
      </c>
      <c r="G361" s="9">
        <v>1</v>
      </c>
      <c r="H361" s="9">
        <v>1</v>
      </c>
      <c r="I361" s="9">
        <v>2</v>
      </c>
      <c r="J361" s="43">
        <v>2</v>
      </c>
      <c r="K361" s="265">
        <f t="shared" si="5"/>
        <v>0.35859414261160716</v>
      </c>
      <c r="L361" s="164" t="s">
        <v>111</v>
      </c>
    </row>
    <row r="362" spans="1:12">
      <c r="A362" s="34" t="s">
        <v>109</v>
      </c>
      <c r="B362" s="344">
        <v>2021</v>
      </c>
      <c r="C362" s="59" t="s">
        <v>87</v>
      </c>
      <c r="D362" s="59">
        <v>852</v>
      </c>
      <c r="E362" s="503" t="s">
        <v>110</v>
      </c>
      <c r="F362" s="29">
        <v>1</v>
      </c>
      <c r="G362" s="9">
        <v>1</v>
      </c>
      <c r="H362" s="9">
        <v>1</v>
      </c>
      <c r="I362" s="9">
        <v>2</v>
      </c>
      <c r="J362" s="43">
        <v>2</v>
      </c>
      <c r="K362" s="265">
        <f t="shared" si="5"/>
        <v>0.35859414261160716</v>
      </c>
      <c r="L362" s="164" t="s">
        <v>111</v>
      </c>
    </row>
    <row r="363" spans="1:12">
      <c r="A363" s="34" t="s">
        <v>109</v>
      </c>
      <c r="B363" s="344">
        <v>2021</v>
      </c>
      <c r="C363" s="59" t="s">
        <v>88</v>
      </c>
      <c r="D363" s="59">
        <v>9</v>
      </c>
      <c r="E363" s="503" t="s">
        <v>110</v>
      </c>
      <c r="F363" s="29">
        <v>1</v>
      </c>
      <c r="G363" s="9">
        <v>1</v>
      </c>
      <c r="H363" s="9">
        <v>1</v>
      </c>
      <c r="I363" s="9">
        <v>2</v>
      </c>
      <c r="J363" s="43">
        <v>2</v>
      </c>
      <c r="K363" s="265">
        <f t="shared" si="5"/>
        <v>0.35859414261160716</v>
      </c>
      <c r="L363" s="164" t="s">
        <v>111</v>
      </c>
    </row>
    <row r="364" spans="1:12">
      <c r="A364" s="34" t="s">
        <v>109</v>
      </c>
      <c r="B364" s="344">
        <v>2021</v>
      </c>
      <c r="C364" s="59" t="s">
        <v>89</v>
      </c>
      <c r="D364" s="59">
        <v>231</v>
      </c>
      <c r="E364" s="503" t="s">
        <v>110</v>
      </c>
      <c r="F364" s="29">
        <v>1</v>
      </c>
      <c r="G364" s="9">
        <v>1</v>
      </c>
      <c r="H364" s="9">
        <v>1</v>
      </c>
      <c r="I364" s="9">
        <v>2</v>
      </c>
      <c r="J364" s="43">
        <v>2</v>
      </c>
      <c r="K364" s="265">
        <f t="shared" si="5"/>
        <v>0.35859414261160716</v>
      </c>
      <c r="L364" s="164" t="s">
        <v>111</v>
      </c>
    </row>
    <row r="365" spans="1:12">
      <c r="A365" s="34" t="s">
        <v>109</v>
      </c>
      <c r="B365" s="344">
        <v>2021</v>
      </c>
      <c r="C365" s="59" t="s">
        <v>90</v>
      </c>
      <c r="D365" s="59">
        <v>610</v>
      </c>
      <c r="E365" s="503" t="s">
        <v>110</v>
      </c>
      <c r="F365" s="29">
        <v>1</v>
      </c>
      <c r="G365" s="9">
        <v>1</v>
      </c>
      <c r="H365" s="9">
        <v>1</v>
      </c>
      <c r="I365" s="9">
        <v>2</v>
      </c>
      <c r="J365" s="43">
        <v>2</v>
      </c>
      <c r="K365" s="265">
        <f t="shared" si="5"/>
        <v>0.35859414261160716</v>
      </c>
      <c r="L365" s="164" t="s">
        <v>111</v>
      </c>
    </row>
    <row r="366" spans="1:12">
      <c r="A366" s="34" t="s">
        <v>109</v>
      </c>
      <c r="B366" s="344">
        <v>2021</v>
      </c>
      <c r="C366" s="59" t="s">
        <v>91</v>
      </c>
      <c r="D366" s="59">
        <v>576</v>
      </c>
      <c r="E366" s="503" t="s">
        <v>110</v>
      </c>
      <c r="F366" s="29">
        <v>1</v>
      </c>
      <c r="G366" s="9">
        <v>1</v>
      </c>
      <c r="H366" s="9">
        <v>1</v>
      </c>
      <c r="I366" s="9">
        <v>2</v>
      </c>
      <c r="J366" s="43">
        <v>2</v>
      </c>
      <c r="K366" s="265">
        <f t="shared" si="5"/>
        <v>0.35859414261160716</v>
      </c>
      <c r="L366" s="164" t="s">
        <v>111</v>
      </c>
    </row>
    <row r="367" spans="1:12">
      <c r="A367" s="34" t="s">
        <v>109</v>
      </c>
      <c r="B367" s="344">
        <v>2021</v>
      </c>
      <c r="C367" s="59" t="s">
        <v>94</v>
      </c>
      <c r="D367" s="59">
        <v>210</v>
      </c>
      <c r="E367" s="503" t="s">
        <v>110</v>
      </c>
      <c r="F367" s="29">
        <v>1</v>
      </c>
      <c r="G367" s="9">
        <v>1</v>
      </c>
      <c r="H367" s="9">
        <v>1</v>
      </c>
      <c r="I367" s="9">
        <v>2</v>
      </c>
      <c r="J367" s="43">
        <v>2</v>
      </c>
      <c r="K367" s="265">
        <f t="shared" si="5"/>
        <v>0.35859414261160716</v>
      </c>
      <c r="L367" s="164" t="s">
        <v>111</v>
      </c>
    </row>
    <row r="368" spans="1:12">
      <c r="A368" s="34" t="s">
        <v>109</v>
      </c>
      <c r="B368" s="344">
        <v>2021</v>
      </c>
      <c r="C368" s="59" t="s">
        <v>96</v>
      </c>
      <c r="D368" s="59">
        <v>477</v>
      </c>
      <c r="E368" s="503" t="s">
        <v>110</v>
      </c>
      <c r="F368" s="29">
        <v>1</v>
      </c>
      <c r="G368" s="9">
        <v>1</v>
      </c>
      <c r="H368" s="9">
        <v>1</v>
      </c>
      <c r="I368" s="9">
        <v>2</v>
      </c>
      <c r="J368" s="43">
        <v>2</v>
      </c>
      <c r="K368" s="265">
        <f t="shared" si="5"/>
        <v>0.35859414261160716</v>
      </c>
      <c r="L368" s="164" t="s">
        <v>111</v>
      </c>
    </row>
    <row r="369" spans="1:12">
      <c r="A369" s="34" t="s">
        <v>109</v>
      </c>
      <c r="B369" s="344">
        <v>2021</v>
      </c>
      <c r="C369" s="59" t="s">
        <v>97</v>
      </c>
      <c r="D369" s="59">
        <v>184</v>
      </c>
      <c r="E369" s="503" t="s">
        <v>110</v>
      </c>
      <c r="F369" s="29">
        <v>1</v>
      </c>
      <c r="G369" s="9">
        <v>1</v>
      </c>
      <c r="H369" s="9">
        <v>1</v>
      </c>
      <c r="I369" s="9">
        <v>2</v>
      </c>
      <c r="J369" s="43">
        <v>2</v>
      </c>
      <c r="K369" s="265">
        <f t="shared" si="5"/>
        <v>0.35859414261160716</v>
      </c>
      <c r="L369" s="164" t="s">
        <v>111</v>
      </c>
    </row>
    <row r="370" spans="1:12">
      <c r="A370" s="34" t="s">
        <v>109</v>
      </c>
      <c r="B370" s="344">
        <v>2021</v>
      </c>
      <c r="C370" s="59" t="s">
        <v>95</v>
      </c>
      <c r="D370" s="59">
        <v>200</v>
      </c>
      <c r="E370" s="503" t="s">
        <v>110</v>
      </c>
      <c r="F370" s="29">
        <v>1</v>
      </c>
      <c r="G370" s="9">
        <v>1</v>
      </c>
      <c r="H370" s="9">
        <v>1</v>
      </c>
      <c r="I370" s="9">
        <v>2</v>
      </c>
      <c r="J370" s="43">
        <v>2</v>
      </c>
      <c r="K370" s="265">
        <f t="shared" si="5"/>
        <v>0.35859414261160716</v>
      </c>
      <c r="L370" s="164" t="s">
        <v>111</v>
      </c>
    </row>
    <row r="371" spans="1:12">
      <c r="A371" s="34" t="s">
        <v>109</v>
      </c>
      <c r="B371" s="344">
        <v>2021</v>
      </c>
      <c r="C371" s="59" t="s">
        <v>93</v>
      </c>
      <c r="D371" s="59">
        <v>82</v>
      </c>
      <c r="E371" s="503" t="s">
        <v>110</v>
      </c>
      <c r="F371" s="29">
        <v>1</v>
      </c>
      <c r="G371" s="9">
        <v>1</v>
      </c>
      <c r="H371" s="9">
        <v>1</v>
      </c>
      <c r="I371" s="9">
        <v>2</v>
      </c>
      <c r="J371" s="43">
        <v>2</v>
      </c>
      <c r="K371" s="265">
        <f t="shared" si="5"/>
        <v>0.35859414261160716</v>
      </c>
      <c r="L371" s="164" t="s">
        <v>111</v>
      </c>
    </row>
    <row r="372" spans="1:12" ht="15.75" thickBot="1">
      <c r="A372" s="150" t="s">
        <v>109</v>
      </c>
      <c r="B372" s="659">
        <v>2021</v>
      </c>
      <c r="C372" s="821" t="s">
        <v>98</v>
      </c>
      <c r="D372" s="821">
        <v>2480</v>
      </c>
      <c r="E372" s="801" t="s">
        <v>110</v>
      </c>
      <c r="F372" s="155">
        <v>1</v>
      </c>
      <c r="G372" s="119">
        <v>1</v>
      </c>
      <c r="H372" s="119">
        <v>1</v>
      </c>
      <c r="I372" s="119">
        <v>2</v>
      </c>
      <c r="J372" s="156">
        <v>2</v>
      </c>
      <c r="K372" s="293">
        <f t="shared" si="5"/>
        <v>0.35859414261160716</v>
      </c>
      <c r="L372" s="818" t="s">
        <v>111</v>
      </c>
    </row>
    <row r="373" spans="1:12">
      <c r="A373" s="33" t="s">
        <v>112</v>
      </c>
      <c r="B373" s="39">
        <v>2017</v>
      </c>
      <c r="C373" s="33" t="s">
        <v>91</v>
      </c>
      <c r="D373" s="811">
        <v>30.108566666666665</v>
      </c>
      <c r="E373" s="151" t="s">
        <v>113</v>
      </c>
      <c r="F373" s="28">
        <v>1</v>
      </c>
      <c r="G373" s="11">
        <v>1</v>
      </c>
      <c r="H373" s="11">
        <v>2</v>
      </c>
      <c r="I373" s="11">
        <v>3</v>
      </c>
      <c r="J373" s="42">
        <v>2</v>
      </c>
      <c r="K373" s="264">
        <f t="shared" si="5"/>
        <v>0.48935255543384243</v>
      </c>
      <c r="L373" s="163"/>
    </row>
    <row r="374" spans="1:12">
      <c r="A374" s="34" t="s">
        <v>112</v>
      </c>
      <c r="B374" s="40">
        <v>2017</v>
      </c>
      <c r="C374" s="34" t="s">
        <v>86</v>
      </c>
      <c r="D374" s="812">
        <v>7.2763666666666662</v>
      </c>
      <c r="E374" s="152" t="s">
        <v>113</v>
      </c>
      <c r="F374" s="29">
        <v>1</v>
      </c>
      <c r="G374" s="9">
        <v>1</v>
      </c>
      <c r="H374" s="9">
        <v>2</v>
      </c>
      <c r="I374" s="9">
        <v>3</v>
      </c>
      <c r="J374" s="43">
        <v>2</v>
      </c>
      <c r="K374" s="265">
        <f t="shared" si="5"/>
        <v>0.48935255543384243</v>
      </c>
      <c r="L374" s="164"/>
    </row>
    <row r="375" spans="1:12">
      <c r="A375" s="34" t="s">
        <v>112</v>
      </c>
      <c r="B375" s="40">
        <v>2017</v>
      </c>
      <c r="C375" s="34" t="s">
        <v>95</v>
      </c>
      <c r="D375" s="812">
        <v>4.2913999999999994</v>
      </c>
      <c r="E375" s="152" t="s">
        <v>113</v>
      </c>
      <c r="F375" s="29">
        <v>1</v>
      </c>
      <c r="G375" s="9">
        <v>1</v>
      </c>
      <c r="H375" s="9">
        <v>2</v>
      </c>
      <c r="I375" s="9">
        <v>3</v>
      </c>
      <c r="J375" s="43">
        <v>2</v>
      </c>
      <c r="K375" s="265">
        <f t="shared" si="5"/>
        <v>0.48935255543384243</v>
      </c>
      <c r="L375" s="164"/>
    </row>
    <row r="376" spans="1:12">
      <c r="A376" s="34" t="s">
        <v>112</v>
      </c>
      <c r="B376" s="40">
        <v>2017</v>
      </c>
      <c r="C376" s="34" t="s">
        <v>87</v>
      </c>
      <c r="D376" s="812">
        <v>4.2263666666666664</v>
      </c>
      <c r="E376" s="152" t="s">
        <v>113</v>
      </c>
      <c r="F376" s="29">
        <v>1</v>
      </c>
      <c r="G376" s="9">
        <v>1</v>
      </c>
      <c r="H376" s="9">
        <v>2</v>
      </c>
      <c r="I376" s="9">
        <v>3</v>
      </c>
      <c r="J376" s="43">
        <v>2</v>
      </c>
      <c r="K376" s="265">
        <f t="shared" si="5"/>
        <v>0.48935255543384243</v>
      </c>
      <c r="L376" s="164"/>
    </row>
    <row r="377" spans="1:12" ht="15.75" thickBot="1">
      <c r="A377" s="35" t="s">
        <v>112</v>
      </c>
      <c r="B377" s="41">
        <v>2017</v>
      </c>
      <c r="C377" s="35" t="s">
        <v>99</v>
      </c>
      <c r="D377" s="815">
        <v>2.6073</v>
      </c>
      <c r="E377" s="153" t="s">
        <v>113</v>
      </c>
      <c r="F377" s="30">
        <v>1</v>
      </c>
      <c r="G377" s="12">
        <v>1</v>
      </c>
      <c r="H377" s="12">
        <v>2</v>
      </c>
      <c r="I377" s="12">
        <v>3</v>
      </c>
      <c r="J377" s="44">
        <v>2</v>
      </c>
      <c r="K377" s="266">
        <f t="shared" si="5"/>
        <v>0.48935255543384243</v>
      </c>
      <c r="L377" s="165"/>
    </row>
    <row r="378" spans="1:12">
      <c r="A378" s="60" t="s">
        <v>114</v>
      </c>
      <c r="B378" s="823">
        <v>1995</v>
      </c>
      <c r="C378" s="824" t="s">
        <v>85</v>
      </c>
      <c r="D378" s="824">
        <v>415</v>
      </c>
      <c r="E378" s="807" t="s">
        <v>110</v>
      </c>
      <c r="F378" s="676">
        <v>1</v>
      </c>
      <c r="G378" s="118">
        <v>1</v>
      </c>
      <c r="H378" s="118">
        <v>1</v>
      </c>
      <c r="I378" s="118">
        <v>2</v>
      </c>
      <c r="J378" s="677">
        <v>2</v>
      </c>
      <c r="K378" s="588">
        <f t="shared" si="5"/>
        <v>0.35859414261160716</v>
      </c>
      <c r="L378" s="669" t="s">
        <v>111</v>
      </c>
    </row>
    <row r="379" spans="1:12">
      <c r="A379" s="34" t="s">
        <v>114</v>
      </c>
      <c r="B379" s="344">
        <v>1995</v>
      </c>
      <c r="C379" s="59" t="s">
        <v>86</v>
      </c>
      <c r="D379" s="59">
        <v>130</v>
      </c>
      <c r="E379" s="503" t="s">
        <v>110</v>
      </c>
      <c r="F379" s="29">
        <v>1</v>
      </c>
      <c r="G379" s="9">
        <v>1</v>
      </c>
      <c r="H379" s="9">
        <v>1</v>
      </c>
      <c r="I379" s="9">
        <v>2</v>
      </c>
      <c r="J379" s="43">
        <v>2</v>
      </c>
      <c r="K379" s="265">
        <f t="shared" si="5"/>
        <v>0.35859414261160716</v>
      </c>
      <c r="L379" s="164" t="s">
        <v>111</v>
      </c>
    </row>
    <row r="380" spans="1:12">
      <c r="A380" s="34" t="s">
        <v>114</v>
      </c>
      <c r="B380" s="344">
        <v>1995</v>
      </c>
      <c r="C380" s="59" t="s">
        <v>87</v>
      </c>
      <c r="D380" s="59">
        <v>145</v>
      </c>
      <c r="E380" s="503" t="s">
        <v>110</v>
      </c>
      <c r="F380" s="29">
        <v>1</v>
      </c>
      <c r="G380" s="9">
        <v>1</v>
      </c>
      <c r="H380" s="9">
        <v>1</v>
      </c>
      <c r="I380" s="9">
        <v>2</v>
      </c>
      <c r="J380" s="43">
        <v>2</v>
      </c>
      <c r="K380" s="265">
        <f t="shared" si="5"/>
        <v>0.35859414261160716</v>
      </c>
      <c r="L380" s="164" t="s">
        <v>111</v>
      </c>
    </row>
    <row r="381" spans="1:12">
      <c r="A381" s="34" t="s">
        <v>114</v>
      </c>
      <c r="B381" s="344">
        <v>1995</v>
      </c>
      <c r="C381" s="59" t="s">
        <v>88</v>
      </c>
      <c r="D381" s="59">
        <v>103</v>
      </c>
      <c r="E381" s="503" t="s">
        <v>110</v>
      </c>
      <c r="F381" s="29">
        <v>1</v>
      </c>
      <c r="G381" s="9">
        <v>1</v>
      </c>
      <c r="H381" s="9">
        <v>1</v>
      </c>
      <c r="I381" s="9">
        <v>2</v>
      </c>
      <c r="J381" s="43">
        <v>2</v>
      </c>
      <c r="K381" s="265">
        <f t="shared" ref="K381:K444" si="6">IF( OR( ISBLANK(F381),ISBLANK(G381), ISBLANK(H381), ISBLANK(I381), ISBLANK(J381) ), "", 1.5*SQRT(   EXP(2.21*(F381-1)) + EXP(2.21*(G381-1)) + EXP(2.21*(H381-1)) + EXP(2.21*(I381-1)) + EXP(2.21*J381)   )/100*2.45 )</f>
        <v>0.35859414261160716</v>
      </c>
      <c r="L381" s="164" t="s">
        <v>111</v>
      </c>
    </row>
    <row r="382" spans="1:12">
      <c r="A382" s="34" t="s">
        <v>114</v>
      </c>
      <c r="B382" s="344">
        <v>1995</v>
      </c>
      <c r="C382" s="59" t="s">
        <v>89</v>
      </c>
      <c r="D382" s="59">
        <v>29</v>
      </c>
      <c r="E382" s="503" t="s">
        <v>110</v>
      </c>
      <c r="F382" s="29">
        <v>1</v>
      </c>
      <c r="G382" s="9">
        <v>1</v>
      </c>
      <c r="H382" s="9">
        <v>1</v>
      </c>
      <c r="I382" s="9">
        <v>2</v>
      </c>
      <c r="J382" s="43">
        <v>2</v>
      </c>
      <c r="K382" s="265">
        <f t="shared" si="6"/>
        <v>0.35859414261160716</v>
      </c>
      <c r="L382" s="164" t="s">
        <v>111</v>
      </c>
    </row>
    <row r="383" spans="1:12">
      <c r="A383" s="34" t="s">
        <v>114</v>
      </c>
      <c r="B383" s="344">
        <v>1995</v>
      </c>
      <c r="C383" s="59" t="s">
        <v>90</v>
      </c>
      <c r="D383" s="59">
        <v>213</v>
      </c>
      <c r="E383" s="503" t="s">
        <v>110</v>
      </c>
      <c r="F383" s="29">
        <v>1</v>
      </c>
      <c r="G383" s="9">
        <v>1</v>
      </c>
      <c r="H383" s="9">
        <v>1</v>
      </c>
      <c r="I383" s="9">
        <v>2</v>
      </c>
      <c r="J383" s="43">
        <v>2</v>
      </c>
      <c r="K383" s="265">
        <f t="shared" si="6"/>
        <v>0.35859414261160716</v>
      </c>
      <c r="L383" s="164" t="s">
        <v>111</v>
      </c>
    </row>
    <row r="384" spans="1:12">
      <c r="A384" s="34" t="s">
        <v>114</v>
      </c>
      <c r="B384" s="344">
        <v>1995</v>
      </c>
      <c r="C384" s="59" t="s">
        <v>91</v>
      </c>
      <c r="D384" s="59">
        <v>0</v>
      </c>
      <c r="E384" s="503" t="s">
        <v>110</v>
      </c>
      <c r="F384" s="29">
        <v>1</v>
      </c>
      <c r="G384" s="9">
        <v>1</v>
      </c>
      <c r="H384" s="9">
        <v>1</v>
      </c>
      <c r="I384" s="9">
        <v>2</v>
      </c>
      <c r="J384" s="43">
        <v>2</v>
      </c>
      <c r="K384" s="265">
        <f t="shared" si="6"/>
        <v>0.35859414261160716</v>
      </c>
      <c r="L384" s="164" t="s">
        <v>111</v>
      </c>
    </row>
    <row r="385" spans="1:12">
      <c r="A385" s="34" t="s">
        <v>114</v>
      </c>
      <c r="B385" s="344">
        <v>1995</v>
      </c>
      <c r="C385" s="59" t="s">
        <v>94</v>
      </c>
      <c r="D385" s="59">
        <v>17</v>
      </c>
      <c r="E385" s="503" t="s">
        <v>110</v>
      </c>
      <c r="F385" s="29">
        <v>1</v>
      </c>
      <c r="G385" s="9">
        <v>1</v>
      </c>
      <c r="H385" s="9">
        <v>1</v>
      </c>
      <c r="I385" s="9">
        <v>2</v>
      </c>
      <c r="J385" s="43">
        <v>2</v>
      </c>
      <c r="K385" s="265">
        <f t="shared" si="6"/>
        <v>0.35859414261160716</v>
      </c>
      <c r="L385" s="164" t="s">
        <v>111</v>
      </c>
    </row>
    <row r="386" spans="1:12">
      <c r="A386" s="34" t="s">
        <v>114</v>
      </c>
      <c r="B386" s="344">
        <v>1995</v>
      </c>
      <c r="C386" s="59" t="s">
        <v>96</v>
      </c>
      <c r="D386" s="59">
        <v>38</v>
      </c>
      <c r="E386" s="503" t="s">
        <v>110</v>
      </c>
      <c r="F386" s="29">
        <v>1</v>
      </c>
      <c r="G386" s="9">
        <v>1</v>
      </c>
      <c r="H386" s="9">
        <v>1</v>
      </c>
      <c r="I386" s="9">
        <v>2</v>
      </c>
      <c r="J386" s="43">
        <v>2</v>
      </c>
      <c r="K386" s="265">
        <f t="shared" si="6"/>
        <v>0.35859414261160716</v>
      </c>
      <c r="L386" s="164" t="s">
        <v>111</v>
      </c>
    </row>
    <row r="387" spans="1:12">
      <c r="A387" s="34" t="s">
        <v>114</v>
      </c>
      <c r="B387" s="344">
        <v>1995</v>
      </c>
      <c r="C387" s="59" t="s">
        <v>97</v>
      </c>
      <c r="D387" s="59">
        <v>84</v>
      </c>
      <c r="E387" s="503" t="s">
        <v>110</v>
      </c>
      <c r="F387" s="29">
        <v>1</v>
      </c>
      <c r="G387" s="9">
        <v>1</v>
      </c>
      <c r="H387" s="9">
        <v>1</v>
      </c>
      <c r="I387" s="9">
        <v>2</v>
      </c>
      <c r="J387" s="43">
        <v>2</v>
      </c>
      <c r="K387" s="265">
        <f t="shared" si="6"/>
        <v>0.35859414261160716</v>
      </c>
      <c r="L387" s="164" t="s">
        <v>111</v>
      </c>
    </row>
    <row r="388" spans="1:12">
      <c r="A388" s="34" t="s">
        <v>114</v>
      </c>
      <c r="B388" s="344">
        <v>1995</v>
      </c>
      <c r="C388" s="59" t="s">
        <v>95</v>
      </c>
      <c r="D388" s="59">
        <v>142</v>
      </c>
      <c r="E388" s="503" t="s">
        <v>110</v>
      </c>
      <c r="F388" s="29">
        <v>1</v>
      </c>
      <c r="G388" s="9">
        <v>1</v>
      </c>
      <c r="H388" s="9">
        <v>1</v>
      </c>
      <c r="I388" s="9">
        <v>2</v>
      </c>
      <c r="J388" s="43">
        <v>2</v>
      </c>
      <c r="K388" s="265">
        <f t="shared" si="6"/>
        <v>0.35859414261160716</v>
      </c>
      <c r="L388" s="164" t="s">
        <v>111</v>
      </c>
    </row>
    <row r="389" spans="1:12">
      <c r="A389" s="34" t="s">
        <v>114</v>
      </c>
      <c r="B389" s="344">
        <v>1995</v>
      </c>
      <c r="C389" s="59" t="s">
        <v>93</v>
      </c>
      <c r="D389" s="59">
        <v>19</v>
      </c>
      <c r="E389" s="503" t="s">
        <v>110</v>
      </c>
      <c r="F389" s="29">
        <v>1</v>
      </c>
      <c r="G389" s="9">
        <v>1</v>
      </c>
      <c r="H389" s="9">
        <v>1</v>
      </c>
      <c r="I389" s="9">
        <v>2</v>
      </c>
      <c r="J389" s="43">
        <v>2</v>
      </c>
      <c r="K389" s="265">
        <f t="shared" si="6"/>
        <v>0.35859414261160716</v>
      </c>
      <c r="L389" s="164" t="s">
        <v>111</v>
      </c>
    </row>
    <row r="390" spans="1:12">
      <c r="A390" s="34" t="s">
        <v>114</v>
      </c>
      <c r="B390" s="344">
        <v>1995</v>
      </c>
      <c r="C390" s="59" t="s">
        <v>98</v>
      </c>
      <c r="D390" s="59">
        <v>540</v>
      </c>
      <c r="E390" s="503" t="s">
        <v>110</v>
      </c>
      <c r="F390" s="29">
        <v>1</v>
      </c>
      <c r="G390" s="9">
        <v>1</v>
      </c>
      <c r="H390" s="9">
        <v>1</v>
      </c>
      <c r="I390" s="9">
        <v>2</v>
      </c>
      <c r="J390" s="43">
        <v>2</v>
      </c>
      <c r="K390" s="265">
        <f t="shared" si="6"/>
        <v>0.35859414261160716</v>
      </c>
      <c r="L390" s="164" t="s">
        <v>111</v>
      </c>
    </row>
    <row r="391" spans="1:12">
      <c r="A391" s="34" t="s">
        <v>114</v>
      </c>
      <c r="B391" s="344">
        <v>1996</v>
      </c>
      <c r="C391" s="59" t="s">
        <v>85</v>
      </c>
      <c r="D391" s="59">
        <v>368</v>
      </c>
      <c r="E391" s="503" t="s">
        <v>110</v>
      </c>
      <c r="F391" s="29">
        <v>1</v>
      </c>
      <c r="G391" s="9">
        <v>1</v>
      </c>
      <c r="H391" s="9">
        <v>1</v>
      </c>
      <c r="I391" s="9">
        <v>2</v>
      </c>
      <c r="J391" s="43">
        <v>2</v>
      </c>
      <c r="K391" s="265">
        <f t="shared" si="6"/>
        <v>0.35859414261160716</v>
      </c>
      <c r="L391" s="164" t="s">
        <v>111</v>
      </c>
    </row>
    <row r="392" spans="1:12">
      <c r="A392" s="34" t="s">
        <v>114</v>
      </c>
      <c r="B392" s="344">
        <v>1996</v>
      </c>
      <c r="C392" s="59" t="s">
        <v>86</v>
      </c>
      <c r="D392" s="59">
        <v>134</v>
      </c>
      <c r="E392" s="503" t="s">
        <v>110</v>
      </c>
      <c r="F392" s="29">
        <v>1</v>
      </c>
      <c r="G392" s="9">
        <v>1</v>
      </c>
      <c r="H392" s="9">
        <v>1</v>
      </c>
      <c r="I392" s="9">
        <v>2</v>
      </c>
      <c r="J392" s="43">
        <v>2</v>
      </c>
      <c r="K392" s="265">
        <f t="shared" si="6"/>
        <v>0.35859414261160716</v>
      </c>
      <c r="L392" s="164" t="s">
        <v>111</v>
      </c>
    </row>
    <row r="393" spans="1:12">
      <c r="A393" s="34" t="s">
        <v>114</v>
      </c>
      <c r="B393" s="344">
        <v>1996</v>
      </c>
      <c r="C393" s="59" t="s">
        <v>87</v>
      </c>
      <c r="D393" s="59">
        <v>168</v>
      </c>
      <c r="E393" s="503" t="s">
        <v>110</v>
      </c>
      <c r="F393" s="29">
        <v>1</v>
      </c>
      <c r="G393" s="9">
        <v>1</v>
      </c>
      <c r="H393" s="9">
        <v>1</v>
      </c>
      <c r="I393" s="9">
        <v>2</v>
      </c>
      <c r="J393" s="43">
        <v>2</v>
      </c>
      <c r="K393" s="265">
        <f t="shared" si="6"/>
        <v>0.35859414261160716</v>
      </c>
      <c r="L393" s="164" t="s">
        <v>111</v>
      </c>
    </row>
    <row r="394" spans="1:12">
      <c r="A394" s="34" t="s">
        <v>114</v>
      </c>
      <c r="B394" s="344">
        <v>1996</v>
      </c>
      <c r="C394" s="59" t="s">
        <v>88</v>
      </c>
      <c r="D394" s="59">
        <v>113</v>
      </c>
      <c r="E394" s="503" t="s">
        <v>110</v>
      </c>
      <c r="F394" s="29">
        <v>1</v>
      </c>
      <c r="G394" s="9">
        <v>1</v>
      </c>
      <c r="H394" s="9">
        <v>1</v>
      </c>
      <c r="I394" s="9">
        <v>2</v>
      </c>
      <c r="J394" s="43">
        <v>2</v>
      </c>
      <c r="K394" s="265">
        <f t="shared" si="6"/>
        <v>0.35859414261160716</v>
      </c>
      <c r="L394" s="164" t="s">
        <v>111</v>
      </c>
    </row>
    <row r="395" spans="1:12">
      <c r="A395" s="34" t="s">
        <v>114</v>
      </c>
      <c r="B395" s="344">
        <v>1996</v>
      </c>
      <c r="C395" s="59" t="s">
        <v>89</v>
      </c>
      <c r="D395" s="59">
        <v>45</v>
      </c>
      <c r="E395" s="503" t="s">
        <v>110</v>
      </c>
      <c r="F395" s="29">
        <v>1</v>
      </c>
      <c r="G395" s="9">
        <v>1</v>
      </c>
      <c r="H395" s="9">
        <v>1</v>
      </c>
      <c r="I395" s="9">
        <v>2</v>
      </c>
      <c r="J395" s="43">
        <v>2</v>
      </c>
      <c r="K395" s="265">
        <f t="shared" si="6"/>
        <v>0.35859414261160716</v>
      </c>
      <c r="L395" s="164" t="s">
        <v>111</v>
      </c>
    </row>
    <row r="396" spans="1:12">
      <c r="A396" s="34" t="s">
        <v>114</v>
      </c>
      <c r="B396" s="344">
        <v>1996</v>
      </c>
      <c r="C396" s="59" t="s">
        <v>90</v>
      </c>
      <c r="D396" s="59">
        <v>287</v>
      </c>
      <c r="E396" s="503" t="s">
        <v>110</v>
      </c>
      <c r="F396" s="29">
        <v>1</v>
      </c>
      <c r="G396" s="9">
        <v>1</v>
      </c>
      <c r="H396" s="9">
        <v>1</v>
      </c>
      <c r="I396" s="9">
        <v>2</v>
      </c>
      <c r="J396" s="43">
        <v>2</v>
      </c>
      <c r="K396" s="265">
        <f t="shared" si="6"/>
        <v>0.35859414261160716</v>
      </c>
      <c r="L396" s="164" t="s">
        <v>111</v>
      </c>
    </row>
    <row r="397" spans="1:12">
      <c r="A397" s="34" t="s">
        <v>114</v>
      </c>
      <c r="B397" s="344">
        <v>1996</v>
      </c>
      <c r="C397" s="59" t="s">
        <v>91</v>
      </c>
      <c r="D397" s="59">
        <v>0</v>
      </c>
      <c r="E397" s="503" t="s">
        <v>110</v>
      </c>
      <c r="F397" s="29">
        <v>1</v>
      </c>
      <c r="G397" s="9">
        <v>1</v>
      </c>
      <c r="H397" s="9">
        <v>1</v>
      </c>
      <c r="I397" s="9">
        <v>2</v>
      </c>
      <c r="J397" s="43">
        <v>2</v>
      </c>
      <c r="K397" s="265">
        <f t="shared" si="6"/>
        <v>0.35859414261160716</v>
      </c>
      <c r="L397" s="164" t="s">
        <v>111</v>
      </c>
    </row>
    <row r="398" spans="1:12">
      <c r="A398" s="34" t="s">
        <v>114</v>
      </c>
      <c r="B398" s="344">
        <v>1996</v>
      </c>
      <c r="C398" s="59" t="s">
        <v>94</v>
      </c>
      <c r="D398" s="59">
        <v>17</v>
      </c>
      <c r="E398" s="503" t="s">
        <v>110</v>
      </c>
      <c r="F398" s="29">
        <v>1</v>
      </c>
      <c r="G398" s="9">
        <v>1</v>
      </c>
      <c r="H398" s="9">
        <v>1</v>
      </c>
      <c r="I398" s="9">
        <v>2</v>
      </c>
      <c r="J398" s="43">
        <v>2</v>
      </c>
      <c r="K398" s="265">
        <f t="shared" si="6"/>
        <v>0.35859414261160716</v>
      </c>
      <c r="L398" s="164" t="s">
        <v>111</v>
      </c>
    </row>
    <row r="399" spans="1:12">
      <c r="A399" s="34" t="s">
        <v>114</v>
      </c>
      <c r="B399" s="344">
        <v>1996</v>
      </c>
      <c r="C399" s="59" t="s">
        <v>96</v>
      </c>
      <c r="D399" s="59">
        <v>47</v>
      </c>
      <c r="E399" s="503" t="s">
        <v>110</v>
      </c>
      <c r="F399" s="29">
        <v>1</v>
      </c>
      <c r="G399" s="9">
        <v>1</v>
      </c>
      <c r="H399" s="9">
        <v>1</v>
      </c>
      <c r="I399" s="9">
        <v>2</v>
      </c>
      <c r="J399" s="43">
        <v>2</v>
      </c>
      <c r="K399" s="265">
        <f t="shared" si="6"/>
        <v>0.35859414261160716</v>
      </c>
      <c r="L399" s="164" t="s">
        <v>111</v>
      </c>
    </row>
    <row r="400" spans="1:12">
      <c r="A400" s="34" t="s">
        <v>114</v>
      </c>
      <c r="B400" s="344">
        <v>1996</v>
      </c>
      <c r="C400" s="59" t="s">
        <v>97</v>
      </c>
      <c r="D400" s="59">
        <v>86</v>
      </c>
      <c r="E400" s="503" t="s">
        <v>110</v>
      </c>
      <c r="F400" s="29">
        <v>1</v>
      </c>
      <c r="G400" s="9">
        <v>1</v>
      </c>
      <c r="H400" s="9">
        <v>1</v>
      </c>
      <c r="I400" s="9">
        <v>2</v>
      </c>
      <c r="J400" s="43">
        <v>2</v>
      </c>
      <c r="K400" s="265">
        <f t="shared" si="6"/>
        <v>0.35859414261160716</v>
      </c>
      <c r="L400" s="164" t="s">
        <v>111</v>
      </c>
    </row>
    <row r="401" spans="1:12">
      <c r="A401" s="34" t="s">
        <v>114</v>
      </c>
      <c r="B401" s="344">
        <v>1996</v>
      </c>
      <c r="C401" s="59" t="s">
        <v>95</v>
      </c>
      <c r="D401" s="59">
        <v>138</v>
      </c>
      <c r="E401" s="503" t="s">
        <v>110</v>
      </c>
      <c r="F401" s="29">
        <v>1</v>
      </c>
      <c r="G401" s="9">
        <v>1</v>
      </c>
      <c r="H401" s="9">
        <v>1</v>
      </c>
      <c r="I401" s="9">
        <v>2</v>
      </c>
      <c r="J401" s="43">
        <v>2</v>
      </c>
      <c r="K401" s="265">
        <f t="shared" si="6"/>
        <v>0.35859414261160716</v>
      </c>
      <c r="L401" s="164" t="s">
        <v>111</v>
      </c>
    </row>
    <row r="402" spans="1:12">
      <c r="A402" s="34" t="s">
        <v>114</v>
      </c>
      <c r="B402" s="344">
        <v>1996</v>
      </c>
      <c r="C402" s="59" t="s">
        <v>93</v>
      </c>
      <c r="D402" s="59">
        <v>20</v>
      </c>
      <c r="E402" s="503" t="s">
        <v>110</v>
      </c>
      <c r="F402" s="29">
        <v>1</v>
      </c>
      <c r="G402" s="9">
        <v>1</v>
      </c>
      <c r="H402" s="9">
        <v>1</v>
      </c>
      <c r="I402" s="9">
        <v>2</v>
      </c>
      <c r="J402" s="43">
        <v>2</v>
      </c>
      <c r="K402" s="265">
        <f t="shared" si="6"/>
        <v>0.35859414261160716</v>
      </c>
      <c r="L402" s="164" t="s">
        <v>111</v>
      </c>
    </row>
    <row r="403" spans="1:12">
      <c r="A403" s="34" t="s">
        <v>114</v>
      </c>
      <c r="B403" s="344">
        <v>1996</v>
      </c>
      <c r="C403" s="59" t="s">
        <v>98</v>
      </c>
      <c r="D403" s="59">
        <v>502</v>
      </c>
      <c r="E403" s="503" t="s">
        <v>110</v>
      </c>
      <c r="F403" s="29">
        <v>1</v>
      </c>
      <c r="G403" s="9">
        <v>1</v>
      </c>
      <c r="H403" s="9">
        <v>1</v>
      </c>
      <c r="I403" s="9">
        <v>2</v>
      </c>
      <c r="J403" s="43">
        <v>2</v>
      </c>
      <c r="K403" s="265">
        <f t="shared" si="6"/>
        <v>0.35859414261160716</v>
      </c>
      <c r="L403" s="164" t="s">
        <v>111</v>
      </c>
    </row>
    <row r="404" spans="1:12">
      <c r="A404" s="34" t="s">
        <v>114</v>
      </c>
      <c r="B404" s="344">
        <v>1997</v>
      </c>
      <c r="C404" s="59" t="s">
        <v>85</v>
      </c>
      <c r="D404" s="59">
        <v>405</v>
      </c>
      <c r="E404" s="503" t="s">
        <v>110</v>
      </c>
      <c r="F404" s="29">
        <v>1</v>
      </c>
      <c r="G404" s="9">
        <v>1</v>
      </c>
      <c r="H404" s="9">
        <v>1</v>
      </c>
      <c r="I404" s="9">
        <v>2</v>
      </c>
      <c r="J404" s="43">
        <v>2</v>
      </c>
      <c r="K404" s="265">
        <f t="shared" si="6"/>
        <v>0.35859414261160716</v>
      </c>
      <c r="L404" s="164" t="s">
        <v>111</v>
      </c>
    </row>
    <row r="405" spans="1:12">
      <c r="A405" s="34" t="s">
        <v>114</v>
      </c>
      <c r="B405" s="344">
        <v>1997</v>
      </c>
      <c r="C405" s="59" t="s">
        <v>86</v>
      </c>
      <c r="D405" s="59">
        <v>148</v>
      </c>
      <c r="E405" s="503" t="s">
        <v>110</v>
      </c>
      <c r="F405" s="29">
        <v>1</v>
      </c>
      <c r="G405" s="9">
        <v>1</v>
      </c>
      <c r="H405" s="9">
        <v>1</v>
      </c>
      <c r="I405" s="9">
        <v>2</v>
      </c>
      <c r="J405" s="43">
        <v>2</v>
      </c>
      <c r="K405" s="265">
        <f t="shared" si="6"/>
        <v>0.35859414261160716</v>
      </c>
      <c r="L405" s="164" t="s">
        <v>111</v>
      </c>
    </row>
    <row r="406" spans="1:12">
      <c r="A406" s="34" t="s">
        <v>114</v>
      </c>
      <c r="B406" s="344">
        <v>1997</v>
      </c>
      <c r="C406" s="59" t="s">
        <v>87</v>
      </c>
      <c r="D406" s="59">
        <v>199</v>
      </c>
      <c r="E406" s="503" t="s">
        <v>110</v>
      </c>
      <c r="F406" s="29">
        <v>1</v>
      </c>
      <c r="G406" s="9">
        <v>1</v>
      </c>
      <c r="H406" s="9">
        <v>1</v>
      </c>
      <c r="I406" s="9">
        <v>2</v>
      </c>
      <c r="J406" s="43">
        <v>2</v>
      </c>
      <c r="K406" s="265">
        <f t="shared" si="6"/>
        <v>0.35859414261160716</v>
      </c>
      <c r="L406" s="164" t="s">
        <v>111</v>
      </c>
    </row>
    <row r="407" spans="1:12">
      <c r="A407" s="34" t="s">
        <v>114</v>
      </c>
      <c r="B407" s="344">
        <v>1997</v>
      </c>
      <c r="C407" s="59" t="s">
        <v>88</v>
      </c>
      <c r="D407" s="59">
        <v>77</v>
      </c>
      <c r="E407" s="503" t="s">
        <v>110</v>
      </c>
      <c r="F407" s="29">
        <v>1</v>
      </c>
      <c r="G407" s="9">
        <v>1</v>
      </c>
      <c r="H407" s="9">
        <v>1</v>
      </c>
      <c r="I407" s="9">
        <v>2</v>
      </c>
      <c r="J407" s="43">
        <v>2</v>
      </c>
      <c r="K407" s="265">
        <f t="shared" si="6"/>
        <v>0.35859414261160716</v>
      </c>
      <c r="L407" s="164" t="s">
        <v>111</v>
      </c>
    </row>
    <row r="408" spans="1:12">
      <c r="A408" s="34" t="s">
        <v>114</v>
      </c>
      <c r="B408" s="344">
        <v>1997</v>
      </c>
      <c r="C408" s="59" t="s">
        <v>89</v>
      </c>
      <c r="D408" s="59">
        <v>43</v>
      </c>
      <c r="E408" s="503" t="s">
        <v>110</v>
      </c>
      <c r="F408" s="29">
        <v>1</v>
      </c>
      <c r="G408" s="9">
        <v>1</v>
      </c>
      <c r="H408" s="9">
        <v>1</v>
      </c>
      <c r="I408" s="9">
        <v>2</v>
      </c>
      <c r="J408" s="43">
        <v>2</v>
      </c>
      <c r="K408" s="265">
        <f t="shared" si="6"/>
        <v>0.35859414261160716</v>
      </c>
      <c r="L408" s="164" t="s">
        <v>111</v>
      </c>
    </row>
    <row r="409" spans="1:12">
      <c r="A409" s="34" t="s">
        <v>114</v>
      </c>
      <c r="B409" s="344">
        <v>1997</v>
      </c>
      <c r="C409" s="59" t="s">
        <v>90</v>
      </c>
      <c r="D409" s="59">
        <v>210</v>
      </c>
      <c r="E409" s="503" t="s">
        <v>110</v>
      </c>
      <c r="F409" s="29">
        <v>1</v>
      </c>
      <c r="G409" s="9">
        <v>1</v>
      </c>
      <c r="H409" s="9">
        <v>1</v>
      </c>
      <c r="I409" s="9">
        <v>2</v>
      </c>
      <c r="J409" s="43">
        <v>2</v>
      </c>
      <c r="K409" s="265">
        <f t="shared" si="6"/>
        <v>0.35859414261160716</v>
      </c>
      <c r="L409" s="164" t="s">
        <v>111</v>
      </c>
    </row>
    <row r="410" spans="1:12">
      <c r="A410" s="34" t="s">
        <v>114</v>
      </c>
      <c r="B410" s="344">
        <v>1997</v>
      </c>
      <c r="C410" s="59" t="s">
        <v>91</v>
      </c>
      <c r="D410" s="59">
        <v>0</v>
      </c>
      <c r="E410" s="503" t="s">
        <v>110</v>
      </c>
      <c r="F410" s="29">
        <v>1</v>
      </c>
      <c r="G410" s="9">
        <v>1</v>
      </c>
      <c r="H410" s="9">
        <v>1</v>
      </c>
      <c r="I410" s="9">
        <v>2</v>
      </c>
      <c r="J410" s="43">
        <v>2</v>
      </c>
      <c r="K410" s="265">
        <f t="shared" si="6"/>
        <v>0.35859414261160716</v>
      </c>
      <c r="L410" s="164" t="s">
        <v>111</v>
      </c>
    </row>
    <row r="411" spans="1:12">
      <c r="A411" s="34" t="s">
        <v>114</v>
      </c>
      <c r="B411" s="344">
        <v>1997</v>
      </c>
      <c r="C411" s="59" t="s">
        <v>94</v>
      </c>
      <c r="D411" s="59">
        <v>28</v>
      </c>
      <c r="E411" s="503" t="s">
        <v>110</v>
      </c>
      <c r="F411" s="29">
        <v>1</v>
      </c>
      <c r="G411" s="9">
        <v>1</v>
      </c>
      <c r="H411" s="9">
        <v>1</v>
      </c>
      <c r="I411" s="9">
        <v>2</v>
      </c>
      <c r="J411" s="43">
        <v>2</v>
      </c>
      <c r="K411" s="265">
        <f t="shared" si="6"/>
        <v>0.35859414261160716</v>
      </c>
      <c r="L411" s="164" t="s">
        <v>111</v>
      </c>
    </row>
    <row r="412" spans="1:12">
      <c r="A412" s="34" t="s">
        <v>114</v>
      </c>
      <c r="B412" s="344">
        <v>1997</v>
      </c>
      <c r="C412" s="59" t="s">
        <v>96</v>
      </c>
      <c r="D412" s="59">
        <v>47</v>
      </c>
      <c r="E412" s="503" t="s">
        <v>110</v>
      </c>
      <c r="F412" s="29">
        <v>1</v>
      </c>
      <c r="G412" s="9">
        <v>1</v>
      </c>
      <c r="H412" s="9">
        <v>1</v>
      </c>
      <c r="I412" s="9">
        <v>2</v>
      </c>
      <c r="J412" s="43">
        <v>2</v>
      </c>
      <c r="K412" s="265">
        <f t="shared" si="6"/>
        <v>0.35859414261160716</v>
      </c>
      <c r="L412" s="164" t="s">
        <v>111</v>
      </c>
    </row>
    <row r="413" spans="1:12">
      <c r="A413" s="34" t="s">
        <v>114</v>
      </c>
      <c r="B413" s="344">
        <v>1997</v>
      </c>
      <c r="C413" s="59" t="s">
        <v>97</v>
      </c>
      <c r="D413" s="59">
        <v>104</v>
      </c>
      <c r="E413" s="503" t="s">
        <v>110</v>
      </c>
      <c r="F413" s="29">
        <v>1</v>
      </c>
      <c r="G413" s="9">
        <v>1</v>
      </c>
      <c r="H413" s="9">
        <v>1</v>
      </c>
      <c r="I413" s="9">
        <v>2</v>
      </c>
      <c r="J413" s="43">
        <v>2</v>
      </c>
      <c r="K413" s="265">
        <f t="shared" si="6"/>
        <v>0.35859414261160716</v>
      </c>
      <c r="L413" s="164" t="s">
        <v>111</v>
      </c>
    </row>
    <row r="414" spans="1:12">
      <c r="A414" s="34" t="s">
        <v>114</v>
      </c>
      <c r="B414" s="344">
        <v>1997</v>
      </c>
      <c r="C414" s="59" t="s">
        <v>95</v>
      </c>
      <c r="D414" s="59">
        <v>135</v>
      </c>
      <c r="E414" s="503" t="s">
        <v>110</v>
      </c>
      <c r="F414" s="29">
        <v>1</v>
      </c>
      <c r="G414" s="9">
        <v>1</v>
      </c>
      <c r="H414" s="9">
        <v>1</v>
      </c>
      <c r="I414" s="9">
        <v>2</v>
      </c>
      <c r="J414" s="43">
        <v>2</v>
      </c>
      <c r="K414" s="265">
        <f t="shared" si="6"/>
        <v>0.35859414261160716</v>
      </c>
      <c r="L414" s="164" t="s">
        <v>111</v>
      </c>
    </row>
    <row r="415" spans="1:12">
      <c r="A415" s="34" t="s">
        <v>114</v>
      </c>
      <c r="B415" s="344">
        <v>1997</v>
      </c>
      <c r="C415" s="59" t="s">
        <v>93</v>
      </c>
      <c r="D415" s="59">
        <v>17</v>
      </c>
      <c r="E415" s="503" t="s">
        <v>110</v>
      </c>
      <c r="F415" s="29">
        <v>1</v>
      </c>
      <c r="G415" s="9">
        <v>1</v>
      </c>
      <c r="H415" s="9">
        <v>1</v>
      </c>
      <c r="I415" s="9">
        <v>2</v>
      </c>
      <c r="J415" s="43">
        <v>2</v>
      </c>
      <c r="K415" s="265">
        <f t="shared" si="6"/>
        <v>0.35859414261160716</v>
      </c>
      <c r="L415" s="164" t="s">
        <v>111</v>
      </c>
    </row>
    <row r="416" spans="1:12">
      <c r="A416" s="34" t="s">
        <v>114</v>
      </c>
      <c r="B416" s="344">
        <v>1997</v>
      </c>
      <c r="C416" s="59" t="s">
        <v>98</v>
      </c>
      <c r="D416" s="59">
        <v>556</v>
      </c>
      <c r="E416" s="503" t="s">
        <v>110</v>
      </c>
      <c r="F416" s="29">
        <v>1</v>
      </c>
      <c r="G416" s="9">
        <v>1</v>
      </c>
      <c r="H416" s="9">
        <v>1</v>
      </c>
      <c r="I416" s="9">
        <v>2</v>
      </c>
      <c r="J416" s="43">
        <v>2</v>
      </c>
      <c r="K416" s="265">
        <f t="shared" si="6"/>
        <v>0.35859414261160716</v>
      </c>
      <c r="L416" s="164" t="s">
        <v>111</v>
      </c>
    </row>
    <row r="417" spans="1:12">
      <c r="A417" s="34" t="s">
        <v>114</v>
      </c>
      <c r="B417" s="344">
        <v>1998</v>
      </c>
      <c r="C417" s="59" t="s">
        <v>85</v>
      </c>
      <c r="D417" s="59">
        <v>403</v>
      </c>
      <c r="E417" s="503" t="s">
        <v>110</v>
      </c>
      <c r="F417" s="29">
        <v>1</v>
      </c>
      <c r="G417" s="9">
        <v>1</v>
      </c>
      <c r="H417" s="9">
        <v>1</v>
      </c>
      <c r="I417" s="9">
        <v>2</v>
      </c>
      <c r="J417" s="43">
        <v>2</v>
      </c>
      <c r="K417" s="265">
        <f t="shared" si="6"/>
        <v>0.35859414261160716</v>
      </c>
      <c r="L417" s="164" t="s">
        <v>111</v>
      </c>
    </row>
    <row r="418" spans="1:12">
      <c r="A418" s="34" t="s">
        <v>114</v>
      </c>
      <c r="B418" s="344">
        <v>1998</v>
      </c>
      <c r="C418" s="59" t="s">
        <v>86</v>
      </c>
      <c r="D418" s="59">
        <v>195</v>
      </c>
      <c r="E418" s="503" t="s">
        <v>110</v>
      </c>
      <c r="F418" s="29">
        <v>1</v>
      </c>
      <c r="G418" s="9">
        <v>1</v>
      </c>
      <c r="H418" s="9">
        <v>1</v>
      </c>
      <c r="I418" s="9">
        <v>2</v>
      </c>
      <c r="J418" s="43">
        <v>2</v>
      </c>
      <c r="K418" s="265">
        <f t="shared" si="6"/>
        <v>0.35859414261160716</v>
      </c>
      <c r="L418" s="164" t="s">
        <v>111</v>
      </c>
    </row>
    <row r="419" spans="1:12">
      <c r="A419" s="34" t="s">
        <v>114</v>
      </c>
      <c r="B419" s="344">
        <v>1998</v>
      </c>
      <c r="C419" s="59" t="s">
        <v>87</v>
      </c>
      <c r="D419" s="59">
        <v>167</v>
      </c>
      <c r="E419" s="503" t="s">
        <v>110</v>
      </c>
      <c r="F419" s="29">
        <v>1</v>
      </c>
      <c r="G419" s="9">
        <v>1</v>
      </c>
      <c r="H419" s="9">
        <v>1</v>
      </c>
      <c r="I419" s="9">
        <v>2</v>
      </c>
      <c r="J419" s="43">
        <v>2</v>
      </c>
      <c r="K419" s="265">
        <f t="shared" si="6"/>
        <v>0.35859414261160716</v>
      </c>
      <c r="L419" s="164" t="s">
        <v>111</v>
      </c>
    </row>
    <row r="420" spans="1:12">
      <c r="A420" s="34" t="s">
        <v>114</v>
      </c>
      <c r="B420" s="344">
        <v>1998</v>
      </c>
      <c r="C420" s="59" t="s">
        <v>88</v>
      </c>
      <c r="D420" s="59">
        <v>79</v>
      </c>
      <c r="E420" s="503" t="s">
        <v>110</v>
      </c>
      <c r="F420" s="29">
        <v>1</v>
      </c>
      <c r="G420" s="9">
        <v>1</v>
      </c>
      <c r="H420" s="9">
        <v>1</v>
      </c>
      <c r="I420" s="9">
        <v>2</v>
      </c>
      <c r="J420" s="43">
        <v>2</v>
      </c>
      <c r="K420" s="265">
        <f t="shared" si="6"/>
        <v>0.35859414261160716</v>
      </c>
      <c r="L420" s="164" t="s">
        <v>111</v>
      </c>
    </row>
    <row r="421" spans="1:12">
      <c r="A421" s="34" t="s">
        <v>114</v>
      </c>
      <c r="B421" s="344">
        <v>1998</v>
      </c>
      <c r="C421" s="59" t="s">
        <v>89</v>
      </c>
      <c r="D421" s="59">
        <v>36</v>
      </c>
      <c r="E421" s="503" t="s">
        <v>110</v>
      </c>
      <c r="F421" s="29">
        <v>1</v>
      </c>
      <c r="G421" s="9">
        <v>1</v>
      </c>
      <c r="H421" s="9">
        <v>1</v>
      </c>
      <c r="I421" s="9">
        <v>2</v>
      </c>
      <c r="J421" s="43">
        <v>2</v>
      </c>
      <c r="K421" s="265">
        <f t="shared" si="6"/>
        <v>0.35859414261160716</v>
      </c>
      <c r="L421" s="164" t="s">
        <v>111</v>
      </c>
    </row>
    <row r="422" spans="1:12">
      <c r="A422" s="34" t="s">
        <v>114</v>
      </c>
      <c r="B422" s="344">
        <v>1998</v>
      </c>
      <c r="C422" s="59" t="s">
        <v>90</v>
      </c>
      <c r="D422" s="59">
        <v>219</v>
      </c>
      <c r="E422" s="503" t="s">
        <v>110</v>
      </c>
      <c r="F422" s="29">
        <v>1</v>
      </c>
      <c r="G422" s="9">
        <v>1</v>
      </c>
      <c r="H422" s="9">
        <v>1</v>
      </c>
      <c r="I422" s="9">
        <v>2</v>
      </c>
      <c r="J422" s="43">
        <v>2</v>
      </c>
      <c r="K422" s="265">
        <f t="shared" si="6"/>
        <v>0.35859414261160716</v>
      </c>
      <c r="L422" s="164" t="s">
        <v>111</v>
      </c>
    </row>
    <row r="423" spans="1:12">
      <c r="A423" s="34" t="s">
        <v>114</v>
      </c>
      <c r="B423" s="344">
        <v>1998</v>
      </c>
      <c r="C423" s="59" t="s">
        <v>91</v>
      </c>
      <c r="D423" s="59">
        <v>0</v>
      </c>
      <c r="E423" s="503" t="s">
        <v>110</v>
      </c>
      <c r="F423" s="29">
        <v>1</v>
      </c>
      <c r="G423" s="9">
        <v>1</v>
      </c>
      <c r="H423" s="9">
        <v>1</v>
      </c>
      <c r="I423" s="9">
        <v>2</v>
      </c>
      <c r="J423" s="43">
        <v>2</v>
      </c>
      <c r="K423" s="265">
        <f t="shared" si="6"/>
        <v>0.35859414261160716</v>
      </c>
      <c r="L423" s="164" t="s">
        <v>111</v>
      </c>
    </row>
    <row r="424" spans="1:12">
      <c r="A424" s="34" t="s">
        <v>114</v>
      </c>
      <c r="B424" s="344">
        <v>1998</v>
      </c>
      <c r="C424" s="59" t="s">
        <v>94</v>
      </c>
      <c r="D424" s="59">
        <v>20</v>
      </c>
      <c r="E424" s="503" t="s">
        <v>110</v>
      </c>
      <c r="F424" s="29">
        <v>1</v>
      </c>
      <c r="G424" s="9">
        <v>1</v>
      </c>
      <c r="H424" s="9">
        <v>1</v>
      </c>
      <c r="I424" s="9">
        <v>2</v>
      </c>
      <c r="J424" s="43">
        <v>2</v>
      </c>
      <c r="K424" s="265">
        <f t="shared" si="6"/>
        <v>0.35859414261160716</v>
      </c>
      <c r="L424" s="164" t="s">
        <v>111</v>
      </c>
    </row>
    <row r="425" spans="1:12">
      <c r="A425" s="34" t="s">
        <v>114</v>
      </c>
      <c r="B425" s="344">
        <v>1998</v>
      </c>
      <c r="C425" s="59" t="s">
        <v>96</v>
      </c>
      <c r="D425" s="59">
        <v>67</v>
      </c>
      <c r="E425" s="503" t="s">
        <v>110</v>
      </c>
      <c r="F425" s="29">
        <v>1</v>
      </c>
      <c r="G425" s="9">
        <v>1</v>
      </c>
      <c r="H425" s="9">
        <v>1</v>
      </c>
      <c r="I425" s="9">
        <v>2</v>
      </c>
      <c r="J425" s="43">
        <v>2</v>
      </c>
      <c r="K425" s="265">
        <f t="shared" si="6"/>
        <v>0.35859414261160716</v>
      </c>
      <c r="L425" s="164" t="s">
        <v>111</v>
      </c>
    </row>
    <row r="426" spans="1:12">
      <c r="A426" s="34" t="s">
        <v>114</v>
      </c>
      <c r="B426" s="344">
        <v>1998</v>
      </c>
      <c r="C426" s="59" t="s">
        <v>97</v>
      </c>
      <c r="D426" s="59">
        <v>96</v>
      </c>
      <c r="E426" s="503" t="s">
        <v>110</v>
      </c>
      <c r="F426" s="29">
        <v>1</v>
      </c>
      <c r="G426" s="9">
        <v>1</v>
      </c>
      <c r="H426" s="9">
        <v>1</v>
      </c>
      <c r="I426" s="9">
        <v>2</v>
      </c>
      <c r="J426" s="43">
        <v>2</v>
      </c>
      <c r="K426" s="265">
        <f t="shared" si="6"/>
        <v>0.35859414261160716</v>
      </c>
      <c r="L426" s="164" t="s">
        <v>111</v>
      </c>
    </row>
    <row r="427" spans="1:12">
      <c r="A427" s="34" t="s">
        <v>114</v>
      </c>
      <c r="B427" s="344">
        <v>1998</v>
      </c>
      <c r="C427" s="59" t="s">
        <v>95</v>
      </c>
      <c r="D427" s="59">
        <v>141</v>
      </c>
      <c r="E427" s="503" t="s">
        <v>110</v>
      </c>
      <c r="F427" s="29">
        <v>1</v>
      </c>
      <c r="G427" s="9">
        <v>1</v>
      </c>
      <c r="H427" s="9">
        <v>1</v>
      </c>
      <c r="I427" s="9">
        <v>2</v>
      </c>
      <c r="J427" s="43">
        <v>2</v>
      </c>
      <c r="K427" s="265">
        <f t="shared" si="6"/>
        <v>0.35859414261160716</v>
      </c>
      <c r="L427" s="164" t="s">
        <v>111</v>
      </c>
    </row>
    <row r="428" spans="1:12">
      <c r="A428" s="34" t="s">
        <v>114</v>
      </c>
      <c r="B428" s="344">
        <v>1998</v>
      </c>
      <c r="C428" s="59" t="s">
        <v>93</v>
      </c>
      <c r="D428" s="59">
        <v>16</v>
      </c>
      <c r="E428" s="503" t="s">
        <v>110</v>
      </c>
      <c r="F428" s="29">
        <v>1</v>
      </c>
      <c r="G428" s="9">
        <v>1</v>
      </c>
      <c r="H428" s="9">
        <v>1</v>
      </c>
      <c r="I428" s="9">
        <v>2</v>
      </c>
      <c r="J428" s="43">
        <v>2</v>
      </c>
      <c r="K428" s="265">
        <f t="shared" si="6"/>
        <v>0.35859414261160716</v>
      </c>
      <c r="L428" s="164" t="s">
        <v>111</v>
      </c>
    </row>
    <row r="429" spans="1:12">
      <c r="A429" s="34" t="s">
        <v>114</v>
      </c>
      <c r="B429" s="344">
        <v>1998</v>
      </c>
      <c r="C429" s="59" t="s">
        <v>98</v>
      </c>
      <c r="D429" s="59">
        <v>544</v>
      </c>
      <c r="E429" s="503" t="s">
        <v>110</v>
      </c>
      <c r="F429" s="29">
        <v>1</v>
      </c>
      <c r="G429" s="9">
        <v>1</v>
      </c>
      <c r="H429" s="9">
        <v>1</v>
      </c>
      <c r="I429" s="9">
        <v>2</v>
      </c>
      <c r="J429" s="43">
        <v>2</v>
      </c>
      <c r="K429" s="265">
        <f t="shared" si="6"/>
        <v>0.35859414261160716</v>
      </c>
      <c r="L429" s="164" t="s">
        <v>111</v>
      </c>
    </row>
    <row r="430" spans="1:12">
      <c r="A430" s="34" t="s">
        <v>114</v>
      </c>
      <c r="B430" s="344">
        <v>1999</v>
      </c>
      <c r="C430" s="59" t="s">
        <v>85</v>
      </c>
      <c r="D430" s="59">
        <v>379</v>
      </c>
      <c r="E430" s="503" t="s">
        <v>110</v>
      </c>
      <c r="F430" s="29">
        <v>1</v>
      </c>
      <c r="G430" s="9">
        <v>1</v>
      </c>
      <c r="H430" s="9">
        <v>1</v>
      </c>
      <c r="I430" s="9">
        <v>2</v>
      </c>
      <c r="J430" s="43">
        <v>2</v>
      </c>
      <c r="K430" s="265">
        <f t="shared" si="6"/>
        <v>0.35859414261160716</v>
      </c>
      <c r="L430" s="164" t="s">
        <v>111</v>
      </c>
    </row>
    <row r="431" spans="1:12">
      <c r="A431" s="34" t="s">
        <v>114</v>
      </c>
      <c r="B431" s="344">
        <v>1999</v>
      </c>
      <c r="C431" s="59" t="s">
        <v>86</v>
      </c>
      <c r="D431" s="59">
        <v>170</v>
      </c>
      <c r="E431" s="503" t="s">
        <v>110</v>
      </c>
      <c r="F431" s="29">
        <v>1</v>
      </c>
      <c r="G431" s="9">
        <v>1</v>
      </c>
      <c r="H431" s="9">
        <v>1</v>
      </c>
      <c r="I431" s="9">
        <v>2</v>
      </c>
      <c r="J431" s="43">
        <v>2</v>
      </c>
      <c r="K431" s="265">
        <f t="shared" si="6"/>
        <v>0.35859414261160716</v>
      </c>
      <c r="L431" s="164" t="s">
        <v>111</v>
      </c>
    </row>
    <row r="432" spans="1:12">
      <c r="A432" s="34" t="s">
        <v>114</v>
      </c>
      <c r="B432" s="344">
        <v>1999</v>
      </c>
      <c r="C432" s="59" t="s">
        <v>87</v>
      </c>
      <c r="D432" s="59">
        <v>180</v>
      </c>
      <c r="E432" s="503" t="s">
        <v>110</v>
      </c>
      <c r="F432" s="29">
        <v>1</v>
      </c>
      <c r="G432" s="9">
        <v>1</v>
      </c>
      <c r="H432" s="9">
        <v>1</v>
      </c>
      <c r="I432" s="9">
        <v>2</v>
      </c>
      <c r="J432" s="43">
        <v>2</v>
      </c>
      <c r="K432" s="265">
        <f t="shared" si="6"/>
        <v>0.35859414261160716</v>
      </c>
      <c r="L432" s="164" t="s">
        <v>111</v>
      </c>
    </row>
    <row r="433" spans="1:12">
      <c r="A433" s="34" t="s">
        <v>114</v>
      </c>
      <c r="B433" s="344">
        <v>1999</v>
      </c>
      <c r="C433" s="59" t="s">
        <v>88</v>
      </c>
      <c r="D433" s="59">
        <v>80</v>
      </c>
      <c r="E433" s="503" t="s">
        <v>110</v>
      </c>
      <c r="F433" s="29">
        <v>1</v>
      </c>
      <c r="G433" s="9">
        <v>1</v>
      </c>
      <c r="H433" s="9">
        <v>1</v>
      </c>
      <c r="I433" s="9">
        <v>2</v>
      </c>
      <c r="J433" s="43">
        <v>2</v>
      </c>
      <c r="K433" s="265">
        <f t="shared" si="6"/>
        <v>0.35859414261160716</v>
      </c>
      <c r="L433" s="164" t="s">
        <v>111</v>
      </c>
    </row>
    <row r="434" spans="1:12">
      <c r="A434" s="34" t="s">
        <v>114</v>
      </c>
      <c r="B434" s="344">
        <v>1999</v>
      </c>
      <c r="C434" s="59" t="s">
        <v>89</v>
      </c>
      <c r="D434" s="59">
        <v>26</v>
      </c>
      <c r="E434" s="503" t="s">
        <v>110</v>
      </c>
      <c r="F434" s="29">
        <v>1</v>
      </c>
      <c r="G434" s="9">
        <v>1</v>
      </c>
      <c r="H434" s="9">
        <v>1</v>
      </c>
      <c r="I434" s="9">
        <v>2</v>
      </c>
      <c r="J434" s="43">
        <v>2</v>
      </c>
      <c r="K434" s="265">
        <f t="shared" si="6"/>
        <v>0.35859414261160716</v>
      </c>
      <c r="L434" s="164" t="s">
        <v>111</v>
      </c>
    </row>
    <row r="435" spans="1:12">
      <c r="A435" s="34" t="s">
        <v>114</v>
      </c>
      <c r="B435" s="344">
        <v>1999</v>
      </c>
      <c r="C435" s="59" t="s">
        <v>90</v>
      </c>
      <c r="D435" s="59">
        <v>245</v>
      </c>
      <c r="E435" s="503" t="s">
        <v>110</v>
      </c>
      <c r="F435" s="29">
        <v>1</v>
      </c>
      <c r="G435" s="9">
        <v>1</v>
      </c>
      <c r="H435" s="9">
        <v>1</v>
      </c>
      <c r="I435" s="9">
        <v>2</v>
      </c>
      <c r="J435" s="43">
        <v>2</v>
      </c>
      <c r="K435" s="265">
        <f t="shared" si="6"/>
        <v>0.35859414261160716</v>
      </c>
      <c r="L435" s="164" t="s">
        <v>111</v>
      </c>
    </row>
    <row r="436" spans="1:12">
      <c r="A436" s="34" t="s">
        <v>114</v>
      </c>
      <c r="B436" s="344">
        <v>1999</v>
      </c>
      <c r="C436" s="59" t="s">
        <v>91</v>
      </c>
      <c r="D436" s="59">
        <v>0</v>
      </c>
      <c r="E436" s="503" t="s">
        <v>110</v>
      </c>
      <c r="F436" s="29">
        <v>1</v>
      </c>
      <c r="G436" s="9">
        <v>1</v>
      </c>
      <c r="H436" s="9">
        <v>1</v>
      </c>
      <c r="I436" s="9">
        <v>2</v>
      </c>
      <c r="J436" s="43">
        <v>2</v>
      </c>
      <c r="K436" s="265">
        <f t="shared" si="6"/>
        <v>0.35859414261160716</v>
      </c>
      <c r="L436" s="164" t="s">
        <v>111</v>
      </c>
    </row>
    <row r="437" spans="1:12">
      <c r="A437" s="34" t="s">
        <v>114</v>
      </c>
      <c r="B437" s="344">
        <v>1999</v>
      </c>
      <c r="C437" s="59" t="s">
        <v>94</v>
      </c>
      <c r="D437" s="59">
        <v>15</v>
      </c>
      <c r="E437" s="503" t="s">
        <v>110</v>
      </c>
      <c r="F437" s="29">
        <v>1</v>
      </c>
      <c r="G437" s="9">
        <v>1</v>
      </c>
      <c r="H437" s="9">
        <v>1</v>
      </c>
      <c r="I437" s="9">
        <v>2</v>
      </c>
      <c r="J437" s="43">
        <v>2</v>
      </c>
      <c r="K437" s="265">
        <f t="shared" si="6"/>
        <v>0.35859414261160716</v>
      </c>
      <c r="L437" s="164" t="s">
        <v>111</v>
      </c>
    </row>
    <row r="438" spans="1:12">
      <c r="A438" s="34" t="s">
        <v>114</v>
      </c>
      <c r="B438" s="344">
        <v>1999</v>
      </c>
      <c r="C438" s="59" t="s">
        <v>96</v>
      </c>
      <c r="D438" s="59">
        <v>39</v>
      </c>
      <c r="E438" s="503" t="s">
        <v>110</v>
      </c>
      <c r="F438" s="29">
        <v>1</v>
      </c>
      <c r="G438" s="9">
        <v>1</v>
      </c>
      <c r="H438" s="9">
        <v>1</v>
      </c>
      <c r="I438" s="9">
        <v>2</v>
      </c>
      <c r="J438" s="43">
        <v>2</v>
      </c>
      <c r="K438" s="265">
        <f t="shared" si="6"/>
        <v>0.35859414261160716</v>
      </c>
      <c r="L438" s="164" t="s">
        <v>111</v>
      </c>
    </row>
    <row r="439" spans="1:12">
      <c r="A439" s="34" t="s">
        <v>114</v>
      </c>
      <c r="B439" s="344">
        <v>1999</v>
      </c>
      <c r="C439" s="59" t="s">
        <v>97</v>
      </c>
      <c r="D439" s="59">
        <v>117</v>
      </c>
      <c r="E439" s="503" t="s">
        <v>110</v>
      </c>
      <c r="F439" s="29">
        <v>1</v>
      </c>
      <c r="G439" s="9">
        <v>1</v>
      </c>
      <c r="H439" s="9">
        <v>1</v>
      </c>
      <c r="I439" s="9">
        <v>2</v>
      </c>
      <c r="J439" s="43">
        <v>2</v>
      </c>
      <c r="K439" s="265">
        <f t="shared" si="6"/>
        <v>0.35859414261160716</v>
      </c>
      <c r="L439" s="164" t="s">
        <v>111</v>
      </c>
    </row>
    <row r="440" spans="1:12">
      <c r="A440" s="34" t="s">
        <v>114</v>
      </c>
      <c r="B440" s="344">
        <v>1999</v>
      </c>
      <c r="C440" s="59" t="s">
        <v>95</v>
      </c>
      <c r="D440" s="59">
        <v>58</v>
      </c>
      <c r="E440" s="503" t="s">
        <v>110</v>
      </c>
      <c r="F440" s="29">
        <v>1</v>
      </c>
      <c r="G440" s="9">
        <v>1</v>
      </c>
      <c r="H440" s="9">
        <v>1</v>
      </c>
      <c r="I440" s="9">
        <v>2</v>
      </c>
      <c r="J440" s="43">
        <v>2</v>
      </c>
      <c r="K440" s="265">
        <f t="shared" si="6"/>
        <v>0.35859414261160716</v>
      </c>
      <c r="L440" s="164" t="s">
        <v>111</v>
      </c>
    </row>
    <row r="441" spans="1:12">
      <c r="A441" s="34" t="s">
        <v>114</v>
      </c>
      <c r="B441" s="344">
        <v>1999</v>
      </c>
      <c r="C441" s="59" t="s">
        <v>93</v>
      </c>
      <c r="D441" s="59">
        <v>20</v>
      </c>
      <c r="E441" s="503" t="s">
        <v>110</v>
      </c>
      <c r="F441" s="29">
        <v>1</v>
      </c>
      <c r="G441" s="9">
        <v>1</v>
      </c>
      <c r="H441" s="9">
        <v>1</v>
      </c>
      <c r="I441" s="9">
        <v>2</v>
      </c>
      <c r="J441" s="43">
        <v>2</v>
      </c>
      <c r="K441" s="265">
        <f t="shared" si="6"/>
        <v>0.35859414261160716</v>
      </c>
      <c r="L441" s="164" t="s">
        <v>111</v>
      </c>
    </row>
    <row r="442" spans="1:12">
      <c r="A442" s="34" t="s">
        <v>114</v>
      </c>
      <c r="B442" s="344">
        <v>1999</v>
      </c>
      <c r="C442" s="59" t="s">
        <v>98</v>
      </c>
      <c r="D442" s="59">
        <v>511</v>
      </c>
      <c r="E442" s="503" t="s">
        <v>110</v>
      </c>
      <c r="F442" s="29">
        <v>1</v>
      </c>
      <c r="G442" s="9">
        <v>1</v>
      </c>
      <c r="H442" s="9">
        <v>1</v>
      </c>
      <c r="I442" s="9">
        <v>2</v>
      </c>
      <c r="J442" s="43">
        <v>2</v>
      </c>
      <c r="K442" s="265">
        <f t="shared" si="6"/>
        <v>0.35859414261160716</v>
      </c>
      <c r="L442" s="164" t="s">
        <v>111</v>
      </c>
    </row>
    <row r="443" spans="1:12">
      <c r="A443" s="34" t="s">
        <v>114</v>
      </c>
      <c r="B443" s="344">
        <v>2000</v>
      </c>
      <c r="C443" s="59" t="s">
        <v>85</v>
      </c>
      <c r="D443" s="59">
        <v>388</v>
      </c>
      <c r="E443" s="503" t="s">
        <v>110</v>
      </c>
      <c r="F443" s="29">
        <v>1</v>
      </c>
      <c r="G443" s="9">
        <v>1</v>
      </c>
      <c r="H443" s="9">
        <v>1</v>
      </c>
      <c r="I443" s="9">
        <v>2</v>
      </c>
      <c r="J443" s="43">
        <v>2</v>
      </c>
      <c r="K443" s="265">
        <f t="shared" si="6"/>
        <v>0.35859414261160716</v>
      </c>
      <c r="L443" s="164" t="s">
        <v>111</v>
      </c>
    </row>
    <row r="444" spans="1:12">
      <c r="A444" s="34" t="s">
        <v>114</v>
      </c>
      <c r="B444" s="344">
        <v>2000</v>
      </c>
      <c r="C444" s="59" t="s">
        <v>86</v>
      </c>
      <c r="D444" s="59">
        <v>167</v>
      </c>
      <c r="E444" s="503" t="s">
        <v>110</v>
      </c>
      <c r="F444" s="29">
        <v>1</v>
      </c>
      <c r="G444" s="9">
        <v>1</v>
      </c>
      <c r="H444" s="9">
        <v>1</v>
      </c>
      <c r="I444" s="9">
        <v>2</v>
      </c>
      <c r="J444" s="43">
        <v>2</v>
      </c>
      <c r="K444" s="265">
        <f t="shared" si="6"/>
        <v>0.35859414261160716</v>
      </c>
      <c r="L444" s="164" t="s">
        <v>111</v>
      </c>
    </row>
    <row r="445" spans="1:12">
      <c r="A445" s="34" t="s">
        <v>114</v>
      </c>
      <c r="B445" s="344">
        <v>2000</v>
      </c>
      <c r="C445" s="59" t="s">
        <v>87</v>
      </c>
      <c r="D445" s="59">
        <v>176</v>
      </c>
      <c r="E445" s="503" t="s">
        <v>110</v>
      </c>
      <c r="F445" s="29">
        <v>1</v>
      </c>
      <c r="G445" s="9">
        <v>1</v>
      </c>
      <c r="H445" s="9">
        <v>1</v>
      </c>
      <c r="I445" s="9">
        <v>2</v>
      </c>
      <c r="J445" s="43">
        <v>2</v>
      </c>
      <c r="K445" s="265">
        <f t="shared" ref="K445:K508" si="7">IF( OR( ISBLANK(F445),ISBLANK(G445), ISBLANK(H445), ISBLANK(I445), ISBLANK(J445) ), "", 1.5*SQRT(   EXP(2.21*(F445-1)) + EXP(2.21*(G445-1)) + EXP(2.21*(H445-1)) + EXP(2.21*(I445-1)) + EXP(2.21*J445)   )/100*2.45 )</f>
        <v>0.35859414261160716</v>
      </c>
      <c r="L445" s="164" t="s">
        <v>111</v>
      </c>
    </row>
    <row r="446" spans="1:12">
      <c r="A446" s="34" t="s">
        <v>114</v>
      </c>
      <c r="B446" s="344">
        <v>2000</v>
      </c>
      <c r="C446" s="59" t="s">
        <v>88</v>
      </c>
      <c r="D446" s="59">
        <v>76</v>
      </c>
      <c r="E446" s="503" t="s">
        <v>110</v>
      </c>
      <c r="F446" s="29">
        <v>1</v>
      </c>
      <c r="G446" s="9">
        <v>1</v>
      </c>
      <c r="H446" s="9">
        <v>1</v>
      </c>
      <c r="I446" s="9">
        <v>2</v>
      </c>
      <c r="J446" s="43">
        <v>2</v>
      </c>
      <c r="K446" s="265">
        <f t="shared" si="7"/>
        <v>0.35859414261160716</v>
      </c>
      <c r="L446" s="164" t="s">
        <v>111</v>
      </c>
    </row>
    <row r="447" spans="1:12">
      <c r="A447" s="34" t="s">
        <v>114</v>
      </c>
      <c r="B447" s="344">
        <v>2000</v>
      </c>
      <c r="C447" s="59" t="s">
        <v>89</v>
      </c>
      <c r="D447" s="59">
        <v>17</v>
      </c>
      <c r="E447" s="503" t="s">
        <v>110</v>
      </c>
      <c r="F447" s="29">
        <v>1</v>
      </c>
      <c r="G447" s="9">
        <v>1</v>
      </c>
      <c r="H447" s="9">
        <v>1</v>
      </c>
      <c r="I447" s="9">
        <v>2</v>
      </c>
      <c r="J447" s="43">
        <v>2</v>
      </c>
      <c r="K447" s="265">
        <f t="shared" si="7"/>
        <v>0.35859414261160716</v>
      </c>
      <c r="L447" s="164" t="s">
        <v>111</v>
      </c>
    </row>
    <row r="448" spans="1:12">
      <c r="A448" s="34" t="s">
        <v>114</v>
      </c>
      <c r="B448" s="344">
        <v>2000</v>
      </c>
      <c r="C448" s="59" t="s">
        <v>90</v>
      </c>
      <c r="D448" s="59">
        <v>204</v>
      </c>
      <c r="E448" s="503" t="s">
        <v>110</v>
      </c>
      <c r="F448" s="29">
        <v>1</v>
      </c>
      <c r="G448" s="9">
        <v>1</v>
      </c>
      <c r="H448" s="9">
        <v>1</v>
      </c>
      <c r="I448" s="9">
        <v>2</v>
      </c>
      <c r="J448" s="43">
        <v>2</v>
      </c>
      <c r="K448" s="265">
        <f t="shared" si="7"/>
        <v>0.35859414261160716</v>
      </c>
      <c r="L448" s="164" t="s">
        <v>111</v>
      </c>
    </row>
    <row r="449" spans="1:12">
      <c r="A449" s="34" t="s">
        <v>114</v>
      </c>
      <c r="B449" s="344">
        <v>2000</v>
      </c>
      <c r="C449" s="59" t="s">
        <v>91</v>
      </c>
      <c r="D449" s="59">
        <v>115</v>
      </c>
      <c r="E449" s="503" t="s">
        <v>110</v>
      </c>
      <c r="F449" s="29">
        <v>1</v>
      </c>
      <c r="G449" s="9">
        <v>1</v>
      </c>
      <c r="H449" s="9">
        <v>1</v>
      </c>
      <c r="I449" s="9">
        <v>2</v>
      </c>
      <c r="J449" s="43">
        <v>2</v>
      </c>
      <c r="K449" s="265">
        <f t="shared" si="7"/>
        <v>0.35859414261160716</v>
      </c>
      <c r="L449" s="164" t="s">
        <v>111</v>
      </c>
    </row>
    <row r="450" spans="1:12">
      <c r="A450" s="34" t="s">
        <v>114</v>
      </c>
      <c r="B450" s="344">
        <v>2000</v>
      </c>
      <c r="C450" s="59" t="s">
        <v>94</v>
      </c>
      <c r="D450" s="59">
        <v>16</v>
      </c>
      <c r="E450" s="503" t="s">
        <v>110</v>
      </c>
      <c r="F450" s="29">
        <v>1</v>
      </c>
      <c r="G450" s="9">
        <v>1</v>
      </c>
      <c r="H450" s="9">
        <v>1</v>
      </c>
      <c r="I450" s="9">
        <v>2</v>
      </c>
      <c r="J450" s="43">
        <v>2</v>
      </c>
      <c r="K450" s="265">
        <f t="shared" si="7"/>
        <v>0.35859414261160716</v>
      </c>
      <c r="L450" s="164" t="s">
        <v>111</v>
      </c>
    </row>
    <row r="451" spans="1:12">
      <c r="A451" s="34" t="s">
        <v>114</v>
      </c>
      <c r="B451" s="344">
        <v>2000</v>
      </c>
      <c r="C451" s="59" t="s">
        <v>96</v>
      </c>
      <c r="D451" s="59">
        <v>49</v>
      </c>
      <c r="E451" s="503" t="s">
        <v>110</v>
      </c>
      <c r="F451" s="29">
        <v>1</v>
      </c>
      <c r="G451" s="9">
        <v>1</v>
      </c>
      <c r="H451" s="9">
        <v>1</v>
      </c>
      <c r="I451" s="9">
        <v>2</v>
      </c>
      <c r="J451" s="43">
        <v>2</v>
      </c>
      <c r="K451" s="265">
        <f t="shared" si="7"/>
        <v>0.35859414261160716</v>
      </c>
      <c r="L451" s="164" t="s">
        <v>111</v>
      </c>
    </row>
    <row r="452" spans="1:12">
      <c r="A452" s="34" t="s">
        <v>114</v>
      </c>
      <c r="B452" s="344">
        <v>2000</v>
      </c>
      <c r="C452" s="59" t="s">
        <v>97</v>
      </c>
      <c r="D452" s="59">
        <v>116</v>
      </c>
      <c r="E452" s="503" t="s">
        <v>110</v>
      </c>
      <c r="F452" s="29">
        <v>1</v>
      </c>
      <c r="G452" s="9">
        <v>1</v>
      </c>
      <c r="H452" s="9">
        <v>1</v>
      </c>
      <c r="I452" s="9">
        <v>2</v>
      </c>
      <c r="J452" s="43">
        <v>2</v>
      </c>
      <c r="K452" s="265">
        <f t="shared" si="7"/>
        <v>0.35859414261160716</v>
      </c>
      <c r="L452" s="164" t="s">
        <v>111</v>
      </c>
    </row>
    <row r="453" spans="1:12">
      <c r="A453" s="34" t="s">
        <v>114</v>
      </c>
      <c r="B453" s="344">
        <v>2000</v>
      </c>
      <c r="C453" s="59" t="s">
        <v>95</v>
      </c>
      <c r="D453" s="59">
        <v>57</v>
      </c>
      <c r="E453" s="503" t="s">
        <v>110</v>
      </c>
      <c r="F453" s="29">
        <v>1</v>
      </c>
      <c r="G453" s="9">
        <v>1</v>
      </c>
      <c r="H453" s="9">
        <v>1</v>
      </c>
      <c r="I453" s="9">
        <v>2</v>
      </c>
      <c r="J453" s="43">
        <v>2</v>
      </c>
      <c r="K453" s="265">
        <f t="shared" si="7"/>
        <v>0.35859414261160716</v>
      </c>
      <c r="L453" s="164" t="s">
        <v>111</v>
      </c>
    </row>
    <row r="454" spans="1:12">
      <c r="A454" s="34" t="s">
        <v>114</v>
      </c>
      <c r="B454" s="344">
        <v>2000</v>
      </c>
      <c r="C454" s="59" t="s">
        <v>93</v>
      </c>
      <c r="D454" s="59">
        <v>26</v>
      </c>
      <c r="E454" s="503" t="s">
        <v>110</v>
      </c>
      <c r="F454" s="29">
        <v>1</v>
      </c>
      <c r="G454" s="9">
        <v>1</v>
      </c>
      <c r="H454" s="9">
        <v>1</v>
      </c>
      <c r="I454" s="9">
        <v>2</v>
      </c>
      <c r="J454" s="43">
        <v>2</v>
      </c>
      <c r="K454" s="265">
        <f t="shared" si="7"/>
        <v>0.35859414261160716</v>
      </c>
      <c r="L454" s="164" t="s">
        <v>111</v>
      </c>
    </row>
    <row r="455" spans="1:12">
      <c r="A455" s="34" t="s">
        <v>114</v>
      </c>
      <c r="B455" s="344">
        <v>2000</v>
      </c>
      <c r="C455" s="59" t="s">
        <v>98</v>
      </c>
      <c r="D455" s="59">
        <v>546</v>
      </c>
      <c r="E455" s="503" t="s">
        <v>110</v>
      </c>
      <c r="F455" s="29">
        <v>1</v>
      </c>
      <c r="G455" s="9">
        <v>1</v>
      </c>
      <c r="H455" s="9">
        <v>1</v>
      </c>
      <c r="I455" s="9">
        <v>2</v>
      </c>
      <c r="J455" s="43">
        <v>2</v>
      </c>
      <c r="K455" s="265">
        <f t="shared" si="7"/>
        <v>0.35859414261160716</v>
      </c>
      <c r="L455" s="164" t="s">
        <v>111</v>
      </c>
    </row>
    <row r="456" spans="1:12">
      <c r="A456" s="34" t="s">
        <v>114</v>
      </c>
      <c r="B456" s="344">
        <v>2001</v>
      </c>
      <c r="C456" s="59" t="s">
        <v>85</v>
      </c>
      <c r="D456" s="59">
        <v>404</v>
      </c>
      <c r="E456" s="503" t="s">
        <v>110</v>
      </c>
      <c r="F456" s="29">
        <v>1</v>
      </c>
      <c r="G456" s="9">
        <v>1</v>
      </c>
      <c r="H456" s="9">
        <v>1</v>
      </c>
      <c r="I456" s="9">
        <v>2</v>
      </c>
      <c r="J456" s="43">
        <v>2</v>
      </c>
      <c r="K456" s="265">
        <f t="shared" si="7"/>
        <v>0.35859414261160716</v>
      </c>
      <c r="L456" s="164" t="s">
        <v>111</v>
      </c>
    </row>
    <row r="457" spans="1:12">
      <c r="A457" s="34" t="s">
        <v>114</v>
      </c>
      <c r="B457" s="344">
        <v>2001</v>
      </c>
      <c r="C457" s="59" t="s">
        <v>86</v>
      </c>
      <c r="D457" s="59">
        <v>135</v>
      </c>
      <c r="E457" s="503" t="s">
        <v>110</v>
      </c>
      <c r="F457" s="29">
        <v>1</v>
      </c>
      <c r="G457" s="9">
        <v>1</v>
      </c>
      <c r="H457" s="9">
        <v>1</v>
      </c>
      <c r="I457" s="9">
        <v>2</v>
      </c>
      <c r="J457" s="43">
        <v>2</v>
      </c>
      <c r="K457" s="265">
        <f t="shared" si="7"/>
        <v>0.35859414261160716</v>
      </c>
      <c r="L457" s="164" t="s">
        <v>111</v>
      </c>
    </row>
    <row r="458" spans="1:12">
      <c r="A458" s="34" t="s">
        <v>114</v>
      </c>
      <c r="B458" s="344">
        <v>2001</v>
      </c>
      <c r="C458" s="59" t="s">
        <v>87</v>
      </c>
      <c r="D458" s="59">
        <v>169</v>
      </c>
      <c r="E458" s="503" t="s">
        <v>110</v>
      </c>
      <c r="F458" s="29">
        <v>1</v>
      </c>
      <c r="G458" s="9">
        <v>1</v>
      </c>
      <c r="H458" s="9">
        <v>1</v>
      </c>
      <c r="I458" s="9">
        <v>2</v>
      </c>
      <c r="J458" s="43">
        <v>2</v>
      </c>
      <c r="K458" s="265">
        <f t="shared" si="7"/>
        <v>0.35859414261160716</v>
      </c>
      <c r="L458" s="164" t="s">
        <v>111</v>
      </c>
    </row>
    <row r="459" spans="1:12">
      <c r="A459" s="34" t="s">
        <v>114</v>
      </c>
      <c r="B459" s="344">
        <v>2001</v>
      </c>
      <c r="C459" s="59" t="s">
        <v>88</v>
      </c>
      <c r="D459" s="59">
        <v>75</v>
      </c>
      <c r="E459" s="503" t="s">
        <v>110</v>
      </c>
      <c r="F459" s="29">
        <v>1</v>
      </c>
      <c r="G459" s="9">
        <v>1</v>
      </c>
      <c r="H459" s="9">
        <v>1</v>
      </c>
      <c r="I459" s="9">
        <v>2</v>
      </c>
      <c r="J459" s="43">
        <v>2</v>
      </c>
      <c r="K459" s="265">
        <f t="shared" si="7"/>
        <v>0.35859414261160716</v>
      </c>
      <c r="L459" s="164" t="s">
        <v>111</v>
      </c>
    </row>
    <row r="460" spans="1:12">
      <c r="A460" s="34" t="s">
        <v>114</v>
      </c>
      <c r="B460" s="344">
        <v>2001</v>
      </c>
      <c r="C460" s="59" t="s">
        <v>89</v>
      </c>
      <c r="D460" s="59">
        <v>27</v>
      </c>
      <c r="E460" s="503" t="s">
        <v>110</v>
      </c>
      <c r="F460" s="29">
        <v>1</v>
      </c>
      <c r="G460" s="9">
        <v>1</v>
      </c>
      <c r="H460" s="9">
        <v>1</v>
      </c>
      <c r="I460" s="9">
        <v>2</v>
      </c>
      <c r="J460" s="43">
        <v>2</v>
      </c>
      <c r="K460" s="265">
        <f t="shared" si="7"/>
        <v>0.35859414261160716</v>
      </c>
      <c r="L460" s="164" t="s">
        <v>111</v>
      </c>
    </row>
    <row r="461" spans="1:12">
      <c r="A461" s="34" t="s">
        <v>114</v>
      </c>
      <c r="B461" s="344">
        <v>2001</v>
      </c>
      <c r="C461" s="59" t="s">
        <v>90</v>
      </c>
      <c r="D461" s="59">
        <v>198</v>
      </c>
      <c r="E461" s="503" t="s">
        <v>110</v>
      </c>
      <c r="F461" s="29">
        <v>1</v>
      </c>
      <c r="G461" s="9">
        <v>1</v>
      </c>
      <c r="H461" s="9">
        <v>1</v>
      </c>
      <c r="I461" s="9">
        <v>2</v>
      </c>
      <c r="J461" s="43">
        <v>2</v>
      </c>
      <c r="K461" s="265">
        <f t="shared" si="7"/>
        <v>0.35859414261160716</v>
      </c>
      <c r="L461" s="164" t="s">
        <v>111</v>
      </c>
    </row>
    <row r="462" spans="1:12">
      <c r="A462" s="34" t="s">
        <v>114</v>
      </c>
      <c r="B462" s="344">
        <v>2001</v>
      </c>
      <c r="C462" s="59" t="s">
        <v>91</v>
      </c>
      <c r="D462" s="59">
        <v>126</v>
      </c>
      <c r="E462" s="503" t="s">
        <v>110</v>
      </c>
      <c r="F462" s="29">
        <v>1</v>
      </c>
      <c r="G462" s="9">
        <v>1</v>
      </c>
      <c r="H462" s="9">
        <v>1</v>
      </c>
      <c r="I462" s="9">
        <v>2</v>
      </c>
      <c r="J462" s="43">
        <v>2</v>
      </c>
      <c r="K462" s="265">
        <f t="shared" si="7"/>
        <v>0.35859414261160716</v>
      </c>
      <c r="L462" s="164" t="s">
        <v>111</v>
      </c>
    </row>
    <row r="463" spans="1:12">
      <c r="A463" s="34" t="s">
        <v>114</v>
      </c>
      <c r="B463" s="344">
        <v>2001</v>
      </c>
      <c r="C463" s="59" t="s">
        <v>94</v>
      </c>
      <c r="D463" s="59">
        <v>19</v>
      </c>
      <c r="E463" s="503" t="s">
        <v>110</v>
      </c>
      <c r="F463" s="29">
        <v>1</v>
      </c>
      <c r="G463" s="9">
        <v>1</v>
      </c>
      <c r="H463" s="9">
        <v>1</v>
      </c>
      <c r="I463" s="9">
        <v>2</v>
      </c>
      <c r="J463" s="43">
        <v>2</v>
      </c>
      <c r="K463" s="265">
        <f t="shared" si="7"/>
        <v>0.35859414261160716</v>
      </c>
      <c r="L463" s="164" t="s">
        <v>111</v>
      </c>
    </row>
    <row r="464" spans="1:12">
      <c r="A464" s="34" t="s">
        <v>114</v>
      </c>
      <c r="B464" s="344">
        <v>2001</v>
      </c>
      <c r="C464" s="59" t="s">
        <v>96</v>
      </c>
      <c r="D464" s="59">
        <v>54</v>
      </c>
      <c r="E464" s="503" t="s">
        <v>110</v>
      </c>
      <c r="F464" s="29">
        <v>1</v>
      </c>
      <c r="G464" s="9">
        <v>1</v>
      </c>
      <c r="H464" s="9">
        <v>1</v>
      </c>
      <c r="I464" s="9">
        <v>2</v>
      </c>
      <c r="J464" s="43">
        <v>2</v>
      </c>
      <c r="K464" s="265">
        <f t="shared" si="7"/>
        <v>0.35859414261160716</v>
      </c>
      <c r="L464" s="164" t="s">
        <v>111</v>
      </c>
    </row>
    <row r="465" spans="1:12">
      <c r="A465" s="34" t="s">
        <v>114</v>
      </c>
      <c r="B465" s="344">
        <v>2001</v>
      </c>
      <c r="C465" s="59" t="s">
        <v>97</v>
      </c>
      <c r="D465" s="59">
        <v>102</v>
      </c>
      <c r="E465" s="503" t="s">
        <v>110</v>
      </c>
      <c r="F465" s="29">
        <v>1</v>
      </c>
      <c r="G465" s="9">
        <v>1</v>
      </c>
      <c r="H465" s="9">
        <v>1</v>
      </c>
      <c r="I465" s="9">
        <v>2</v>
      </c>
      <c r="J465" s="43">
        <v>2</v>
      </c>
      <c r="K465" s="265">
        <f t="shared" si="7"/>
        <v>0.35859414261160716</v>
      </c>
      <c r="L465" s="164" t="s">
        <v>111</v>
      </c>
    </row>
    <row r="466" spans="1:12">
      <c r="A466" s="34" t="s">
        <v>114</v>
      </c>
      <c r="B466" s="344">
        <v>2001</v>
      </c>
      <c r="C466" s="59" t="s">
        <v>95</v>
      </c>
      <c r="D466" s="59">
        <v>43</v>
      </c>
      <c r="E466" s="503" t="s">
        <v>110</v>
      </c>
      <c r="F466" s="29">
        <v>1</v>
      </c>
      <c r="G466" s="9">
        <v>1</v>
      </c>
      <c r="H466" s="9">
        <v>1</v>
      </c>
      <c r="I466" s="9">
        <v>2</v>
      </c>
      <c r="J466" s="43">
        <v>2</v>
      </c>
      <c r="K466" s="265">
        <f t="shared" si="7"/>
        <v>0.35859414261160716</v>
      </c>
      <c r="L466" s="164" t="s">
        <v>111</v>
      </c>
    </row>
    <row r="467" spans="1:12">
      <c r="A467" s="34" t="s">
        <v>114</v>
      </c>
      <c r="B467" s="344">
        <v>2001</v>
      </c>
      <c r="C467" s="59" t="s">
        <v>93</v>
      </c>
      <c r="D467" s="59">
        <v>23</v>
      </c>
      <c r="E467" s="503" t="s">
        <v>110</v>
      </c>
      <c r="F467" s="29">
        <v>1</v>
      </c>
      <c r="G467" s="9">
        <v>1</v>
      </c>
      <c r="H467" s="9">
        <v>1</v>
      </c>
      <c r="I467" s="9">
        <v>2</v>
      </c>
      <c r="J467" s="43">
        <v>2</v>
      </c>
      <c r="K467" s="265">
        <f t="shared" si="7"/>
        <v>0.35859414261160716</v>
      </c>
      <c r="L467" s="164" t="s">
        <v>111</v>
      </c>
    </row>
    <row r="468" spans="1:12">
      <c r="A468" s="34" t="s">
        <v>114</v>
      </c>
      <c r="B468" s="344">
        <v>2001</v>
      </c>
      <c r="C468" s="59" t="s">
        <v>98</v>
      </c>
      <c r="D468" s="59">
        <v>600</v>
      </c>
      <c r="E468" s="503" t="s">
        <v>110</v>
      </c>
      <c r="F468" s="29">
        <v>1</v>
      </c>
      <c r="G468" s="9">
        <v>1</v>
      </c>
      <c r="H468" s="9">
        <v>1</v>
      </c>
      <c r="I468" s="9">
        <v>2</v>
      </c>
      <c r="J468" s="43">
        <v>2</v>
      </c>
      <c r="K468" s="265">
        <f t="shared" si="7"/>
        <v>0.35859414261160716</v>
      </c>
      <c r="L468" s="164" t="s">
        <v>111</v>
      </c>
    </row>
    <row r="469" spans="1:12">
      <c r="A469" s="34" t="s">
        <v>114</v>
      </c>
      <c r="B469" s="344">
        <v>2002</v>
      </c>
      <c r="C469" s="59" t="s">
        <v>85</v>
      </c>
      <c r="D469" s="59">
        <v>494</v>
      </c>
      <c r="E469" s="503" t="s">
        <v>110</v>
      </c>
      <c r="F469" s="29">
        <v>1</v>
      </c>
      <c r="G469" s="9">
        <v>1</v>
      </c>
      <c r="H469" s="9">
        <v>1</v>
      </c>
      <c r="I469" s="9">
        <v>2</v>
      </c>
      <c r="J469" s="43">
        <v>2</v>
      </c>
      <c r="K469" s="265">
        <f t="shared" si="7"/>
        <v>0.35859414261160716</v>
      </c>
      <c r="L469" s="164" t="s">
        <v>111</v>
      </c>
    </row>
    <row r="470" spans="1:12">
      <c r="A470" s="34" t="s">
        <v>114</v>
      </c>
      <c r="B470" s="344">
        <v>2002</v>
      </c>
      <c r="C470" s="59" t="s">
        <v>86</v>
      </c>
      <c r="D470" s="59">
        <v>146</v>
      </c>
      <c r="E470" s="503" t="s">
        <v>110</v>
      </c>
      <c r="F470" s="29">
        <v>1</v>
      </c>
      <c r="G470" s="9">
        <v>1</v>
      </c>
      <c r="H470" s="9">
        <v>1</v>
      </c>
      <c r="I470" s="9">
        <v>2</v>
      </c>
      <c r="J470" s="43">
        <v>2</v>
      </c>
      <c r="K470" s="265">
        <f t="shared" si="7"/>
        <v>0.35859414261160716</v>
      </c>
      <c r="L470" s="164" t="s">
        <v>111</v>
      </c>
    </row>
    <row r="471" spans="1:12">
      <c r="A471" s="34" t="s">
        <v>114</v>
      </c>
      <c r="B471" s="344">
        <v>2002</v>
      </c>
      <c r="C471" s="59" t="s">
        <v>87</v>
      </c>
      <c r="D471" s="59">
        <v>243</v>
      </c>
      <c r="E471" s="503" t="s">
        <v>110</v>
      </c>
      <c r="F471" s="29">
        <v>1</v>
      </c>
      <c r="G471" s="9">
        <v>1</v>
      </c>
      <c r="H471" s="9">
        <v>1</v>
      </c>
      <c r="I471" s="9">
        <v>2</v>
      </c>
      <c r="J471" s="43">
        <v>2</v>
      </c>
      <c r="K471" s="265">
        <f t="shared" si="7"/>
        <v>0.35859414261160716</v>
      </c>
      <c r="L471" s="164" t="s">
        <v>111</v>
      </c>
    </row>
    <row r="472" spans="1:12">
      <c r="A472" s="34" t="s">
        <v>114</v>
      </c>
      <c r="B472" s="344">
        <v>2002</v>
      </c>
      <c r="C472" s="59" t="s">
        <v>88</v>
      </c>
      <c r="D472" s="59">
        <v>73</v>
      </c>
      <c r="E472" s="503" t="s">
        <v>110</v>
      </c>
      <c r="F472" s="29">
        <v>1</v>
      </c>
      <c r="G472" s="9">
        <v>1</v>
      </c>
      <c r="H472" s="9">
        <v>1</v>
      </c>
      <c r="I472" s="9">
        <v>2</v>
      </c>
      <c r="J472" s="43">
        <v>2</v>
      </c>
      <c r="K472" s="265">
        <f t="shared" si="7"/>
        <v>0.35859414261160716</v>
      </c>
      <c r="L472" s="164" t="s">
        <v>111</v>
      </c>
    </row>
    <row r="473" spans="1:12">
      <c r="A473" s="34" t="s">
        <v>114</v>
      </c>
      <c r="B473" s="344">
        <v>2002</v>
      </c>
      <c r="C473" s="59" t="s">
        <v>89</v>
      </c>
      <c r="D473" s="59">
        <v>30</v>
      </c>
      <c r="E473" s="503" t="s">
        <v>110</v>
      </c>
      <c r="F473" s="29">
        <v>1</v>
      </c>
      <c r="G473" s="9">
        <v>1</v>
      </c>
      <c r="H473" s="9">
        <v>1</v>
      </c>
      <c r="I473" s="9">
        <v>2</v>
      </c>
      <c r="J473" s="43">
        <v>2</v>
      </c>
      <c r="K473" s="265">
        <f t="shared" si="7"/>
        <v>0.35859414261160716</v>
      </c>
      <c r="L473" s="164" t="s">
        <v>111</v>
      </c>
    </row>
    <row r="474" spans="1:12">
      <c r="A474" s="34" t="s">
        <v>114</v>
      </c>
      <c r="B474" s="344">
        <v>2002</v>
      </c>
      <c r="C474" s="59" t="s">
        <v>90</v>
      </c>
      <c r="D474" s="59">
        <v>197</v>
      </c>
      <c r="E474" s="503" t="s">
        <v>110</v>
      </c>
      <c r="F474" s="29">
        <v>1</v>
      </c>
      <c r="G474" s="9">
        <v>1</v>
      </c>
      <c r="H474" s="9">
        <v>1</v>
      </c>
      <c r="I474" s="9">
        <v>2</v>
      </c>
      <c r="J474" s="43">
        <v>2</v>
      </c>
      <c r="K474" s="265">
        <f t="shared" si="7"/>
        <v>0.35859414261160716</v>
      </c>
      <c r="L474" s="164" t="s">
        <v>111</v>
      </c>
    </row>
    <row r="475" spans="1:12">
      <c r="A475" s="34" t="s">
        <v>114</v>
      </c>
      <c r="B475" s="344">
        <v>2002</v>
      </c>
      <c r="C475" s="59" t="s">
        <v>91</v>
      </c>
      <c r="D475" s="59">
        <v>118</v>
      </c>
      <c r="E475" s="503" t="s">
        <v>110</v>
      </c>
      <c r="F475" s="29">
        <v>1</v>
      </c>
      <c r="G475" s="9">
        <v>1</v>
      </c>
      <c r="H475" s="9">
        <v>1</v>
      </c>
      <c r="I475" s="9">
        <v>2</v>
      </c>
      <c r="J475" s="43">
        <v>2</v>
      </c>
      <c r="K475" s="265">
        <f t="shared" si="7"/>
        <v>0.35859414261160716</v>
      </c>
      <c r="L475" s="164" t="s">
        <v>111</v>
      </c>
    </row>
    <row r="476" spans="1:12">
      <c r="A476" s="34" t="s">
        <v>114</v>
      </c>
      <c r="B476" s="344">
        <v>2002</v>
      </c>
      <c r="C476" s="59" t="s">
        <v>94</v>
      </c>
      <c r="D476" s="59">
        <v>30</v>
      </c>
      <c r="E476" s="503" t="s">
        <v>110</v>
      </c>
      <c r="F476" s="29">
        <v>1</v>
      </c>
      <c r="G476" s="9">
        <v>1</v>
      </c>
      <c r="H476" s="9">
        <v>1</v>
      </c>
      <c r="I476" s="9">
        <v>2</v>
      </c>
      <c r="J476" s="43">
        <v>2</v>
      </c>
      <c r="K476" s="265">
        <f t="shared" si="7"/>
        <v>0.35859414261160716</v>
      </c>
      <c r="L476" s="164" t="s">
        <v>111</v>
      </c>
    </row>
    <row r="477" spans="1:12">
      <c r="A477" s="34" t="s">
        <v>114</v>
      </c>
      <c r="B477" s="344">
        <v>2002</v>
      </c>
      <c r="C477" s="59" t="s">
        <v>96</v>
      </c>
      <c r="D477" s="59">
        <v>62</v>
      </c>
      <c r="E477" s="503" t="s">
        <v>110</v>
      </c>
      <c r="F477" s="29">
        <v>1</v>
      </c>
      <c r="G477" s="9">
        <v>1</v>
      </c>
      <c r="H477" s="9">
        <v>1</v>
      </c>
      <c r="I477" s="9">
        <v>2</v>
      </c>
      <c r="J477" s="43">
        <v>2</v>
      </c>
      <c r="K477" s="265">
        <f t="shared" si="7"/>
        <v>0.35859414261160716</v>
      </c>
      <c r="L477" s="164" t="s">
        <v>111</v>
      </c>
    </row>
    <row r="478" spans="1:12">
      <c r="A478" s="34" t="s">
        <v>114</v>
      </c>
      <c r="B478" s="344">
        <v>2002</v>
      </c>
      <c r="C478" s="59" t="s">
        <v>97</v>
      </c>
      <c r="D478" s="59">
        <v>179</v>
      </c>
      <c r="E478" s="503" t="s">
        <v>110</v>
      </c>
      <c r="F478" s="29">
        <v>1</v>
      </c>
      <c r="G478" s="9">
        <v>1</v>
      </c>
      <c r="H478" s="9">
        <v>1</v>
      </c>
      <c r="I478" s="9">
        <v>2</v>
      </c>
      <c r="J478" s="43">
        <v>2</v>
      </c>
      <c r="K478" s="265">
        <f t="shared" si="7"/>
        <v>0.35859414261160716</v>
      </c>
      <c r="L478" s="164" t="s">
        <v>111</v>
      </c>
    </row>
    <row r="479" spans="1:12">
      <c r="A479" s="34" t="s">
        <v>114</v>
      </c>
      <c r="B479" s="344">
        <v>2002</v>
      </c>
      <c r="C479" s="59" t="s">
        <v>95</v>
      </c>
      <c r="D479" s="59">
        <v>44</v>
      </c>
      <c r="E479" s="503" t="s">
        <v>110</v>
      </c>
      <c r="F479" s="29">
        <v>1</v>
      </c>
      <c r="G479" s="9">
        <v>1</v>
      </c>
      <c r="H479" s="9">
        <v>1</v>
      </c>
      <c r="I479" s="9">
        <v>2</v>
      </c>
      <c r="J479" s="43">
        <v>2</v>
      </c>
      <c r="K479" s="265">
        <f t="shared" si="7"/>
        <v>0.35859414261160716</v>
      </c>
      <c r="L479" s="164" t="s">
        <v>111</v>
      </c>
    </row>
    <row r="480" spans="1:12">
      <c r="A480" s="34" t="s">
        <v>114</v>
      </c>
      <c r="B480" s="344">
        <v>2002</v>
      </c>
      <c r="C480" s="59" t="s">
        <v>93</v>
      </c>
      <c r="D480" s="59">
        <v>20</v>
      </c>
      <c r="E480" s="503" t="s">
        <v>110</v>
      </c>
      <c r="F480" s="29">
        <v>1</v>
      </c>
      <c r="G480" s="9">
        <v>1</v>
      </c>
      <c r="H480" s="9">
        <v>1</v>
      </c>
      <c r="I480" s="9">
        <v>2</v>
      </c>
      <c r="J480" s="43">
        <v>2</v>
      </c>
      <c r="K480" s="265">
        <f t="shared" si="7"/>
        <v>0.35859414261160716</v>
      </c>
      <c r="L480" s="164" t="s">
        <v>111</v>
      </c>
    </row>
    <row r="481" spans="1:12">
      <c r="A481" s="34" t="s">
        <v>114</v>
      </c>
      <c r="B481" s="344">
        <v>2002</v>
      </c>
      <c r="C481" s="59" t="s">
        <v>98</v>
      </c>
      <c r="D481" s="59">
        <v>723</v>
      </c>
      <c r="E481" s="503" t="s">
        <v>110</v>
      </c>
      <c r="F481" s="29">
        <v>1</v>
      </c>
      <c r="G481" s="9">
        <v>1</v>
      </c>
      <c r="H481" s="9">
        <v>1</v>
      </c>
      <c r="I481" s="9">
        <v>2</v>
      </c>
      <c r="J481" s="43">
        <v>2</v>
      </c>
      <c r="K481" s="265">
        <f t="shared" si="7"/>
        <v>0.35859414261160716</v>
      </c>
      <c r="L481" s="164" t="s">
        <v>111</v>
      </c>
    </row>
    <row r="482" spans="1:12">
      <c r="A482" s="34" t="s">
        <v>114</v>
      </c>
      <c r="B482" s="344">
        <v>2003</v>
      </c>
      <c r="C482" s="59" t="s">
        <v>85</v>
      </c>
      <c r="D482" s="59">
        <v>534</v>
      </c>
      <c r="E482" s="503" t="s">
        <v>110</v>
      </c>
      <c r="F482" s="29">
        <v>1</v>
      </c>
      <c r="G482" s="9">
        <v>1</v>
      </c>
      <c r="H482" s="9">
        <v>1</v>
      </c>
      <c r="I482" s="9">
        <v>2</v>
      </c>
      <c r="J482" s="43">
        <v>2</v>
      </c>
      <c r="K482" s="265">
        <f t="shared" si="7"/>
        <v>0.35859414261160716</v>
      </c>
      <c r="L482" s="164" t="s">
        <v>111</v>
      </c>
    </row>
    <row r="483" spans="1:12">
      <c r="A483" s="34" t="s">
        <v>114</v>
      </c>
      <c r="B483" s="344">
        <v>2003</v>
      </c>
      <c r="C483" s="59" t="s">
        <v>86</v>
      </c>
      <c r="D483" s="59">
        <v>157</v>
      </c>
      <c r="E483" s="503" t="s">
        <v>110</v>
      </c>
      <c r="F483" s="29">
        <v>1</v>
      </c>
      <c r="G483" s="9">
        <v>1</v>
      </c>
      <c r="H483" s="9">
        <v>1</v>
      </c>
      <c r="I483" s="9">
        <v>2</v>
      </c>
      <c r="J483" s="43">
        <v>2</v>
      </c>
      <c r="K483" s="265">
        <f t="shared" si="7"/>
        <v>0.35859414261160716</v>
      </c>
      <c r="L483" s="164" t="s">
        <v>111</v>
      </c>
    </row>
    <row r="484" spans="1:12">
      <c r="A484" s="34" t="s">
        <v>114</v>
      </c>
      <c r="B484" s="344">
        <v>2003</v>
      </c>
      <c r="C484" s="59" t="s">
        <v>87</v>
      </c>
      <c r="D484" s="59">
        <v>190</v>
      </c>
      <c r="E484" s="503" t="s">
        <v>110</v>
      </c>
      <c r="F484" s="29">
        <v>1</v>
      </c>
      <c r="G484" s="9">
        <v>1</v>
      </c>
      <c r="H484" s="9">
        <v>1</v>
      </c>
      <c r="I484" s="9">
        <v>2</v>
      </c>
      <c r="J484" s="43">
        <v>2</v>
      </c>
      <c r="K484" s="265">
        <f t="shared" si="7"/>
        <v>0.35859414261160716</v>
      </c>
      <c r="L484" s="164" t="s">
        <v>111</v>
      </c>
    </row>
    <row r="485" spans="1:12">
      <c r="A485" s="34" t="s">
        <v>114</v>
      </c>
      <c r="B485" s="344">
        <v>2003</v>
      </c>
      <c r="C485" s="59" t="s">
        <v>88</v>
      </c>
      <c r="D485" s="59">
        <v>68</v>
      </c>
      <c r="E485" s="503" t="s">
        <v>110</v>
      </c>
      <c r="F485" s="29">
        <v>1</v>
      </c>
      <c r="G485" s="9">
        <v>1</v>
      </c>
      <c r="H485" s="9">
        <v>1</v>
      </c>
      <c r="I485" s="9">
        <v>2</v>
      </c>
      <c r="J485" s="43">
        <v>2</v>
      </c>
      <c r="K485" s="265">
        <f t="shared" si="7"/>
        <v>0.35859414261160716</v>
      </c>
      <c r="L485" s="164" t="s">
        <v>111</v>
      </c>
    </row>
    <row r="486" spans="1:12">
      <c r="A486" s="34" t="s">
        <v>114</v>
      </c>
      <c r="B486" s="344">
        <v>2003</v>
      </c>
      <c r="C486" s="59" t="s">
        <v>89</v>
      </c>
      <c r="D486" s="59">
        <v>34</v>
      </c>
      <c r="E486" s="503" t="s">
        <v>110</v>
      </c>
      <c r="F486" s="29">
        <v>1</v>
      </c>
      <c r="G486" s="9">
        <v>1</v>
      </c>
      <c r="H486" s="9">
        <v>1</v>
      </c>
      <c r="I486" s="9">
        <v>2</v>
      </c>
      <c r="J486" s="43">
        <v>2</v>
      </c>
      <c r="K486" s="265">
        <f t="shared" si="7"/>
        <v>0.35859414261160716</v>
      </c>
      <c r="L486" s="164" t="s">
        <v>111</v>
      </c>
    </row>
    <row r="487" spans="1:12">
      <c r="A487" s="34" t="s">
        <v>114</v>
      </c>
      <c r="B487" s="344">
        <v>2003</v>
      </c>
      <c r="C487" s="59" t="s">
        <v>90</v>
      </c>
      <c r="D487" s="59">
        <v>151</v>
      </c>
      <c r="E487" s="503" t="s">
        <v>110</v>
      </c>
      <c r="F487" s="29">
        <v>1</v>
      </c>
      <c r="G487" s="9">
        <v>1</v>
      </c>
      <c r="H487" s="9">
        <v>1</v>
      </c>
      <c r="I487" s="9">
        <v>2</v>
      </c>
      <c r="J487" s="43">
        <v>2</v>
      </c>
      <c r="K487" s="265">
        <f t="shared" si="7"/>
        <v>0.35859414261160716</v>
      </c>
      <c r="L487" s="164" t="s">
        <v>111</v>
      </c>
    </row>
    <row r="488" spans="1:12">
      <c r="A488" s="34" t="s">
        <v>114</v>
      </c>
      <c r="B488" s="344">
        <v>2003</v>
      </c>
      <c r="C488" s="59" t="s">
        <v>91</v>
      </c>
      <c r="D488" s="59">
        <v>119</v>
      </c>
      <c r="E488" s="503" t="s">
        <v>110</v>
      </c>
      <c r="F488" s="29">
        <v>1</v>
      </c>
      <c r="G488" s="9">
        <v>1</v>
      </c>
      <c r="H488" s="9">
        <v>1</v>
      </c>
      <c r="I488" s="9">
        <v>2</v>
      </c>
      <c r="J488" s="43">
        <v>2</v>
      </c>
      <c r="K488" s="265">
        <f t="shared" si="7"/>
        <v>0.35859414261160716</v>
      </c>
      <c r="L488" s="164" t="s">
        <v>111</v>
      </c>
    </row>
    <row r="489" spans="1:12">
      <c r="A489" s="34" t="s">
        <v>114</v>
      </c>
      <c r="B489" s="344">
        <v>2003</v>
      </c>
      <c r="C489" s="59" t="s">
        <v>94</v>
      </c>
      <c r="D489" s="59">
        <v>31</v>
      </c>
      <c r="E489" s="503" t="s">
        <v>110</v>
      </c>
      <c r="F489" s="29">
        <v>1</v>
      </c>
      <c r="G489" s="9">
        <v>1</v>
      </c>
      <c r="H489" s="9">
        <v>1</v>
      </c>
      <c r="I489" s="9">
        <v>2</v>
      </c>
      <c r="J489" s="43">
        <v>2</v>
      </c>
      <c r="K489" s="265">
        <f t="shared" si="7"/>
        <v>0.35859414261160716</v>
      </c>
      <c r="L489" s="164" t="s">
        <v>111</v>
      </c>
    </row>
    <row r="490" spans="1:12">
      <c r="A490" s="34" t="s">
        <v>114</v>
      </c>
      <c r="B490" s="344">
        <v>2003</v>
      </c>
      <c r="C490" s="59" t="s">
        <v>96</v>
      </c>
      <c r="D490" s="59">
        <v>78</v>
      </c>
      <c r="E490" s="503" t="s">
        <v>110</v>
      </c>
      <c r="F490" s="29">
        <v>1</v>
      </c>
      <c r="G490" s="9">
        <v>1</v>
      </c>
      <c r="H490" s="9">
        <v>1</v>
      </c>
      <c r="I490" s="9">
        <v>2</v>
      </c>
      <c r="J490" s="43">
        <v>2</v>
      </c>
      <c r="K490" s="265">
        <f t="shared" si="7"/>
        <v>0.35859414261160716</v>
      </c>
      <c r="L490" s="164" t="s">
        <v>111</v>
      </c>
    </row>
    <row r="491" spans="1:12">
      <c r="A491" s="34" t="s">
        <v>114</v>
      </c>
      <c r="B491" s="344">
        <v>2003</v>
      </c>
      <c r="C491" s="59" t="s">
        <v>97</v>
      </c>
      <c r="D491" s="59">
        <v>117</v>
      </c>
      <c r="E491" s="503" t="s">
        <v>110</v>
      </c>
      <c r="F491" s="29">
        <v>1</v>
      </c>
      <c r="G491" s="9">
        <v>1</v>
      </c>
      <c r="H491" s="9">
        <v>1</v>
      </c>
      <c r="I491" s="9">
        <v>2</v>
      </c>
      <c r="J491" s="43">
        <v>2</v>
      </c>
      <c r="K491" s="265">
        <f t="shared" si="7"/>
        <v>0.35859414261160716</v>
      </c>
      <c r="L491" s="164" t="s">
        <v>111</v>
      </c>
    </row>
    <row r="492" spans="1:12">
      <c r="A492" s="34" t="s">
        <v>114</v>
      </c>
      <c r="B492" s="344">
        <v>2003</v>
      </c>
      <c r="C492" s="59" t="s">
        <v>95</v>
      </c>
      <c r="D492" s="59">
        <v>57</v>
      </c>
      <c r="E492" s="503" t="s">
        <v>110</v>
      </c>
      <c r="F492" s="29">
        <v>1</v>
      </c>
      <c r="G492" s="9">
        <v>1</v>
      </c>
      <c r="H492" s="9">
        <v>1</v>
      </c>
      <c r="I492" s="9">
        <v>2</v>
      </c>
      <c r="J492" s="43">
        <v>2</v>
      </c>
      <c r="K492" s="265">
        <f t="shared" si="7"/>
        <v>0.35859414261160716</v>
      </c>
      <c r="L492" s="164" t="s">
        <v>111</v>
      </c>
    </row>
    <row r="493" spans="1:12">
      <c r="A493" s="34" t="s">
        <v>114</v>
      </c>
      <c r="B493" s="344">
        <v>2003</v>
      </c>
      <c r="C493" s="59" t="s">
        <v>93</v>
      </c>
      <c r="D493" s="59">
        <v>19</v>
      </c>
      <c r="E493" s="503" t="s">
        <v>110</v>
      </c>
      <c r="F493" s="29">
        <v>1</v>
      </c>
      <c r="G493" s="9">
        <v>1</v>
      </c>
      <c r="H493" s="9">
        <v>1</v>
      </c>
      <c r="I493" s="9">
        <v>2</v>
      </c>
      <c r="J493" s="43">
        <v>2</v>
      </c>
      <c r="K493" s="265">
        <f t="shared" si="7"/>
        <v>0.35859414261160716</v>
      </c>
      <c r="L493" s="164" t="s">
        <v>111</v>
      </c>
    </row>
    <row r="494" spans="1:12">
      <c r="A494" s="34" t="s">
        <v>114</v>
      </c>
      <c r="B494" s="344">
        <v>2003</v>
      </c>
      <c r="C494" s="59" t="s">
        <v>98</v>
      </c>
      <c r="D494" s="59">
        <v>698</v>
      </c>
      <c r="E494" s="503" t="s">
        <v>110</v>
      </c>
      <c r="F494" s="29">
        <v>1</v>
      </c>
      <c r="G494" s="9">
        <v>1</v>
      </c>
      <c r="H494" s="9">
        <v>1</v>
      </c>
      <c r="I494" s="9">
        <v>2</v>
      </c>
      <c r="J494" s="43">
        <v>2</v>
      </c>
      <c r="K494" s="265">
        <f t="shared" si="7"/>
        <v>0.35859414261160716</v>
      </c>
      <c r="L494" s="164" t="s">
        <v>111</v>
      </c>
    </row>
    <row r="495" spans="1:12">
      <c r="A495" s="34" t="s">
        <v>114</v>
      </c>
      <c r="B495" s="344">
        <v>2004</v>
      </c>
      <c r="C495" s="59" t="s">
        <v>85</v>
      </c>
      <c r="D495" s="59">
        <v>602</v>
      </c>
      <c r="E495" s="503" t="s">
        <v>110</v>
      </c>
      <c r="F495" s="29">
        <v>1</v>
      </c>
      <c r="G495" s="9">
        <v>1</v>
      </c>
      <c r="H495" s="9">
        <v>1</v>
      </c>
      <c r="I495" s="9">
        <v>2</v>
      </c>
      <c r="J495" s="43">
        <v>2</v>
      </c>
      <c r="K495" s="265">
        <f t="shared" si="7"/>
        <v>0.35859414261160716</v>
      </c>
      <c r="L495" s="164" t="s">
        <v>111</v>
      </c>
    </row>
    <row r="496" spans="1:12">
      <c r="A496" s="34" t="s">
        <v>114</v>
      </c>
      <c r="B496" s="344">
        <v>2004</v>
      </c>
      <c r="C496" s="59" t="s">
        <v>86</v>
      </c>
      <c r="D496" s="59">
        <v>162</v>
      </c>
      <c r="E496" s="503" t="s">
        <v>110</v>
      </c>
      <c r="F496" s="29">
        <v>1</v>
      </c>
      <c r="G496" s="9">
        <v>1</v>
      </c>
      <c r="H496" s="9">
        <v>1</v>
      </c>
      <c r="I496" s="9">
        <v>2</v>
      </c>
      <c r="J496" s="43">
        <v>2</v>
      </c>
      <c r="K496" s="265">
        <f t="shared" si="7"/>
        <v>0.35859414261160716</v>
      </c>
      <c r="L496" s="164" t="s">
        <v>111</v>
      </c>
    </row>
    <row r="497" spans="1:12">
      <c r="A497" s="34" t="s">
        <v>114</v>
      </c>
      <c r="B497" s="344">
        <v>2004</v>
      </c>
      <c r="C497" s="59" t="s">
        <v>87</v>
      </c>
      <c r="D497" s="59">
        <v>190</v>
      </c>
      <c r="E497" s="503" t="s">
        <v>110</v>
      </c>
      <c r="F497" s="29">
        <v>1</v>
      </c>
      <c r="G497" s="9">
        <v>1</v>
      </c>
      <c r="H497" s="9">
        <v>1</v>
      </c>
      <c r="I497" s="9">
        <v>2</v>
      </c>
      <c r="J497" s="43">
        <v>2</v>
      </c>
      <c r="K497" s="265">
        <f t="shared" si="7"/>
        <v>0.35859414261160716</v>
      </c>
      <c r="L497" s="164" t="s">
        <v>111</v>
      </c>
    </row>
    <row r="498" spans="1:12">
      <c r="A498" s="34" t="s">
        <v>114</v>
      </c>
      <c r="B498" s="344">
        <v>2004</v>
      </c>
      <c r="C498" s="59" t="s">
        <v>88</v>
      </c>
      <c r="D498" s="59">
        <v>69</v>
      </c>
      <c r="E498" s="503" t="s">
        <v>110</v>
      </c>
      <c r="F498" s="29">
        <v>1</v>
      </c>
      <c r="G498" s="9">
        <v>1</v>
      </c>
      <c r="H498" s="9">
        <v>1</v>
      </c>
      <c r="I498" s="9">
        <v>2</v>
      </c>
      <c r="J498" s="43">
        <v>2</v>
      </c>
      <c r="K498" s="265">
        <f t="shared" si="7"/>
        <v>0.35859414261160716</v>
      </c>
      <c r="L498" s="164" t="s">
        <v>111</v>
      </c>
    </row>
    <row r="499" spans="1:12">
      <c r="A499" s="34" t="s">
        <v>114</v>
      </c>
      <c r="B499" s="344">
        <v>2004</v>
      </c>
      <c r="C499" s="59" t="s">
        <v>89</v>
      </c>
      <c r="D499" s="59">
        <v>40</v>
      </c>
      <c r="E499" s="503" t="s">
        <v>110</v>
      </c>
      <c r="F499" s="29">
        <v>1</v>
      </c>
      <c r="G499" s="9">
        <v>1</v>
      </c>
      <c r="H499" s="9">
        <v>1</v>
      </c>
      <c r="I499" s="9">
        <v>2</v>
      </c>
      <c r="J499" s="43">
        <v>2</v>
      </c>
      <c r="K499" s="265">
        <f t="shared" si="7"/>
        <v>0.35859414261160716</v>
      </c>
      <c r="L499" s="164" t="s">
        <v>111</v>
      </c>
    </row>
    <row r="500" spans="1:12">
      <c r="A500" s="34" t="s">
        <v>114</v>
      </c>
      <c r="B500" s="344">
        <v>2004</v>
      </c>
      <c r="C500" s="59" t="s">
        <v>90</v>
      </c>
      <c r="D500" s="59">
        <v>162</v>
      </c>
      <c r="E500" s="503" t="s">
        <v>110</v>
      </c>
      <c r="F500" s="29">
        <v>1</v>
      </c>
      <c r="G500" s="9">
        <v>1</v>
      </c>
      <c r="H500" s="9">
        <v>1</v>
      </c>
      <c r="I500" s="9">
        <v>2</v>
      </c>
      <c r="J500" s="43">
        <v>2</v>
      </c>
      <c r="K500" s="265">
        <f t="shared" si="7"/>
        <v>0.35859414261160716</v>
      </c>
      <c r="L500" s="164" t="s">
        <v>111</v>
      </c>
    </row>
    <row r="501" spans="1:12">
      <c r="A501" s="34" t="s">
        <v>114</v>
      </c>
      <c r="B501" s="344">
        <v>2004</v>
      </c>
      <c r="C501" s="59" t="s">
        <v>91</v>
      </c>
      <c r="D501" s="59">
        <v>107</v>
      </c>
      <c r="E501" s="503" t="s">
        <v>110</v>
      </c>
      <c r="F501" s="29">
        <v>1</v>
      </c>
      <c r="G501" s="9">
        <v>1</v>
      </c>
      <c r="H501" s="9">
        <v>1</v>
      </c>
      <c r="I501" s="9">
        <v>2</v>
      </c>
      <c r="J501" s="43">
        <v>2</v>
      </c>
      <c r="K501" s="265">
        <f t="shared" si="7"/>
        <v>0.35859414261160716</v>
      </c>
      <c r="L501" s="164" t="s">
        <v>111</v>
      </c>
    </row>
    <row r="502" spans="1:12">
      <c r="A502" s="34" t="s">
        <v>114</v>
      </c>
      <c r="B502" s="344">
        <v>2004</v>
      </c>
      <c r="C502" s="59" t="s">
        <v>94</v>
      </c>
      <c r="D502" s="59">
        <v>16</v>
      </c>
      <c r="E502" s="503" t="s">
        <v>110</v>
      </c>
      <c r="F502" s="29">
        <v>1</v>
      </c>
      <c r="G502" s="9">
        <v>1</v>
      </c>
      <c r="H502" s="9">
        <v>1</v>
      </c>
      <c r="I502" s="9">
        <v>2</v>
      </c>
      <c r="J502" s="43">
        <v>2</v>
      </c>
      <c r="K502" s="265">
        <f t="shared" si="7"/>
        <v>0.35859414261160716</v>
      </c>
      <c r="L502" s="164" t="s">
        <v>111</v>
      </c>
    </row>
    <row r="503" spans="1:12">
      <c r="A503" s="34" t="s">
        <v>114</v>
      </c>
      <c r="B503" s="344">
        <v>2004</v>
      </c>
      <c r="C503" s="59" t="s">
        <v>96</v>
      </c>
      <c r="D503" s="59">
        <v>82</v>
      </c>
      <c r="E503" s="503" t="s">
        <v>110</v>
      </c>
      <c r="F503" s="29">
        <v>1</v>
      </c>
      <c r="G503" s="9">
        <v>1</v>
      </c>
      <c r="H503" s="9">
        <v>1</v>
      </c>
      <c r="I503" s="9">
        <v>2</v>
      </c>
      <c r="J503" s="43">
        <v>2</v>
      </c>
      <c r="K503" s="265">
        <f t="shared" si="7"/>
        <v>0.35859414261160716</v>
      </c>
      <c r="L503" s="164" t="s">
        <v>111</v>
      </c>
    </row>
    <row r="504" spans="1:12">
      <c r="A504" s="34" t="s">
        <v>114</v>
      </c>
      <c r="B504" s="344">
        <v>2004</v>
      </c>
      <c r="C504" s="59" t="s">
        <v>97</v>
      </c>
      <c r="D504" s="59">
        <v>192</v>
      </c>
      <c r="E504" s="503" t="s">
        <v>110</v>
      </c>
      <c r="F504" s="29">
        <v>1</v>
      </c>
      <c r="G504" s="9">
        <v>1</v>
      </c>
      <c r="H504" s="9">
        <v>1</v>
      </c>
      <c r="I504" s="9">
        <v>2</v>
      </c>
      <c r="J504" s="43">
        <v>2</v>
      </c>
      <c r="K504" s="265">
        <f t="shared" si="7"/>
        <v>0.35859414261160716</v>
      </c>
      <c r="L504" s="164" t="s">
        <v>111</v>
      </c>
    </row>
    <row r="505" spans="1:12">
      <c r="A505" s="34" t="s">
        <v>114</v>
      </c>
      <c r="B505" s="344">
        <v>2004</v>
      </c>
      <c r="C505" s="59" t="s">
        <v>95</v>
      </c>
      <c r="D505" s="59">
        <v>75</v>
      </c>
      <c r="E505" s="503" t="s">
        <v>110</v>
      </c>
      <c r="F505" s="29">
        <v>1</v>
      </c>
      <c r="G505" s="9">
        <v>1</v>
      </c>
      <c r="H505" s="9">
        <v>1</v>
      </c>
      <c r="I505" s="9">
        <v>2</v>
      </c>
      <c r="J505" s="43">
        <v>2</v>
      </c>
      <c r="K505" s="265">
        <f t="shared" si="7"/>
        <v>0.35859414261160716</v>
      </c>
      <c r="L505" s="164" t="s">
        <v>111</v>
      </c>
    </row>
    <row r="506" spans="1:12">
      <c r="A506" s="34" t="s">
        <v>114</v>
      </c>
      <c r="B506" s="344">
        <v>2004</v>
      </c>
      <c r="C506" s="59" t="s">
        <v>93</v>
      </c>
      <c r="D506" s="59">
        <v>21</v>
      </c>
      <c r="E506" s="503" t="s">
        <v>110</v>
      </c>
      <c r="F506" s="29">
        <v>1</v>
      </c>
      <c r="G506" s="9">
        <v>1</v>
      </c>
      <c r="H506" s="9">
        <v>1</v>
      </c>
      <c r="I506" s="9">
        <v>2</v>
      </c>
      <c r="J506" s="43">
        <v>2</v>
      </c>
      <c r="K506" s="265">
        <f t="shared" si="7"/>
        <v>0.35859414261160716</v>
      </c>
      <c r="L506" s="164" t="s">
        <v>111</v>
      </c>
    </row>
    <row r="507" spans="1:12">
      <c r="A507" s="34" t="s">
        <v>114</v>
      </c>
      <c r="B507" s="344">
        <v>2004</v>
      </c>
      <c r="C507" s="59" t="s">
        <v>98</v>
      </c>
      <c r="D507" s="59">
        <v>802</v>
      </c>
      <c r="E507" s="503" t="s">
        <v>110</v>
      </c>
      <c r="F507" s="29">
        <v>1</v>
      </c>
      <c r="G507" s="9">
        <v>1</v>
      </c>
      <c r="H507" s="9">
        <v>1</v>
      </c>
      <c r="I507" s="9">
        <v>2</v>
      </c>
      <c r="J507" s="43">
        <v>2</v>
      </c>
      <c r="K507" s="265">
        <f t="shared" si="7"/>
        <v>0.35859414261160716</v>
      </c>
      <c r="L507" s="164" t="s">
        <v>111</v>
      </c>
    </row>
    <row r="508" spans="1:12">
      <c r="A508" s="34" t="s">
        <v>114</v>
      </c>
      <c r="B508" s="344">
        <v>2005</v>
      </c>
      <c r="C508" s="59" t="s">
        <v>85</v>
      </c>
      <c r="D508" s="59">
        <v>700</v>
      </c>
      <c r="E508" s="503" t="s">
        <v>110</v>
      </c>
      <c r="F508" s="29">
        <v>1</v>
      </c>
      <c r="G508" s="9">
        <v>1</v>
      </c>
      <c r="H508" s="9">
        <v>1</v>
      </c>
      <c r="I508" s="9">
        <v>2</v>
      </c>
      <c r="J508" s="43">
        <v>2</v>
      </c>
      <c r="K508" s="265">
        <f t="shared" si="7"/>
        <v>0.35859414261160716</v>
      </c>
      <c r="L508" s="164" t="s">
        <v>111</v>
      </c>
    </row>
    <row r="509" spans="1:12">
      <c r="A509" s="34" t="s">
        <v>114</v>
      </c>
      <c r="B509" s="344">
        <v>2005</v>
      </c>
      <c r="C509" s="59" t="s">
        <v>86</v>
      </c>
      <c r="D509" s="59">
        <v>172</v>
      </c>
      <c r="E509" s="503" t="s">
        <v>110</v>
      </c>
      <c r="F509" s="29">
        <v>1</v>
      </c>
      <c r="G509" s="9">
        <v>1</v>
      </c>
      <c r="H509" s="9">
        <v>1</v>
      </c>
      <c r="I509" s="9">
        <v>2</v>
      </c>
      <c r="J509" s="43">
        <v>2</v>
      </c>
      <c r="K509" s="265">
        <f t="shared" ref="K509:K572" si="8">IF( OR( ISBLANK(F509),ISBLANK(G509), ISBLANK(H509), ISBLANK(I509), ISBLANK(J509) ), "", 1.5*SQRT(   EXP(2.21*(F509-1)) + EXP(2.21*(G509-1)) + EXP(2.21*(H509-1)) + EXP(2.21*(I509-1)) + EXP(2.21*J509)   )/100*2.45 )</f>
        <v>0.35859414261160716</v>
      </c>
      <c r="L509" s="164" t="s">
        <v>111</v>
      </c>
    </row>
    <row r="510" spans="1:12">
      <c r="A510" s="34" t="s">
        <v>114</v>
      </c>
      <c r="B510" s="344">
        <v>2005</v>
      </c>
      <c r="C510" s="59" t="s">
        <v>87</v>
      </c>
      <c r="D510" s="59">
        <v>214</v>
      </c>
      <c r="E510" s="503" t="s">
        <v>110</v>
      </c>
      <c r="F510" s="29">
        <v>1</v>
      </c>
      <c r="G510" s="9">
        <v>1</v>
      </c>
      <c r="H510" s="9">
        <v>1</v>
      </c>
      <c r="I510" s="9">
        <v>2</v>
      </c>
      <c r="J510" s="43">
        <v>2</v>
      </c>
      <c r="K510" s="265">
        <f t="shared" si="8"/>
        <v>0.35859414261160716</v>
      </c>
      <c r="L510" s="164" t="s">
        <v>111</v>
      </c>
    </row>
    <row r="511" spans="1:12">
      <c r="A511" s="34" t="s">
        <v>114</v>
      </c>
      <c r="B511" s="344">
        <v>2005</v>
      </c>
      <c r="C511" s="59" t="s">
        <v>88</v>
      </c>
      <c r="D511" s="59">
        <v>96</v>
      </c>
      <c r="E511" s="503" t="s">
        <v>110</v>
      </c>
      <c r="F511" s="29">
        <v>1</v>
      </c>
      <c r="G511" s="9">
        <v>1</v>
      </c>
      <c r="H511" s="9">
        <v>1</v>
      </c>
      <c r="I511" s="9">
        <v>2</v>
      </c>
      <c r="J511" s="43">
        <v>2</v>
      </c>
      <c r="K511" s="265">
        <f t="shared" si="8"/>
        <v>0.35859414261160716</v>
      </c>
      <c r="L511" s="164" t="s">
        <v>111</v>
      </c>
    </row>
    <row r="512" spans="1:12">
      <c r="A512" s="34" t="s">
        <v>114</v>
      </c>
      <c r="B512" s="344">
        <v>2005</v>
      </c>
      <c r="C512" s="59" t="s">
        <v>89</v>
      </c>
      <c r="D512" s="59">
        <v>32</v>
      </c>
      <c r="E512" s="503" t="s">
        <v>110</v>
      </c>
      <c r="F512" s="29">
        <v>1</v>
      </c>
      <c r="G512" s="9">
        <v>1</v>
      </c>
      <c r="H512" s="9">
        <v>1</v>
      </c>
      <c r="I512" s="9">
        <v>2</v>
      </c>
      <c r="J512" s="43">
        <v>2</v>
      </c>
      <c r="K512" s="265">
        <f t="shared" si="8"/>
        <v>0.35859414261160716</v>
      </c>
      <c r="L512" s="164" t="s">
        <v>111</v>
      </c>
    </row>
    <row r="513" spans="1:12">
      <c r="A513" s="34" t="s">
        <v>114</v>
      </c>
      <c r="B513" s="344">
        <v>2005</v>
      </c>
      <c r="C513" s="59" t="s">
        <v>90</v>
      </c>
      <c r="D513" s="59">
        <v>134</v>
      </c>
      <c r="E513" s="503" t="s">
        <v>110</v>
      </c>
      <c r="F513" s="29">
        <v>1</v>
      </c>
      <c r="G513" s="9">
        <v>1</v>
      </c>
      <c r="H513" s="9">
        <v>1</v>
      </c>
      <c r="I513" s="9">
        <v>2</v>
      </c>
      <c r="J513" s="43">
        <v>2</v>
      </c>
      <c r="K513" s="265">
        <f t="shared" si="8"/>
        <v>0.35859414261160716</v>
      </c>
      <c r="L513" s="164" t="s">
        <v>111</v>
      </c>
    </row>
    <row r="514" spans="1:12">
      <c r="A514" s="34" t="s">
        <v>114</v>
      </c>
      <c r="B514" s="344">
        <v>2005</v>
      </c>
      <c r="C514" s="59" t="s">
        <v>91</v>
      </c>
      <c r="D514" s="59">
        <v>161</v>
      </c>
      <c r="E514" s="503" t="s">
        <v>110</v>
      </c>
      <c r="F514" s="29">
        <v>1</v>
      </c>
      <c r="G514" s="9">
        <v>1</v>
      </c>
      <c r="H514" s="9">
        <v>1</v>
      </c>
      <c r="I514" s="9">
        <v>2</v>
      </c>
      <c r="J514" s="43">
        <v>2</v>
      </c>
      <c r="K514" s="265">
        <f t="shared" si="8"/>
        <v>0.35859414261160716</v>
      </c>
      <c r="L514" s="164" t="s">
        <v>111</v>
      </c>
    </row>
    <row r="515" spans="1:12">
      <c r="A515" s="34" t="s">
        <v>114</v>
      </c>
      <c r="B515" s="344">
        <v>2005</v>
      </c>
      <c r="C515" s="59" t="s">
        <v>94</v>
      </c>
      <c r="D515" s="59">
        <v>16</v>
      </c>
      <c r="E515" s="503" t="s">
        <v>110</v>
      </c>
      <c r="F515" s="29">
        <v>1</v>
      </c>
      <c r="G515" s="9">
        <v>1</v>
      </c>
      <c r="H515" s="9">
        <v>1</v>
      </c>
      <c r="I515" s="9">
        <v>2</v>
      </c>
      <c r="J515" s="43">
        <v>2</v>
      </c>
      <c r="K515" s="265">
        <f t="shared" si="8"/>
        <v>0.35859414261160716</v>
      </c>
      <c r="L515" s="164" t="s">
        <v>111</v>
      </c>
    </row>
    <row r="516" spans="1:12">
      <c r="A516" s="34" t="s">
        <v>114</v>
      </c>
      <c r="B516" s="344">
        <v>2005</v>
      </c>
      <c r="C516" s="59" t="s">
        <v>96</v>
      </c>
      <c r="D516" s="59">
        <v>84</v>
      </c>
      <c r="E516" s="503" t="s">
        <v>110</v>
      </c>
      <c r="F516" s="29">
        <v>1</v>
      </c>
      <c r="G516" s="9">
        <v>1</v>
      </c>
      <c r="H516" s="9">
        <v>1</v>
      </c>
      <c r="I516" s="9">
        <v>2</v>
      </c>
      <c r="J516" s="43">
        <v>2</v>
      </c>
      <c r="K516" s="265">
        <f t="shared" si="8"/>
        <v>0.35859414261160716</v>
      </c>
      <c r="L516" s="164" t="s">
        <v>111</v>
      </c>
    </row>
    <row r="517" spans="1:12">
      <c r="A517" s="34" t="s">
        <v>114</v>
      </c>
      <c r="B517" s="344">
        <v>2005</v>
      </c>
      <c r="C517" s="59" t="s">
        <v>97</v>
      </c>
      <c r="D517" s="59">
        <v>187</v>
      </c>
      <c r="E517" s="503" t="s">
        <v>110</v>
      </c>
      <c r="F517" s="29">
        <v>1</v>
      </c>
      <c r="G517" s="9">
        <v>1</v>
      </c>
      <c r="H517" s="9">
        <v>1</v>
      </c>
      <c r="I517" s="9">
        <v>2</v>
      </c>
      <c r="J517" s="43">
        <v>2</v>
      </c>
      <c r="K517" s="265">
        <f t="shared" si="8"/>
        <v>0.35859414261160716</v>
      </c>
      <c r="L517" s="164" t="s">
        <v>111</v>
      </c>
    </row>
    <row r="518" spans="1:12">
      <c r="A518" s="34" t="s">
        <v>114</v>
      </c>
      <c r="B518" s="344">
        <v>2005</v>
      </c>
      <c r="C518" s="59" t="s">
        <v>95</v>
      </c>
      <c r="D518" s="59">
        <v>111</v>
      </c>
      <c r="E518" s="503" t="s">
        <v>110</v>
      </c>
      <c r="F518" s="29">
        <v>1</v>
      </c>
      <c r="G518" s="9">
        <v>1</v>
      </c>
      <c r="H518" s="9">
        <v>1</v>
      </c>
      <c r="I518" s="9">
        <v>2</v>
      </c>
      <c r="J518" s="43">
        <v>2</v>
      </c>
      <c r="K518" s="265">
        <f t="shared" si="8"/>
        <v>0.35859414261160716</v>
      </c>
      <c r="L518" s="164" t="s">
        <v>111</v>
      </c>
    </row>
    <row r="519" spans="1:12">
      <c r="A519" s="34" t="s">
        <v>114</v>
      </c>
      <c r="B519" s="344">
        <v>2005</v>
      </c>
      <c r="C519" s="59" t="s">
        <v>93</v>
      </c>
      <c r="D519" s="59">
        <v>65</v>
      </c>
      <c r="E519" s="503" t="s">
        <v>110</v>
      </c>
      <c r="F519" s="29">
        <v>1</v>
      </c>
      <c r="G519" s="9">
        <v>1</v>
      </c>
      <c r="H519" s="9">
        <v>1</v>
      </c>
      <c r="I519" s="9">
        <v>2</v>
      </c>
      <c r="J519" s="43">
        <v>2</v>
      </c>
      <c r="K519" s="265">
        <f t="shared" si="8"/>
        <v>0.35859414261160716</v>
      </c>
      <c r="L519" s="164" t="s">
        <v>111</v>
      </c>
    </row>
    <row r="520" spans="1:12">
      <c r="A520" s="34" t="s">
        <v>114</v>
      </c>
      <c r="B520" s="344">
        <v>2005</v>
      </c>
      <c r="C520" s="59" t="s">
        <v>98</v>
      </c>
      <c r="D520" s="59">
        <v>783</v>
      </c>
      <c r="E520" s="503" t="s">
        <v>110</v>
      </c>
      <c r="F520" s="29">
        <v>1</v>
      </c>
      <c r="G520" s="9">
        <v>1</v>
      </c>
      <c r="H520" s="9">
        <v>1</v>
      </c>
      <c r="I520" s="9">
        <v>2</v>
      </c>
      <c r="J520" s="43">
        <v>2</v>
      </c>
      <c r="K520" s="265">
        <f t="shared" si="8"/>
        <v>0.35859414261160716</v>
      </c>
      <c r="L520" s="164" t="s">
        <v>111</v>
      </c>
    </row>
    <row r="521" spans="1:12">
      <c r="A521" s="34" t="s">
        <v>114</v>
      </c>
      <c r="B521" s="344">
        <v>2006</v>
      </c>
      <c r="C521" s="59" t="s">
        <v>85</v>
      </c>
      <c r="D521" s="59">
        <v>601</v>
      </c>
      <c r="E521" s="503" t="s">
        <v>110</v>
      </c>
      <c r="F521" s="29">
        <v>1</v>
      </c>
      <c r="G521" s="9">
        <v>1</v>
      </c>
      <c r="H521" s="9">
        <v>1</v>
      </c>
      <c r="I521" s="9">
        <v>2</v>
      </c>
      <c r="J521" s="43">
        <v>2</v>
      </c>
      <c r="K521" s="265">
        <f t="shared" si="8"/>
        <v>0.35859414261160716</v>
      </c>
      <c r="L521" s="164" t="s">
        <v>111</v>
      </c>
    </row>
    <row r="522" spans="1:12">
      <c r="A522" s="34" t="s">
        <v>114</v>
      </c>
      <c r="B522" s="344">
        <v>2006</v>
      </c>
      <c r="C522" s="59" t="s">
        <v>86</v>
      </c>
      <c r="D522" s="59">
        <v>161</v>
      </c>
      <c r="E522" s="503" t="s">
        <v>110</v>
      </c>
      <c r="F522" s="29">
        <v>1</v>
      </c>
      <c r="G522" s="9">
        <v>1</v>
      </c>
      <c r="H522" s="9">
        <v>1</v>
      </c>
      <c r="I522" s="9">
        <v>2</v>
      </c>
      <c r="J522" s="43">
        <v>2</v>
      </c>
      <c r="K522" s="265">
        <f t="shared" si="8"/>
        <v>0.35859414261160716</v>
      </c>
      <c r="L522" s="164" t="s">
        <v>111</v>
      </c>
    </row>
    <row r="523" spans="1:12">
      <c r="A523" s="34" t="s">
        <v>114</v>
      </c>
      <c r="B523" s="344">
        <v>2006</v>
      </c>
      <c r="C523" s="59" t="s">
        <v>87</v>
      </c>
      <c r="D523" s="59">
        <v>251</v>
      </c>
      <c r="E523" s="503" t="s">
        <v>110</v>
      </c>
      <c r="F523" s="29">
        <v>1</v>
      </c>
      <c r="G523" s="9">
        <v>1</v>
      </c>
      <c r="H523" s="9">
        <v>1</v>
      </c>
      <c r="I523" s="9">
        <v>2</v>
      </c>
      <c r="J523" s="43">
        <v>2</v>
      </c>
      <c r="K523" s="265">
        <f t="shared" si="8"/>
        <v>0.35859414261160716</v>
      </c>
      <c r="L523" s="164" t="s">
        <v>111</v>
      </c>
    </row>
    <row r="524" spans="1:12">
      <c r="A524" s="34" t="s">
        <v>114</v>
      </c>
      <c r="B524" s="344">
        <v>2006</v>
      </c>
      <c r="C524" s="59" t="s">
        <v>88</v>
      </c>
      <c r="D524" s="59">
        <v>52</v>
      </c>
      <c r="E524" s="503" t="s">
        <v>110</v>
      </c>
      <c r="F524" s="29">
        <v>1</v>
      </c>
      <c r="G524" s="9">
        <v>1</v>
      </c>
      <c r="H524" s="9">
        <v>1</v>
      </c>
      <c r="I524" s="9">
        <v>2</v>
      </c>
      <c r="J524" s="43">
        <v>2</v>
      </c>
      <c r="K524" s="265">
        <f t="shared" si="8"/>
        <v>0.35859414261160716</v>
      </c>
      <c r="L524" s="164" t="s">
        <v>111</v>
      </c>
    </row>
    <row r="525" spans="1:12">
      <c r="A525" s="34" t="s">
        <v>114</v>
      </c>
      <c r="B525" s="344">
        <v>2006</v>
      </c>
      <c r="C525" s="59" t="s">
        <v>89</v>
      </c>
      <c r="D525" s="59">
        <v>41</v>
      </c>
      <c r="E525" s="503" t="s">
        <v>110</v>
      </c>
      <c r="F525" s="29">
        <v>1</v>
      </c>
      <c r="G525" s="9">
        <v>1</v>
      </c>
      <c r="H525" s="9">
        <v>1</v>
      </c>
      <c r="I525" s="9">
        <v>2</v>
      </c>
      <c r="J525" s="43">
        <v>2</v>
      </c>
      <c r="K525" s="265">
        <f t="shared" si="8"/>
        <v>0.35859414261160716</v>
      </c>
      <c r="L525" s="164" t="s">
        <v>111</v>
      </c>
    </row>
    <row r="526" spans="1:12">
      <c r="A526" s="34" t="s">
        <v>114</v>
      </c>
      <c r="B526" s="344">
        <v>2006</v>
      </c>
      <c r="C526" s="59" t="s">
        <v>90</v>
      </c>
      <c r="D526" s="59">
        <v>130</v>
      </c>
      <c r="E526" s="503" t="s">
        <v>110</v>
      </c>
      <c r="F526" s="29">
        <v>1</v>
      </c>
      <c r="G526" s="9">
        <v>1</v>
      </c>
      <c r="H526" s="9">
        <v>1</v>
      </c>
      <c r="I526" s="9">
        <v>2</v>
      </c>
      <c r="J526" s="43">
        <v>2</v>
      </c>
      <c r="K526" s="265">
        <f t="shared" si="8"/>
        <v>0.35859414261160716</v>
      </c>
      <c r="L526" s="164" t="s">
        <v>111</v>
      </c>
    </row>
    <row r="527" spans="1:12">
      <c r="A527" s="34" t="s">
        <v>114</v>
      </c>
      <c r="B527" s="344">
        <v>2006</v>
      </c>
      <c r="C527" s="59" t="s">
        <v>91</v>
      </c>
      <c r="D527" s="59">
        <v>157</v>
      </c>
      <c r="E527" s="503" t="s">
        <v>110</v>
      </c>
      <c r="F527" s="29">
        <v>1</v>
      </c>
      <c r="G527" s="9">
        <v>1</v>
      </c>
      <c r="H527" s="9">
        <v>1</v>
      </c>
      <c r="I527" s="9">
        <v>2</v>
      </c>
      <c r="J527" s="43">
        <v>2</v>
      </c>
      <c r="K527" s="265">
        <f t="shared" si="8"/>
        <v>0.35859414261160716</v>
      </c>
      <c r="L527" s="164" t="s">
        <v>111</v>
      </c>
    </row>
    <row r="528" spans="1:12">
      <c r="A528" s="34" t="s">
        <v>114</v>
      </c>
      <c r="B528" s="344">
        <v>2006</v>
      </c>
      <c r="C528" s="59" t="s">
        <v>94</v>
      </c>
      <c r="D528" s="59">
        <v>15</v>
      </c>
      <c r="E528" s="503" t="s">
        <v>110</v>
      </c>
      <c r="F528" s="29">
        <v>1</v>
      </c>
      <c r="G528" s="9">
        <v>1</v>
      </c>
      <c r="H528" s="9">
        <v>1</v>
      </c>
      <c r="I528" s="9">
        <v>2</v>
      </c>
      <c r="J528" s="43">
        <v>2</v>
      </c>
      <c r="K528" s="265">
        <f t="shared" si="8"/>
        <v>0.35859414261160716</v>
      </c>
      <c r="L528" s="164" t="s">
        <v>111</v>
      </c>
    </row>
    <row r="529" spans="1:12">
      <c r="A529" s="34" t="s">
        <v>114</v>
      </c>
      <c r="B529" s="344">
        <v>2006</v>
      </c>
      <c r="C529" s="59" t="s">
        <v>96</v>
      </c>
      <c r="D529" s="59">
        <v>75</v>
      </c>
      <c r="E529" s="503" t="s">
        <v>110</v>
      </c>
      <c r="F529" s="29">
        <v>1</v>
      </c>
      <c r="G529" s="9">
        <v>1</v>
      </c>
      <c r="H529" s="9">
        <v>1</v>
      </c>
      <c r="I529" s="9">
        <v>2</v>
      </c>
      <c r="J529" s="43">
        <v>2</v>
      </c>
      <c r="K529" s="265">
        <f t="shared" si="8"/>
        <v>0.35859414261160716</v>
      </c>
      <c r="L529" s="164" t="s">
        <v>111</v>
      </c>
    </row>
    <row r="530" spans="1:12">
      <c r="A530" s="34" t="s">
        <v>114</v>
      </c>
      <c r="B530" s="344">
        <v>2006</v>
      </c>
      <c r="C530" s="59" t="s">
        <v>97</v>
      </c>
      <c r="D530" s="59">
        <v>202</v>
      </c>
      <c r="E530" s="503" t="s">
        <v>110</v>
      </c>
      <c r="F530" s="29">
        <v>1</v>
      </c>
      <c r="G530" s="9">
        <v>1</v>
      </c>
      <c r="H530" s="9">
        <v>1</v>
      </c>
      <c r="I530" s="9">
        <v>2</v>
      </c>
      <c r="J530" s="43">
        <v>2</v>
      </c>
      <c r="K530" s="265">
        <f t="shared" si="8"/>
        <v>0.35859414261160716</v>
      </c>
      <c r="L530" s="164" t="s">
        <v>111</v>
      </c>
    </row>
    <row r="531" spans="1:12">
      <c r="A531" s="34" t="s">
        <v>114</v>
      </c>
      <c r="B531" s="344">
        <v>2006</v>
      </c>
      <c r="C531" s="59" t="s">
        <v>95</v>
      </c>
      <c r="D531" s="59">
        <v>81</v>
      </c>
      <c r="E531" s="503" t="s">
        <v>110</v>
      </c>
      <c r="F531" s="29">
        <v>1</v>
      </c>
      <c r="G531" s="9">
        <v>1</v>
      </c>
      <c r="H531" s="9">
        <v>1</v>
      </c>
      <c r="I531" s="9">
        <v>2</v>
      </c>
      <c r="J531" s="43">
        <v>2</v>
      </c>
      <c r="K531" s="265">
        <f t="shared" si="8"/>
        <v>0.35859414261160716</v>
      </c>
      <c r="L531" s="164" t="s">
        <v>111</v>
      </c>
    </row>
    <row r="532" spans="1:12">
      <c r="A532" s="34" t="s">
        <v>114</v>
      </c>
      <c r="B532" s="344">
        <v>2006</v>
      </c>
      <c r="C532" s="59" t="s">
        <v>93</v>
      </c>
      <c r="D532" s="59">
        <v>60</v>
      </c>
      <c r="E532" s="503" t="s">
        <v>110</v>
      </c>
      <c r="F532" s="29">
        <v>1</v>
      </c>
      <c r="G532" s="9">
        <v>1</v>
      </c>
      <c r="H532" s="9">
        <v>1</v>
      </c>
      <c r="I532" s="9">
        <v>2</v>
      </c>
      <c r="J532" s="43">
        <v>2</v>
      </c>
      <c r="K532" s="265">
        <f t="shared" si="8"/>
        <v>0.35859414261160716</v>
      </c>
      <c r="L532" s="164" t="s">
        <v>111</v>
      </c>
    </row>
    <row r="533" spans="1:12">
      <c r="A533" s="34" t="s">
        <v>114</v>
      </c>
      <c r="B533" s="344">
        <v>2006</v>
      </c>
      <c r="C533" s="59" t="s">
        <v>98</v>
      </c>
      <c r="D533" s="59">
        <v>841</v>
      </c>
      <c r="E533" s="503" t="s">
        <v>110</v>
      </c>
      <c r="F533" s="29">
        <v>1</v>
      </c>
      <c r="G533" s="9">
        <v>1</v>
      </c>
      <c r="H533" s="9">
        <v>1</v>
      </c>
      <c r="I533" s="9">
        <v>2</v>
      </c>
      <c r="J533" s="43">
        <v>2</v>
      </c>
      <c r="K533" s="265">
        <f t="shared" si="8"/>
        <v>0.35859414261160716</v>
      </c>
      <c r="L533" s="164" t="s">
        <v>111</v>
      </c>
    </row>
    <row r="534" spans="1:12">
      <c r="A534" s="34" t="s">
        <v>114</v>
      </c>
      <c r="B534" s="344">
        <v>2007</v>
      </c>
      <c r="C534" s="59" t="s">
        <v>85</v>
      </c>
      <c r="D534" s="59">
        <v>651</v>
      </c>
      <c r="E534" s="503" t="s">
        <v>110</v>
      </c>
      <c r="F534" s="29">
        <v>1</v>
      </c>
      <c r="G534" s="9">
        <v>1</v>
      </c>
      <c r="H534" s="9">
        <v>1</v>
      </c>
      <c r="I534" s="9">
        <v>2</v>
      </c>
      <c r="J534" s="43">
        <v>2</v>
      </c>
      <c r="K534" s="265">
        <f t="shared" si="8"/>
        <v>0.35859414261160716</v>
      </c>
      <c r="L534" s="164" t="s">
        <v>111</v>
      </c>
    </row>
    <row r="535" spans="1:12">
      <c r="A535" s="34" t="s">
        <v>114</v>
      </c>
      <c r="B535" s="344">
        <v>2007</v>
      </c>
      <c r="C535" s="59" t="s">
        <v>86</v>
      </c>
      <c r="D535" s="59">
        <v>160</v>
      </c>
      <c r="E535" s="503" t="s">
        <v>110</v>
      </c>
      <c r="F535" s="29">
        <v>1</v>
      </c>
      <c r="G535" s="9">
        <v>1</v>
      </c>
      <c r="H535" s="9">
        <v>1</v>
      </c>
      <c r="I535" s="9">
        <v>2</v>
      </c>
      <c r="J535" s="43">
        <v>2</v>
      </c>
      <c r="K535" s="265">
        <f t="shared" si="8"/>
        <v>0.35859414261160716</v>
      </c>
      <c r="L535" s="164" t="s">
        <v>111</v>
      </c>
    </row>
    <row r="536" spans="1:12">
      <c r="A536" s="34" t="s">
        <v>114</v>
      </c>
      <c r="B536" s="344">
        <v>2007</v>
      </c>
      <c r="C536" s="59" t="s">
        <v>87</v>
      </c>
      <c r="D536" s="59">
        <v>239</v>
      </c>
      <c r="E536" s="503" t="s">
        <v>110</v>
      </c>
      <c r="F536" s="29">
        <v>1</v>
      </c>
      <c r="G536" s="9">
        <v>1</v>
      </c>
      <c r="H536" s="9">
        <v>1</v>
      </c>
      <c r="I536" s="9">
        <v>2</v>
      </c>
      <c r="J536" s="43">
        <v>2</v>
      </c>
      <c r="K536" s="265">
        <f t="shared" si="8"/>
        <v>0.35859414261160716</v>
      </c>
      <c r="L536" s="164" t="s">
        <v>111</v>
      </c>
    </row>
    <row r="537" spans="1:12">
      <c r="A537" s="34" t="s">
        <v>114</v>
      </c>
      <c r="B537" s="344">
        <v>2007</v>
      </c>
      <c r="C537" s="59" t="s">
        <v>88</v>
      </c>
      <c r="D537" s="59">
        <v>58</v>
      </c>
      <c r="E537" s="503" t="s">
        <v>110</v>
      </c>
      <c r="F537" s="29">
        <v>1</v>
      </c>
      <c r="G537" s="9">
        <v>1</v>
      </c>
      <c r="H537" s="9">
        <v>1</v>
      </c>
      <c r="I537" s="9">
        <v>2</v>
      </c>
      <c r="J537" s="43">
        <v>2</v>
      </c>
      <c r="K537" s="265">
        <f t="shared" si="8"/>
        <v>0.35859414261160716</v>
      </c>
      <c r="L537" s="164" t="s">
        <v>111</v>
      </c>
    </row>
    <row r="538" spans="1:12">
      <c r="A538" s="34" t="s">
        <v>114</v>
      </c>
      <c r="B538" s="344">
        <v>2007</v>
      </c>
      <c r="C538" s="59" t="s">
        <v>89</v>
      </c>
      <c r="D538" s="59">
        <v>41</v>
      </c>
      <c r="E538" s="503" t="s">
        <v>110</v>
      </c>
      <c r="F538" s="29">
        <v>1</v>
      </c>
      <c r="G538" s="9">
        <v>1</v>
      </c>
      <c r="H538" s="9">
        <v>1</v>
      </c>
      <c r="I538" s="9">
        <v>2</v>
      </c>
      <c r="J538" s="43">
        <v>2</v>
      </c>
      <c r="K538" s="265">
        <f t="shared" si="8"/>
        <v>0.35859414261160716</v>
      </c>
      <c r="L538" s="164" t="s">
        <v>111</v>
      </c>
    </row>
    <row r="539" spans="1:12">
      <c r="A539" s="34" t="s">
        <v>114</v>
      </c>
      <c r="B539" s="344">
        <v>2007</v>
      </c>
      <c r="C539" s="59" t="s">
        <v>90</v>
      </c>
      <c r="D539" s="59">
        <v>148</v>
      </c>
      <c r="E539" s="503" t="s">
        <v>110</v>
      </c>
      <c r="F539" s="29">
        <v>1</v>
      </c>
      <c r="G539" s="9">
        <v>1</v>
      </c>
      <c r="H539" s="9">
        <v>1</v>
      </c>
      <c r="I539" s="9">
        <v>2</v>
      </c>
      <c r="J539" s="43">
        <v>2</v>
      </c>
      <c r="K539" s="265">
        <f t="shared" si="8"/>
        <v>0.35859414261160716</v>
      </c>
      <c r="L539" s="164" t="s">
        <v>111</v>
      </c>
    </row>
    <row r="540" spans="1:12">
      <c r="A540" s="34" t="s">
        <v>114</v>
      </c>
      <c r="B540" s="344">
        <v>2007</v>
      </c>
      <c r="C540" s="59" t="s">
        <v>91</v>
      </c>
      <c r="D540" s="59">
        <v>116</v>
      </c>
      <c r="E540" s="503" t="s">
        <v>110</v>
      </c>
      <c r="F540" s="29">
        <v>1</v>
      </c>
      <c r="G540" s="9">
        <v>1</v>
      </c>
      <c r="H540" s="9">
        <v>1</v>
      </c>
      <c r="I540" s="9">
        <v>2</v>
      </c>
      <c r="J540" s="43">
        <v>2</v>
      </c>
      <c r="K540" s="265">
        <f t="shared" si="8"/>
        <v>0.35859414261160716</v>
      </c>
      <c r="L540" s="164" t="s">
        <v>111</v>
      </c>
    </row>
    <row r="541" spans="1:12">
      <c r="A541" s="34" t="s">
        <v>114</v>
      </c>
      <c r="B541" s="344">
        <v>2007</v>
      </c>
      <c r="C541" s="59" t="s">
        <v>94</v>
      </c>
      <c r="D541" s="59">
        <v>18</v>
      </c>
      <c r="E541" s="503" t="s">
        <v>110</v>
      </c>
      <c r="F541" s="29">
        <v>1</v>
      </c>
      <c r="G541" s="9">
        <v>1</v>
      </c>
      <c r="H541" s="9">
        <v>1</v>
      </c>
      <c r="I541" s="9">
        <v>2</v>
      </c>
      <c r="J541" s="43">
        <v>2</v>
      </c>
      <c r="K541" s="265">
        <f t="shared" si="8"/>
        <v>0.35859414261160716</v>
      </c>
      <c r="L541" s="164" t="s">
        <v>111</v>
      </c>
    </row>
    <row r="542" spans="1:12">
      <c r="A542" s="34" t="s">
        <v>114</v>
      </c>
      <c r="B542" s="344">
        <v>2007</v>
      </c>
      <c r="C542" s="59" t="s">
        <v>96</v>
      </c>
      <c r="D542" s="59">
        <v>80</v>
      </c>
      <c r="E542" s="503" t="s">
        <v>110</v>
      </c>
      <c r="F542" s="29">
        <v>1</v>
      </c>
      <c r="G542" s="9">
        <v>1</v>
      </c>
      <c r="H542" s="9">
        <v>1</v>
      </c>
      <c r="I542" s="9">
        <v>2</v>
      </c>
      <c r="J542" s="43">
        <v>2</v>
      </c>
      <c r="K542" s="265">
        <f t="shared" si="8"/>
        <v>0.35859414261160716</v>
      </c>
      <c r="L542" s="164" t="s">
        <v>111</v>
      </c>
    </row>
    <row r="543" spans="1:12">
      <c r="A543" s="34" t="s">
        <v>114</v>
      </c>
      <c r="B543" s="344">
        <v>2007</v>
      </c>
      <c r="C543" s="59" t="s">
        <v>97</v>
      </c>
      <c r="D543" s="59">
        <v>204</v>
      </c>
      <c r="E543" s="503" t="s">
        <v>110</v>
      </c>
      <c r="F543" s="29">
        <v>1</v>
      </c>
      <c r="G543" s="9">
        <v>1</v>
      </c>
      <c r="H543" s="9">
        <v>1</v>
      </c>
      <c r="I543" s="9">
        <v>2</v>
      </c>
      <c r="J543" s="43">
        <v>2</v>
      </c>
      <c r="K543" s="265">
        <f t="shared" si="8"/>
        <v>0.35859414261160716</v>
      </c>
      <c r="L543" s="164" t="s">
        <v>111</v>
      </c>
    </row>
    <row r="544" spans="1:12">
      <c r="A544" s="34" t="s">
        <v>114</v>
      </c>
      <c r="B544" s="344">
        <v>2007</v>
      </c>
      <c r="C544" s="59" t="s">
        <v>95</v>
      </c>
      <c r="D544" s="59">
        <v>121</v>
      </c>
      <c r="E544" s="503" t="s">
        <v>110</v>
      </c>
      <c r="F544" s="29">
        <v>1</v>
      </c>
      <c r="G544" s="9">
        <v>1</v>
      </c>
      <c r="H544" s="9">
        <v>1</v>
      </c>
      <c r="I544" s="9">
        <v>2</v>
      </c>
      <c r="J544" s="43">
        <v>2</v>
      </c>
      <c r="K544" s="265">
        <f t="shared" si="8"/>
        <v>0.35859414261160716</v>
      </c>
      <c r="L544" s="164" t="s">
        <v>111</v>
      </c>
    </row>
    <row r="545" spans="1:12">
      <c r="A545" s="34" t="s">
        <v>114</v>
      </c>
      <c r="B545" s="344">
        <v>2007</v>
      </c>
      <c r="C545" s="59" t="s">
        <v>93</v>
      </c>
      <c r="D545" s="59">
        <v>30</v>
      </c>
      <c r="E545" s="503" t="s">
        <v>110</v>
      </c>
      <c r="F545" s="29">
        <v>1</v>
      </c>
      <c r="G545" s="9">
        <v>1</v>
      </c>
      <c r="H545" s="9">
        <v>1</v>
      </c>
      <c r="I545" s="9">
        <v>2</v>
      </c>
      <c r="J545" s="43">
        <v>2</v>
      </c>
      <c r="K545" s="265">
        <f t="shared" si="8"/>
        <v>0.35859414261160716</v>
      </c>
      <c r="L545" s="164" t="s">
        <v>111</v>
      </c>
    </row>
    <row r="546" spans="1:12">
      <c r="A546" s="34" t="s">
        <v>114</v>
      </c>
      <c r="B546" s="344">
        <v>2007</v>
      </c>
      <c r="C546" s="59" t="s">
        <v>98</v>
      </c>
      <c r="D546" s="59">
        <v>953</v>
      </c>
      <c r="E546" s="503" t="s">
        <v>110</v>
      </c>
      <c r="F546" s="29">
        <v>1</v>
      </c>
      <c r="G546" s="9">
        <v>1</v>
      </c>
      <c r="H546" s="9">
        <v>1</v>
      </c>
      <c r="I546" s="9">
        <v>2</v>
      </c>
      <c r="J546" s="43">
        <v>2</v>
      </c>
      <c r="K546" s="265">
        <f t="shared" si="8"/>
        <v>0.35859414261160716</v>
      </c>
      <c r="L546" s="164" t="s">
        <v>111</v>
      </c>
    </row>
    <row r="547" spans="1:12">
      <c r="A547" s="34" t="s">
        <v>114</v>
      </c>
      <c r="B547" s="344">
        <v>2008</v>
      </c>
      <c r="C547" s="59" t="s">
        <v>85</v>
      </c>
      <c r="D547" s="59">
        <v>662</v>
      </c>
      <c r="E547" s="503" t="s">
        <v>110</v>
      </c>
      <c r="F547" s="29">
        <v>1</v>
      </c>
      <c r="G547" s="9">
        <v>1</v>
      </c>
      <c r="H547" s="9">
        <v>1</v>
      </c>
      <c r="I547" s="9">
        <v>2</v>
      </c>
      <c r="J547" s="43">
        <v>2</v>
      </c>
      <c r="K547" s="265">
        <f t="shared" si="8"/>
        <v>0.35859414261160716</v>
      </c>
      <c r="L547" s="164" t="s">
        <v>111</v>
      </c>
    </row>
    <row r="548" spans="1:12">
      <c r="A548" s="34" t="s">
        <v>114</v>
      </c>
      <c r="B548" s="344">
        <v>2008</v>
      </c>
      <c r="C548" s="59" t="s">
        <v>86</v>
      </c>
      <c r="D548" s="59">
        <v>151</v>
      </c>
      <c r="E548" s="503" t="s">
        <v>110</v>
      </c>
      <c r="F548" s="29">
        <v>1</v>
      </c>
      <c r="G548" s="9">
        <v>1</v>
      </c>
      <c r="H548" s="9">
        <v>1</v>
      </c>
      <c r="I548" s="9">
        <v>2</v>
      </c>
      <c r="J548" s="43">
        <v>2</v>
      </c>
      <c r="K548" s="265">
        <f t="shared" si="8"/>
        <v>0.35859414261160716</v>
      </c>
      <c r="L548" s="164" t="s">
        <v>111</v>
      </c>
    </row>
    <row r="549" spans="1:12">
      <c r="A549" s="34" t="s">
        <v>114</v>
      </c>
      <c r="B549" s="344">
        <v>2008</v>
      </c>
      <c r="C549" s="59" t="s">
        <v>87</v>
      </c>
      <c r="D549" s="59">
        <v>235</v>
      </c>
      <c r="E549" s="503" t="s">
        <v>110</v>
      </c>
      <c r="F549" s="29">
        <v>1</v>
      </c>
      <c r="G549" s="9">
        <v>1</v>
      </c>
      <c r="H549" s="9">
        <v>1</v>
      </c>
      <c r="I549" s="9">
        <v>2</v>
      </c>
      <c r="J549" s="43">
        <v>2</v>
      </c>
      <c r="K549" s="265">
        <f t="shared" si="8"/>
        <v>0.35859414261160716</v>
      </c>
      <c r="L549" s="164" t="s">
        <v>111</v>
      </c>
    </row>
    <row r="550" spans="1:12">
      <c r="A550" s="34" t="s">
        <v>114</v>
      </c>
      <c r="B550" s="344">
        <v>2008</v>
      </c>
      <c r="C550" s="59" t="s">
        <v>88</v>
      </c>
      <c r="D550" s="59">
        <v>43</v>
      </c>
      <c r="E550" s="503" t="s">
        <v>110</v>
      </c>
      <c r="F550" s="29">
        <v>1</v>
      </c>
      <c r="G550" s="9">
        <v>1</v>
      </c>
      <c r="H550" s="9">
        <v>1</v>
      </c>
      <c r="I550" s="9">
        <v>2</v>
      </c>
      <c r="J550" s="43">
        <v>2</v>
      </c>
      <c r="K550" s="265">
        <f t="shared" si="8"/>
        <v>0.35859414261160716</v>
      </c>
      <c r="L550" s="164" t="s">
        <v>111</v>
      </c>
    </row>
    <row r="551" spans="1:12">
      <c r="A551" s="34" t="s">
        <v>114</v>
      </c>
      <c r="B551" s="344">
        <v>2008</v>
      </c>
      <c r="C551" s="59" t="s">
        <v>89</v>
      </c>
      <c r="D551" s="59">
        <v>31</v>
      </c>
      <c r="E551" s="503" t="s">
        <v>110</v>
      </c>
      <c r="F551" s="29">
        <v>1</v>
      </c>
      <c r="G551" s="9">
        <v>1</v>
      </c>
      <c r="H551" s="9">
        <v>1</v>
      </c>
      <c r="I551" s="9">
        <v>2</v>
      </c>
      <c r="J551" s="43">
        <v>2</v>
      </c>
      <c r="K551" s="265">
        <f t="shared" si="8"/>
        <v>0.35859414261160716</v>
      </c>
      <c r="L551" s="164" t="s">
        <v>111</v>
      </c>
    </row>
    <row r="552" spans="1:12">
      <c r="A552" s="34" t="s">
        <v>114</v>
      </c>
      <c r="B552" s="344">
        <v>2008</v>
      </c>
      <c r="C552" s="59" t="s">
        <v>90</v>
      </c>
      <c r="D552" s="59">
        <v>124</v>
      </c>
      <c r="E552" s="503" t="s">
        <v>110</v>
      </c>
      <c r="F552" s="29">
        <v>1</v>
      </c>
      <c r="G552" s="9">
        <v>1</v>
      </c>
      <c r="H552" s="9">
        <v>1</v>
      </c>
      <c r="I552" s="9">
        <v>2</v>
      </c>
      <c r="J552" s="43">
        <v>2</v>
      </c>
      <c r="K552" s="265">
        <f t="shared" si="8"/>
        <v>0.35859414261160716</v>
      </c>
      <c r="L552" s="164" t="s">
        <v>111</v>
      </c>
    </row>
    <row r="553" spans="1:12">
      <c r="A553" s="34" t="s">
        <v>114</v>
      </c>
      <c r="B553" s="344">
        <v>2008</v>
      </c>
      <c r="C553" s="59" t="s">
        <v>91</v>
      </c>
      <c r="D553" s="59">
        <v>94</v>
      </c>
      <c r="E553" s="503" t="s">
        <v>110</v>
      </c>
      <c r="F553" s="29">
        <v>1</v>
      </c>
      <c r="G553" s="9">
        <v>1</v>
      </c>
      <c r="H553" s="9">
        <v>1</v>
      </c>
      <c r="I553" s="9">
        <v>2</v>
      </c>
      <c r="J553" s="43">
        <v>2</v>
      </c>
      <c r="K553" s="265">
        <f t="shared" si="8"/>
        <v>0.35859414261160716</v>
      </c>
      <c r="L553" s="164" t="s">
        <v>111</v>
      </c>
    </row>
    <row r="554" spans="1:12">
      <c r="A554" s="34" t="s">
        <v>114</v>
      </c>
      <c r="B554" s="344">
        <v>2008</v>
      </c>
      <c r="C554" s="59" t="s">
        <v>94</v>
      </c>
      <c r="D554" s="59">
        <v>23</v>
      </c>
      <c r="E554" s="503" t="s">
        <v>110</v>
      </c>
      <c r="F554" s="29">
        <v>1</v>
      </c>
      <c r="G554" s="9">
        <v>1</v>
      </c>
      <c r="H554" s="9">
        <v>1</v>
      </c>
      <c r="I554" s="9">
        <v>2</v>
      </c>
      <c r="J554" s="43">
        <v>2</v>
      </c>
      <c r="K554" s="265">
        <f t="shared" si="8"/>
        <v>0.35859414261160716</v>
      </c>
      <c r="L554" s="164" t="s">
        <v>111</v>
      </c>
    </row>
    <row r="555" spans="1:12">
      <c r="A555" s="34" t="s">
        <v>114</v>
      </c>
      <c r="B555" s="344">
        <v>2008</v>
      </c>
      <c r="C555" s="59" t="s">
        <v>96</v>
      </c>
      <c r="D555" s="59">
        <v>117</v>
      </c>
      <c r="E555" s="503" t="s">
        <v>110</v>
      </c>
      <c r="F555" s="29">
        <v>1</v>
      </c>
      <c r="G555" s="9">
        <v>1</v>
      </c>
      <c r="H555" s="9">
        <v>1</v>
      </c>
      <c r="I555" s="9">
        <v>2</v>
      </c>
      <c r="J555" s="43">
        <v>2</v>
      </c>
      <c r="K555" s="265">
        <f t="shared" si="8"/>
        <v>0.35859414261160716</v>
      </c>
      <c r="L555" s="164" t="s">
        <v>111</v>
      </c>
    </row>
    <row r="556" spans="1:12">
      <c r="A556" s="34" t="s">
        <v>114</v>
      </c>
      <c r="B556" s="344">
        <v>2008</v>
      </c>
      <c r="C556" s="59" t="s">
        <v>97</v>
      </c>
      <c r="D556" s="59">
        <v>197</v>
      </c>
      <c r="E556" s="503" t="s">
        <v>110</v>
      </c>
      <c r="F556" s="29">
        <v>1</v>
      </c>
      <c r="G556" s="9">
        <v>1</v>
      </c>
      <c r="H556" s="9">
        <v>1</v>
      </c>
      <c r="I556" s="9">
        <v>2</v>
      </c>
      <c r="J556" s="43">
        <v>2</v>
      </c>
      <c r="K556" s="265">
        <f t="shared" si="8"/>
        <v>0.35859414261160716</v>
      </c>
      <c r="L556" s="164" t="s">
        <v>111</v>
      </c>
    </row>
    <row r="557" spans="1:12">
      <c r="A557" s="34" t="s">
        <v>114</v>
      </c>
      <c r="B557" s="344">
        <v>2008</v>
      </c>
      <c r="C557" s="59" t="s">
        <v>95</v>
      </c>
      <c r="D557" s="59">
        <v>101</v>
      </c>
      <c r="E557" s="503" t="s">
        <v>110</v>
      </c>
      <c r="F557" s="29">
        <v>1</v>
      </c>
      <c r="G557" s="9">
        <v>1</v>
      </c>
      <c r="H557" s="9">
        <v>1</v>
      </c>
      <c r="I557" s="9">
        <v>2</v>
      </c>
      <c r="J557" s="43">
        <v>2</v>
      </c>
      <c r="K557" s="265">
        <f t="shared" si="8"/>
        <v>0.35859414261160716</v>
      </c>
      <c r="L557" s="164" t="s">
        <v>111</v>
      </c>
    </row>
    <row r="558" spans="1:12">
      <c r="A558" s="34" t="s">
        <v>114</v>
      </c>
      <c r="B558" s="344">
        <v>2008</v>
      </c>
      <c r="C558" s="59" t="s">
        <v>93</v>
      </c>
      <c r="D558" s="59">
        <v>28</v>
      </c>
      <c r="E558" s="503" t="s">
        <v>110</v>
      </c>
      <c r="F558" s="29">
        <v>1</v>
      </c>
      <c r="G558" s="9">
        <v>1</v>
      </c>
      <c r="H558" s="9">
        <v>1</v>
      </c>
      <c r="I558" s="9">
        <v>2</v>
      </c>
      <c r="J558" s="43">
        <v>2</v>
      </c>
      <c r="K558" s="265">
        <f t="shared" si="8"/>
        <v>0.35859414261160716</v>
      </c>
      <c r="L558" s="164" t="s">
        <v>111</v>
      </c>
    </row>
    <row r="559" spans="1:12">
      <c r="A559" s="34" t="s">
        <v>114</v>
      </c>
      <c r="B559" s="344">
        <v>2008</v>
      </c>
      <c r="C559" s="59" t="s">
        <v>98</v>
      </c>
      <c r="D559" s="59">
        <v>868</v>
      </c>
      <c r="E559" s="503" t="s">
        <v>110</v>
      </c>
      <c r="F559" s="29">
        <v>1</v>
      </c>
      <c r="G559" s="9">
        <v>1</v>
      </c>
      <c r="H559" s="9">
        <v>1</v>
      </c>
      <c r="I559" s="9">
        <v>2</v>
      </c>
      <c r="J559" s="43">
        <v>2</v>
      </c>
      <c r="K559" s="265">
        <f t="shared" si="8"/>
        <v>0.35859414261160716</v>
      </c>
      <c r="L559" s="164" t="s">
        <v>111</v>
      </c>
    </row>
    <row r="560" spans="1:12">
      <c r="A560" s="34" t="s">
        <v>114</v>
      </c>
      <c r="B560" s="344">
        <v>2009</v>
      </c>
      <c r="C560" s="59" t="s">
        <v>85</v>
      </c>
      <c r="D560" s="59">
        <v>593</v>
      </c>
      <c r="E560" s="503" t="s">
        <v>110</v>
      </c>
      <c r="F560" s="29">
        <v>1</v>
      </c>
      <c r="G560" s="9">
        <v>1</v>
      </c>
      <c r="H560" s="9">
        <v>1</v>
      </c>
      <c r="I560" s="9">
        <v>2</v>
      </c>
      <c r="J560" s="43">
        <v>2</v>
      </c>
      <c r="K560" s="265">
        <f t="shared" si="8"/>
        <v>0.35859414261160716</v>
      </c>
      <c r="L560" s="164" t="s">
        <v>111</v>
      </c>
    </row>
    <row r="561" spans="1:12">
      <c r="A561" s="34" t="s">
        <v>114</v>
      </c>
      <c r="B561" s="344">
        <v>2009</v>
      </c>
      <c r="C561" s="59" t="s">
        <v>86</v>
      </c>
      <c r="D561" s="59">
        <v>162</v>
      </c>
      <c r="E561" s="503" t="s">
        <v>110</v>
      </c>
      <c r="F561" s="29">
        <v>1</v>
      </c>
      <c r="G561" s="9">
        <v>1</v>
      </c>
      <c r="H561" s="9">
        <v>1</v>
      </c>
      <c r="I561" s="9">
        <v>2</v>
      </c>
      <c r="J561" s="43">
        <v>2</v>
      </c>
      <c r="K561" s="265">
        <f t="shared" si="8"/>
        <v>0.35859414261160716</v>
      </c>
      <c r="L561" s="164" t="s">
        <v>111</v>
      </c>
    </row>
    <row r="562" spans="1:12">
      <c r="A562" s="34" t="s">
        <v>114</v>
      </c>
      <c r="B562" s="344">
        <v>2009</v>
      </c>
      <c r="C562" s="59" t="s">
        <v>87</v>
      </c>
      <c r="D562" s="59">
        <v>246</v>
      </c>
      <c r="E562" s="503" t="s">
        <v>110</v>
      </c>
      <c r="F562" s="29">
        <v>1</v>
      </c>
      <c r="G562" s="9">
        <v>1</v>
      </c>
      <c r="H562" s="9">
        <v>1</v>
      </c>
      <c r="I562" s="9">
        <v>2</v>
      </c>
      <c r="J562" s="43">
        <v>2</v>
      </c>
      <c r="K562" s="265">
        <f t="shared" si="8"/>
        <v>0.35859414261160716</v>
      </c>
      <c r="L562" s="164" t="s">
        <v>111</v>
      </c>
    </row>
    <row r="563" spans="1:12">
      <c r="A563" s="34" t="s">
        <v>114</v>
      </c>
      <c r="B563" s="344">
        <v>2009</v>
      </c>
      <c r="C563" s="59" t="s">
        <v>88</v>
      </c>
      <c r="D563" s="59">
        <v>41</v>
      </c>
      <c r="E563" s="503" t="s">
        <v>110</v>
      </c>
      <c r="F563" s="29">
        <v>1</v>
      </c>
      <c r="G563" s="9">
        <v>1</v>
      </c>
      <c r="H563" s="9">
        <v>1</v>
      </c>
      <c r="I563" s="9">
        <v>2</v>
      </c>
      <c r="J563" s="43">
        <v>2</v>
      </c>
      <c r="K563" s="265">
        <f t="shared" si="8"/>
        <v>0.35859414261160716</v>
      </c>
      <c r="L563" s="164" t="s">
        <v>111</v>
      </c>
    </row>
    <row r="564" spans="1:12">
      <c r="A564" s="34" t="s">
        <v>114</v>
      </c>
      <c r="B564" s="344">
        <v>2009</v>
      </c>
      <c r="C564" s="59" t="s">
        <v>89</v>
      </c>
      <c r="D564" s="59">
        <v>28</v>
      </c>
      <c r="E564" s="503" t="s">
        <v>110</v>
      </c>
      <c r="F564" s="29">
        <v>1</v>
      </c>
      <c r="G564" s="9">
        <v>1</v>
      </c>
      <c r="H564" s="9">
        <v>1</v>
      </c>
      <c r="I564" s="9">
        <v>2</v>
      </c>
      <c r="J564" s="43">
        <v>2</v>
      </c>
      <c r="K564" s="265">
        <f t="shared" si="8"/>
        <v>0.35859414261160716</v>
      </c>
      <c r="L564" s="164" t="s">
        <v>111</v>
      </c>
    </row>
    <row r="565" spans="1:12">
      <c r="A565" s="34" t="s">
        <v>114</v>
      </c>
      <c r="B565" s="344">
        <v>2009</v>
      </c>
      <c r="C565" s="59" t="s">
        <v>90</v>
      </c>
      <c r="D565" s="59">
        <v>159</v>
      </c>
      <c r="E565" s="503" t="s">
        <v>110</v>
      </c>
      <c r="F565" s="29">
        <v>1</v>
      </c>
      <c r="G565" s="9">
        <v>1</v>
      </c>
      <c r="H565" s="9">
        <v>1</v>
      </c>
      <c r="I565" s="9">
        <v>2</v>
      </c>
      <c r="J565" s="43">
        <v>2</v>
      </c>
      <c r="K565" s="265">
        <f t="shared" si="8"/>
        <v>0.35859414261160716</v>
      </c>
      <c r="L565" s="164" t="s">
        <v>111</v>
      </c>
    </row>
    <row r="566" spans="1:12">
      <c r="A566" s="34" t="s">
        <v>114</v>
      </c>
      <c r="B566" s="344">
        <v>2009</v>
      </c>
      <c r="C566" s="59" t="s">
        <v>91</v>
      </c>
      <c r="D566" s="59">
        <v>92</v>
      </c>
      <c r="E566" s="503" t="s">
        <v>110</v>
      </c>
      <c r="F566" s="29">
        <v>1</v>
      </c>
      <c r="G566" s="9">
        <v>1</v>
      </c>
      <c r="H566" s="9">
        <v>1</v>
      </c>
      <c r="I566" s="9">
        <v>2</v>
      </c>
      <c r="J566" s="43">
        <v>2</v>
      </c>
      <c r="K566" s="265">
        <f t="shared" si="8"/>
        <v>0.35859414261160716</v>
      </c>
      <c r="L566" s="164" t="s">
        <v>111</v>
      </c>
    </row>
    <row r="567" spans="1:12">
      <c r="A567" s="34" t="s">
        <v>114</v>
      </c>
      <c r="B567" s="344">
        <v>2009</v>
      </c>
      <c r="C567" s="59" t="s">
        <v>94</v>
      </c>
      <c r="D567" s="59">
        <v>23</v>
      </c>
      <c r="E567" s="503" t="s">
        <v>110</v>
      </c>
      <c r="F567" s="29">
        <v>1</v>
      </c>
      <c r="G567" s="9">
        <v>1</v>
      </c>
      <c r="H567" s="9">
        <v>1</v>
      </c>
      <c r="I567" s="9">
        <v>2</v>
      </c>
      <c r="J567" s="43">
        <v>2</v>
      </c>
      <c r="K567" s="265">
        <f t="shared" si="8"/>
        <v>0.35859414261160716</v>
      </c>
      <c r="L567" s="164" t="s">
        <v>111</v>
      </c>
    </row>
    <row r="568" spans="1:12">
      <c r="A568" s="34" t="s">
        <v>114</v>
      </c>
      <c r="B568" s="344">
        <v>2009</v>
      </c>
      <c r="C568" s="59" t="s">
        <v>96</v>
      </c>
      <c r="D568" s="59">
        <v>50</v>
      </c>
      <c r="E568" s="503" t="s">
        <v>110</v>
      </c>
      <c r="F568" s="29">
        <v>1</v>
      </c>
      <c r="G568" s="9">
        <v>1</v>
      </c>
      <c r="H568" s="9">
        <v>1</v>
      </c>
      <c r="I568" s="9">
        <v>2</v>
      </c>
      <c r="J568" s="43">
        <v>2</v>
      </c>
      <c r="K568" s="265">
        <f t="shared" si="8"/>
        <v>0.35859414261160716</v>
      </c>
      <c r="L568" s="164" t="s">
        <v>111</v>
      </c>
    </row>
    <row r="569" spans="1:12">
      <c r="A569" s="34" t="s">
        <v>114</v>
      </c>
      <c r="B569" s="344">
        <v>2009</v>
      </c>
      <c r="C569" s="59" t="s">
        <v>97</v>
      </c>
      <c r="D569" s="59">
        <v>173</v>
      </c>
      <c r="E569" s="503" t="s">
        <v>110</v>
      </c>
      <c r="F569" s="29">
        <v>1</v>
      </c>
      <c r="G569" s="9">
        <v>1</v>
      </c>
      <c r="H569" s="9">
        <v>1</v>
      </c>
      <c r="I569" s="9">
        <v>2</v>
      </c>
      <c r="J569" s="43">
        <v>2</v>
      </c>
      <c r="K569" s="265">
        <f t="shared" si="8"/>
        <v>0.35859414261160716</v>
      </c>
      <c r="L569" s="164" t="s">
        <v>111</v>
      </c>
    </row>
    <row r="570" spans="1:12">
      <c r="A570" s="34" t="s">
        <v>114</v>
      </c>
      <c r="B570" s="344">
        <v>2009</v>
      </c>
      <c r="C570" s="59" t="s">
        <v>95</v>
      </c>
      <c r="D570" s="59">
        <v>41</v>
      </c>
      <c r="E570" s="503" t="s">
        <v>110</v>
      </c>
      <c r="F570" s="29">
        <v>1</v>
      </c>
      <c r="G570" s="9">
        <v>1</v>
      </c>
      <c r="H570" s="9">
        <v>1</v>
      </c>
      <c r="I570" s="9">
        <v>2</v>
      </c>
      <c r="J570" s="43">
        <v>2</v>
      </c>
      <c r="K570" s="265">
        <f t="shared" si="8"/>
        <v>0.35859414261160716</v>
      </c>
      <c r="L570" s="164" t="s">
        <v>111</v>
      </c>
    </row>
    <row r="571" spans="1:12">
      <c r="A571" s="34" t="s">
        <v>114</v>
      </c>
      <c r="B571" s="344">
        <v>2009</v>
      </c>
      <c r="C571" s="59" t="s">
        <v>93</v>
      </c>
      <c r="D571" s="59">
        <v>35</v>
      </c>
      <c r="E571" s="503" t="s">
        <v>110</v>
      </c>
      <c r="F571" s="29">
        <v>1</v>
      </c>
      <c r="G571" s="9">
        <v>1</v>
      </c>
      <c r="H571" s="9">
        <v>1</v>
      </c>
      <c r="I571" s="9">
        <v>2</v>
      </c>
      <c r="J571" s="43">
        <v>2</v>
      </c>
      <c r="K571" s="265">
        <f t="shared" si="8"/>
        <v>0.35859414261160716</v>
      </c>
      <c r="L571" s="164" t="s">
        <v>111</v>
      </c>
    </row>
    <row r="572" spans="1:12">
      <c r="A572" s="34" t="s">
        <v>114</v>
      </c>
      <c r="B572" s="344">
        <v>2009</v>
      </c>
      <c r="C572" s="59" t="s">
        <v>98</v>
      </c>
      <c r="D572" s="59">
        <v>701</v>
      </c>
      <c r="E572" s="503" t="s">
        <v>110</v>
      </c>
      <c r="F572" s="29">
        <v>1</v>
      </c>
      <c r="G572" s="9">
        <v>1</v>
      </c>
      <c r="H572" s="9">
        <v>1</v>
      </c>
      <c r="I572" s="9">
        <v>2</v>
      </c>
      <c r="J572" s="43">
        <v>2</v>
      </c>
      <c r="K572" s="265">
        <f t="shared" si="8"/>
        <v>0.35859414261160716</v>
      </c>
      <c r="L572" s="164" t="s">
        <v>111</v>
      </c>
    </row>
    <row r="573" spans="1:12">
      <c r="A573" s="34" t="s">
        <v>114</v>
      </c>
      <c r="B573" s="344">
        <v>2010</v>
      </c>
      <c r="C573" s="59" t="s">
        <v>85</v>
      </c>
      <c r="D573" s="59">
        <v>706</v>
      </c>
      <c r="E573" s="503" t="s">
        <v>110</v>
      </c>
      <c r="F573" s="29">
        <v>1</v>
      </c>
      <c r="G573" s="9">
        <v>1</v>
      </c>
      <c r="H573" s="9">
        <v>1</v>
      </c>
      <c r="I573" s="9">
        <v>2</v>
      </c>
      <c r="J573" s="43">
        <v>2</v>
      </c>
      <c r="K573" s="265">
        <f t="shared" ref="K573:K636" si="9">IF( OR( ISBLANK(F573),ISBLANK(G573), ISBLANK(H573), ISBLANK(I573), ISBLANK(J573) ), "", 1.5*SQRT(   EXP(2.21*(F573-1)) + EXP(2.21*(G573-1)) + EXP(2.21*(H573-1)) + EXP(2.21*(I573-1)) + EXP(2.21*J573)   )/100*2.45 )</f>
        <v>0.35859414261160716</v>
      </c>
      <c r="L573" s="164" t="s">
        <v>111</v>
      </c>
    </row>
    <row r="574" spans="1:12">
      <c r="A574" s="34" t="s">
        <v>114</v>
      </c>
      <c r="B574" s="344">
        <v>2010</v>
      </c>
      <c r="C574" s="59" t="s">
        <v>86</v>
      </c>
      <c r="D574" s="59">
        <v>182</v>
      </c>
      <c r="E574" s="503" t="s">
        <v>110</v>
      </c>
      <c r="F574" s="29">
        <v>1</v>
      </c>
      <c r="G574" s="9">
        <v>1</v>
      </c>
      <c r="H574" s="9">
        <v>1</v>
      </c>
      <c r="I574" s="9">
        <v>2</v>
      </c>
      <c r="J574" s="43">
        <v>2</v>
      </c>
      <c r="K574" s="265">
        <f t="shared" si="9"/>
        <v>0.35859414261160716</v>
      </c>
      <c r="L574" s="164" t="s">
        <v>111</v>
      </c>
    </row>
    <row r="575" spans="1:12">
      <c r="A575" s="34" t="s">
        <v>114</v>
      </c>
      <c r="B575" s="344">
        <v>2010</v>
      </c>
      <c r="C575" s="59" t="s">
        <v>87</v>
      </c>
      <c r="D575" s="59">
        <v>225</v>
      </c>
      <c r="E575" s="503" t="s">
        <v>110</v>
      </c>
      <c r="F575" s="29">
        <v>1</v>
      </c>
      <c r="G575" s="9">
        <v>1</v>
      </c>
      <c r="H575" s="9">
        <v>1</v>
      </c>
      <c r="I575" s="9">
        <v>2</v>
      </c>
      <c r="J575" s="43">
        <v>2</v>
      </c>
      <c r="K575" s="265">
        <f t="shared" si="9"/>
        <v>0.35859414261160716</v>
      </c>
      <c r="L575" s="164" t="s">
        <v>111</v>
      </c>
    </row>
    <row r="576" spans="1:12">
      <c r="A576" s="34" t="s">
        <v>114</v>
      </c>
      <c r="B576" s="344">
        <v>2010</v>
      </c>
      <c r="C576" s="59" t="s">
        <v>88</v>
      </c>
      <c r="D576" s="59">
        <v>41</v>
      </c>
      <c r="E576" s="503" t="s">
        <v>110</v>
      </c>
      <c r="F576" s="29">
        <v>1</v>
      </c>
      <c r="G576" s="9">
        <v>1</v>
      </c>
      <c r="H576" s="9">
        <v>1</v>
      </c>
      <c r="I576" s="9">
        <v>2</v>
      </c>
      <c r="J576" s="43">
        <v>2</v>
      </c>
      <c r="K576" s="265">
        <f t="shared" si="9"/>
        <v>0.35859414261160716</v>
      </c>
      <c r="L576" s="164" t="s">
        <v>111</v>
      </c>
    </row>
    <row r="577" spans="1:12">
      <c r="A577" s="34" t="s">
        <v>114</v>
      </c>
      <c r="B577" s="344">
        <v>2010</v>
      </c>
      <c r="C577" s="59" t="s">
        <v>89</v>
      </c>
      <c r="D577" s="59">
        <v>28</v>
      </c>
      <c r="E577" s="503" t="s">
        <v>110</v>
      </c>
      <c r="F577" s="29">
        <v>1</v>
      </c>
      <c r="G577" s="9">
        <v>1</v>
      </c>
      <c r="H577" s="9">
        <v>1</v>
      </c>
      <c r="I577" s="9">
        <v>2</v>
      </c>
      <c r="J577" s="43">
        <v>2</v>
      </c>
      <c r="K577" s="265">
        <f t="shared" si="9"/>
        <v>0.35859414261160716</v>
      </c>
      <c r="L577" s="164" t="s">
        <v>111</v>
      </c>
    </row>
    <row r="578" spans="1:12">
      <c r="A578" s="34" t="s">
        <v>114</v>
      </c>
      <c r="B578" s="344">
        <v>2010</v>
      </c>
      <c r="C578" s="59" t="s">
        <v>90</v>
      </c>
      <c r="D578" s="59">
        <v>121</v>
      </c>
      <c r="E578" s="503" t="s">
        <v>110</v>
      </c>
      <c r="F578" s="29">
        <v>1</v>
      </c>
      <c r="G578" s="9">
        <v>1</v>
      </c>
      <c r="H578" s="9">
        <v>1</v>
      </c>
      <c r="I578" s="9">
        <v>2</v>
      </c>
      <c r="J578" s="43">
        <v>2</v>
      </c>
      <c r="K578" s="265">
        <f t="shared" si="9"/>
        <v>0.35859414261160716</v>
      </c>
      <c r="L578" s="164" t="s">
        <v>111</v>
      </c>
    </row>
    <row r="579" spans="1:12">
      <c r="A579" s="34" t="s">
        <v>114</v>
      </c>
      <c r="B579" s="344">
        <v>2010</v>
      </c>
      <c r="C579" s="59" t="s">
        <v>91</v>
      </c>
      <c r="D579" s="59">
        <v>55</v>
      </c>
      <c r="E579" s="503" t="s">
        <v>110</v>
      </c>
      <c r="F579" s="29">
        <v>1</v>
      </c>
      <c r="G579" s="9">
        <v>1</v>
      </c>
      <c r="H579" s="9">
        <v>1</v>
      </c>
      <c r="I579" s="9">
        <v>2</v>
      </c>
      <c r="J579" s="43">
        <v>2</v>
      </c>
      <c r="K579" s="265">
        <f t="shared" si="9"/>
        <v>0.35859414261160716</v>
      </c>
      <c r="L579" s="164" t="s">
        <v>111</v>
      </c>
    </row>
    <row r="580" spans="1:12">
      <c r="A580" s="34" t="s">
        <v>114</v>
      </c>
      <c r="B580" s="344">
        <v>2010</v>
      </c>
      <c r="C580" s="59" t="s">
        <v>94</v>
      </c>
      <c r="D580" s="59">
        <v>20</v>
      </c>
      <c r="E580" s="503" t="s">
        <v>110</v>
      </c>
      <c r="F580" s="29">
        <v>1</v>
      </c>
      <c r="G580" s="9">
        <v>1</v>
      </c>
      <c r="H580" s="9">
        <v>1</v>
      </c>
      <c r="I580" s="9">
        <v>2</v>
      </c>
      <c r="J580" s="43">
        <v>2</v>
      </c>
      <c r="K580" s="265">
        <f t="shared" si="9"/>
        <v>0.35859414261160716</v>
      </c>
      <c r="L580" s="164" t="s">
        <v>111</v>
      </c>
    </row>
    <row r="581" spans="1:12">
      <c r="A581" s="34" t="s">
        <v>114</v>
      </c>
      <c r="B581" s="344">
        <v>2010</v>
      </c>
      <c r="C581" s="59" t="s">
        <v>96</v>
      </c>
      <c r="D581" s="59">
        <v>34</v>
      </c>
      <c r="E581" s="503" t="s">
        <v>110</v>
      </c>
      <c r="F581" s="29">
        <v>1</v>
      </c>
      <c r="G581" s="9">
        <v>1</v>
      </c>
      <c r="H581" s="9">
        <v>1</v>
      </c>
      <c r="I581" s="9">
        <v>2</v>
      </c>
      <c r="J581" s="43">
        <v>2</v>
      </c>
      <c r="K581" s="265">
        <f t="shared" si="9"/>
        <v>0.35859414261160716</v>
      </c>
      <c r="L581" s="164" t="s">
        <v>111</v>
      </c>
    </row>
    <row r="582" spans="1:12">
      <c r="A582" s="34" t="s">
        <v>114</v>
      </c>
      <c r="B582" s="344">
        <v>2010</v>
      </c>
      <c r="C582" s="59" t="s">
        <v>97</v>
      </c>
      <c r="D582" s="59">
        <v>204</v>
      </c>
      <c r="E582" s="503" t="s">
        <v>110</v>
      </c>
      <c r="F582" s="29">
        <v>1</v>
      </c>
      <c r="G582" s="9">
        <v>1</v>
      </c>
      <c r="H582" s="9">
        <v>1</v>
      </c>
      <c r="I582" s="9">
        <v>2</v>
      </c>
      <c r="J582" s="43">
        <v>2</v>
      </c>
      <c r="K582" s="265">
        <f t="shared" si="9"/>
        <v>0.35859414261160716</v>
      </c>
      <c r="L582" s="164" t="s">
        <v>111</v>
      </c>
    </row>
    <row r="583" spans="1:12">
      <c r="A583" s="34" t="s">
        <v>114</v>
      </c>
      <c r="B583" s="344">
        <v>2010</v>
      </c>
      <c r="C583" s="59" t="s">
        <v>95</v>
      </c>
      <c r="D583" s="59">
        <v>52</v>
      </c>
      <c r="E583" s="503" t="s">
        <v>110</v>
      </c>
      <c r="F583" s="29">
        <v>1</v>
      </c>
      <c r="G583" s="9">
        <v>1</v>
      </c>
      <c r="H583" s="9">
        <v>1</v>
      </c>
      <c r="I583" s="9">
        <v>2</v>
      </c>
      <c r="J583" s="43">
        <v>2</v>
      </c>
      <c r="K583" s="265">
        <f t="shared" si="9"/>
        <v>0.35859414261160716</v>
      </c>
      <c r="L583" s="164" t="s">
        <v>111</v>
      </c>
    </row>
    <row r="584" spans="1:12">
      <c r="A584" s="34" t="s">
        <v>114</v>
      </c>
      <c r="B584" s="344">
        <v>2010</v>
      </c>
      <c r="C584" s="59" t="s">
        <v>93</v>
      </c>
      <c r="D584" s="59">
        <v>25</v>
      </c>
      <c r="E584" s="503" t="s">
        <v>110</v>
      </c>
      <c r="F584" s="29">
        <v>1</v>
      </c>
      <c r="G584" s="9">
        <v>1</v>
      </c>
      <c r="H584" s="9">
        <v>1</v>
      </c>
      <c r="I584" s="9">
        <v>2</v>
      </c>
      <c r="J584" s="43">
        <v>2</v>
      </c>
      <c r="K584" s="265">
        <f t="shared" si="9"/>
        <v>0.35859414261160716</v>
      </c>
      <c r="L584" s="164" t="s">
        <v>111</v>
      </c>
    </row>
    <row r="585" spans="1:12">
      <c r="A585" s="34" t="s">
        <v>114</v>
      </c>
      <c r="B585" s="344">
        <v>2010</v>
      </c>
      <c r="C585" s="59" t="s">
        <v>98</v>
      </c>
      <c r="D585" s="59">
        <v>784</v>
      </c>
      <c r="E585" s="503" t="s">
        <v>110</v>
      </c>
      <c r="F585" s="29">
        <v>1</v>
      </c>
      <c r="G585" s="9">
        <v>1</v>
      </c>
      <c r="H585" s="9">
        <v>1</v>
      </c>
      <c r="I585" s="9">
        <v>2</v>
      </c>
      <c r="J585" s="43">
        <v>2</v>
      </c>
      <c r="K585" s="265">
        <f t="shared" si="9"/>
        <v>0.35859414261160716</v>
      </c>
      <c r="L585" s="164" t="s">
        <v>111</v>
      </c>
    </row>
    <row r="586" spans="1:12">
      <c r="A586" s="34" t="s">
        <v>114</v>
      </c>
      <c r="B586" s="344">
        <v>2011</v>
      </c>
      <c r="C586" s="59" t="s">
        <v>85</v>
      </c>
      <c r="D586" s="59">
        <v>756</v>
      </c>
      <c r="E586" s="503" t="s">
        <v>110</v>
      </c>
      <c r="F586" s="29">
        <v>1</v>
      </c>
      <c r="G586" s="9">
        <v>1</v>
      </c>
      <c r="H586" s="9">
        <v>1</v>
      </c>
      <c r="I586" s="9">
        <v>2</v>
      </c>
      <c r="J586" s="43">
        <v>2</v>
      </c>
      <c r="K586" s="265">
        <f t="shared" si="9"/>
        <v>0.35859414261160716</v>
      </c>
      <c r="L586" s="164" t="s">
        <v>111</v>
      </c>
    </row>
    <row r="587" spans="1:12">
      <c r="A587" s="34" t="s">
        <v>114</v>
      </c>
      <c r="B587" s="344">
        <v>2011</v>
      </c>
      <c r="C587" s="59" t="s">
        <v>86</v>
      </c>
      <c r="D587" s="59">
        <v>165</v>
      </c>
      <c r="E587" s="503" t="s">
        <v>110</v>
      </c>
      <c r="F587" s="29">
        <v>1</v>
      </c>
      <c r="G587" s="9">
        <v>1</v>
      </c>
      <c r="H587" s="9">
        <v>1</v>
      </c>
      <c r="I587" s="9">
        <v>2</v>
      </c>
      <c r="J587" s="43">
        <v>2</v>
      </c>
      <c r="K587" s="265">
        <f t="shared" si="9"/>
        <v>0.35859414261160716</v>
      </c>
      <c r="L587" s="164" t="s">
        <v>111</v>
      </c>
    </row>
    <row r="588" spans="1:12">
      <c r="A588" s="34" t="s">
        <v>114</v>
      </c>
      <c r="B588" s="344">
        <v>2011</v>
      </c>
      <c r="C588" s="59" t="s">
        <v>87</v>
      </c>
      <c r="D588" s="59">
        <v>300</v>
      </c>
      <c r="E588" s="503" t="s">
        <v>110</v>
      </c>
      <c r="F588" s="29">
        <v>1</v>
      </c>
      <c r="G588" s="9">
        <v>1</v>
      </c>
      <c r="H588" s="9">
        <v>1</v>
      </c>
      <c r="I588" s="9">
        <v>2</v>
      </c>
      <c r="J588" s="43">
        <v>2</v>
      </c>
      <c r="K588" s="265">
        <f t="shared" si="9"/>
        <v>0.35859414261160716</v>
      </c>
      <c r="L588" s="164" t="s">
        <v>111</v>
      </c>
    </row>
    <row r="589" spans="1:12">
      <c r="A589" s="34" t="s">
        <v>114</v>
      </c>
      <c r="B589" s="344">
        <v>2011</v>
      </c>
      <c r="C589" s="59" t="s">
        <v>88</v>
      </c>
      <c r="D589" s="59">
        <v>48</v>
      </c>
      <c r="E589" s="503" t="s">
        <v>110</v>
      </c>
      <c r="F589" s="29">
        <v>1</v>
      </c>
      <c r="G589" s="9">
        <v>1</v>
      </c>
      <c r="H589" s="9">
        <v>1</v>
      </c>
      <c r="I589" s="9">
        <v>2</v>
      </c>
      <c r="J589" s="43">
        <v>2</v>
      </c>
      <c r="K589" s="265">
        <f t="shared" si="9"/>
        <v>0.35859414261160716</v>
      </c>
      <c r="L589" s="164" t="s">
        <v>111</v>
      </c>
    </row>
    <row r="590" spans="1:12">
      <c r="A590" s="34" t="s">
        <v>114</v>
      </c>
      <c r="B590" s="344">
        <v>2011</v>
      </c>
      <c r="C590" s="59" t="s">
        <v>89</v>
      </c>
      <c r="D590" s="59">
        <v>36</v>
      </c>
      <c r="E590" s="503" t="s">
        <v>110</v>
      </c>
      <c r="F590" s="29">
        <v>1</v>
      </c>
      <c r="G590" s="9">
        <v>1</v>
      </c>
      <c r="H590" s="9">
        <v>1</v>
      </c>
      <c r="I590" s="9">
        <v>2</v>
      </c>
      <c r="J590" s="43">
        <v>2</v>
      </c>
      <c r="K590" s="265">
        <f t="shared" si="9"/>
        <v>0.35859414261160716</v>
      </c>
      <c r="L590" s="164" t="s">
        <v>111</v>
      </c>
    </row>
    <row r="591" spans="1:12">
      <c r="A591" s="34" t="s">
        <v>114</v>
      </c>
      <c r="B591" s="344">
        <v>2011</v>
      </c>
      <c r="C591" s="59" t="s">
        <v>90</v>
      </c>
      <c r="D591" s="59">
        <v>122</v>
      </c>
      <c r="E591" s="503" t="s">
        <v>110</v>
      </c>
      <c r="F591" s="29">
        <v>1</v>
      </c>
      <c r="G591" s="9">
        <v>1</v>
      </c>
      <c r="H591" s="9">
        <v>1</v>
      </c>
      <c r="I591" s="9">
        <v>2</v>
      </c>
      <c r="J591" s="43">
        <v>2</v>
      </c>
      <c r="K591" s="265">
        <f t="shared" si="9"/>
        <v>0.35859414261160716</v>
      </c>
      <c r="L591" s="164" t="s">
        <v>111</v>
      </c>
    </row>
    <row r="592" spans="1:12">
      <c r="A592" s="34" t="s">
        <v>114</v>
      </c>
      <c r="B592" s="344">
        <v>2011</v>
      </c>
      <c r="C592" s="59" t="s">
        <v>91</v>
      </c>
      <c r="D592" s="59">
        <v>60</v>
      </c>
      <c r="E592" s="503" t="s">
        <v>110</v>
      </c>
      <c r="F592" s="29">
        <v>1</v>
      </c>
      <c r="G592" s="9">
        <v>1</v>
      </c>
      <c r="H592" s="9">
        <v>1</v>
      </c>
      <c r="I592" s="9">
        <v>2</v>
      </c>
      <c r="J592" s="43">
        <v>2</v>
      </c>
      <c r="K592" s="265">
        <f t="shared" si="9"/>
        <v>0.35859414261160716</v>
      </c>
      <c r="L592" s="164" t="s">
        <v>111</v>
      </c>
    </row>
    <row r="593" spans="1:12">
      <c r="A593" s="34" t="s">
        <v>114</v>
      </c>
      <c r="B593" s="344">
        <v>2011</v>
      </c>
      <c r="C593" s="59" t="s">
        <v>94</v>
      </c>
      <c r="D593" s="59">
        <v>18</v>
      </c>
      <c r="E593" s="503" t="s">
        <v>110</v>
      </c>
      <c r="F593" s="29">
        <v>1</v>
      </c>
      <c r="G593" s="9">
        <v>1</v>
      </c>
      <c r="H593" s="9">
        <v>1</v>
      </c>
      <c r="I593" s="9">
        <v>2</v>
      </c>
      <c r="J593" s="43">
        <v>2</v>
      </c>
      <c r="K593" s="265">
        <f t="shared" si="9"/>
        <v>0.35859414261160716</v>
      </c>
      <c r="L593" s="164" t="s">
        <v>111</v>
      </c>
    </row>
    <row r="594" spans="1:12">
      <c r="A594" s="34" t="s">
        <v>114</v>
      </c>
      <c r="B594" s="344">
        <v>2011</v>
      </c>
      <c r="C594" s="59" t="s">
        <v>96</v>
      </c>
      <c r="D594" s="59">
        <v>48</v>
      </c>
      <c r="E594" s="503" t="s">
        <v>110</v>
      </c>
      <c r="F594" s="29">
        <v>1</v>
      </c>
      <c r="G594" s="9">
        <v>1</v>
      </c>
      <c r="H594" s="9">
        <v>1</v>
      </c>
      <c r="I594" s="9">
        <v>2</v>
      </c>
      <c r="J594" s="43">
        <v>2</v>
      </c>
      <c r="K594" s="265">
        <f t="shared" si="9"/>
        <v>0.35859414261160716</v>
      </c>
      <c r="L594" s="164" t="s">
        <v>111</v>
      </c>
    </row>
    <row r="595" spans="1:12">
      <c r="A595" s="34" t="s">
        <v>114</v>
      </c>
      <c r="B595" s="344">
        <v>2011</v>
      </c>
      <c r="C595" s="59" t="s">
        <v>97</v>
      </c>
      <c r="D595" s="59">
        <v>196</v>
      </c>
      <c r="E595" s="503" t="s">
        <v>110</v>
      </c>
      <c r="F595" s="29">
        <v>1</v>
      </c>
      <c r="G595" s="9">
        <v>1</v>
      </c>
      <c r="H595" s="9">
        <v>1</v>
      </c>
      <c r="I595" s="9">
        <v>2</v>
      </c>
      <c r="J595" s="43">
        <v>2</v>
      </c>
      <c r="K595" s="265">
        <f t="shared" si="9"/>
        <v>0.35859414261160716</v>
      </c>
      <c r="L595" s="164" t="s">
        <v>111</v>
      </c>
    </row>
    <row r="596" spans="1:12">
      <c r="A596" s="34" t="s">
        <v>114</v>
      </c>
      <c r="B596" s="344">
        <v>2011</v>
      </c>
      <c r="C596" s="59" t="s">
        <v>95</v>
      </c>
      <c r="D596" s="59">
        <v>53</v>
      </c>
      <c r="E596" s="503" t="s">
        <v>110</v>
      </c>
      <c r="F596" s="29">
        <v>1</v>
      </c>
      <c r="G596" s="9">
        <v>1</v>
      </c>
      <c r="H596" s="9">
        <v>1</v>
      </c>
      <c r="I596" s="9">
        <v>2</v>
      </c>
      <c r="J596" s="43">
        <v>2</v>
      </c>
      <c r="K596" s="265">
        <f t="shared" si="9"/>
        <v>0.35859414261160716</v>
      </c>
      <c r="L596" s="164" t="s">
        <v>111</v>
      </c>
    </row>
    <row r="597" spans="1:12">
      <c r="A597" s="34" t="s">
        <v>114</v>
      </c>
      <c r="B597" s="344">
        <v>2011</v>
      </c>
      <c r="C597" s="59" t="s">
        <v>93</v>
      </c>
      <c r="D597" s="59">
        <v>30</v>
      </c>
      <c r="E597" s="503" t="s">
        <v>110</v>
      </c>
      <c r="F597" s="29">
        <v>1</v>
      </c>
      <c r="G597" s="9">
        <v>1</v>
      </c>
      <c r="H597" s="9">
        <v>1</v>
      </c>
      <c r="I597" s="9">
        <v>2</v>
      </c>
      <c r="J597" s="43">
        <v>2</v>
      </c>
      <c r="K597" s="265">
        <f t="shared" si="9"/>
        <v>0.35859414261160716</v>
      </c>
      <c r="L597" s="164" t="s">
        <v>111</v>
      </c>
    </row>
    <row r="598" spans="1:12">
      <c r="A598" s="34" t="s">
        <v>114</v>
      </c>
      <c r="B598" s="344">
        <v>2011</v>
      </c>
      <c r="C598" s="59" t="s">
        <v>98</v>
      </c>
      <c r="D598" s="59">
        <v>907</v>
      </c>
      <c r="E598" s="503" t="s">
        <v>110</v>
      </c>
      <c r="F598" s="29">
        <v>1</v>
      </c>
      <c r="G598" s="9">
        <v>1</v>
      </c>
      <c r="H598" s="9">
        <v>1</v>
      </c>
      <c r="I598" s="9">
        <v>2</v>
      </c>
      <c r="J598" s="43">
        <v>2</v>
      </c>
      <c r="K598" s="265">
        <f t="shared" si="9"/>
        <v>0.35859414261160716</v>
      </c>
      <c r="L598" s="164" t="s">
        <v>111</v>
      </c>
    </row>
    <row r="599" spans="1:12">
      <c r="A599" s="34" t="s">
        <v>114</v>
      </c>
      <c r="B599" s="344">
        <v>2012</v>
      </c>
      <c r="C599" s="59" t="s">
        <v>85</v>
      </c>
      <c r="D599" s="59">
        <v>853</v>
      </c>
      <c r="E599" s="503" t="s">
        <v>110</v>
      </c>
      <c r="F599" s="29">
        <v>1</v>
      </c>
      <c r="G599" s="9">
        <v>1</v>
      </c>
      <c r="H599" s="9">
        <v>1</v>
      </c>
      <c r="I599" s="9">
        <v>2</v>
      </c>
      <c r="J599" s="43">
        <v>2</v>
      </c>
      <c r="K599" s="265">
        <f t="shared" si="9"/>
        <v>0.35859414261160716</v>
      </c>
      <c r="L599" s="164" t="s">
        <v>111</v>
      </c>
    </row>
    <row r="600" spans="1:12">
      <c r="A600" s="34" t="s">
        <v>114</v>
      </c>
      <c r="B600" s="344">
        <v>2012</v>
      </c>
      <c r="C600" s="59" t="s">
        <v>86</v>
      </c>
      <c r="D600" s="59">
        <v>190</v>
      </c>
      <c r="E600" s="503" t="s">
        <v>110</v>
      </c>
      <c r="F600" s="29">
        <v>1</v>
      </c>
      <c r="G600" s="9">
        <v>1</v>
      </c>
      <c r="H600" s="9">
        <v>1</v>
      </c>
      <c r="I600" s="9">
        <v>2</v>
      </c>
      <c r="J600" s="43">
        <v>2</v>
      </c>
      <c r="K600" s="265">
        <f t="shared" si="9"/>
        <v>0.35859414261160716</v>
      </c>
      <c r="L600" s="164" t="s">
        <v>111</v>
      </c>
    </row>
    <row r="601" spans="1:12">
      <c r="A601" s="34" t="s">
        <v>114</v>
      </c>
      <c r="B601" s="344">
        <v>2012</v>
      </c>
      <c r="C601" s="59" t="s">
        <v>87</v>
      </c>
      <c r="D601" s="59">
        <v>258</v>
      </c>
      <c r="E601" s="503" t="s">
        <v>110</v>
      </c>
      <c r="F601" s="29">
        <v>1</v>
      </c>
      <c r="G601" s="9">
        <v>1</v>
      </c>
      <c r="H601" s="9">
        <v>1</v>
      </c>
      <c r="I601" s="9">
        <v>2</v>
      </c>
      <c r="J601" s="43">
        <v>2</v>
      </c>
      <c r="K601" s="265">
        <f t="shared" si="9"/>
        <v>0.35859414261160716</v>
      </c>
      <c r="L601" s="164" t="s">
        <v>111</v>
      </c>
    </row>
    <row r="602" spans="1:12">
      <c r="A602" s="34" t="s">
        <v>114</v>
      </c>
      <c r="B602" s="344">
        <v>2012</v>
      </c>
      <c r="C602" s="59" t="s">
        <v>88</v>
      </c>
      <c r="D602" s="59">
        <v>44</v>
      </c>
      <c r="E602" s="503" t="s">
        <v>110</v>
      </c>
      <c r="F602" s="29">
        <v>1</v>
      </c>
      <c r="G602" s="9">
        <v>1</v>
      </c>
      <c r="H602" s="9">
        <v>1</v>
      </c>
      <c r="I602" s="9">
        <v>2</v>
      </c>
      <c r="J602" s="43">
        <v>2</v>
      </c>
      <c r="K602" s="265">
        <f t="shared" si="9"/>
        <v>0.35859414261160716</v>
      </c>
      <c r="L602" s="164" t="s">
        <v>111</v>
      </c>
    </row>
    <row r="603" spans="1:12">
      <c r="A603" s="34" t="s">
        <v>114</v>
      </c>
      <c r="B603" s="344">
        <v>2012</v>
      </c>
      <c r="C603" s="59" t="s">
        <v>89</v>
      </c>
      <c r="D603" s="59">
        <v>38</v>
      </c>
      <c r="E603" s="503" t="s">
        <v>110</v>
      </c>
      <c r="F603" s="29">
        <v>1</v>
      </c>
      <c r="G603" s="9">
        <v>1</v>
      </c>
      <c r="H603" s="9">
        <v>1</v>
      </c>
      <c r="I603" s="9">
        <v>2</v>
      </c>
      <c r="J603" s="43">
        <v>2</v>
      </c>
      <c r="K603" s="265">
        <f t="shared" si="9"/>
        <v>0.35859414261160716</v>
      </c>
      <c r="L603" s="164" t="s">
        <v>111</v>
      </c>
    </row>
    <row r="604" spans="1:12">
      <c r="A604" s="34" t="s">
        <v>114</v>
      </c>
      <c r="B604" s="344">
        <v>2012</v>
      </c>
      <c r="C604" s="59" t="s">
        <v>90</v>
      </c>
      <c r="D604" s="59">
        <v>181</v>
      </c>
      <c r="E604" s="503" t="s">
        <v>110</v>
      </c>
      <c r="F604" s="29">
        <v>1</v>
      </c>
      <c r="G604" s="9">
        <v>1</v>
      </c>
      <c r="H604" s="9">
        <v>1</v>
      </c>
      <c r="I604" s="9">
        <v>2</v>
      </c>
      <c r="J604" s="43">
        <v>2</v>
      </c>
      <c r="K604" s="265">
        <f t="shared" si="9"/>
        <v>0.35859414261160716</v>
      </c>
      <c r="L604" s="164" t="s">
        <v>111</v>
      </c>
    </row>
    <row r="605" spans="1:12">
      <c r="A605" s="34" t="s">
        <v>114</v>
      </c>
      <c r="B605" s="344">
        <v>2012</v>
      </c>
      <c r="C605" s="59" t="s">
        <v>91</v>
      </c>
      <c r="D605" s="59">
        <v>77</v>
      </c>
      <c r="E605" s="503" t="s">
        <v>110</v>
      </c>
      <c r="F605" s="29">
        <v>1</v>
      </c>
      <c r="G605" s="9">
        <v>1</v>
      </c>
      <c r="H605" s="9">
        <v>1</v>
      </c>
      <c r="I605" s="9">
        <v>2</v>
      </c>
      <c r="J605" s="43">
        <v>2</v>
      </c>
      <c r="K605" s="265">
        <f t="shared" si="9"/>
        <v>0.35859414261160716</v>
      </c>
      <c r="L605" s="164" t="s">
        <v>111</v>
      </c>
    </row>
    <row r="606" spans="1:12">
      <c r="A606" s="34" t="s">
        <v>114</v>
      </c>
      <c r="B606" s="344">
        <v>2012</v>
      </c>
      <c r="C606" s="59" t="s">
        <v>94</v>
      </c>
      <c r="D606" s="59">
        <v>20</v>
      </c>
      <c r="E606" s="503" t="s">
        <v>110</v>
      </c>
      <c r="F606" s="29">
        <v>1</v>
      </c>
      <c r="G606" s="9">
        <v>1</v>
      </c>
      <c r="H606" s="9">
        <v>1</v>
      </c>
      <c r="I606" s="9">
        <v>2</v>
      </c>
      <c r="J606" s="43">
        <v>2</v>
      </c>
      <c r="K606" s="265">
        <f t="shared" si="9"/>
        <v>0.35859414261160716</v>
      </c>
      <c r="L606" s="164" t="s">
        <v>111</v>
      </c>
    </row>
    <row r="607" spans="1:12">
      <c r="A607" s="34" t="s">
        <v>114</v>
      </c>
      <c r="B607" s="344">
        <v>2012</v>
      </c>
      <c r="C607" s="59" t="s">
        <v>96</v>
      </c>
      <c r="D607" s="59">
        <v>46</v>
      </c>
      <c r="E607" s="503" t="s">
        <v>110</v>
      </c>
      <c r="F607" s="29">
        <v>1</v>
      </c>
      <c r="G607" s="9">
        <v>1</v>
      </c>
      <c r="H607" s="9">
        <v>1</v>
      </c>
      <c r="I607" s="9">
        <v>2</v>
      </c>
      <c r="J607" s="43">
        <v>2</v>
      </c>
      <c r="K607" s="265">
        <f t="shared" si="9"/>
        <v>0.35859414261160716</v>
      </c>
      <c r="L607" s="164" t="s">
        <v>111</v>
      </c>
    </row>
    <row r="608" spans="1:12">
      <c r="A608" s="34" t="s">
        <v>114</v>
      </c>
      <c r="B608" s="344">
        <v>2012</v>
      </c>
      <c r="C608" s="59" t="s">
        <v>97</v>
      </c>
      <c r="D608" s="59">
        <v>187</v>
      </c>
      <c r="E608" s="503" t="s">
        <v>110</v>
      </c>
      <c r="F608" s="29">
        <v>1</v>
      </c>
      <c r="G608" s="9">
        <v>1</v>
      </c>
      <c r="H608" s="9">
        <v>1</v>
      </c>
      <c r="I608" s="9">
        <v>2</v>
      </c>
      <c r="J608" s="43">
        <v>2</v>
      </c>
      <c r="K608" s="265">
        <f t="shared" si="9"/>
        <v>0.35859414261160716</v>
      </c>
      <c r="L608" s="164" t="s">
        <v>111</v>
      </c>
    </row>
    <row r="609" spans="1:12">
      <c r="A609" s="34" t="s">
        <v>114</v>
      </c>
      <c r="B609" s="344">
        <v>2012</v>
      </c>
      <c r="C609" s="59" t="s">
        <v>95</v>
      </c>
      <c r="D609" s="59">
        <v>55</v>
      </c>
      <c r="E609" s="503" t="s">
        <v>110</v>
      </c>
      <c r="F609" s="29">
        <v>1</v>
      </c>
      <c r="G609" s="9">
        <v>1</v>
      </c>
      <c r="H609" s="9">
        <v>1</v>
      </c>
      <c r="I609" s="9">
        <v>2</v>
      </c>
      <c r="J609" s="43">
        <v>2</v>
      </c>
      <c r="K609" s="265">
        <f t="shared" si="9"/>
        <v>0.35859414261160716</v>
      </c>
      <c r="L609" s="164" t="s">
        <v>111</v>
      </c>
    </row>
    <row r="610" spans="1:12">
      <c r="A610" s="34" t="s">
        <v>114</v>
      </c>
      <c r="B610" s="344">
        <v>2012</v>
      </c>
      <c r="C610" s="59" t="s">
        <v>93</v>
      </c>
      <c r="D610" s="59">
        <v>28</v>
      </c>
      <c r="E610" s="503" t="s">
        <v>110</v>
      </c>
      <c r="F610" s="29">
        <v>1</v>
      </c>
      <c r="G610" s="9">
        <v>1</v>
      </c>
      <c r="H610" s="9">
        <v>1</v>
      </c>
      <c r="I610" s="9">
        <v>2</v>
      </c>
      <c r="J610" s="43">
        <v>2</v>
      </c>
      <c r="K610" s="265">
        <f t="shared" si="9"/>
        <v>0.35859414261160716</v>
      </c>
      <c r="L610" s="164" t="s">
        <v>111</v>
      </c>
    </row>
    <row r="611" spans="1:12">
      <c r="A611" s="34" t="s">
        <v>114</v>
      </c>
      <c r="B611" s="344">
        <v>2012</v>
      </c>
      <c r="C611" s="59" t="s">
        <v>98</v>
      </c>
      <c r="D611" s="59">
        <v>922</v>
      </c>
      <c r="E611" s="503" t="s">
        <v>110</v>
      </c>
      <c r="F611" s="29">
        <v>1</v>
      </c>
      <c r="G611" s="9">
        <v>1</v>
      </c>
      <c r="H611" s="9">
        <v>1</v>
      </c>
      <c r="I611" s="9">
        <v>2</v>
      </c>
      <c r="J611" s="43">
        <v>2</v>
      </c>
      <c r="K611" s="265">
        <f t="shared" si="9"/>
        <v>0.35859414261160716</v>
      </c>
      <c r="L611" s="164" t="s">
        <v>111</v>
      </c>
    </row>
    <row r="612" spans="1:12">
      <c r="A612" s="34" t="s">
        <v>114</v>
      </c>
      <c r="B612" s="344">
        <v>2013</v>
      </c>
      <c r="C612" s="59" t="s">
        <v>85</v>
      </c>
      <c r="D612" s="59">
        <v>984</v>
      </c>
      <c r="E612" s="503" t="s">
        <v>110</v>
      </c>
      <c r="F612" s="29">
        <v>1</v>
      </c>
      <c r="G612" s="9">
        <v>1</v>
      </c>
      <c r="H612" s="9">
        <v>1</v>
      </c>
      <c r="I612" s="9">
        <v>2</v>
      </c>
      <c r="J612" s="43">
        <v>2</v>
      </c>
      <c r="K612" s="265">
        <f t="shared" si="9"/>
        <v>0.35859414261160716</v>
      </c>
      <c r="L612" s="164" t="s">
        <v>111</v>
      </c>
    </row>
    <row r="613" spans="1:12">
      <c r="A613" s="34" t="s">
        <v>114</v>
      </c>
      <c r="B613" s="344">
        <v>2013</v>
      </c>
      <c r="C613" s="59" t="s">
        <v>86</v>
      </c>
      <c r="D613" s="59">
        <v>222</v>
      </c>
      <c r="E613" s="503" t="s">
        <v>110</v>
      </c>
      <c r="F613" s="29">
        <v>1</v>
      </c>
      <c r="G613" s="9">
        <v>1</v>
      </c>
      <c r="H613" s="9">
        <v>1</v>
      </c>
      <c r="I613" s="9">
        <v>2</v>
      </c>
      <c r="J613" s="43">
        <v>2</v>
      </c>
      <c r="K613" s="265">
        <f t="shared" si="9"/>
        <v>0.35859414261160716</v>
      </c>
      <c r="L613" s="164" t="s">
        <v>111</v>
      </c>
    </row>
    <row r="614" spans="1:12">
      <c r="A614" s="34" t="s">
        <v>114</v>
      </c>
      <c r="B614" s="344">
        <v>2013</v>
      </c>
      <c r="C614" s="59" t="s">
        <v>87</v>
      </c>
      <c r="D614" s="59">
        <v>232</v>
      </c>
      <c r="E614" s="503" t="s">
        <v>110</v>
      </c>
      <c r="F614" s="29">
        <v>1</v>
      </c>
      <c r="G614" s="9">
        <v>1</v>
      </c>
      <c r="H614" s="9">
        <v>1</v>
      </c>
      <c r="I614" s="9">
        <v>2</v>
      </c>
      <c r="J614" s="43">
        <v>2</v>
      </c>
      <c r="K614" s="265">
        <f t="shared" si="9"/>
        <v>0.35859414261160716</v>
      </c>
      <c r="L614" s="164" t="s">
        <v>111</v>
      </c>
    </row>
    <row r="615" spans="1:12">
      <c r="A615" s="34" t="s">
        <v>114</v>
      </c>
      <c r="B615" s="344">
        <v>2013</v>
      </c>
      <c r="C615" s="59" t="s">
        <v>88</v>
      </c>
      <c r="D615" s="59">
        <v>47</v>
      </c>
      <c r="E615" s="503" t="s">
        <v>110</v>
      </c>
      <c r="F615" s="29">
        <v>1</v>
      </c>
      <c r="G615" s="9">
        <v>1</v>
      </c>
      <c r="H615" s="9">
        <v>1</v>
      </c>
      <c r="I615" s="9">
        <v>2</v>
      </c>
      <c r="J615" s="43">
        <v>2</v>
      </c>
      <c r="K615" s="265">
        <f t="shared" si="9"/>
        <v>0.35859414261160716</v>
      </c>
      <c r="L615" s="164" t="s">
        <v>111</v>
      </c>
    </row>
    <row r="616" spans="1:12">
      <c r="A616" s="34" t="s">
        <v>114</v>
      </c>
      <c r="B616" s="344">
        <v>2013</v>
      </c>
      <c r="C616" s="59" t="s">
        <v>89</v>
      </c>
      <c r="D616" s="59">
        <v>37</v>
      </c>
      <c r="E616" s="503" t="s">
        <v>110</v>
      </c>
      <c r="F616" s="29">
        <v>1</v>
      </c>
      <c r="G616" s="9">
        <v>1</v>
      </c>
      <c r="H616" s="9">
        <v>1</v>
      </c>
      <c r="I616" s="9">
        <v>2</v>
      </c>
      <c r="J616" s="43">
        <v>2</v>
      </c>
      <c r="K616" s="265">
        <f t="shared" si="9"/>
        <v>0.35859414261160716</v>
      </c>
      <c r="L616" s="164" t="s">
        <v>111</v>
      </c>
    </row>
    <row r="617" spans="1:12">
      <c r="A617" s="34" t="s">
        <v>114</v>
      </c>
      <c r="B617" s="344">
        <v>2013</v>
      </c>
      <c r="C617" s="59" t="s">
        <v>90</v>
      </c>
      <c r="D617" s="59">
        <v>164</v>
      </c>
      <c r="E617" s="503" t="s">
        <v>110</v>
      </c>
      <c r="F617" s="29">
        <v>1</v>
      </c>
      <c r="G617" s="9">
        <v>1</v>
      </c>
      <c r="H617" s="9">
        <v>1</v>
      </c>
      <c r="I617" s="9">
        <v>2</v>
      </c>
      <c r="J617" s="43">
        <v>2</v>
      </c>
      <c r="K617" s="265">
        <f t="shared" si="9"/>
        <v>0.35859414261160716</v>
      </c>
      <c r="L617" s="164" t="s">
        <v>111</v>
      </c>
    </row>
    <row r="618" spans="1:12">
      <c r="A618" s="34" t="s">
        <v>114</v>
      </c>
      <c r="B618" s="344">
        <v>2013</v>
      </c>
      <c r="C618" s="59" t="s">
        <v>91</v>
      </c>
      <c r="D618" s="59">
        <v>40</v>
      </c>
      <c r="E618" s="503" t="s">
        <v>110</v>
      </c>
      <c r="F618" s="29">
        <v>1</v>
      </c>
      <c r="G618" s="9">
        <v>1</v>
      </c>
      <c r="H618" s="9">
        <v>1</v>
      </c>
      <c r="I618" s="9">
        <v>2</v>
      </c>
      <c r="J618" s="43">
        <v>2</v>
      </c>
      <c r="K618" s="265">
        <f t="shared" si="9"/>
        <v>0.35859414261160716</v>
      </c>
      <c r="L618" s="164" t="s">
        <v>111</v>
      </c>
    </row>
    <row r="619" spans="1:12">
      <c r="A619" s="34" t="s">
        <v>114</v>
      </c>
      <c r="B619" s="344">
        <v>2013</v>
      </c>
      <c r="C619" s="59" t="s">
        <v>94</v>
      </c>
      <c r="D619" s="59">
        <v>15</v>
      </c>
      <c r="E619" s="503" t="s">
        <v>110</v>
      </c>
      <c r="F619" s="29">
        <v>1</v>
      </c>
      <c r="G619" s="9">
        <v>1</v>
      </c>
      <c r="H619" s="9">
        <v>1</v>
      </c>
      <c r="I619" s="9">
        <v>2</v>
      </c>
      <c r="J619" s="43">
        <v>2</v>
      </c>
      <c r="K619" s="265">
        <f t="shared" si="9"/>
        <v>0.35859414261160716</v>
      </c>
      <c r="L619" s="164" t="s">
        <v>111</v>
      </c>
    </row>
    <row r="620" spans="1:12">
      <c r="A620" s="34" t="s">
        <v>114</v>
      </c>
      <c r="B620" s="344">
        <v>2013</v>
      </c>
      <c r="C620" s="59" t="s">
        <v>96</v>
      </c>
      <c r="D620" s="59">
        <v>42</v>
      </c>
      <c r="E620" s="503" t="s">
        <v>110</v>
      </c>
      <c r="F620" s="29">
        <v>1</v>
      </c>
      <c r="G620" s="9">
        <v>1</v>
      </c>
      <c r="H620" s="9">
        <v>1</v>
      </c>
      <c r="I620" s="9">
        <v>2</v>
      </c>
      <c r="J620" s="43">
        <v>2</v>
      </c>
      <c r="K620" s="265">
        <f t="shared" si="9"/>
        <v>0.35859414261160716</v>
      </c>
      <c r="L620" s="164" t="s">
        <v>111</v>
      </c>
    </row>
    <row r="621" spans="1:12">
      <c r="A621" s="34" t="s">
        <v>114</v>
      </c>
      <c r="B621" s="344">
        <v>2013</v>
      </c>
      <c r="C621" s="59" t="s">
        <v>97</v>
      </c>
      <c r="D621" s="59">
        <v>176</v>
      </c>
      <c r="E621" s="503" t="s">
        <v>110</v>
      </c>
      <c r="F621" s="29">
        <v>1</v>
      </c>
      <c r="G621" s="9">
        <v>1</v>
      </c>
      <c r="H621" s="9">
        <v>1</v>
      </c>
      <c r="I621" s="9">
        <v>2</v>
      </c>
      <c r="J621" s="43">
        <v>2</v>
      </c>
      <c r="K621" s="265">
        <f t="shared" si="9"/>
        <v>0.35859414261160716</v>
      </c>
      <c r="L621" s="164" t="s">
        <v>111</v>
      </c>
    </row>
    <row r="622" spans="1:12">
      <c r="A622" s="34" t="s">
        <v>114</v>
      </c>
      <c r="B622" s="344">
        <v>2013</v>
      </c>
      <c r="C622" s="59" t="s">
        <v>95</v>
      </c>
      <c r="D622" s="59">
        <v>54</v>
      </c>
      <c r="E622" s="503" t="s">
        <v>110</v>
      </c>
      <c r="F622" s="29">
        <v>1</v>
      </c>
      <c r="G622" s="9">
        <v>1</v>
      </c>
      <c r="H622" s="9">
        <v>1</v>
      </c>
      <c r="I622" s="9">
        <v>2</v>
      </c>
      <c r="J622" s="43">
        <v>2</v>
      </c>
      <c r="K622" s="265">
        <f t="shared" si="9"/>
        <v>0.35859414261160716</v>
      </c>
      <c r="L622" s="164" t="s">
        <v>111</v>
      </c>
    </row>
    <row r="623" spans="1:12">
      <c r="A623" s="34" t="s">
        <v>114</v>
      </c>
      <c r="B623" s="344">
        <v>2013</v>
      </c>
      <c r="C623" s="59" t="s">
        <v>93</v>
      </c>
      <c r="D623" s="59">
        <v>26</v>
      </c>
      <c r="E623" s="503" t="s">
        <v>110</v>
      </c>
      <c r="F623" s="29">
        <v>1</v>
      </c>
      <c r="G623" s="9">
        <v>1</v>
      </c>
      <c r="H623" s="9">
        <v>1</v>
      </c>
      <c r="I623" s="9">
        <v>2</v>
      </c>
      <c r="J623" s="43">
        <v>2</v>
      </c>
      <c r="K623" s="265">
        <f t="shared" si="9"/>
        <v>0.35859414261160716</v>
      </c>
      <c r="L623" s="164" t="s">
        <v>111</v>
      </c>
    </row>
    <row r="624" spans="1:12">
      <c r="A624" s="34" t="s">
        <v>114</v>
      </c>
      <c r="B624" s="344">
        <v>2013</v>
      </c>
      <c r="C624" s="59" t="s">
        <v>98</v>
      </c>
      <c r="D624" s="59">
        <v>1210</v>
      </c>
      <c r="E624" s="503" t="s">
        <v>110</v>
      </c>
      <c r="F624" s="29">
        <v>1</v>
      </c>
      <c r="G624" s="9">
        <v>1</v>
      </c>
      <c r="H624" s="9">
        <v>1</v>
      </c>
      <c r="I624" s="9">
        <v>2</v>
      </c>
      <c r="J624" s="43">
        <v>2</v>
      </c>
      <c r="K624" s="265">
        <f t="shared" si="9"/>
        <v>0.35859414261160716</v>
      </c>
      <c r="L624" s="164" t="s">
        <v>111</v>
      </c>
    </row>
    <row r="625" spans="1:12">
      <c r="A625" s="34" t="s">
        <v>114</v>
      </c>
      <c r="B625" s="344">
        <v>2014</v>
      </c>
      <c r="C625" s="59" t="s">
        <v>85</v>
      </c>
      <c r="D625" s="59">
        <v>1013</v>
      </c>
      <c r="E625" s="503" t="s">
        <v>110</v>
      </c>
      <c r="F625" s="29">
        <v>1</v>
      </c>
      <c r="G625" s="9">
        <v>1</v>
      </c>
      <c r="H625" s="9">
        <v>1</v>
      </c>
      <c r="I625" s="9">
        <v>2</v>
      </c>
      <c r="J625" s="43">
        <v>2</v>
      </c>
      <c r="K625" s="265">
        <f t="shared" si="9"/>
        <v>0.35859414261160716</v>
      </c>
      <c r="L625" s="164" t="s">
        <v>111</v>
      </c>
    </row>
    <row r="626" spans="1:12">
      <c r="A626" s="34" t="s">
        <v>114</v>
      </c>
      <c r="B626" s="344">
        <v>2014</v>
      </c>
      <c r="C626" s="59" t="s">
        <v>86</v>
      </c>
      <c r="D626" s="59">
        <v>192</v>
      </c>
      <c r="E626" s="503" t="s">
        <v>110</v>
      </c>
      <c r="F626" s="29">
        <v>1</v>
      </c>
      <c r="G626" s="9">
        <v>1</v>
      </c>
      <c r="H626" s="9">
        <v>1</v>
      </c>
      <c r="I626" s="9">
        <v>2</v>
      </c>
      <c r="J626" s="43">
        <v>2</v>
      </c>
      <c r="K626" s="265">
        <f t="shared" si="9"/>
        <v>0.35859414261160716</v>
      </c>
      <c r="L626" s="164" t="s">
        <v>111</v>
      </c>
    </row>
    <row r="627" spans="1:12">
      <c r="A627" s="34" t="s">
        <v>114</v>
      </c>
      <c r="B627" s="344">
        <v>2014</v>
      </c>
      <c r="C627" s="59" t="s">
        <v>87</v>
      </c>
      <c r="D627" s="59">
        <v>207</v>
      </c>
      <c r="E627" s="503" t="s">
        <v>110</v>
      </c>
      <c r="F627" s="29">
        <v>1</v>
      </c>
      <c r="G627" s="9">
        <v>1</v>
      </c>
      <c r="H627" s="9">
        <v>1</v>
      </c>
      <c r="I627" s="9">
        <v>2</v>
      </c>
      <c r="J627" s="43">
        <v>2</v>
      </c>
      <c r="K627" s="265">
        <f t="shared" si="9"/>
        <v>0.35859414261160716</v>
      </c>
      <c r="L627" s="164" t="s">
        <v>111</v>
      </c>
    </row>
    <row r="628" spans="1:12">
      <c r="A628" s="34" t="s">
        <v>114</v>
      </c>
      <c r="B628" s="344">
        <v>2014</v>
      </c>
      <c r="C628" s="59" t="s">
        <v>88</v>
      </c>
      <c r="D628" s="59">
        <v>47</v>
      </c>
      <c r="E628" s="503" t="s">
        <v>110</v>
      </c>
      <c r="F628" s="29">
        <v>1</v>
      </c>
      <c r="G628" s="9">
        <v>1</v>
      </c>
      <c r="H628" s="9">
        <v>1</v>
      </c>
      <c r="I628" s="9">
        <v>2</v>
      </c>
      <c r="J628" s="43">
        <v>2</v>
      </c>
      <c r="K628" s="265">
        <f t="shared" si="9"/>
        <v>0.35859414261160716</v>
      </c>
      <c r="L628" s="164" t="s">
        <v>111</v>
      </c>
    </row>
    <row r="629" spans="1:12">
      <c r="A629" s="34" t="s">
        <v>114</v>
      </c>
      <c r="B629" s="344">
        <v>2014</v>
      </c>
      <c r="C629" s="59" t="s">
        <v>89</v>
      </c>
      <c r="D629" s="59">
        <v>43</v>
      </c>
      <c r="E629" s="503" t="s">
        <v>110</v>
      </c>
      <c r="F629" s="29">
        <v>1</v>
      </c>
      <c r="G629" s="9">
        <v>1</v>
      </c>
      <c r="H629" s="9">
        <v>1</v>
      </c>
      <c r="I629" s="9">
        <v>2</v>
      </c>
      <c r="J629" s="43">
        <v>2</v>
      </c>
      <c r="K629" s="265">
        <f t="shared" si="9"/>
        <v>0.35859414261160716</v>
      </c>
      <c r="L629" s="164" t="s">
        <v>111</v>
      </c>
    </row>
    <row r="630" spans="1:12">
      <c r="A630" s="34" t="s">
        <v>114</v>
      </c>
      <c r="B630" s="344">
        <v>2014</v>
      </c>
      <c r="C630" s="59" t="s">
        <v>90</v>
      </c>
      <c r="D630" s="59">
        <v>142</v>
      </c>
      <c r="E630" s="503" t="s">
        <v>110</v>
      </c>
      <c r="F630" s="29">
        <v>1</v>
      </c>
      <c r="G630" s="9">
        <v>1</v>
      </c>
      <c r="H630" s="9">
        <v>1</v>
      </c>
      <c r="I630" s="9">
        <v>2</v>
      </c>
      <c r="J630" s="43">
        <v>2</v>
      </c>
      <c r="K630" s="265">
        <f t="shared" si="9"/>
        <v>0.35859414261160716</v>
      </c>
      <c r="L630" s="164" t="s">
        <v>111</v>
      </c>
    </row>
    <row r="631" spans="1:12">
      <c r="A631" s="34" t="s">
        <v>114</v>
      </c>
      <c r="B631" s="344">
        <v>2014</v>
      </c>
      <c r="C631" s="59" t="s">
        <v>91</v>
      </c>
      <c r="D631" s="59">
        <v>64</v>
      </c>
      <c r="E631" s="503" t="s">
        <v>110</v>
      </c>
      <c r="F631" s="29">
        <v>1</v>
      </c>
      <c r="G631" s="9">
        <v>1</v>
      </c>
      <c r="H631" s="9">
        <v>1</v>
      </c>
      <c r="I631" s="9">
        <v>2</v>
      </c>
      <c r="J631" s="43">
        <v>2</v>
      </c>
      <c r="K631" s="265">
        <f t="shared" si="9"/>
        <v>0.35859414261160716</v>
      </c>
      <c r="L631" s="164" t="s">
        <v>111</v>
      </c>
    </row>
    <row r="632" spans="1:12">
      <c r="A632" s="34" t="s">
        <v>114</v>
      </c>
      <c r="B632" s="344">
        <v>2014</v>
      </c>
      <c r="C632" s="59" t="s">
        <v>94</v>
      </c>
      <c r="D632" s="59">
        <v>18</v>
      </c>
      <c r="E632" s="503" t="s">
        <v>110</v>
      </c>
      <c r="F632" s="29">
        <v>1</v>
      </c>
      <c r="G632" s="9">
        <v>1</v>
      </c>
      <c r="H632" s="9">
        <v>1</v>
      </c>
      <c r="I632" s="9">
        <v>2</v>
      </c>
      <c r="J632" s="43">
        <v>2</v>
      </c>
      <c r="K632" s="265">
        <f t="shared" si="9"/>
        <v>0.35859414261160716</v>
      </c>
      <c r="L632" s="164" t="s">
        <v>111</v>
      </c>
    </row>
    <row r="633" spans="1:12">
      <c r="A633" s="34" t="s">
        <v>114</v>
      </c>
      <c r="B633" s="344">
        <v>2014</v>
      </c>
      <c r="C633" s="59" t="s">
        <v>96</v>
      </c>
      <c r="D633" s="59">
        <v>39</v>
      </c>
      <c r="E633" s="503" t="s">
        <v>110</v>
      </c>
      <c r="F633" s="29">
        <v>1</v>
      </c>
      <c r="G633" s="9">
        <v>1</v>
      </c>
      <c r="H633" s="9">
        <v>1</v>
      </c>
      <c r="I633" s="9">
        <v>2</v>
      </c>
      <c r="J633" s="43">
        <v>2</v>
      </c>
      <c r="K633" s="265">
        <f t="shared" si="9"/>
        <v>0.35859414261160716</v>
      </c>
      <c r="L633" s="164" t="s">
        <v>111</v>
      </c>
    </row>
    <row r="634" spans="1:12">
      <c r="A634" s="34" t="s">
        <v>114</v>
      </c>
      <c r="B634" s="344">
        <v>2014</v>
      </c>
      <c r="C634" s="59" t="s">
        <v>97</v>
      </c>
      <c r="D634" s="59">
        <v>204</v>
      </c>
      <c r="E634" s="503" t="s">
        <v>110</v>
      </c>
      <c r="F634" s="29">
        <v>1</v>
      </c>
      <c r="G634" s="9">
        <v>1</v>
      </c>
      <c r="H634" s="9">
        <v>1</v>
      </c>
      <c r="I634" s="9">
        <v>2</v>
      </c>
      <c r="J634" s="43">
        <v>2</v>
      </c>
      <c r="K634" s="265">
        <f t="shared" si="9"/>
        <v>0.35859414261160716</v>
      </c>
      <c r="L634" s="164" t="s">
        <v>111</v>
      </c>
    </row>
    <row r="635" spans="1:12">
      <c r="A635" s="34" t="s">
        <v>114</v>
      </c>
      <c r="B635" s="344">
        <v>2014</v>
      </c>
      <c r="C635" s="59" t="s">
        <v>95</v>
      </c>
      <c r="D635" s="59">
        <v>56</v>
      </c>
      <c r="E635" s="503" t="s">
        <v>110</v>
      </c>
      <c r="F635" s="29">
        <v>1</v>
      </c>
      <c r="G635" s="9">
        <v>1</v>
      </c>
      <c r="H635" s="9">
        <v>1</v>
      </c>
      <c r="I635" s="9">
        <v>2</v>
      </c>
      <c r="J635" s="43">
        <v>2</v>
      </c>
      <c r="K635" s="265">
        <f t="shared" si="9"/>
        <v>0.35859414261160716</v>
      </c>
      <c r="L635" s="164" t="s">
        <v>111</v>
      </c>
    </row>
    <row r="636" spans="1:12">
      <c r="A636" s="34" t="s">
        <v>114</v>
      </c>
      <c r="B636" s="344">
        <v>2014</v>
      </c>
      <c r="C636" s="59" t="s">
        <v>93</v>
      </c>
      <c r="D636" s="59">
        <v>29</v>
      </c>
      <c r="E636" s="503" t="s">
        <v>110</v>
      </c>
      <c r="F636" s="29">
        <v>1</v>
      </c>
      <c r="G636" s="9">
        <v>1</v>
      </c>
      <c r="H636" s="9">
        <v>1</v>
      </c>
      <c r="I636" s="9">
        <v>2</v>
      </c>
      <c r="J636" s="43">
        <v>2</v>
      </c>
      <c r="K636" s="265">
        <f t="shared" si="9"/>
        <v>0.35859414261160716</v>
      </c>
      <c r="L636" s="164" t="s">
        <v>111</v>
      </c>
    </row>
    <row r="637" spans="1:12">
      <c r="A637" s="34" t="s">
        <v>114</v>
      </c>
      <c r="B637" s="344">
        <v>2014</v>
      </c>
      <c r="C637" s="59" t="s">
        <v>98</v>
      </c>
      <c r="D637" s="59">
        <v>912</v>
      </c>
      <c r="E637" s="503" t="s">
        <v>110</v>
      </c>
      <c r="F637" s="29">
        <v>1</v>
      </c>
      <c r="G637" s="9">
        <v>1</v>
      </c>
      <c r="H637" s="9">
        <v>1</v>
      </c>
      <c r="I637" s="9">
        <v>2</v>
      </c>
      <c r="J637" s="43">
        <v>2</v>
      </c>
      <c r="K637" s="265">
        <f t="shared" ref="K637:K700" si="10">IF( OR( ISBLANK(F637),ISBLANK(G637), ISBLANK(H637), ISBLANK(I637), ISBLANK(J637) ), "", 1.5*SQRT(   EXP(2.21*(F637-1)) + EXP(2.21*(G637-1)) + EXP(2.21*(H637-1)) + EXP(2.21*(I637-1)) + EXP(2.21*J637)   )/100*2.45 )</f>
        <v>0.35859414261160716</v>
      </c>
      <c r="L637" s="164" t="s">
        <v>111</v>
      </c>
    </row>
    <row r="638" spans="1:12">
      <c r="A638" s="34" t="s">
        <v>114</v>
      </c>
      <c r="B638" s="344">
        <v>2015</v>
      </c>
      <c r="C638" s="59" t="s">
        <v>85</v>
      </c>
      <c r="D638" s="59">
        <v>1105</v>
      </c>
      <c r="E638" s="503" t="s">
        <v>110</v>
      </c>
      <c r="F638" s="29">
        <v>1</v>
      </c>
      <c r="G638" s="9">
        <v>1</v>
      </c>
      <c r="H638" s="9">
        <v>1</v>
      </c>
      <c r="I638" s="9">
        <v>2</v>
      </c>
      <c r="J638" s="43">
        <v>2</v>
      </c>
      <c r="K638" s="265">
        <f t="shared" si="10"/>
        <v>0.35859414261160716</v>
      </c>
      <c r="L638" s="164" t="s">
        <v>111</v>
      </c>
    </row>
    <row r="639" spans="1:12">
      <c r="A639" s="34" t="s">
        <v>114</v>
      </c>
      <c r="B639" s="344">
        <v>2015</v>
      </c>
      <c r="C639" s="59" t="s">
        <v>86</v>
      </c>
      <c r="D639" s="59">
        <v>217</v>
      </c>
      <c r="E639" s="503" t="s">
        <v>110</v>
      </c>
      <c r="F639" s="29">
        <v>1</v>
      </c>
      <c r="G639" s="9">
        <v>1</v>
      </c>
      <c r="H639" s="9">
        <v>1</v>
      </c>
      <c r="I639" s="9">
        <v>2</v>
      </c>
      <c r="J639" s="43">
        <v>2</v>
      </c>
      <c r="K639" s="265">
        <f t="shared" si="10"/>
        <v>0.35859414261160716</v>
      </c>
      <c r="L639" s="164" t="s">
        <v>111</v>
      </c>
    </row>
    <row r="640" spans="1:12">
      <c r="A640" s="34" t="s">
        <v>114</v>
      </c>
      <c r="B640" s="344">
        <v>2015</v>
      </c>
      <c r="C640" s="59" t="s">
        <v>87</v>
      </c>
      <c r="D640" s="59">
        <v>247</v>
      </c>
      <c r="E640" s="503" t="s">
        <v>110</v>
      </c>
      <c r="F640" s="29">
        <v>1</v>
      </c>
      <c r="G640" s="9">
        <v>1</v>
      </c>
      <c r="H640" s="9">
        <v>1</v>
      </c>
      <c r="I640" s="9">
        <v>2</v>
      </c>
      <c r="J640" s="43">
        <v>2</v>
      </c>
      <c r="K640" s="265">
        <f t="shared" si="10"/>
        <v>0.35859414261160716</v>
      </c>
      <c r="L640" s="164" t="s">
        <v>111</v>
      </c>
    </row>
    <row r="641" spans="1:12">
      <c r="A641" s="34" t="s">
        <v>114</v>
      </c>
      <c r="B641" s="344">
        <v>2015</v>
      </c>
      <c r="C641" s="59" t="s">
        <v>88</v>
      </c>
      <c r="D641" s="59">
        <v>50</v>
      </c>
      <c r="E641" s="503" t="s">
        <v>110</v>
      </c>
      <c r="F641" s="29">
        <v>1</v>
      </c>
      <c r="G641" s="9">
        <v>1</v>
      </c>
      <c r="H641" s="9">
        <v>1</v>
      </c>
      <c r="I641" s="9">
        <v>2</v>
      </c>
      <c r="J641" s="43">
        <v>2</v>
      </c>
      <c r="K641" s="265">
        <f t="shared" si="10"/>
        <v>0.35859414261160716</v>
      </c>
      <c r="L641" s="164" t="s">
        <v>111</v>
      </c>
    </row>
    <row r="642" spans="1:12">
      <c r="A642" s="34" t="s">
        <v>114</v>
      </c>
      <c r="B642" s="344">
        <v>2015</v>
      </c>
      <c r="C642" s="59" t="s">
        <v>89</v>
      </c>
      <c r="D642" s="59">
        <v>46</v>
      </c>
      <c r="E642" s="503" t="s">
        <v>110</v>
      </c>
      <c r="F642" s="29">
        <v>1</v>
      </c>
      <c r="G642" s="9">
        <v>1</v>
      </c>
      <c r="H642" s="9">
        <v>1</v>
      </c>
      <c r="I642" s="9">
        <v>2</v>
      </c>
      <c r="J642" s="43">
        <v>2</v>
      </c>
      <c r="K642" s="265">
        <f t="shared" si="10"/>
        <v>0.35859414261160716</v>
      </c>
      <c r="L642" s="164" t="s">
        <v>111</v>
      </c>
    </row>
    <row r="643" spans="1:12">
      <c r="A643" s="34" t="s">
        <v>114</v>
      </c>
      <c r="B643" s="344">
        <v>2015</v>
      </c>
      <c r="C643" s="59" t="s">
        <v>90</v>
      </c>
      <c r="D643" s="59">
        <v>163</v>
      </c>
      <c r="E643" s="503" t="s">
        <v>110</v>
      </c>
      <c r="F643" s="29">
        <v>1</v>
      </c>
      <c r="G643" s="9">
        <v>1</v>
      </c>
      <c r="H643" s="9">
        <v>1</v>
      </c>
      <c r="I643" s="9">
        <v>2</v>
      </c>
      <c r="J643" s="43">
        <v>2</v>
      </c>
      <c r="K643" s="265">
        <f t="shared" si="10"/>
        <v>0.35859414261160716</v>
      </c>
      <c r="L643" s="164" t="s">
        <v>111</v>
      </c>
    </row>
    <row r="644" spans="1:12">
      <c r="A644" s="34" t="s">
        <v>114</v>
      </c>
      <c r="B644" s="344">
        <v>2015</v>
      </c>
      <c r="C644" s="59" t="s">
        <v>91</v>
      </c>
      <c r="D644" s="59">
        <v>76</v>
      </c>
      <c r="E644" s="503" t="s">
        <v>110</v>
      </c>
      <c r="F644" s="29">
        <v>1</v>
      </c>
      <c r="G644" s="9">
        <v>1</v>
      </c>
      <c r="H644" s="9">
        <v>1</v>
      </c>
      <c r="I644" s="9">
        <v>2</v>
      </c>
      <c r="J644" s="43">
        <v>2</v>
      </c>
      <c r="K644" s="265">
        <f t="shared" si="10"/>
        <v>0.35859414261160716</v>
      </c>
      <c r="L644" s="164" t="s">
        <v>111</v>
      </c>
    </row>
    <row r="645" spans="1:12">
      <c r="A645" s="34" t="s">
        <v>114</v>
      </c>
      <c r="B645" s="344">
        <v>2015</v>
      </c>
      <c r="C645" s="59" t="s">
        <v>94</v>
      </c>
      <c r="D645" s="59">
        <v>17</v>
      </c>
      <c r="E645" s="503" t="s">
        <v>110</v>
      </c>
      <c r="F645" s="29">
        <v>1</v>
      </c>
      <c r="G645" s="9">
        <v>1</v>
      </c>
      <c r="H645" s="9">
        <v>1</v>
      </c>
      <c r="I645" s="9">
        <v>2</v>
      </c>
      <c r="J645" s="43">
        <v>2</v>
      </c>
      <c r="K645" s="265">
        <f t="shared" si="10"/>
        <v>0.35859414261160716</v>
      </c>
      <c r="L645" s="164" t="s">
        <v>111</v>
      </c>
    </row>
    <row r="646" spans="1:12">
      <c r="A646" s="34" t="s">
        <v>114</v>
      </c>
      <c r="B646" s="344">
        <v>2015</v>
      </c>
      <c r="C646" s="59" t="s">
        <v>96</v>
      </c>
      <c r="D646" s="59">
        <v>42</v>
      </c>
      <c r="E646" s="503" t="s">
        <v>110</v>
      </c>
      <c r="F646" s="29">
        <v>1</v>
      </c>
      <c r="G646" s="9">
        <v>1</v>
      </c>
      <c r="H646" s="9">
        <v>1</v>
      </c>
      <c r="I646" s="9">
        <v>2</v>
      </c>
      <c r="J646" s="43">
        <v>2</v>
      </c>
      <c r="K646" s="265">
        <f t="shared" si="10"/>
        <v>0.35859414261160716</v>
      </c>
      <c r="L646" s="164" t="s">
        <v>111</v>
      </c>
    </row>
    <row r="647" spans="1:12">
      <c r="A647" s="34" t="s">
        <v>114</v>
      </c>
      <c r="B647" s="344">
        <v>2015</v>
      </c>
      <c r="C647" s="59" t="s">
        <v>97</v>
      </c>
      <c r="D647" s="59">
        <v>204</v>
      </c>
      <c r="E647" s="503" t="s">
        <v>110</v>
      </c>
      <c r="F647" s="29">
        <v>1</v>
      </c>
      <c r="G647" s="9">
        <v>1</v>
      </c>
      <c r="H647" s="9">
        <v>1</v>
      </c>
      <c r="I647" s="9">
        <v>2</v>
      </c>
      <c r="J647" s="43">
        <v>2</v>
      </c>
      <c r="K647" s="265">
        <f t="shared" si="10"/>
        <v>0.35859414261160716</v>
      </c>
      <c r="L647" s="164" t="s">
        <v>111</v>
      </c>
    </row>
    <row r="648" spans="1:12">
      <c r="A648" s="34" t="s">
        <v>114</v>
      </c>
      <c r="B648" s="344">
        <v>2015</v>
      </c>
      <c r="C648" s="59" t="s">
        <v>95</v>
      </c>
      <c r="D648" s="59">
        <v>54</v>
      </c>
      <c r="E648" s="503" t="s">
        <v>110</v>
      </c>
      <c r="F648" s="29">
        <v>1</v>
      </c>
      <c r="G648" s="9">
        <v>1</v>
      </c>
      <c r="H648" s="9">
        <v>1</v>
      </c>
      <c r="I648" s="9">
        <v>2</v>
      </c>
      <c r="J648" s="43">
        <v>2</v>
      </c>
      <c r="K648" s="265">
        <f t="shared" si="10"/>
        <v>0.35859414261160716</v>
      </c>
      <c r="L648" s="164" t="s">
        <v>111</v>
      </c>
    </row>
    <row r="649" spans="1:12">
      <c r="A649" s="34" t="s">
        <v>114</v>
      </c>
      <c r="B649" s="344">
        <v>2015</v>
      </c>
      <c r="C649" s="59" t="s">
        <v>93</v>
      </c>
      <c r="D649" s="59">
        <v>32</v>
      </c>
      <c r="E649" s="503" t="s">
        <v>110</v>
      </c>
      <c r="F649" s="29">
        <v>1</v>
      </c>
      <c r="G649" s="9">
        <v>1</v>
      </c>
      <c r="H649" s="9">
        <v>1</v>
      </c>
      <c r="I649" s="9">
        <v>2</v>
      </c>
      <c r="J649" s="43">
        <v>2</v>
      </c>
      <c r="K649" s="265">
        <f t="shared" si="10"/>
        <v>0.35859414261160716</v>
      </c>
      <c r="L649" s="164" t="s">
        <v>111</v>
      </c>
    </row>
    <row r="650" spans="1:12">
      <c r="A650" s="34" t="s">
        <v>114</v>
      </c>
      <c r="B650" s="344">
        <v>2015</v>
      </c>
      <c r="C650" s="59" t="s">
        <v>98</v>
      </c>
      <c r="D650" s="59">
        <v>983</v>
      </c>
      <c r="E650" s="503" t="s">
        <v>110</v>
      </c>
      <c r="F650" s="29">
        <v>1</v>
      </c>
      <c r="G650" s="9">
        <v>1</v>
      </c>
      <c r="H650" s="9">
        <v>1</v>
      </c>
      <c r="I650" s="9">
        <v>2</v>
      </c>
      <c r="J650" s="43">
        <v>2</v>
      </c>
      <c r="K650" s="265">
        <f t="shared" si="10"/>
        <v>0.35859414261160716</v>
      </c>
      <c r="L650" s="164" t="s">
        <v>111</v>
      </c>
    </row>
    <row r="651" spans="1:12">
      <c r="A651" s="34" t="s">
        <v>114</v>
      </c>
      <c r="B651" s="344">
        <v>2016</v>
      </c>
      <c r="C651" s="59" t="s">
        <v>85</v>
      </c>
      <c r="D651" s="59">
        <v>1245</v>
      </c>
      <c r="E651" s="503" t="s">
        <v>110</v>
      </c>
      <c r="F651" s="29">
        <v>1</v>
      </c>
      <c r="G651" s="9">
        <v>1</v>
      </c>
      <c r="H651" s="9">
        <v>1</v>
      </c>
      <c r="I651" s="9">
        <v>2</v>
      </c>
      <c r="J651" s="43">
        <v>2</v>
      </c>
      <c r="K651" s="265">
        <f t="shared" si="10"/>
        <v>0.35859414261160716</v>
      </c>
      <c r="L651" s="164" t="s">
        <v>111</v>
      </c>
    </row>
    <row r="652" spans="1:12">
      <c r="A652" s="34" t="s">
        <v>114</v>
      </c>
      <c r="B652" s="344">
        <v>2016</v>
      </c>
      <c r="C652" s="59" t="s">
        <v>86</v>
      </c>
      <c r="D652" s="59">
        <v>223</v>
      </c>
      <c r="E652" s="503" t="s">
        <v>110</v>
      </c>
      <c r="F652" s="29">
        <v>1</v>
      </c>
      <c r="G652" s="9">
        <v>1</v>
      </c>
      <c r="H652" s="9">
        <v>1</v>
      </c>
      <c r="I652" s="9">
        <v>2</v>
      </c>
      <c r="J652" s="43">
        <v>2</v>
      </c>
      <c r="K652" s="265">
        <f t="shared" si="10"/>
        <v>0.35859414261160716</v>
      </c>
      <c r="L652" s="164" t="s">
        <v>111</v>
      </c>
    </row>
    <row r="653" spans="1:12">
      <c r="A653" s="34" t="s">
        <v>114</v>
      </c>
      <c r="B653" s="344">
        <v>2016</v>
      </c>
      <c r="C653" s="59" t="s">
        <v>87</v>
      </c>
      <c r="D653" s="59">
        <v>279</v>
      </c>
      <c r="E653" s="503" t="s">
        <v>110</v>
      </c>
      <c r="F653" s="29">
        <v>1</v>
      </c>
      <c r="G653" s="9">
        <v>1</v>
      </c>
      <c r="H653" s="9">
        <v>1</v>
      </c>
      <c r="I653" s="9">
        <v>2</v>
      </c>
      <c r="J653" s="43">
        <v>2</v>
      </c>
      <c r="K653" s="265">
        <f t="shared" si="10"/>
        <v>0.35859414261160716</v>
      </c>
      <c r="L653" s="164" t="s">
        <v>111</v>
      </c>
    </row>
    <row r="654" spans="1:12">
      <c r="A654" s="34" t="s">
        <v>114</v>
      </c>
      <c r="B654" s="344">
        <v>2016</v>
      </c>
      <c r="C654" s="59" t="s">
        <v>88</v>
      </c>
      <c r="D654" s="59">
        <v>46</v>
      </c>
      <c r="E654" s="503" t="s">
        <v>110</v>
      </c>
      <c r="F654" s="29">
        <v>1</v>
      </c>
      <c r="G654" s="9">
        <v>1</v>
      </c>
      <c r="H654" s="9">
        <v>1</v>
      </c>
      <c r="I654" s="9">
        <v>2</v>
      </c>
      <c r="J654" s="43">
        <v>2</v>
      </c>
      <c r="K654" s="265">
        <f t="shared" si="10"/>
        <v>0.35859414261160716</v>
      </c>
      <c r="L654" s="164" t="s">
        <v>111</v>
      </c>
    </row>
    <row r="655" spans="1:12">
      <c r="A655" s="34" t="s">
        <v>114</v>
      </c>
      <c r="B655" s="344">
        <v>2016</v>
      </c>
      <c r="C655" s="59" t="s">
        <v>89</v>
      </c>
      <c r="D655" s="59">
        <v>51</v>
      </c>
      <c r="E655" s="503" t="s">
        <v>110</v>
      </c>
      <c r="F655" s="29">
        <v>1</v>
      </c>
      <c r="G655" s="9">
        <v>1</v>
      </c>
      <c r="H655" s="9">
        <v>1</v>
      </c>
      <c r="I655" s="9">
        <v>2</v>
      </c>
      <c r="J655" s="43">
        <v>2</v>
      </c>
      <c r="K655" s="265">
        <f t="shared" si="10"/>
        <v>0.35859414261160716</v>
      </c>
      <c r="L655" s="164" t="s">
        <v>111</v>
      </c>
    </row>
    <row r="656" spans="1:12">
      <c r="A656" s="34" t="s">
        <v>114</v>
      </c>
      <c r="B656" s="344">
        <v>2016</v>
      </c>
      <c r="C656" s="59" t="s">
        <v>90</v>
      </c>
      <c r="D656" s="59">
        <v>185</v>
      </c>
      <c r="E656" s="503" t="s">
        <v>110</v>
      </c>
      <c r="F656" s="29">
        <v>1</v>
      </c>
      <c r="G656" s="9">
        <v>1</v>
      </c>
      <c r="H656" s="9">
        <v>1</v>
      </c>
      <c r="I656" s="9">
        <v>2</v>
      </c>
      <c r="J656" s="43">
        <v>2</v>
      </c>
      <c r="K656" s="265">
        <f t="shared" si="10"/>
        <v>0.35859414261160716</v>
      </c>
      <c r="L656" s="164" t="s">
        <v>111</v>
      </c>
    </row>
    <row r="657" spans="1:12">
      <c r="A657" s="34" t="s">
        <v>114</v>
      </c>
      <c r="B657" s="344">
        <v>2016</v>
      </c>
      <c r="C657" s="59" t="s">
        <v>91</v>
      </c>
      <c r="D657" s="59">
        <v>95</v>
      </c>
      <c r="E657" s="503" t="s">
        <v>110</v>
      </c>
      <c r="F657" s="29">
        <v>1</v>
      </c>
      <c r="G657" s="9">
        <v>1</v>
      </c>
      <c r="H657" s="9">
        <v>1</v>
      </c>
      <c r="I657" s="9">
        <v>2</v>
      </c>
      <c r="J657" s="43">
        <v>2</v>
      </c>
      <c r="K657" s="265">
        <f t="shared" si="10"/>
        <v>0.35859414261160716</v>
      </c>
      <c r="L657" s="164" t="s">
        <v>111</v>
      </c>
    </row>
    <row r="658" spans="1:12">
      <c r="A658" s="34" t="s">
        <v>114</v>
      </c>
      <c r="B658" s="344">
        <v>2016</v>
      </c>
      <c r="C658" s="59" t="s">
        <v>94</v>
      </c>
      <c r="D658" s="59">
        <v>22</v>
      </c>
      <c r="E658" s="503" t="s">
        <v>110</v>
      </c>
      <c r="F658" s="29">
        <v>1</v>
      </c>
      <c r="G658" s="9">
        <v>1</v>
      </c>
      <c r="H658" s="9">
        <v>1</v>
      </c>
      <c r="I658" s="9">
        <v>2</v>
      </c>
      <c r="J658" s="43">
        <v>2</v>
      </c>
      <c r="K658" s="265">
        <f t="shared" si="10"/>
        <v>0.35859414261160716</v>
      </c>
      <c r="L658" s="164" t="s">
        <v>111</v>
      </c>
    </row>
    <row r="659" spans="1:12">
      <c r="A659" s="34" t="s">
        <v>114</v>
      </c>
      <c r="B659" s="344">
        <v>2016</v>
      </c>
      <c r="C659" s="59" t="s">
        <v>96</v>
      </c>
      <c r="D659" s="59">
        <v>48</v>
      </c>
      <c r="E659" s="503" t="s">
        <v>110</v>
      </c>
      <c r="F659" s="29">
        <v>1</v>
      </c>
      <c r="G659" s="9">
        <v>1</v>
      </c>
      <c r="H659" s="9">
        <v>1</v>
      </c>
      <c r="I659" s="9">
        <v>2</v>
      </c>
      <c r="J659" s="43">
        <v>2</v>
      </c>
      <c r="K659" s="265">
        <f t="shared" si="10"/>
        <v>0.35859414261160716</v>
      </c>
      <c r="L659" s="164" t="s">
        <v>111</v>
      </c>
    </row>
    <row r="660" spans="1:12">
      <c r="A660" s="34" t="s">
        <v>114</v>
      </c>
      <c r="B660" s="344">
        <v>2016</v>
      </c>
      <c r="C660" s="59" t="s">
        <v>97</v>
      </c>
      <c r="D660" s="59">
        <v>236</v>
      </c>
      <c r="E660" s="503" t="s">
        <v>110</v>
      </c>
      <c r="F660" s="29">
        <v>1</v>
      </c>
      <c r="G660" s="9">
        <v>1</v>
      </c>
      <c r="H660" s="9">
        <v>1</v>
      </c>
      <c r="I660" s="9">
        <v>2</v>
      </c>
      <c r="J660" s="43">
        <v>2</v>
      </c>
      <c r="K660" s="265">
        <f t="shared" si="10"/>
        <v>0.35859414261160716</v>
      </c>
      <c r="L660" s="164" t="s">
        <v>111</v>
      </c>
    </row>
    <row r="661" spans="1:12">
      <c r="A661" s="34" t="s">
        <v>114</v>
      </c>
      <c r="B661" s="344">
        <v>2016</v>
      </c>
      <c r="C661" s="59" t="s">
        <v>95</v>
      </c>
      <c r="D661" s="59">
        <v>70</v>
      </c>
      <c r="E661" s="503" t="s">
        <v>110</v>
      </c>
      <c r="F661" s="29">
        <v>1</v>
      </c>
      <c r="G661" s="9">
        <v>1</v>
      </c>
      <c r="H661" s="9">
        <v>1</v>
      </c>
      <c r="I661" s="9">
        <v>2</v>
      </c>
      <c r="J661" s="43">
        <v>2</v>
      </c>
      <c r="K661" s="265">
        <f t="shared" si="10"/>
        <v>0.35859414261160716</v>
      </c>
      <c r="L661" s="164" t="s">
        <v>111</v>
      </c>
    </row>
    <row r="662" spans="1:12">
      <c r="A662" s="34" t="s">
        <v>114</v>
      </c>
      <c r="B662" s="344">
        <v>2016</v>
      </c>
      <c r="C662" s="59" t="s">
        <v>93</v>
      </c>
      <c r="D662" s="59">
        <v>39</v>
      </c>
      <c r="E662" s="503" t="s">
        <v>110</v>
      </c>
      <c r="F662" s="29">
        <v>1</v>
      </c>
      <c r="G662" s="9">
        <v>1</v>
      </c>
      <c r="H662" s="9">
        <v>1</v>
      </c>
      <c r="I662" s="9">
        <v>2</v>
      </c>
      <c r="J662" s="43">
        <v>2</v>
      </c>
      <c r="K662" s="265">
        <f t="shared" si="10"/>
        <v>0.35859414261160716</v>
      </c>
      <c r="L662" s="164" t="s">
        <v>111</v>
      </c>
    </row>
    <row r="663" spans="1:12">
      <c r="A663" s="34" t="s">
        <v>114</v>
      </c>
      <c r="B663" s="344">
        <v>2016</v>
      </c>
      <c r="C663" s="59" t="s">
        <v>98</v>
      </c>
      <c r="D663" s="59">
        <v>1123</v>
      </c>
      <c r="E663" s="503" t="s">
        <v>110</v>
      </c>
      <c r="F663" s="29">
        <v>1</v>
      </c>
      <c r="G663" s="9">
        <v>1</v>
      </c>
      <c r="H663" s="9">
        <v>1</v>
      </c>
      <c r="I663" s="9">
        <v>2</v>
      </c>
      <c r="J663" s="43">
        <v>2</v>
      </c>
      <c r="K663" s="265">
        <f t="shared" si="10"/>
        <v>0.35859414261160716</v>
      </c>
      <c r="L663" s="164" t="s">
        <v>111</v>
      </c>
    </row>
    <row r="664" spans="1:12">
      <c r="A664" s="34" t="s">
        <v>114</v>
      </c>
      <c r="B664" s="344">
        <v>2017</v>
      </c>
      <c r="C664" s="59" t="s">
        <v>85</v>
      </c>
      <c r="D664" s="59">
        <v>1197</v>
      </c>
      <c r="E664" s="503" t="s">
        <v>110</v>
      </c>
      <c r="F664" s="29">
        <v>1</v>
      </c>
      <c r="G664" s="9">
        <v>1</v>
      </c>
      <c r="H664" s="9">
        <v>1</v>
      </c>
      <c r="I664" s="9">
        <v>2</v>
      </c>
      <c r="J664" s="43">
        <v>2</v>
      </c>
      <c r="K664" s="265">
        <f t="shared" si="10"/>
        <v>0.35859414261160716</v>
      </c>
      <c r="L664" s="164" t="s">
        <v>111</v>
      </c>
    </row>
    <row r="665" spans="1:12">
      <c r="A665" s="34" t="s">
        <v>114</v>
      </c>
      <c r="B665" s="344">
        <v>2017</v>
      </c>
      <c r="C665" s="59" t="s">
        <v>86</v>
      </c>
      <c r="D665" s="59">
        <v>231</v>
      </c>
      <c r="E665" s="503" t="s">
        <v>110</v>
      </c>
      <c r="F665" s="29">
        <v>1</v>
      </c>
      <c r="G665" s="9">
        <v>1</v>
      </c>
      <c r="H665" s="9">
        <v>1</v>
      </c>
      <c r="I665" s="9">
        <v>2</v>
      </c>
      <c r="J665" s="43">
        <v>2</v>
      </c>
      <c r="K665" s="265">
        <f t="shared" si="10"/>
        <v>0.35859414261160716</v>
      </c>
      <c r="L665" s="164" t="s">
        <v>111</v>
      </c>
    </row>
    <row r="666" spans="1:12">
      <c r="A666" s="34" t="s">
        <v>114</v>
      </c>
      <c r="B666" s="344">
        <v>2017</v>
      </c>
      <c r="C666" s="59" t="s">
        <v>87</v>
      </c>
      <c r="D666" s="59">
        <v>316</v>
      </c>
      <c r="E666" s="503" t="s">
        <v>110</v>
      </c>
      <c r="F666" s="29">
        <v>1</v>
      </c>
      <c r="G666" s="9">
        <v>1</v>
      </c>
      <c r="H666" s="9">
        <v>1</v>
      </c>
      <c r="I666" s="9">
        <v>2</v>
      </c>
      <c r="J666" s="43">
        <v>2</v>
      </c>
      <c r="K666" s="265">
        <f t="shared" si="10"/>
        <v>0.35859414261160716</v>
      </c>
      <c r="L666" s="164" t="s">
        <v>111</v>
      </c>
    </row>
    <row r="667" spans="1:12">
      <c r="A667" s="34" t="s">
        <v>114</v>
      </c>
      <c r="B667" s="344">
        <v>2017</v>
      </c>
      <c r="C667" s="59" t="s">
        <v>88</v>
      </c>
      <c r="D667" s="59">
        <v>43</v>
      </c>
      <c r="E667" s="503" t="s">
        <v>110</v>
      </c>
      <c r="F667" s="29">
        <v>1</v>
      </c>
      <c r="G667" s="9">
        <v>1</v>
      </c>
      <c r="H667" s="9">
        <v>1</v>
      </c>
      <c r="I667" s="9">
        <v>2</v>
      </c>
      <c r="J667" s="43">
        <v>2</v>
      </c>
      <c r="K667" s="265">
        <f t="shared" si="10"/>
        <v>0.35859414261160716</v>
      </c>
      <c r="L667" s="164" t="s">
        <v>111</v>
      </c>
    </row>
    <row r="668" spans="1:12">
      <c r="A668" s="34" t="s">
        <v>114</v>
      </c>
      <c r="B668" s="344">
        <v>2017</v>
      </c>
      <c r="C668" s="59" t="s">
        <v>89</v>
      </c>
      <c r="D668" s="59">
        <v>53</v>
      </c>
      <c r="E668" s="503" t="s">
        <v>110</v>
      </c>
      <c r="F668" s="29">
        <v>1</v>
      </c>
      <c r="G668" s="9">
        <v>1</v>
      </c>
      <c r="H668" s="9">
        <v>1</v>
      </c>
      <c r="I668" s="9">
        <v>2</v>
      </c>
      <c r="J668" s="43">
        <v>2</v>
      </c>
      <c r="K668" s="265">
        <f t="shared" si="10"/>
        <v>0.35859414261160716</v>
      </c>
      <c r="L668" s="164" t="s">
        <v>111</v>
      </c>
    </row>
    <row r="669" spans="1:12">
      <c r="A669" s="34" t="s">
        <v>114</v>
      </c>
      <c r="B669" s="344">
        <v>2017</v>
      </c>
      <c r="C669" s="59" t="s">
        <v>90</v>
      </c>
      <c r="D669" s="59">
        <v>212</v>
      </c>
      <c r="E669" s="503" t="s">
        <v>110</v>
      </c>
      <c r="F669" s="29">
        <v>1</v>
      </c>
      <c r="G669" s="9">
        <v>1</v>
      </c>
      <c r="H669" s="9">
        <v>1</v>
      </c>
      <c r="I669" s="9">
        <v>2</v>
      </c>
      <c r="J669" s="43">
        <v>2</v>
      </c>
      <c r="K669" s="265">
        <f t="shared" si="10"/>
        <v>0.35859414261160716</v>
      </c>
      <c r="L669" s="164" t="s">
        <v>111</v>
      </c>
    </row>
    <row r="670" spans="1:12">
      <c r="A670" s="34" t="s">
        <v>114</v>
      </c>
      <c r="B670" s="344">
        <v>2017</v>
      </c>
      <c r="C670" s="59" t="s">
        <v>91</v>
      </c>
      <c r="D670" s="59">
        <v>112</v>
      </c>
      <c r="E670" s="503" t="s">
        <v>110</v>
      </c>
      <c r="F670" s="29">
        <v>1</v>
      </c>
      <c r="G670" s="9">
        <v>1</v>
      </c>
      <c r="H670" s="9">
        <v>1</v>
      </c>
      <c r="I670" s="9">
        <v>2</v>
      </c>
      <c r="J670" s="43">
        <v>2</v>
      </c>
      <c r="K670" s="265">
        <f t="shared" si="10"/>
        <v>0.35859414261160716</v>
      </c>
      <c r="L670" s="164" t="s">
        <v>111</v>
      </c>
    </row>
    <row r="671" spans="1:12">
      <c r="A671" s="34" t="s">
        <v>114</v>
      </c>
      <c r="B671" s="344">
        <v>2017</v>
      </c>
      <c r="C671" s="59" t="s">
        <v>94</v>
      </c>
      <c r="D671" s="59">
        <v>29</v>
      </c>
      <c r="E671" s="503" t="s">
        <v>110</v>
      </c>
      <c r="F671" s="29">
        <v>1</v>
      </c>
      <c r="G671" s="9">
        <v>1</v>
      </c>
      <c r="H671" s="9">
        <v>1</v>
      </c>
      <c r="I671" s="9">
        <v>2</v>
      </c>
      <c r="J671" s="43">
        <v>2</v>
      </c>
      <c r="K671" s="265">
        <f t="shared" si="10"/>
        <v>0.35859414261160716</v>
      </c>
      <c r="L671" s="164" t="s">
        <v>111</v>
      </c>
    </row>
    <row r="672" spans="1:12">
      <c r="A672" s="34" t="s">
        <v>114</v>
      </c>
      <c r="B672" s="344">
        <v>2017</v>
      </c>
      <c r="C672" s="59" t="s">
        <v>96</v>
      </c>
      <c r="D672" s="59">
        <v>53</v>
      </c>
      <c r="E672" s="503" t="s">
        <v>110</v>
      </c>
      <c r="F672" s="29">
        <v>1</v>
      </c>
      <c r="G672" s="9">
        <v>1</v>
      </c>
      <c r="H672" s="9">
        <v>1</v>
      </c>
      <c r="I672" s="9">
        <v>2</v>
      </c>
      <c r="J672" s="43">
        <v>2</v>
      </c>
      <c r="K672" s="265">
        <f t="shared" si="10"/>
        <v>0.35859414261160716</v>
      </c>
      <c r="L672" s="164" t="s">
        <v>111</v>
      </c>
    </row>
    <row r="673" spans="1:12">
      <c r="A673" s="34" t="s">
        <v>114</v>
      </c>
      <c r="B673" s="344">
        <v>2017</v>
      </c>
      <c r="C673" s="59" t="s">
        <v>97</v>
      </c>
      <c r="D673" s="59">
        <v>232</v>
      </c>
      <c r="E673" s="503" t="s">
        <v>110</v>
      </c>
      <c r="F673" s="29">
        <v>1</v>
      </c>
      <c r="G673" s="9">
        <v>1</v>
      </c>
      <c r="H673" s="9">
        <v>1</v>
      </c>
      <c r="I673" s="9">
        <v>2</v>
      </c>
      <c r="J673" s="43">
        <v>2</v>
      </c>
      <c r="K673" s="265">
        <f t="shared" si="10"/>
        <v>0.35859414261160716</v>
      </c>
      <c r="L673" s="164" t="s">
        <v>111</v>
      </c>
    </row>
    <row r="674" spans="1:12">
      <c r="A674" s="34" t="s">
        <v>114</v>
      </c>
      <c r="B674" s="344">
        <v>2017</v>
      </c>
      <c r="C674" s="59" t="s">
        <v>95</v>
      </c>
      <c r="D674" s="59">
        <v>72</v>
      </c>
      <c r="E674" s="503" t="s">
        <v>110</v>
      </c>
      <c r="F674" s="29">
        <v>1</v>
      </c>
      <c r="G674" s="9">
        <v>1</v>
      </c>
      <c r="H674" s="9">
        <v>1</v>
      </c>
      <c r="I674" s="9">
        <v>2</v>
      </c>
      <c r="J674" s="43">
        <v>2</v>
      </c>
      <c r="K674" s="265">
        <f t="shared" si="10"/>
        <v>0.35859414261160716</v>
      </c>
      <c r="L674" s="164" t="s">
        <v>111</v>
      </c>
    </row>
    <row r="675" spans="1:12">
      <c r="A675" s="34" t="s">
        <v>114</v>
      </c>
      <c r="B675" s="344">
        <v>2017</v>
      </c>
      <c r="C675" s="59" t="s">
        <v>93</v>
      </c>
      <c r="D675" s="59">
        <v>41</v>
      </c>
      <c r="E675" s="503" t="s">
        <v>110</v>
      </c>
      <c r="F675" s="29">
        <v>1</v>
      </c>
      <c r="G675" s="9">
        <v>1</v>
      </c>
      <c r="H675" s="9">
        <v>1</v>
      </c>
      <c r="I675" s="9">
        <v>2</v>
      </c>
      <c r="J675" s="43">
        <v>2</v>
      </c>
      <c r="K675" s="265">
        <f t="shared" si="10"/>
        <v>0.35859414261160716</v>
      </c>
      <c r="L675" s="164" t="s">
        <v>111</v>
      </c>
    </row>
    <row r="676" spans="1:12">
      <c r="A676" s="34" t="s">
        <v>114</v>
      </c>
      <c r="B676" s="344">
        <v>2017</v>
      </c>
      <c r="C676" s="59" t="s">
        <v>98</v>
      </c>
      <c r="D676" s="59">
        <v>1172</v>
      </c>
      <c r="E676" s="503" t="s">
        <v>110</v>
      </c>
      <c r="F676" s="29">
        <v>1</v>
      </c>
      <c r="G676" s="9">
        <v>1</v>
      </c>
      <c r="H676" s="9">
        <v>1</v>
      </c>
      <c r="I676" s="9">
        <v>2</v>
      </c>
      <c r="J676" s="43">
        <v>2</v>
      </c>
      <c r="K676" s="265">
        <f t="shared" si="10"/>
        <v>0.35859414261160716</v>
      </c>
      <c r="L676" s="164" t="s">
        <v>111</v>
      </c>
    </row>
    <row r="677" spans="1:12">
      <c r="A677" s="34" t="s">
        <v>114</v>
      </c>
      <c r="B677" s="344">
        <v>2018</v>
      </c>
      <c r="C677" s="59" t="s">
        <v>85</v>
      </c>
      <c r="D677" s="59">
        <v>1084</v>
      </c>
      <c r="E677" s="503" t="s">
        <v>110</v>
      </c>
      <c r="F677" s="29">
        <v>1</v>
      </c>
      <c r="G677" s="9">
        <v>1</v>
      </c>
      <c r="H677" s="9">
        <v>1</v>
      </c>
      <c r="I677" s="9">
        <v>2</v>
      </c>
      <c r="J677" s="43">
        <v>2</v>
      </c>
      <c r="K677" s="265">
        <f t="shared" si="10"/>
        <v>0.35859414261160716</v>
      </c>
      <c r="L677" s="164" t="s">
        <v>111</v>
      </c>
    </row>
    <row r="678" spans="1:12">
      <c r="A678" s="34" t="s">
        <v>114</v>
      </c>
      <c r="B678" s="344">
        <v>2018</v>
      </c>
      <c r="C678" s="59" t="s">
        <v>86</v>
      </c>
      <c r="D678" s="59">
        <v>243</v>
      </c>
      <c r="E678" s="503" t="s">
        <v>110</v>
      </c>
      <c r="F678" s="29">
        <v>1</v>
      </c>
      <c r="G678" s="9">
        <v>1</v>
      </c>
      <c r="H678" s="9">
        <v>1</v>
      </c>
      <c r="I678" s="9">
        <v>2</v>
      </c>
      <c r="J678" s="43">
        <v>2</v>
      </c>
      <c r="K678" s="265">
        <f t="shared" si="10"/>
        <v>0.35859414261160716</v>
      </c>
      <c r="L678" s="164" t="s">
        <v>111</v>
      </c>
    </row>
    <row r="679" spans="1:12">
      <c r="A679" s="34" t="s">
        <v>114</v>
      </c>
      <c r="B679" s="344">
        <v>2018</v>
      </c>
      <c r="C679" s="59" t="s">
        <v>87</v>
      </c>
      <c r="D679" s="59">
        <v>323</v>
      </c>
      <c r="E679" s="503" t="s">
        <v>110</v>
      </c>
      <c r="F679" s="29">
        <v>1</v>
      </c>
      <c r="G679" s="9">
        <v>1</v>
      </c>
      <c r="H679" s="9">
        <v>1</v>
      </c>
      <c r="I679" s="9">
        <v>2</v>
      </c>
      <c r="J679" s="43">
        <v>2</v>
      </c>
      <c r="K679" s="265">
        <f t="shared" si="10"/>
        <v>0.35859414261160716</v>
      </c>
      <c r="L679" s="164" t="s">
        <v>111</v>
      </c>
    </row>
    <row r="680" spans="1:12">
      <c r="A680" s="34" t="s">
        <v>114</v>
      </c>
      <c r="B680" s="344">
        <v>2018</v>
      </c>
      <c r="C680" s="59" t="s">
        <v>88</v>
      </c>
      <c r="D680" s="59">
        <v>41</v>
      </c>
      <c r="E680" s="503" t="s">
        <v>110</v>
      </c>
      <c r="F680" s="29">
        <v>1</v>
      </c>
      <c r="G680" s="9">
        <v>1</v>
      </c>
      <c r="H680" s="9">
        <v>1</v>
      </c>
      <c r="I680" s="9">
        <v>2</v>
      </c>
      <c r="J680" s="43">
        <v>2</v>
      </c>
      <c r="K680" s="265">
        <f t="shared" si="10"/>
        <v>0.35859414261160716</v>
      </c>
      <c r="L680" s="164" t="s">
        <v>111</v>
      </c>
    </row>
    <row r="681" spans="1:12">
      <c r="A681" s="34" t="s">
        <v>114</v>
      </c>
      <c r="B681" s="344">
        <v>2018</v>
      </c>
      <c r="C681" s="59" t="s">
        <v>89</v>
      </c>
      <c r="D681" s="59">
        <v>56</v>
      </c>
      <c r="E681" s="503" t="s">
        <v>110</v>
      </c>
      <c r="F681" s="29">
        <v>1</v>
      </c>
      <c r="G681" s="9">
        <v>1</v>
      </c>
      <c r="H681" s="9">
        <v>1</v>
      </c>
      <c r="I681" s="9">
        <v>2</v>
      </c>
      <c r="J681" s="43">
        <v>2</v>
      </c>
      <c r="K681" s="265">
        <f t="shared" si="10"/>
        <v>0.35859414261160716</v>
      </c>
      <c r="L681" s="164" t="s">
        <v>111</v>
      </c>
    </row>
    <row r="682" spans="1:12">
      <c r="A682" s="34" t="s">
        <v>114</v>
      </c>
      <c r="B682" s="344">
        <v>2018</v>
      </c>
      <c r="C682" s="59" t="s">
        <v>90</v>
      </c>
      <c r="D682" s="59">
        <v>221</v>
      </c>
      <c r="E682" s="503" t="s">
        <v>110</v>
      </c>
      <c r="F682" s="29">
        <v>1</v>
      </c>
      <c r="G682" s="9">
        <v>1</v>
      </c>
      <c r="H682" s="9">
        <v>1</v>
      </c>
      <c r="I682" s="9">
        <v>2</v>
      </c>
      <c r="J682" s="43">
        <v>2</v>
      </c>
      <c r="K682" s="265">
        <f t="shared" si="10"/>
        <v>0.35859414261160716</v>
      </c>
      <c r="L682" s="164" t="s">
        <v>111</v>
      </c>
    </row>
    <row r="683" spans="1:12">
      <c r="A683" s="34" t="s">
        <v>114</v>
      </c>
      <c r="B683" s="344">
        <v>2018</v>
      </c>
      <c r="C683" s="59" t="s">
        <v>91</v>
      </c>
      <c r="D683" s="59">
        <v>103</v>
      </c>
      <c r="E683" s="503" t="s">
        <v>110</v>
      </c>
      <c r="F683" s="29">
        <v>1</v>
      </c>
      <c r="G683" s="9">
        <v>1</v>
      </c>
      <c r="H683" s="9">
        <v>1</v>
      </c>
      <c r="I683" s="9">
        <v>2</v>
      </c>
      <c r="J683" s="43">
        <v>2</v>
      </c>
      <c r="K683" s="265">
        <f t="shared" si="10"/>
        <v>0.35859414261160716</v>
      </c>
      <c r="L683" s="164" t="s">
        <v>111</v>
      </c>
    </row>
    <row r="684" spans="1:12">
      <c r="A684" s="34" t="s">
        <v>114</v>
      </c>
      <c r="B684" s="344">
        <v>2018</v>
      </c>
      <c r="C684" s="59" t="s">
        <v>94</v>
      </c>
      <c r="D684" s="59">
        <v>35</v>
      </c>
      <c r="E684" s="503" t="s">
        <v>110</v>
      </c>
      <c r="F684" s="29">
        <v>1</v>
      </c>
      <c r="G684" s="9">
        <v>1</v>
      </c>
      <c r="H684" s="9">
        <v>1</v>
      </c>
      <c r="I684" s="9">
        <v>2</v>
      </c>
      <c r="J684" s="43">
        <v>2</v>
      </c>
      <c r="K684" s="265">
        <f t="shared" si="10"/>
        <v>0.35859414261160716</v>
      </c>
      <c r="L684" s="164" t="s">
        <v>111</v>
      </c>
    </row>
    <row r="685" spans="1:12">
      <c r="A685" s="34" t="s">
        <v>114</v>
      </c>
      <c r="B685" s="344">
        <v>2018</v>
      </c>
      <c r="C685" s="59" t="s">
        <v>96</v>
      </c>
      <c r="D685" s="59">
        <v>55</v>
      </c>
      <c r="E685" s="503" t="s">
        <v>110</v>
      </c>
      <c r="F685" s="29">
        <v>1</v>
      </c>
      <c r="G685" s="9">
        <v>1</v>
      </c>
      <c r="H685" s="9">
        <v>1</v>
      </c>
      <c r="I685" s="9">
        <v>2</v>
      </c>
      <c r="J685" s="43">
        <v>2</v>
      </c>
      <c r="K685" s="265">
        <f t="shared" si="10"/>
        <v>0.35859414261160716</v>
      </c>
      <c r="L685" s="164" t="s">
        <v>111</v>
      </c>
    </row>
    <row r="686" spans="1:12">
      <c r="A686" s="34" t="s">
        <v>114</v>
      </c>
      <c r="B686" s="344">
        <v>2018</v>
      </c>
      <c r="C686" s="59" t="s">
        <v>97</v>
      </c>
      <c r="D686" s="59">
        <v>229</v>
      </c>
      <c r="E686" s="503" t="s">
        <v>110</v>
      </c>
      <c r="F686" s="29">
        <v>1</v>
      </c>
      <c r="G686" s="9">
        <v>1</v>
      </c>
      <c r="H686" s="9">
        <v>1</v>
      </c>
      <c r="I686" s="9">
        <v>2</v>
      </c>
      <c r="J686" s="43">
        <v>2</v>
      </c>
      <c r="K686" s="265">
        <f t="shared" si="10"/>
        <v>0.35859414261160716</v>
      </c>
      <c r="L686" s="164" t="s">
        <v>111</v>
      </c>
    </row>
    <row r="687" spans="1:12">
      <c r="A687" s="34" t="s">
        <v>114</v>
      </c>
      <c r="B687" s="344">
        <v>2018</v>
      </c>
      <c r="C687" s="59" t="s">
        <v>95</v>
      </c>
      <c r="D687" s="59">
        <v>80</v>
      </c>
      <c r="E687" s="503" t="s">
        <v>110</v>
      </c>
      <c r="F687" s="29">
        <v>1</v>
      </c>
      <c r="G687" s="9">
        <v>1</v>
      </c>
      <c r="H687" s="9">
        <v>1</v>
      </c>
      <c r="I687" s="9">
        <v>2</v>
      </c>
      <c r="J687" s="43">
        <v>2</v>
      </c>
      <c r="K687" s="265">
        <f t="shared" si="10"/>
        <v>0.35859414261160716</v>
      </c>
      <c r="L687" s="164" t="s">
        <v>111</v>
      </c>
    </row>
    <row r="688" spans="1:12">
      <c r="A688" s="34" t="s">
        <v>114</v>
      </c>
      <c r="B688" s="344">
        <v>2018</v>
      </c>
      <c r="C688" s="59" t="s">
        <v>93</v>
      </c>
      <c r="D688" s="59">
        <v>42</v>
      </c>
      <c r="E688" s="503" t="s">
        <v>110</v>
      </c>
      <c r="F688" s="29">
        <v>1</v>
      </c>
      <c r="G688" s="9">
        <v>1</v>
      </c>
      <c r="H688" s="9">
        <v>1</v>
      </c>
      <c r="I688" s="9">
        <v>2</v>
      </c>
      <c r="J688" s="43">
        <v>2</v>
      </c>
      <c r="K688" s="265">
        <f t="shared" si="10"/>
        <v>0.35859414261160716</v>
      </c>
      <c r="L688" s="164" t="s">
        <v>111</v>
      </c>
    </row>
    <row r="689" spans="1:12">
      <c r="A689" s="34" t="s">
        <v>114</v>
      </c>
      <c r="B689" s="344">
        <v>2018</v>
      </c>
      <c r="C689" s="59" t="s">
        <v>98</v>
      </c>
      <c r="D689" s="59">
        <v>1272</v>
      </c>
      <c r="E689" s="503" t="s">
        <v>110</v>
      </c>
      <c r="F689" s="29">
        <v>1</v>
      </c>
      <c r="G689" s="9">
        <v>1</v>
      </c>
      <c r="H689" s="9">
        <v>1</v>
      </c>
      <c r="I689" s="9">
        <v>2</v>
      </c>
      <c r="J689" s="43">
        <v>2</v>
      </c>
      <c r="K689" s="265">
        <f t="shared" si="10"/>
        <v>0.35859414261160716</v>
      </c>
      <c r="L689" s="164" t="s">
        <v>111</v>
      </c>
    </row>
    <row r="690" spans="1:12">
      <c r="A690" s="34" t="s">
        <v>114</v>
      </c>
      <c r="B690" s="344">
        <v>2019</v>
      </c>
      <c r="C690" s="59" t="s">
        <v>85</v>
      </c>
      <c r="D690" s="59">
        <v>942</v>
      </c>
      <c r="E690" s="503" t="s">
        <v>110</v>
      </c>
      <c r="F690" s="29">
        <v>1</v>
      </c>
      <c r="G690" s="9">
        <v>1</v>
      </c>
      <c r="H690" s="9">
        <v>1</v>
      </c>
      <c r="I690" s="9">
        <v>2</v>
      </c>
      <c r="J690" s="43">
        <v>2</v>
      </c>
      <c r="K690" s="265">
        <f t="shared" si="10"/>
        <v>0.35859414261160716</v>
      </c>
      <c r="L690" s="164" t="s">
        <v>111</v>
      </c>
    </row>
    <row r="691" spans="1:12">
      <c r="A691" s="34" t="s">
        <v>114</v>
      </c>
      <c r="B691" s="344">
        <v>2019</v>
      </c>
      <c r="C691" s="59" t="s">
        <v>86</v>
      </c>
      <c r="D691" s="59">
        <v>270</v>
      </c>
      <c r="E691" s="503" t="s">
        <v>110</v>
      </c>
      <c r="F691" s="29">
        <v>1</v>
      </c>
      <c r="G691" s="9">
        <v>1</v>
      </c>
      <c r="H691" s="9">
        <v>1</v>
      </c>
      <c r="I691" s="9">
        <v>2</v>
      </c>
      <c r="J691" s="43">
        <v>2</v>
      </c>
      <c r="K691" s="265">
        <f t="shared" si="10"/>
        <v>0.35859414261160716</v>
      </c>
      <c r="L691" s="164" t="s">
        <v>111</v>
      </c>
    </row>
    <row r="692" spans="1:12">
      <c r="A692" s="34" t="s">
        <v>114</v>
      </c>
      <c r="B692" s="344">
        <v>2019</v>
      </c>
      <c r="C692" s="59" t="s">
        <v>87</v>
      </c>
      <c r="D692" s="59">
        <v>302</v>
      </c>
      <c r="E692" s="503" t="s">
        <v>110</v>
      </c>
      <c r="F692" s="29">
        <v>1</v>
      </c>
      <c r="G692" s="9">
        <v>1</v>
      </c>
      <c r="H692" s="9">
        <v>1</v>
      </c>
      <c r="I692" s="9">
        <v>2</v>
      </c>
      <c r="J692" s="43">
        <v>2</v>
      </c>
      <c r="K692" s="265">
        <f t="shared" si="10"/>
        <v>0.35859414261160716</v>
      </c>
      <c r="L692" s="164" t="s">
        <v>111</v>
      </c>
    </row>
    <row r="693" spans="1:12">
      <c r="A693" s="34" t="s">
        <v>114</v>
      </c>
      <c r="B693" s="344">
        <v>2019</v>
      </c>
      <c r="C693" s="59" t="s">
        <v>88</v>
      </c>
      <c r="D693" s="59">
        <v>111</v>
      </c>
      <c r="E693" s="503" t="s">
        <v>110</v>
      </c>
      <c r="F693" s="29">
        <v>1</v>
      </c>
      <c r="G693" s="9">
        <v>1</v>
      </c>
      <c r="H693" s="9">
        <v>1</v>
      </c>
      <c r="I693" s="9">
        <v>2</v>
      </c>
      <c r="J693" s="43">
        <v>2</v>
      </c>
      <c r="K693" s="265">
        <f t="shared" si="10"/>
        <v>0.35859414261160716</v>
      </c>
      <c r="L693" s="164" t="s">
        <v>111</v>
      </c>
    </row>
    <row r="694" spans="1:12">
      <c r="A694" s="34" t="s">
        <v>114</v>
      </c>
      <c r="B694" s="344">
        <v>2019</v>
      </c>
      <c r="C694" s="59" t="s">
        <v>89</v>
      </c>
      <c r="D694" s="59">
        <v>56</v>
      </c>
      <c r="E694" s="503" t="s">
        <v>110</v>
      </c>
      <c r="F694" s="29">
        <v>1</v>
      </c>
      <c r="G694" s="9">
        <v>1</v>
      </c>
      <c r="H694" s="9">
        <v>1</v>
      </c>
      <c r="I694" s="9">
        <v>2</v>
      </c>
      <c r="J694" s="43">
        <v>2</v>
      </c>
      <c r="K694" s="265">
        <f t="shared" si="10"/>
        <v>0.35859414261160716</v>
      </c>
      <c r="L694" s="164" t="s">
        <v>111</v>
      </c>
    </row>
    <row r="695" spans="1:12">
      <c r="A695" s="34" t="s">
        <v>114</v>
      </c>
      <c r="B695" s="344">
        <v>2019</v>
      </c>
      <c r="C695" s="59" t="s">
        <v>90</v>
      </c>
      <c r="D695" s="59">
        <v>217</v>
      </c>
      <c r="E695" s="503" t="s">
        <v>110</v>
      </c>
      <c r="F695" s="29">
        <v>1</v>
      </c>
      <c r="G695" s="9">
        <v>1</v>
      </c>
      <c r="H695" s="9">
        <v>1</v>
      </c>
      <c r="I695" s="9">
        <v>2</v>
      </c>
      <c r="J695" s="43">
        <v>2</v>
      </c>
      <c r="K695" s="265">
        <f t="shared" si="10"/>
        <v>0.35859414261160716</v>
      </c>
      <c r="L695" s="164" t="s">
        <v>111</v>
      </c>
    </row>
    <row r="696" spans="1:12">
      <c r="A696" s="34" t="s">
        <v>114</v>
      </c>
      <c r="B696" s="344">
        <v>2019</v>
      </c>
      <c r="C696" s="59" t="s">
        <v>91</v>
      </c>
      <c r="D696" s="59">
        <v>134</v>
      </c>
      <c r="E696" s="503" t="s">
        <v>110</v>
      </c>
      <c r="F696" s="29">
        <v>1</v>
      </c>
      <c r="G696" s="9">
        <v>1</v>
      </c>
      <c r="H696" s="9">
        <v>1</v>
      </c>
      <c r="I696" s="9">
        <v>2</v>
      </c>
      <c r="J696" s="43">
        <v>2</v>
      </c>
      <c r="K696" s="265">
        <f t="shared" si="10"/>
        <v>0.35859414261160716</v>
      </c>
      <c r="L696" s="164" t="s">
        <v>111</v>
      </c>
    </row>
    <row r="697" spans="1:12">
      <c r="A697" s="34" t="s">
        <v>114</v>
      </c>
      <c r="B697" s="344">
        <v>2019</v>
      </c>
      <c r="C697" s="59" t="s">
        <v>94</v>
      </c>
      <c r="D697" s="59">
        <v>17</v>
      </c>
      <c r="E697" s="503" t="s">
        <v>110</v>
      </c>
      <c r="F697" s="29">
        <v>1</v>
      </c>
      <c r="G697" s="9">
        <v>1</v>
      </c>
      <c r="H697" s="9">
        <v>1</v>
      </c>
      <c r="I697" s="9">
        <v>2</v>
      </c>
      <c r="J697" s="43">
        <v>2</v>
      </c>
      <c r="K697" s="265">
        <f t="shared" si="10"/>
        <v>0.35859414261160716</v>
      </c>
      <c r="L697" s="164" t="s">
        <v>111</v>
      </c>
    </row>
    <row r="698" spans="1:12">
      <c r="A698" s="34" t="s">
        <v>114</v>
      </c>
      <c r="B698" s="344">
        <v>2019</v>
      </c>
      <c r="C698" s="59" t="s">
        <v>96</v>
      </c>
      <c r="D698" s="59">
        <v>70</v>
      </c>
      <c r="E698" s="503" t="s">
        <v>110</v>
      </c>
      <c r="F698" s="29">
        <v>1</v>
      </c>
      <c r="G698" s="9">
        <v>1</v>
      </c>
      <c r="H698" s="9">
        <v>1</v>
      </c>
      <c r="I698" s="9">
        <v>2</v>
      </c>
      <c r="J698" s="43">
        <v>2</v>
      </c>
      <c r="K698" s="265">
        <f t="shared" si="10"/>
        <v>0.35859414261160716</v>
      </c>
      <c r="L698" s="164" t="s">
        <v>111</v>
      </c>
    </row>
    <row r="699" spans="1:12">
      <c r="A699" s="34" t="s">
        <v>114</v>
      </c>
      <c r="B699" s="344">
        <v>2019</v>
      </c>
      <c r="C699" s="59" t="s">
        <v>97</v>
      </c>
      <c r="D699" s="59">
        <v>243</v>
      </c>
      <c r="E699" s="503" t="s">
        <v>110</v>
      </c>
      <c r="F699" s="29">
        <v>1</v>
      </c>
      <c r="G699" s="9">
        <v>1</v>
      </c>
      <c r="H699" s="9">
        <v>1</v>
      </c>
      <c r="I699" s="9">
        <v>2</v>
      </c>
      <c r="J699" s="43">
        <v>2</v>
      </c>
      <c r="K699" s="265">
        <f t="shared" si="10"/>
        <v>0.35859414261160716</v>
      </c>
      <c r="L699" s="164" t="s">
        <v>111</v>
      </c>
    </row>
    <row r="700" spans="1:12">
      <c r="A700" s="34" t="s">
        <v>114</v>
      </c>
      <c r="B700" s="344">
        <v>2019</v>
      </c>
      <c r="C700" s="59" t="s">
        <v>95</v>
      </c>
      <c r="D700" s="59">
        <v>79</v>
      </c>
      <c r="E700" s="503" t="s">
        <v>110</v>
      </c>
      <c r="F700" s="29">
        <v>1</v>
      </c>
      <c r="G700" s="9">
        <v>1</v>
      </c>
      <c r="H700" s="9">
        <v>1</v>
      </c>
      <c r="I700" s="9">
        <v>2</v>
      </c>
      <c r="J700" s="43">
        <v>2</v>
      </c>
      <c r="K700" s="265">
        <f t="shared" si="10"/>
        <v>0.35859414261160716</v>
      </c>
      <c r="L700" s="164" t="s">
        <v>111</v>
      </c>
    </row>
    <row r="701" spans="1:12">
      <c r="A701" s="34" t="s">
        <v>114</v>
      </c>
      <c r="B701" s="344">
        <v>2019</v>
      </c>
      <c r="C701" s="59" t="s">
        <v>93</v>
      </c>
      <c r="D701" s="59">
        <v>40</v>
      </c>
      <c r="E701" s="503" t="s">
        <v>110</v>
      </c>
      <c r="F701" s="29">
        <v>1</v>
      </c>
      <c r="G701" s="9">
        <v>1</v>
      </c>
      <c r="H701" s="9">
        <v>1</v>
      </c>
      <c r="I701" s="9">
        <v>2</v>
      </c>
      <c r="J701" s="43">
        <v>2</v>
      </c>
      <c r="K701" s="265">
        <f t="shared" ref="K701:K764" si="11">IF( OR( ISBLANK(F701),ISBLANK(G701), ISBLANK(H701), ISBLANK(I701), ISBLANK(J701) ), "", 1.5*SQRT(   EXP(2.21*(F701-1)) + EXP(2.21*(G701-1)) + EXP(2.21*(H701-1)) + EXP(2.21*(I701-1)) + EXP(2.21*J701)   )/100*2.45 )</f>
        <v>0.35859414261160716</v>
      </c>
      <c r="L701" s="164" t="s">
        <v>111</v>
      </c>
    </row>
    <row r="702" spans="1:12">
      <c r="A702" s="34" t="s">
        <v>114</v>
      </c>
      <c r="B702" s="344">
        <v>2019</v>
      </c>
      <c r="C702" s="59" t="s">
        <v>98</v>
      </c>
      <c r="D702" s="59">
        <v>1386</v>
      </c>
      <c r="E702" s="503" t="s">
        <v>110</v>
      </c>
      <c r="F702" s="29">
        <v>1</v>
      </c>
      <c r="G702" s="9">
        <v>1</v>
      </c>
      <c r="H702" s="9">
        <v>1</v>
      </c>
      <c r="I702" s="9">
        <v>2</v>
      </c>
      <c r="J702" s="43">
        <v>2</v>
      </c>
      <c r="K702" s="265">
        <f t="shared" si="11"/>
        <v>0.35859414261160716</v>
      </c>
      <c r="L702" s="164" t="s">
        <v>111</v>
      </c>
    </row>
    <row r="703" spans="1:12">
      <c r="A703" s="34" t="s">
        <v>114</v>
      </c>
      <c r="B703" s="344">
        <v>2020</v>
      </c>
      <c r="C703" s="59" t="s">
        <v>85</v>
      </c>
      <c r="D703" s="59">
        <v>713</v>
      </c>
      <c r="E703" s="503" t="s">
        <v>110</v>
      </c>
      <c r="F703" s="29">
        <v>1</v>
      </c>
      <c r="G703" s="9">
        <v>1</v>
      </c>
      <c r="H703" s="9">
        <v>1</v>
      </c>
      <c r="I703" s="9">
        <v>2</v>
      </c>
      <c r="J703" s="43">
        <v>2</v>
      </c>
      <c r="K703" s="265">
        <f t="shared" si="11"/>
        <v>0.35859414261160716</v>
      </c>
      <c r="L703" s="164" t="s">
        <v>111</v>
      </c>
    </row>
    <row r="704" spans="1:12">
      <c r="A704" s="34" t="s">
        <v>114</v>
      </c>
      <c r="B704" s="344">
        <v>2020</v>
      </c>
      <c r="C704" s="59" t="s">
        <v>86</v>
      </c>
      <c r="D704" s="59">
        <v>239</v>
      </c>
      <c r="E704" s="503" t="s">
        <v>110</v>
      </c>
      <c r="F704" s="29">
        <v>1</v>
      </c>
      <c r="G704" s="9">
        <v>1</v>
      </c>
      <c r="H704" s="9">
        <v>1</v>
      </c>
      <c r="I704" s="9">
        <v>2</v>
      </c>
      <c r="J704" s="43">
        <v>2</v>
      </c>
      <c r="K704" s="265">
        <f t="shared" si="11"/>
        <v>0.35859414261160716</v>
      </c>
      <c r="L704" s="164" t="s">
        <v>111</v>
      </c>
    </row>
    <row r="705" spans="1:12">
      <c r="A705" s="34" t="s">
        <v>114</v>
      </c>
      <c r="B705" s="344">
        <v>2020</v>
      </c>
      <c r="C705" s="59" t="s">
        <v>87</v>
      </c>
      <c r="D705" s="59">
        <v>303</v>
      </c>
      <c r="E705" s="503" t="s">
        <v>110</v>
      </c>
      <c r="F705" s="29">
        <v>1</v>
      </c>
      <c r="G705" s="9">
        <v>1</v>
      </c>
      <c r="H705" s="9">
        <v>1</v>
      </c>
      <c r="I705" s="9">
        <v>2</v>
      </c>
      <c r="J705" s="43">
        <v>2</v>
      </c>
      <c r="K705" s="265">
        <f t="shared" si="11"/>
        <v>0.35859414261160716</v>
      </c>
      <c r="L705" s="164" t="s">
        <v>111</v>
      </c>
    </row>
    <row r="706" spans="1:12">
      <c r="A706" s="34" t="s">
        <v>114</v>
      </c>
      <c r="B706" s="344">
        <v>2020</v>
      </c>
      <c r="C706" s="59" t="s">
        <v>88</v>
      </c>
      <c r="D706" s="59">
        <v>34</v>
      </c>
      <c r="E706" s="503" t="s">
        <v>110</v>
      </c>
      <c r="F706" s="29">
        <v>1</v>
      </c>
      <c r="G706" s="9">
        <v>1</v>
      </c>
      <c r="H706" s="9">
        <v>1</v>
      </c>
      <c r="I706" s="9">
        <v>2</v>
      </c>
      <c r="J706" s="43">
        <v>2</v>
      </c>
      <c r="K706" s="265">
        <f t="shared" si="11"/>
        <v>0.35859414261160716</v>
      </c>
      <c r="L706" s="164" t="s">
        <v>111</v>
      </c>
    </row>
    <row r="707" spans="1:12">
      <c r="A707" s="34" t="s">
        <v>114</v>
      </c>
      <c r="B707" s="344">
        <v>2020</v>
      </c>
      <c r="C707" s="59" t="s">
        <v>89</v>
      </c>
      <c r="D707" s="59">
        <v>48</v>
      </c>
      <c r="E707" s="503" t="s">
        <v>110</v>
      </c>
      <c r="F707" s="29">
        <v>1</v>
      </c>
      <c r="G707" s="9">
        <v>1</v>
      </c>
      <c r="H707" s="9">
        <v>1</v>
      </c>
      <c r="I707" s="9">
        <v>2</v>
      </c>
      <c r="J707" s="43">
        <v>2</v>
      </c>
      <c r="K707" s="265">
        <f t="shared" si="11"/>
        <v>0.35859414261160716</v>
      </c>
      <c r="L707" s="164" t="s">
        <v>111</v>
      </c>
    </row>
    <row r="708" spans="1:12">
      <c r="A708" s="34" t="s">
        <v>114</v>
      </c>
      <c r="B708" s="344">
        <v>2020</v>
      </c>
      <c r="C708" s="59" t="s">
        <v>90</v>
      </c>
      <c r="D708" s="59">
        <v>186</v>
      </c>
      <c r="E708" s="503" t="s">
        <v>110</v>
      </c>
      <c r="F708" s="29">
        <v>1</v>
      </c>
      <c r="G708" s="9">
        <v>1</v>
      </c>
      <c r="H708" s="9">
        <v>1</v>
      </c>
      <c r="I708" s="9">
        <v>2</v>
      </c>
      <c r="J708" s="43">
        <v>2</v>
      </c>
      <c r="K708" s="265">
        <f t="shared" si="11"/>
        <v>0.35859414261160716</v>
      </c>
      <c r="L708" s="164" t="s">
        <v>111</v>
      </c>
    </row>
    <row r="709" spans="1:12">
      <c r="A709" s="34" t="s">
        <v>114</v>
      </c>
      <c r="B709" s="344">
        <v>2020</v>
      </c>
      <c r="C709" s="59" t="s">
        <v>91</v>
      </c>
      <c r="D709" s="59">
        <v>130</v>
      </c>
      <c r="E709" s="503" t="s">
        <v>110</v>
      </c>
      <c r="F709" s="29">
        <v>1</v>
      </c>
      <c r="G709" s="9">
        <v>1</v>
      </c>
      <c r="H709" s="9">
        <v>1</v>
      </c>
      <c r="I709" s="9">
        <v>2</v>
      </c>
      <c r="J709" s="43">
        <v>2</v>
      </c>
      <c r="K709" s="265">
        <f t="shared" si="11"/>
        <v>0.35859414261160716</v>
      </c>
      <c r="L709" s="164" t="s">
        <v>111</v>
      </c>
    </row>
    <row r="710" spans="1:12">
      <c r="A710" s="34" t="s">
        <v>114</v>
      </c>
      <c r="B710" s="344">
        <v>2020</v>
      </c>
      <c r="C710" s="59" t="s">
        <v>94</v>
      </c>
      <c r="D710" s="59">
        <v>16</v>
      </c>
      <c r="E710" s="503" t="s">
        <v>110</v>
      </c>
      <c r="F710" s="29">
        <v>1</v>
      </c>
      <c r="G710" s="9">
        <v>1</v>
      </c>
      <c r="H710" s="9">
        <v>1</v>
      </c>
      <c r="I710" s="9">
        <v>2</v>
      </c>
      <c r="J710" s="43">
        <v>2</v>
      </c>
      <c r="K710" s="265">
        <f t="shared" si="11"/>
        <v>0.35859414261160716</v>
      </c>
      <c r="L710" s="164" t="s">
        <v>111</v>
      </c>
    </row>
    <row r="711" spans="1:12">
      <c r="A711" s="34" t="s">
        <v>114</v>
      </c>
      <c r="B711" s="344">
        <v>2020</v>
      </c>
      <c r="C711" s="59" t="s">
        <v>96</v>
      </c>
      <c r="D711" s="59">
        <v>65</v>
      </c>
      <c r="E711" s="503" t="s">
        <v>110</v>
      </c>
      <c r="F711" s="29">
        <v>1</v>
      </c>
      <c r="G711" s="9">
        <v>1</v>
      </c>
      <c r="H711" s="9">
        <v>1</v>
      </c>
      <c r="I711" s="9">
        <v>2</v>
      </c>
      <c r="J711" s="43">
        <v>2</v>
      </c>
      <c r="K711" s="265">
        <f t="shared" si="11"/>
        <v>0.35859414261160716</v>
      </c>
      <c r="L711" s="164" t="s">
        <v>111</v>
      </c>
    </row>
    <row r="712" spans="1:12">
      <c r="A712" s="34" t="s">
        <v>114</v>
      </c>
      <c r="B712" s="344">
        <v>2020</v>
      </c>
      <c r="C712" s="59" t="s">
        <v>97</v>
      </c>
      <c r="D712" s="59">
        <v>242</v>
      </c>
      <c r="E712" s="503" t="s">
        <v>110</v>
      </c>
      <c r="F712" s="29">
        <v>1</v>
      </c>
      <c r="G712" s="9">
        <v>1</v>
      </c>
      <c r="H712" s="9">
        <v>1</v>
      </c>
      <c r="I712" s="9">
        <v>2</v>
      </c>
      <c r="J712" s="43">
        <v>2</v>
      </c>
      <c r="K712" s="265">
        <f t="shared" si="11"/>
        <v>0.35859414261160716</v>
      </c>
      <c r="L712" s="164" t="s">
        <v>111</v>
      </c>
    </row>
    <row r="713" spans="1:12">
      <c r="A713" s="34" t="s">
        <v>114</v>
      </c>
      <c r="B713" s="344">
        <v>2020</v>
      </c>
      <c r="C713" s="59" t="s">
        <v>95</v>
      </c>
      <c r="D713" s="59">
        <v>71</v>
      </c>
      <c r="E713" s="503" t="s">
        <v>110</v>
      </c>
      <c r="F713" s="29">
        <v>1</v>
      </c>
      <c r="G713" s="9">
        <v>1</v>
      </c>
      <c r="H713" s="9">
        <v>1</v>
      </c>
      <c r="I713" s="9">
        <v>2</v>
      </c>
      <c r="J713" s="43">
        <v>2</v>
      </c>
      <c r="K713" s="265">
        <f t="shared" si="11"/>
        <v>0.35859414261160716</v>
      </c>
      <c r="L713" s="164" t="s">
        <v>111</v>
      </c>
    </row>
    <row r="714" spans="1:12">
      <c r="A714" s="34" t="s">
        <v>114</v>
      </c>
      <c r="B714" s="344">
        <v>2020</v>
      </c>
      <c r="C714" s="59" t="s">
        <v>93</v>
      </c>
      <c r="D714" s="59">
        <v>43</v>
      </c>
      <c r="E714" s="503" t="s">
        <v>110</v>
      </c>
      <c r="F714" s="29">
        <v>1</v>
      </c>
      <c r="G714" s="9">
        <v>1</v>
      </c>
      <c r="H714" s="9">
        <v>1</v>
      </c>
      <c r="I714" s="9">
        <v>2</v>
      </c>
      <c r="J714" s="43">
        <v>2</v>
      </c>
      <c r="K714" s="265">
        <f t="shared" si="11"/>
        <v>0.35859414261160716</v>
      </c>
      <c r="L714" s="164" t="s">
        <v>111</v>
      </c>
    </row>
    <row r="715" spans="1:12">
      <c r="A715" s="34" t="s">
        <v>114</v>
      </c>
      <c r="B715" s="344">
        <v>2020</v>
      </c>
      <c r="C715" s="59" t="s">
        <v>98</v>
      </c>
      <c r="D715" s="59">
        <v>1355</v>
      </c>
      <c r="E715" s="503" t="s">
        <v>110</v>
      </c>
      <c r="F715" s="29">
        <v>1</v>
      </c>
      <c r="G715" s="9">
        <v>1</v>
      </c>
      <c r="H715" s="9">
        <v>1</v>
      </c>
      <c r="I715" s="9">
        <v>2</v>
      </c>
      <c r="J715" s="43">
        <v>2</v>
      </c>
      <c r="K715" s="265">
        <f t="shared" si="11"/>
        <v>0.35859414261160716</v>
      </c>
      <c r="L715" s="164" t="s">
        <v>111</v>
      </c>
    </row>
    <row r="716" spans="1:12">
      <c r="A716" s="34" t="s">
        <v>114</v>
      </c>
      <c r="B716" s="344">
        <v>2021</v>
      </c>
      <c r="C716" s="59" t="s">
        <v>85</v>
      </c>
      <c r="D716" s="59">
        <v>1052</v>
      </c>
      <c r="E716" s="503" t="s">
        <v>110</v>
      </c>
      <c r="F716" s="29">
        <v>1</v>
      </c>
      <c r="G716" s="9">
        <v>1</v>
      </c>
      <c r="H716" s="9">
        <v>1</v>
      </c>
      <c r="I716" s="9">
        <v>2</v>
      </c>
      <c r="J716" s="43">
        <v>2</v>
      </c>
      <c r="K716" s="265">
        <f t="shared" si="11"/>
        <v>0.35859414261160716</v>
      </c>
      <c r="L716" s="164" t="s">
        <v>111</v>
      </c>
    </row>
    <row r="717" spans="1:12">
      <c r="A717" s="34" t="s">
        <v>114</v>
      </c>
      <c r="B717" s="344">
        <v>2021</v>
      </c>
      <c r="C717" s="59" t="s">
        <v>86</v>
      </c>
      <c r="D717" s="59">
        <v>261</v>
      </c>
      <c r="E717" s="503" t="s">
        <v>110</v>
      </c>
      <c r="F717" s="29">
        <v>1</v>
      </c>
      <c r="G717" s="9">
        <v>1</v>
      </c>
      <c r="H717" s="9">
        <v>1</v>
      </c>
      <c r="I717" s="9">
        <v>2</v>
      </c>
      <c r="J717" s="43">
        <v>2</v>
      </c>
      <c r="K717" s="265">
        <f t="shared" si="11"/>
        <v>0.35859414261160716</v>
      </c>
      <c r="L717" s="164" t="s">
        <v>111</v>
      </c>
    </row>
    <row r="718" spans="1:12">
      <c r="A718" s="34" t="s">
        <v>114</v>
      </c>
      <c r="B718" s="344">
        <v>2021</v>
      </c>
      <c r="C718" s="59" t="s">
        <v>87</v>
      </c>
      <c r="D718" s="59">
        <v>371</v>
      </c>
      <c r="E718" s="503" t="s">
        <v>110</v>
      </c>
      <c r="F718" s="29">
        <v>1</v>
      </c>
      <c r="G718" s="9">
        <v>1</v>
      </c>
      <c r="H718" s="9">
        <v>1</v>
      </c>
      <c r="I718" s="9">
        <v>2</v>
      </c>
      <c r="J718" s="43">
        <v>2</v>
      </c>
      <c r="K718" s="265">
        <f t="shared" si="11"/>
        <v>0.35859414261160716</v>
      </c>
      <c r="L718" s="164" t="s">
        <v>111</v>
      </c>
    </row>
    <row r="719" spans="1:12">
      <c r="A719" s="34" t="s">
        <v>114</v>
      </c>
      <c r="B719" s="344">
        <v>2021</v>
      </c>
      <c r="C719" s="59" t="s">
        <v>88</v>
      </c>
      <c r="D719" s="59">
        <v>35</v>
      </c>
      <c r="E719" s="503" t="s">
        <v>110</v>
      </c>
      <c r="F719" s="29">
        <v>1</v>
      </c>
      <c r="G719" s="9">
        <v>1</v>
      </c>
      <c r="H719" s="9">
        <v>1</v>
      </c>
      <c r="I719" s="9">
        <v>2</v>
      </c>
      <c r="J719" s="43">
        <v>2</v>
      </c>
      <c r="K719" s="265">
        <f t="shared" si="11"/>
        <v>0.35859414261160716</v>
      </c>
      <c r="L719" s="164" t="s">
        <v>111</v>
      </c>
    </row>
    <row r="720" spans="1:12">
      <c r="A720" s="34" t="s">
        <v>114</v>
      </c>
      <c r="B720" s="344">
        <v>2021</v>
      </c>
      <c r="C720" s="59" t="s">
        <v>89</v>
      </c>
      <c r="D720" s="59">
        <v>55</v>
      </c>
      <c r="E720" s="503" t="s">
        <v>110</v>
      </c>
      <c r="F720" s="29">
        <v>1</v>
      </c>
      <c r="G720" s="9">
        <v>1</v>
      </c>
      <c r="H720" s="9">
        <v>1</v>
      </c>
      <c r="I720" s="9">
        <v>2</v>
      </c>
      <c r="J720" s="43">
        <v>2</v>
      </c>
      <c r="K720" s="265">
        <f t="shared" si="11"/>
        <v>0.35859414261160716</v>
      </c>
      <c r="L720" s="164" t="s">
        <v>111</v>
      </c>
    </row>
    <row r="721" spans="1:12">
      <c r="A721" s="34" t="s">
        <v>114</v>
      </c>
      <c r="B721" s="344">
        <v>2021</v>
      </c>
      <c r="C721" s="59" t="s">
        <v>90</v>
      </c>
      <c r="D721" s="59">
        <v>198</v>
      </c>
      <c r="E721" s="503" t="s">
        <v>110</v>
      </c>
      <c r="F721" s="29">
        <v>1</v>
      </c>
      <c r="G721" s="9">
        <v>1</v>
      </c>
      <c r="H721" s="9">
        <v>1</v>
      </c>
      <c r="I721" s="9">
        <v>2</v>
      </c>
      <c r="J721" s="43">
        <v>2</v>
      </c>
      <c r="K721" s="265">
        <f t="shared" si="11"/>
        <v>0.35859414261160716</v>
      </c>
      <c r="L721" s="164" t="s">
        <v>111</v>
      </c>
    </row>
    <row r="722" spans="1:12">
      <c r="A722" s="34" t="s">
        <v>114</v>
      </c>
      <c r="B722" s="344">
        <v>2021</v>
      </c>
      <c r="C722" s="59" t="s">
        <v>91</v>
      </c>
      <c r="D722" s="59">
        <v>124</v>
      </c>
      <c r="E722" s="503" t="s">
        <v>110</v>
      </c>
      <c r="F722" s="29">
        <v>1</v>
      </c>
      <c r="G722" s="9">
        <v>1</v>
      </c>
      <c r="H722" s="9">
        <v>1</v>
      </c>
      <c r="I722" s="9">
        <v>2</v>
      </c>
      <c r="J722" s="43">
        <v>2</v>
      </c>
      <c r="K722" s="265">
        <f t="shared" si="11"/>
        <v>0.35859414261160716</v>
      </c>
      <c r="L722" s="164" t="s">
        <v>111</v>
      </c>
    </row>
    <row r="723" spans="1:12">
      <c r="A723" s="34" t="s">
        <v>114</v>
      </c>
      <c r="B723" s="344">
        <v>2021</v>
      </c>
      <c r="C723" s="59" t="s">
        <v>94</v>
      </c>
      <c r="D723" s="59">
        <v>18</v>
      </c>
      <c r="E723" s="503" t="s">
        <v>110</v>
      </c>
      <c r="F723" s="29">
        <v>1</v>
      </c>
      <c r="G723" s="9">
        <v>1</v>
      </c>
      <c r="H723" s="9">
        <v>1</v>
      </c>
      <c r="I723" s="9">
        <v>2</v>
      </c>
      <c r="J723" s="43">
        <v>2</v>
      </c>
      <c r="K723" s="265">
        <f t="shared" si="11"/>
        <v>0.35859414261160716</v>
      </c>
      <c r="L723" s="164" t="s">
        <v>111</v>
      </c>
    </row>
    <row r="724" spans="1:12">
      <c r="A724" s="34" t="s">
        <v>114</v>
      </c>
      <c r="B724" s="344">
        <v>2021</v>
      </c>
      <c r="C724" s="59" t="s">
        <v>96</v>
      </c>
      <c r="D724" s="59">
        <v>79</v>
      </c>
      <c r="E724" s="503" t="s">
        <v>110</v>
      </c>
      <c r="F724" s="29">
        <v>1</v>
      </c>
      <c r="G724" s="9">
        <v>1</v>
      </c>
      <c r="H724" s="9">
        <v>1</v>
      </c>
      <c r="I724" s="9">
        <v>2</v>
      </c>
      <c r="J724" s="43">
        <v>2</v>
      </c>
      <c r="K724" s="265">
        <f t="shared" si="11"/>
        <v>0.35859414261160716</v>
      </c>
      <c r="L724" s="164" t="s">
        <v>111</v>
      </c>
    </row>
    <row r="725" spans="1:12">
      <c r="A725" s="34" t="s">
        <v>114</v>
      </c>
      <c r="B725" s="344">
        <v>2021</v>
      </c>
      <c r="C725" s="59" t="s">
        <v>97</v>
      </c>
      <c r="D725" s="59">
        <v>243</v>
      </c>
      <c r="E725" s="503" t="s">
        <v>110</v>
      </c>
      <c r="F725" s="29">
        <v>1</v>
      </c>
      <c r="G725" s="9">
        <v>1</v>
      </c>
      <c r="H725" s="9">
        <v>1</v>
      </c>
      <c r="I725" s="9">
        <v>2</v>
      </c>
      <c r="J725" s="43">
        <v>2</v>
      </c>
      <c r="K725" s="265">
        <f t="shared" si="11"/>
        <v>0.35859414261160716</v>
      </c>
      <c r="L725" s="164" t="s">
        <v>111</v>
      </c>
    </row>
    <row r="726" spans="1:12">
      <c r="A726" s="34" t="s">
        <v>114</v>
      </c>
      <c r="B726" s="344">
        <v>2021</v>
      </c>
      <c r="C726" s="59" t="s">
        <v>95</v>
      </c>
      <c r="D726" s="59">
        <v>92</v>
      </c>
      <c r="E726" s="503" t="s">
        <v>110</v>
      </c>
      <c r="F726" s="29">
        <v>1</v>
      </c>
      <c r="G726" s="9">
        <v>1</v>
      </c>
      <c r="H726" s="9">
        <v>1</v>
      </c>
      <c r="I726" s="9">
        <v>2</v>
      </c>
      <c r="J726" s="43">
        <v>2</v>
      </c>
      <c r="K726" s="265">
        <f t="shared" si="11"/>
        <v>0.35859414261160716</v>
      </c>
      <c r="L726" s="164" t="s">
        <v>111</v>
      </c>
    </row>
    <row r="727" spans="1:12">
      <c r="A727" s="34" t="s">
        <v>114</v>
      </c>
      <c r="B727" s="344">
        <v>2021</v>
      </c>
      <c r="C727" s="59" t="s">
        <v>93</v>
      </c>
      <c r="D727" s="59">
        <v>50</v>
      </c>
      <c r="E727" s="503" t="s">
        <v>110</v>
      </c>
      <c r="F727" s="29">
        <v>1</v>
      </c>
      <c r="G727" s="9">
        <v>1</v>
      </c>
      <c r="H727" s="9">
        <v>1</v>
      </c>
      <c r="I727" s="9">
        <v>2</v>
      </c>
      <c r="J727" s="43">
        <v>2</v>
      </c>
      <c r="K727" s="265">
        <f t="shared" si="11"/>
        <v>0.35859414261160716</v>
      </c>
      <c r="L727" s="164" t="s">
        <v>111</v>
      </c>
    </row>
    <row r="728" spans="1:12" ht="15.75" thickBot="1">
      <c r="A728" s="150" t="s">
        <v>114</v>
      </c>
      <c r="B728" s="659">
        <v>2021</v>
      </c>
      <c r="C728" s="821" t="s">
        <v>98</v>
      </c>
      <c r="D728" s="821">
        <v>1446</v>
      </c>
      <c r="E728" s="801" t="s">
        <v>110</v>
      </c>
      <c r="F728" s="155">
        <v>1</v>
      </c>
      <c r="G728" s="119">
        <v>1</v>
      </c>
      <c r="H728" s="119">
        <v>1</v>
      </c>
      <c r="I728" s="119">
        <v>2</v>
      </c>
      <c r="J728" s="156">
        <v>2</v>
      </c>
      <c r="K728" s="293">
        <f t="shared" si="11"/>
        <v>0.35859414261160716</v>
      </c>
      <c r="L728" s="818" t="s">
        <v>111</v>
      </c>
    </row>
    <row r="729" spans="1:12">
      <c r="A729" s="33" t="s">
        <v>37</v>
      </c>
      <c r="B729" s="39">
        <v>2016</v>
      </c>
      <c r="C729" s="822" t="s">
        <v>92</v>
      </c>
      <c r="D729" s="33">
        <v>18</v>
      </c>
      <c r="E729" s="151" t="s">
        <v>115</v>
      </c>
      <c r="F729" s="28">
        <v>1</v>
      </c>
      <c r="G729" s="11">
        <v>1</v>
      </c>
      <c r="H729" s="11">
        <v>1</v>
      </c>
      <c r="I729" s="11">
        <v>1</v>
      </c>
      <c r="J729" s="42">
        <v>1</v>
      </c>
      <c r="K729" s="264">
        <f t="shared" si="11"/>
        <v>0.13309242924026707</v>
      </c>
      <c r="L729" s="163"/>
    </row>
    <row r="730" spans="1:12">
      <c r="A730" s="34" t="s">
        <v>37</v>
      </c>
      <c r="B730" s="40">
        <v>2020</v>
      </c>
      <c r="C730" s="59" t="s">
        <v>92</v>
      </c>
      <c r="D730" s="812">
        <f>Intentionally_produced_MPs!K106</f>
        <v>12.105</v>
      </c>
      <c r="E730" s="152" t="s">
        <v>115</v>
      </c>
      <c r="F730" s="29">
        <v>1</v>
      </c>
      <c r="G730" s="9">
        <v>1</v>
      </c>
      <c r="H730" s="9">
        <v>1</v>
      </c>
      <c r="I730" s="9">
        <v>1</v>
      </c>
      <c r="J730" s="43">
        <v>1</v>
      </c>
      <c r="K730" s="265">
        <f t="shared" si="11"/>
        <v>0.13309242924026707</v>
      </c>
      <c r="L730" s="164"/>
    </row>
    <row r="731" spans="1:12">
      <c r="A731" s="34" t="s">
        <v>37</v>
      </c>
      <c r="B731" s="40">
        <v>2019</v>
      </c>
      <c r="C731" s="59" t="s">
        <v>92</v>
      </c>
      <c r="D731" s="34">
        <v>11.4</v>
      </c>
      <c r="E731" s="152" t="s">
        <v>115</v>
      </c>
      <c r="F731" s="29">
        <v>1</v>
      </c>
      <c r="G731" s="9">
        <v>1</v>
      </c>
      <c r="H731" s="9">
        <v>1</v>
      </c>
      <c r="I731" s="9">
        <v>1</v>
      </c>
      <c r="J731" s="43">
        <v>1</v>
      </c>
      <c r="K731" s="265">
        <f t="shared" si="11"/>
        <v>0.13309242924026707</v>
      </c>
      <c r="L731" s="164"/>
    </row>
    <row r="732" spans="1:12">
      <c r="A732" s="34" t="s">
        <v>37</v>
      </c>
      <c r="B732" s="40">
        <v>2021</v>
      </c>
      <c r="C732" s="59" t="s">
        <v>92</v>
      </c>
      <c r="D732" s="34">
        <v>10.331</v>
      </c>
      <c r="E732" s="152" t="s">
        <v>115</v>
      </c>
      <c r="F732" s="29">
        <v>1</v>
      </c>
      <c r="G732" s="9">
        <v>1</v>
      </c>
      <c r="H732" s="9">
        <v>1</v>
      </c>
      <c r="I732" s="9">
        <v>1</v>
      </c>
      <c r="J732" s="43">
        <v>1</v>
      </c>
      <c r="K732" s="265">
        <f t="shared" si="11"/>
        <v>0.13309242924026707</v>
      </c>
      <c r="L732" s="164"/>
    </row>
    <row r="733" spans="1:12">
      <c r="A733" s="34" t="s">
        <v>37</v>
      </c>
      <c r="B733" s="40">
        <v>2020</v>
      </c>
      <c r="C733" s="34" t="s">
        <v>93</v>
      </c>
      <c r="D733" s="812">
        <f>Intentionally_produced_MPs!L106</f>
        <v>0.88557259919129572</v>
      </c>
      <c r="E733" s="152" t="s">
        <v>116</v>
      </c>
      <c r="F733" s="29">
        <v>2</v>
      </c>
      <c r="G733" s="9">
        <v>1</v>
      </c>
      <c r="H733" s="9">
        <v>3</v>
      </c>
      <c r="I733" s="9">
        <v>1</v>
      </c>
      <c r="J733" s="43">
        <v>2</v>
      </c>
      <c r="K733" s="265">
        <f t="shared" si="11"/>
        <v>0.48935255543384243</v>
      </c>
      <c r="L733" s="164"/>
    </row>
    <row r="734" spans="1:12">
      <c r="A734" s="34" t="s">
        <v>37</v>
      </c>
      <c r="B734" s="40">
        <v>2020</v>
      </c>
      <c r="C734" s="59" t="s">
        <v>98</v>
      </c>
      <c r="D734" s="812">
        <f>Intentionally_produced_MPs!Q106</f>
        <v>0.61395725887587771</v>
      </c>
      <c r="E734" s="152" t="s">
        <v>116</v>
      </c>
      <c r="F734" s="29">
        <v>2</v>
      </c>
      <c r="G734" s="9">
        <v>1</v>
      </c>
      <c r="H734" s="9">
        <v>3</v>
      </c>
      <c r="I734" s="9">
        <v>1</v>
      </c>
      <c r="J734" s="43">
        <v>2</v>
      </c>
      <c r="K734" s="265">
        <f t="shared" si="11"/>
        <v>0.48935255543384243</v>
      </c>
      <c r="L734" s="164"/>
    </row>
    <row r="735" spans="1:12">
      <c r="A735" s="34" t="s">
        <v>37</v>
      </c>
      <c r="B735" s="40">
        <v>2020</v>
      </c>
      <c r="C735" s="34" t="s">
        <v>86</v>
      </c>
      <c r="D735" s="812">
        <f>Intentionally_produced_MPs!E106</f>
        <v>0.47206704477479411</v>
      </c>
      <c r="E735" s="152" t="s">
        <v>116</v>
      </c>
      <c r="F735" s="29">
        <v>2</v>
      </c>
      <c r="G735" s="9">
        <v>1</v>
      </c>
      <c r="H735" s="9">
        <v>3</v>
      </c>
      <c r="I735" s="9">
        <v>1</v>
      </c>
      <c r="J735" s="43">
        <v>2</v>
      </c>
      <c r="K735" s="265">
        <f t="shared" si="11"/>
        <v>0.48935255543384243</v>
      </c>
      <c r="L735" s="164"/>
    </row>
    <row r="736" spans="1:12">
      <c r="A736" s="34" t="s">
        <v>37</v>
      </c>
      <c r="B736" s="40">
        <v>2020</v>
      </c>
      <c r="C736" s="34" t="s">
        <v>95</v>
      </c>
      <c r="D736" s="812">
        <f>Intentionally_produced_MPs!N106</f>
        <v>9.4626657606709394E-2</v>
      </c>
      <c r="E736" s="152" t="s">
        <v>116</v>
      </c>
      <c r="F736" s="29">
        <v>2</v>
      </c>
      <c r="G736" s="9">
        <v>1</v>
      </c>
      <c r="H736" s="9">
        <v>3</v>
      </c>
      <c r="I736" s="9">
        <v>1</v>
      </c>
      <c r="J736" s="43">
        <v>2</v>
      </c>
      <c r="K736" s="265">
        <f t="shared" si="11"/>
        <v>0.48935255543384243</v>
      </c>
      <c r="L736" s="164"/>
    </row>
    <row r="737" spans="1:12">
      <c r="A737" s="34" t="s">
        <v>37</v>
      </c>
      <c r="B737" s="40">
        <v>2020</v>
      </c>
      <c r="C737" s="34" t="s">
        <v>97</v>
      </c>
      <c r="D737" s="812">
        <f>Intentionally_produced_MPs!P106</f>
        <v>9.4091020248298574E-2</v>
      </c>
      <c r="E737" s="152" t="s">
        <v>116</v>
      </c>
      <c r="F737" s="29">
        <v>2</v>
      </c>
      <c r="G737" s="9">
        <v>1</v>
      </c>
      <c r="H737" s="9">
        <v>3</v>
      </c>
      <c r="I737" s="9">
        <v>1</v>
      </c>
      <c r="J737" s="43">
        <v>2</v>
      </c>
      <c r="K737" s="265">
        <f t="shared" si="11"/>
        <v>0.48935255543384243</v>
      </c>
      <c r="L737" s="164"/>
    </row>
    <row r="738" spans="1:12">
      <c r="A738" s="34" t="s">
        <v>37</v>
      </c>
      <c r="B738" s="40">
        <v>2020</v>
      </c>
      <c r="C738" s="34" t="s">
        <v>85</v>
      </c>
      <c r="D738" s="812">
        <f>Intentionally_produced_MPs!D106</f>
        <v>7.5513119408761431E-2</v>
      </c>
      <c r="E738" s="152" t="s">
        <v>116</v>
      </c>
      <c r="F738" s="29">
        <v>2</v>
      </c>
      <c r="G738" s="9">
        <v>1</v>
      </c>
      <c r="H738" s="9">
        <v>3</v>
      </c>
      <c r="I738" s="9">
        <v>1</v>
      </c>
      <c r="J738" s="43">
        <v>2</v>
      </c>
      <c r="K738" s="265">
        <f t="shared" si="11"/>
        <v>0.48935255543384243</v>
      </c>
      <c r="L738" s="164"/>
    </row>
    <row r="739" spans="1:12">
      <c r="A739" s="34" t="s">
        <v>37</v>
      </c>
      <c r="B739" s="40">
        <v>2020</v>
      </c>
      <c r="C739" s="34" t="s">
        <v>90</v>
      </c>
      <c r="D739" s="812">
        <f>Intentionally_produced_MPs!I106</f>
        <v>7.5513119408761431E-2</v>
      </c>
      <c r="E739" s="152" t="s">
        <v>116</v>
      </c>
      <c r="F739" s="29">
        <v>2</v>
      </c>
      <c r="G739" s="9">
        <v>1</v>
      </c>
      <c r="H739" s="9">
        <v>3</v>
      </c>
      <c r="I739" s="9">
        <v>1</v>
      </c>
      <c r="J739" s="43">
        <v>2</v>
      </c>
      <c r="K739" s="265">
        <f t="shared" si="11"/>
        <v>0.48935255543384243</v>
      </c>
      <c r="L739" s="164"/>
    </row>
    <row r="740" spans="1:12">
      <c r="A740" s="34" t="s">
        <v>37</v>
      </c>
      <c r="B740" s="40">
        <v>2020</v>
      </c>
      <c r="C740" s="34" t="s">
        <v>87</v>
      </c>
      <c r="D740" s="812">
        <f>Intentionally_produced_MPs!F106</f>
        <v>6.7122772807787945E-2</v>
      </c>
      <c r="E740" s="152" t="s">
        <v>116</v>
      </c>
      <c r="F740" s="29">
        <v>2</v>
      </c>
      <c r="G740" s="9">
        <v>1</v>
      </c>
      <c r="H740" s="9">
        <v>3</v>
      </c>
      <c r="I740" s="9">
        <v>1</v>
      </c>
      <c r="J740" s="43">
        <v>2</v>
      </c>
      <c r="K740" s="265">
        <f t="shared" si="11"/>
        <v>0.48935255543384243</v>
      </c>
      <c r="L740" s="164"/>
    </row>
    <row r="741" spans="1:12" ht="15.75" thickBot="1">
      <c r="A741" s="35" t="s">
        <v>37</v>
      </c>
      <c r="B741" s="41">
        <v>2020</v>
      </c>
      <c r="C741" s="35" t="s">
        <v>91</v>
      </c>
      <c r="D741" s="815">
        <f>Intentionally_produced_MPs!J106</f>
        <v>2.6968247440510646E-2</v>
      </c>
      <c r="E741" s="153" t="s">
        <v>116</v>
      </c>
      <c r="F741" s="30">
        <v>2</v>
      </c>
      <c r="G741" s="12">
        <v>1</v>
      </c>
      <c r="H741" s="12">
        <v>3</v>
      </c>
      <c r="I741" s="12">
        <v>1</v>
      </c>
      <c r="J741" s="44">
        <v>2</v>
      </c>
      <c r="K741" s="266">
        <f t="shared" si="11"/>
        <v>0.48935255543384243</v>
      </c>
      <c r="L741" s="165"/>
    </row>
    <row r="742" spans="1:12">
      <c r="A742" s="60" t="s">
        <v>39</v>
      </c>
      <c r="B742" s="162">
        <v>2020</v>
      </c>
      <c r="C742" s="60" t="s">
        <v>85</v>
      </c>
      <c r="D742" s="814">
        <f>Packaging!E19</f>
        <v>179.20538768005665</v>
      </c>
      <c r="E742" s="233" t="s">
        <v>117</v>
      </c>
      <c r="F742" s="676">
        <v>1</v>
      </c>
      <c r="G742" s="118">
        <v>1</v>
      </c>
      <c r="H742" s="118">
        <v>2</v>
      </c>
      <c r="I742" s="118">
        <v>1</v>
      </c>
      <c r="J742" s="677">
        <v>2</v>
      </c>
      <c r="K742" s="588">
        <f t="shared" si="11"/>
        <v>0.35859414261160716</v>
      </c>
      <c r="L742" s="669"/>
    </row>
    <row r="743" spans="1:12">
      <c r="A743" s="34" t="str">
        <f>Packaging!U23</f>
        <v>Packaging</v>
      </c>
      <c r="B743" s="40">
        <f>Packaging!V23</f>
        <v>2021</v>
      </c>
      <c r="C743" s="34" t="str">
        <f>Packaging!X23</f>
        <v>LDPE</v>
      </c>
      <c r="D743" s="812">
        <f>Packaging!Y23</f>
        <v>176.5619464740613</v>
      </c>
      <c r="E743" s="152" t="s">
        <v>117</v>
      </c>
      <c r="F743" s="29">
        <v>1</v>
      </c>
      <c r="G743" s="9">
        <v>1</v>
      </c>
      <c r="H743" s="9">
        <v>2</v>
      </c>
      <c r="I743" s="9">
        <v>1</v>
      </c>
      <c r="J743" s="43">
        <v>2</v>
      </c>
      <c r="K743" s="265">
        <f t="shared" si="11"/>
        <v>0.35859414261160716</v>
      </c>
      <c r="L743" s="164"/>
    </row>
    <row r="744" spans="1:12">
      <c r="A744" s="34" t="str">
        <f>Packaging!U39</f>
        <v>Packaging</v>
      </c>
      <c r="B744" s="40">
        <f>Packaging!V39</f>
        <v>2019</v>
      </c>
      <c r="C744" s="34" t="str">
        <f>Packaging!X39</f>
        <v>LDPE</v>
      </c>
      <c r="D744" s="812">
        <f>Packaging!Y39</f>
        <v>169.17764938027008</v>
      </c>
      <c r="E744" s="152" t="s">
        <v>117</v>
      </c>
      <c r="F744" s="29">
        <v>1</v>
      </c>
      <c r="G744" s="9">
        <v>1</v>
      </c>
      <c r="H744" s="9">
        <v>2</v>
      </c>
      <c r="I744" s="9">
        <v>1</v>
      </c>
      <c r="J744" s="43">
        <v>2</v>
      </c>
      <c r="K744" s="265">
        <f t="shared" si="11"/>
        <v>0.35859414261160716</v>
      </c>
      <c r="L744" s="164"/>
    </row>
    <row r="745" spans="1:12">
      <c r="A745" s="34" t="str">
        <f>Packaging!U47</f>
        <v>Packaging</v>
      </c>
      <c r="B745" s="40">
        <f>Packaging!V47</f>
        <v>2018</v>
      </c>
      <c r="C745" s="34" t="str">
        <f>Packaging!X47</f>
        <v>LDPE</v>
      </c>
      <c r="D745" s="812">
        <f>Packaging!Y47</f>
        <v>169.17764938027008</v>
      </c>
      <c r="E745" s="152" t="s">
        <v>117</v>
      </c>
      <c r="F745" s="29">
        <v>1</v>
      </c>
      <c r="G745" s="9">
        <v>1</v>
      </c>
      <c r="H745" s="9">
        <v>2</v>
      </c>
      <c r="I745" s="9">
        <v>1</v>
      </c>
      <c r="J745" s="43">
        <v>2</v>
      </c>
      <c r="K745" s="265">
        <f t="shared" si="11"/>
        <v>0.35859414261160716</v>
      </c>
      <c r="L745" s="164"/>
    </row>
    <row r="746" spans="1:12">
      <c r="A746" s="34" t="str">
        <f>Packaging!U55</f>
        <v>Packaging</v>
      </c>
      <c r="B746" s="40">
        <f>Packaging!V55</f>
        <v>2017</v>
      </c>
      <c r="C746" s="34" t="str">
        <f>Packaging!X55</f>
        <v>LDPE</v>
      </c>
      <c r="D746" s="812">
        <f>Packaging!Y55</f>
        <v>165.61941966099099</v>
      </c>
      <c r="E746" s="152" t="s">
        <v>117</v>
      </c>
      <c r="F746" s="29">
        <v>1</v>
      </c>
      <c r="G746" s="9">
        <v>1</v>
      </c>
      <c r="H746" s="9">
        <v>2</v>
      </c>
      <c r="I746" s="9">
        <v>1</v>
      </c>
      <c r="J746" s="43">
        <v>2</v>
      </c>
      <c r="K746" s="265">
        <f t="shared" si="11"/>
        <v>0.35859414261160716</v>
      </c>
      <c r="L746" s="164"/>
    </row>
    <row r="747" spans="1:12">
      <c r="A747" s="34" t="s">
        <v>39</v>
      </c>
      <c r="B747" s="40">
        <v>2020</v>
      </c>
      <c r="C747" s="34" t="s">
        <v>87</v>
      </c>
      <c r="D747" s="812">
        <f>Packaging!E21</f>
        <v>116.77935273343896</v>
      </c>
      <c r="E747" s="152" t="s">
        <v>117</v>
      </c>
      <c r="F747" s="29">
        <v>1</v>
      </c>
      <c r="G747" s="9">
        <v>1</v>
      </c>
      <c r="H747" s="9">
        <v>2</v>
      </c>
      <c r="I747" s="9">
        <v>1</v>
      </c>
      <c r="J747" s="43">
        <v>2</v>
      </c>
      <c r="K747" s="265">
        <f t="shared" si="11"/>
        <v>0.35859414261160716</v>
      </c>
      <c r="L747" s="164"/>
    </row>
    <row r="748" spans="1:12">
      <c r="A748" s="34" t="str">
        <f>Packaging!U25</f>
        <v>Packaging</v>
      </c>
      <c r="B748" s="40">
        <f>Packaging!V25</f>
        <v>2021</v>
      </c>
      <c r="C748" s="34" t="str">
        <f>Packaging!X25</f>
        <v>PP</v>
      </c>
      <c r="D748" s="812">
        <f>Packaging!Y25</f>
        <v>115.05675188409299</v>
      </c>
      <c r="E748" s="152" t="s">
        <v>117</v>
      </c>
      <c r="F748" s="29">
        <v>1</v>
      </c>
      <c r="G748" s="9">
        <v>1</v>
      </c>
      <c r="H748" s="9">
        <v>2</v>
      </c>
      <c r="I748" s="9">
        <v>1</v>
      </c>
      <c r="J748" s="43">
        <v>2</v>
      </c>
      <c r="K748" s="265">
        <f t="shared" si="11"/>
        <v>0.35859414261160716</v>
      </c>
      <c r="L748" s="164"/>
    </row>
    <row r="749" spans="1:12">
      <c r="A749" s="34" t="str">
        <f>Packaging!U41</f>
        <v>Packaging</v>
      </c>
      <c r="B749" s="40">
        <f>Packaging!V41</f>
        <v>2019</v>
      </c>
      <c r="C749" s="34" t="str">
        <f>Packaging!X41</f>
        <v>PP</v>
      </c>
      <c r="D749" s="812">
        <f>Packaging!Y41</f>
        <v>110.24476801369778</v>
      </c>
      <c r="E749" s="152" t="s">
        <v>117</v>
      </c>
      <c r="F749" s="29">
        <v>1</v>
      </c>
      <c r="G749" s="9">
        <v>1</v>
      </c>
      <c r="H749" s="9">
        <v>2</v>
      </c>
      <c r="I749" s="9">
        <v>1</v>
      </c>
      <c r="J749" s="43">
        <v>2</v>
      </c>
      <c r="K749" s="265">
        <f t="shared" si="11"/>
        <v>0.35859414261160716</v>
      </c>
      <c r="L749" s="164"/>
    </row>
    <row r="750" spans="1:12">
      <c r="A750" s="34" t="str">
        <f>Packaging!U49</f>
        <v>Packaging</v>
      </c>
      <c r="B750" s="40">
        <f>Packaging!V49</f>
        <v>2018</v>
      </c>
      <c r="C750" s="34" t="str">
        <f>Packaging!X49</f>
        <v>PP</v>
      </c>
      <c r="D750" s="812">
        <f>Packaging!Y49</f>
        <v>110.24476801369778</v>
      </c>
      <c r="E750" s="152" t="s">
        <v>117</v>
      </c>
      <c r="F750" s="29">
        <v>1</v>
      </c>
      <c r="G750" s="9">
        <v>1</v>
      </c>
      <c r="H750" s="9">
        <v>2</v>
      </c>
      <c r="I750" s="9">
        <v>1</v>
      </c>
      <c r="J750" s="43">
        <v>2</v>
      </c>
      <c r="K750" s="265">
        <f t="shared" si="11"/>
        <v>0.35859414261160716</v>
      </c>
      <c r="L750" s="164"/>
    </row>
    <row r="751" spans="1:12">
      <c r="A751" s="34" t="str">
        <f>Packaging!U57</f>
        <v>Packaging</v>
      </c>
      <c r="B751" s="40">
        <f>Packaging!V57</f>
        <v>2017</v>
      </c>
      <c r="C751" s="34" t="str">
        <f>Packaging!X57</f>
        <v>PP</v>
      </c>
      <c r="D751" s="812">
        <f>Packaging!Y57</f>
        <v>107.92604440346705</v>
      </c>
      <c r="E751" s="152" t="s">
        <v>117</v>
      </c>
      <c r="F751" s="29">
        <v>1</v>
      </c>
      <c r="G751" s="9">
        <v>1</v>
      </c>
      <c r="H751" s="9">
        <v>2</v>
      </c>
      <c r="I751" s="9">
        <v>1</v>
      </c>
      <c r="J751" s="43">
        <v>2</v>
      </c>
      <c r="K751" s="265">
        <f t="shared" si="11"/>
        <v>0.35859414261160716</v>
      </c>
      <c r="L751" s="164"/>
    </row>
    <row r="752" spans="1:12">
      <c r="A752" s="34" t="s">
        <v>39</v>
      </c>
      <c r="B752" s="40">
        <v>2020</v>
      </c>
      <c r="C752" s="34" t="s">
        <v>86</v>
      </c>
      <c r="D752" s="812">
        <f>Packaging!E20</f>
        <v>102.02794810331973</v>
      </c>
      <c r="E752" s="152" t="s">
        <v>117</v>
      </c>
      <c r="F752" s="29">
        <v>1</v>
      </c>
      <c r="G752" s="9">
        <v>1</v>
      </c>
      <c r="H752" s="9">
        <v>2</v>
      </c>
      <c r="I752" s="9">
        <v>1</v>
      </c>
      <c r="J752" s="43">
        <v>2</v>
      </c>
      <c r="K752" s="265">
        <f t="shared" si="11"/>
        <v>0.35859414261160716</v>
      </c>
      <c r="L752" s="164"/>
    </row>
    <row r="753" spans="1:12">
      <c r="A753" s="34" t="s">
        <v>39</v>
      </c>
      <c r="B753" s="40">
        <v>2020</v>
      </c>
      <c r="C753" s="34" t="s">
        <v>91</v>
      </c>
      <c r="D753" s="812">
        <f>Packaging!E25</f>
        <v>101.66359214435965</v>
      </c>
      <c r="E753" s="152" t="s">
        <v>117</v>
      </c>
      <c r="F753" s="29">
        <v>1</v>
      </c>
      <c r="G753" s="9">
        <v>1</v>
      </c>
      <c r="H753" s="9">
        <v>2</v>
      </c>
      <c r="I753" s="9">
        <v>1</v>
      </c>
      <c r="J753" s="43">
        <v>2</v>
      </c>
      <c r="K753" s="265">
        <f t="shared" si="11"/>
        <v>0.35859414261160716</v>
      </c>
      <c r="L753" s="164"/>
    </row>
    <row r="754" spans="1:12">
      <c r="A754" s="34" t="str">
        <f>Packaging!U24</f>
        <v>Packaging</v>
      </c>
      <c r="B754" s="40">
        <f>Packaging!V24</f>
        <v>2021</v>
      </c>
      <c r="C754" s="34" t="str">
        <f>Packaging!X24</f>
        <v>HDPE</v>
      </c>
      <c r="D754" s="812">
        <f>Packaging!Y24</f>
        <v>100.52294378581011</v>
      </c>
      <c r="E754" s="152" t="s">
        <v>117</v>
      </c>
      <c r="F754" s="29">
        <v>1</v>
      </c>
      <c r="G754" s="9">
        <v>1</v>
      </c>
      <c r="H754" s="9">
        <v>2</v>
      </c>
      <c r="I754" s="9">
        <v>1</v>
      </c>
      <c r="J754" s="43">
        <v>2</v>
      </c>
      <c r="K754" s="265">
        <f t="shared" si="11"/>
        <v>0.35859414261160716</v>
      </c>
      <c r="L754" s="164"/>
    </row>
    <row r="755" spans="1:12">
      <c r="A755" s="34" t="str">
        <f>Packaging!U29</f>
        <v>Packaging</v>
      </c>
      <c r="B755" s="40">
        <f>Packaging!V29</f>
        <v>2021</v>
      </c>
      <c r="C755" s="34" t="str">
        <f>Packaging!X29</f>
        <v>PET</v>
      </c>
      <c r="D755" s="812">
        <f>Packaging!Y29</f>
        <v>100.1639624060858</v>
      </c>
      <c r="E755" s="152" t="s">
        <v>117</v>
      </c>
      <c r="F755" s="29">
        <v>1</v>
      </c>
      <c r="G755" s="9">
        <v>1</v>
      </c>
      <c r="H755" s="9">
        <v>2</v>
      </c>
      <c r="I755" s="9">
        <v>1</v>
      </c>
      <c r="J755" s="43">
        <v>2</v>
      </c>
      <c r="K755" s="265">
        <f t="shared" si="11"/>
        <v>0.35859414261160716</v>
      </c>
      <c r="L755" s="164"/>
    </row>
    <row r="756" spans="1:12">
      <c r="A756" s="34" t="str">
        <f>Packaging!U40</f>
        <v>Packaging</v>
      </c>
      <c r="B756" s="40">
        <f>Packaging!V40</f>
        <v>2019</v>
      </c>
      <c r="C756" s="34" t="str">
        <f>Packaging!X40</f>
        <v>HDPE</v>
      </c>
      <c r="D756" s="812">
        <f>Packaging!Y40</f>
        <v>96.318802992845164</v>
      </c>
      <c r="E756" s="152" t="s">
        <v>117</v>
      </c>
      <c r="F756" s="29">
        <v>1</v>
      </c>
      <c r="G756" s="9">
        <v>1</v>
      </c>
      <c r="H756" s="9">
        <v>2</v>
      </c>
      <c r="I756" s="9">
        <v>1</v>
      </c>
      <c r="J756" s="43">
        <v>2</v>
      </c>
      <c r="K756" s="265">
        <f t="shared" si="11"/>
        <v>0.35859414261160716</v>
      </c>
      <c r="L756" s="164"/>
    </row>
    <row r="757" spans="1:12">
      <c r="A757" s="34" t="str">
        <f>Packaging!U48</f>
        <v>Packaging</v>
      </c>
      <c r="B757" s="40">
        <f>Packaging!V48</f>
        <v>2018</v>
      </c>
      <c r="C757" s="34" t="str">
        <f>Packaging!X48</f>
        <v>HDPE</v>
      </c>
      <c r="D757" s="812">
        <f>Packaging!Y48</f>
        <v>96.318802992845164</v>
      </c>
      <c r="E757" s="152" t="s">
        <v>117</v>
      </c>
      <c r="F757" s="29">
        <v>1</v>
      </c>
      <c r="G757" s="9">
        <v>1</v>
      </c>
      <c r="H757" s="9">
        <v>2</v>
      </c>
      <c r="I757" s="9">
        <v>1</v>
      </c>
      <c r="J757" s="43">
        <v>2</v>
      </c>
      <c r="K757" s="265">
        <f t="shared" si="11"/>
        <v>0.35859414261160716</v>
      </c>
      <c r="L757" s="164"/>
    </row>
    <row r="758" spans="1:12">
      <c r="A758" s="34" t="str">
        <f>Packaging!U45</f>
        <v>Packaging</v>
      </c>
      <c r="B758" s="40">
        <f>Packaging!V45</f>
        <v>2019</v>
      </c>
      <c r="C758" s="34" t="str">
        <f>Packaging!X45</f>
        <v>PET</v>
      </c>
      <c r="D758" s="812">
        <f>Packaging!Y45</f>
        <v>95.974835183213173</v>
      </c>
      <c r="E758" s="152" t="s">
        <v>117</v>
      </c>
      <c r="F758" s="29">
        <v>1</v>
      </c>
      <c r="G758" s="9">
        <v>1</v>
      </c>
      <c r="H758" s="9">
        <v>2</v>
      </c>
      <c r="I758" s="9">
        <v>1</v>
      </c>
      <c r="J758" s="43">
        <v>2</v>
      </c>
      <c r="K758" s="265">
        <f t="shared" si="11"/>
        <v>0.35859414261160716</v>
      </c>
      <c r="L758" s="164"/>
    </row>
    <row r="759" spans="1:12">
      <c r="A759" s="34" t="str">
        <f>Packaging!U53</f>
        <v>Packaging</v>
      </c>
      <c r="B759" s="40">
        <f>Packaging!V53</f>
        <v>2018</v>
      </c>
      <c r="C759" s="34" t="str">
        <f>Packaging!X53</f>
        <v>PET</v>
      </c>
      <c r="D759" s="812">
        <f>Packaging!Y53</f>
        <v>95.974835183213173</v>
      </c>
      <c r="E759" s="152" t="s">
        <v>117</v>
      </c>
      <c r="F759" s="29">
        <v>1</v>
      </c>
      <c r="G759" s="9">
        <v>1</v>
      </c>
      <c r="H759" s="9">
        <v>2</v>
      </c>
      <c r="I759" s="9">
        <v>1</v>
      </c>
      <c r="J759" s="43">
        <v>2</v>
      </c>
      <c r="K759" s="265">
        <f t="shared" si="11"/>
        <v>0.35859414261160716</v>
      </c>
      <c r="L759" s="164"/>
    </row>
    <row r="760" spans="1:12">
      <c r="A760" s="34" t="str">
        <f>Packaging!U56</f>
        <v>Packaging</v>
      </c>
      <c r="B760" s="40">
        <f>Packaging!V56</f>
        <v>2017</v>
      </c>
      <c r="C760" s="34" t="str">
        <f>Packaging!X56</f>
        <v>HDPE</v>
      </c>
      <c r="D760" s="812">
        <f>Packaging!Y56</f>
        <v>94.292977308483216</v>
      </c>
      <c r="E760" s="152" t="s">
        <v>117</v>
      </c>
      <c r="F760" s="29">
        <v>1</v>
      </c>
      <c r="G760" s="9">
        <v>1</v>
      </c>
      <c r="H760" s="9">
        <v>2</v>
      </c>
      <c r="I760" s="9">
        <v>1</v>
      </c>
      <c r="J760" s="43">
        <v>2</v>
      </c>
      <c r="K760" s="265">
        <f t="shared" si="11"/>
        <v>0.35859414261160716</v>
      </c>
      <c r="L760" s="164"/>
    </row>
    <row r="761" spans="1:12">
      <c r="A761" s="34" t="str">
        <f>Packaging!U61</f>
        <v>Packaging</v>
      </c>
      <c r="B761" s="40">
        <f>Packaging!V61</f>
        <v>2017</v>
      </c>
      <c r="C761" s="34" t="str">
        <f>Packaging!X61</f>
        <v>PET</v>
      </c>
      <c r="D761" s="812">
        <f>Packaging!Y61</f>
        <v>93.956244003451516</v>
      </c>
      <c r="E761" s="152" t="s">
        <v>117</v>
      </c>
      <c r="F761" s="29">
        <v>1</v>
      </c>
      <c r="G761" s="9">
        <v>1</v>
      </c>
      <c r="H761" s="9">
        <v>2</v>
      </c>
      <c r="I761" s="9">
        <v>1</v>
      </c>
      <c r="J761" s="43">
        <v>2</v>
      </c>
      <c r="K761" s="265">
        <f t="shared" si="11"/>
        <v>0.35859414261160716</v>
      </c>
      <c r="L761" s="164"/>
    </row>
    <row r="762" spans="1:12">
      <c r="A762" s="34" t="s">
        <v>39</v>
      </c>
      <c r="B762" s="40">
        <v>2020</v>
      </c>
      <c r="C762" s="34" t="s">
        <v>88</v>
      </c>
      <c r="D762" s="812">
        <f>Packaging!E22</f>
        <v>20.887643454491393</v>
      </c>
      <c r="E762" s="152" t="s">
        <v>117</v>
      </c>
      <c r="F762" s="29">
        <v>1</v>
      </c>
      <c r="G762" s="9">
        <v>1</v>
      </c>
      <c r="H762" s="9">
        <v>2</v>
      </c>
      <c r="I762" s="9">
        <v>1</v>
      </c>
      <c r="J762" s="43">
        <v>2</v>
      </c>
      <c r="K762" s="265">
        <f t="shared" si="11"/>
        <v>0.35859414261160716</v>
      </c>
      <c r="L762" s="164"/>
    </row>
    <row r="763" spans="1:12">
      <c r="A763" s="34" t="str">
        <f>Packaging!U26</f>
        <v>Packaging</v>
      </c>
      <c r="B763" s="40">
        <f>Packaging!V26</f>
        <v>2021</v>
      </c>
      <c r="C763" s="34" t="str">
        <f>Packaging!X26</f>
        <v>PS</v>
      </c>
      <c r="D763" s="812">
        <f>Packaging!Y26</f>
        <v>20.579531861873875</v>
      </c>
      <c r="E763" s="152" t="s">
        <v>117</v>
      </c>
      <c r="F763" s="29">
        <v>1</v>
      </c>
      <c r="G763" s="9">
        <v>1</v>
      </c>
      <c r="H763" s="9">
        <v>2</v>
      </c>
      <c r="I763" s="9">
        <v>1</v>
      </c>
      <c r="J763" s="43">
        <v>2</v>
      </c>
      <c r="K763" s="265">
        <f t="shared" si="11"/>
        <v>0.35859414261160716</v>
      </c>
      <c r="L763" s="164"/>
    </row>
    <row r="764" spans="1:12">
      <c r="A764" s="34" t="str">
        <f>Packaging!U42</f>
        <v>Packaging</v>
      </c>
      <c r="B764" s="40">
        <f>Packaging!V42</f>
        <v>2019</v>
      </c>
      <c r="C764" s="34" t="str">
        <f>Packaging!X42</f>
        <v>PS</v>
      </c>
      <c r="D764" s="812">
        <f>Packaging!Y42</f>
        <v>19.71884030090072</v>
      </c>
      <c r="E764" s="152" t="s">
        <v>117</v>
      </c>
      <c r="F764" s="29">
        <v>1</v>
      </c>
      <c r="G764" s="9">
        <v>1</v>
      </c>
      <c r="H764" s="9">
        <v>2</v>
      </c>
      <c r="I764" s="9">
        <v>1</v>
      </c>
      <c r="J764" s="43">
        <v>2</v>
      </c>
      <c r="K764" s="265">
        <f t="shared" si="11"/>
        <v>0.35859414261160716</v>
      </c>
      <c r="L764" s="164"/>
    </row>
    <row r="765" spans="1:12">
      <c r="A765" s="34" t="str">
        <f>Packaging!U50</f>
        <v>Packaging</v>
      </c>
      <c r="B765" s="40">
        <f>Packaging!V50</f>
        <v>2018</v>
      </c>
      <c r="C765" s="34" t="str">
        <f>Packaging!X50</f>
        <v>PS</v>
      </c>
      <c r="D765" s="812">
        <f>Packaging!Y50</f>
        <v>19.71884030090072</v>
      </c>
      <c r="E765" s="152" t="s">
        <v>117</v>
      </c>
      <c r="F765" s="29">
        <v>1</v>
      </c>
      <c r="G765" s="9">
        <v>1</v>
      </c>
      <c r="H765" s="9">
        <v>2</v>
      </c>
      <c r="I765" s="9">
        <v>1</v>
      </c>
      <c r="J765" s="43">
        <v>2</v>
      </c>
      <c r="K765" s="265">
        <f t="shared" ref="K765:K828" si="12">IF( OR( ISBLANK(F765),ISBLANK(G765), ISBLANK(H765), ISBLANK(I765), ISBLANK(J765) ), "", 1.5*SQRT(   EXP(2.21*(F765-1)) + EXP(2.21*(G765-1)) + EXP(2.21*(H765-1)) + EXP(2.21*(I765-1)) + EXP(2.21*J765)   )/100*2.45 )</f>
        <v>0.35859414261160716</v>
      </c>
      <c r="L765" s="164"/>
    </row>
    <row r="766" spans="1:12">
      <c r="A766" s="34" t="str">
        <f>Packaging!U58</f>
        <v>Packaging</v>
      </c>
      <c r="B766" s="40">
        <f>Packaging!V58</f>
        <v>2017</v>
      </c>
      <c r="C766" s="34" t="str">
        <f>Packaging!X58</f>
        <v>PS</v>
      </c>
      <c r="D766" s="812">
        <f>Packaging!Y58</f>
        <v>19.304103698013705</v>
      </c>
      <c r="E766" s="152" t="s">
        <v>117</v>
      </c>
      <c r="F766" s="29">
        <v>1</v>
      </c>
      <c r="G766" s="9">
        <v>1</v>
      </c>
      <c r="H766" s="9">
        <v>2</v>
      </c>
      <c r="I766" s="9">
        <v>1</v>
      </c>
      <c r="J766" s="43">
        <v>2</v>
      </c>
      <c r="K766" s="265">
        <f t="shared" si="12"/>
        <v>0.35859414261160716</v>
      </c>
      <c r="L766" s="164"/>
    </row>
    <row r="767" spans="1:12">
      <c r="A767" s="34" t="s">
        <v>39</v>
      </c>
      <c r="B767" s="40">
        <v>2020</v>
      </c>
      <c r="C767" s="34" t="s">
        <v>98</v>
      </c>
      <c r="D767" s="812">
        <f>Packaging!E26</f>
        <v>14.06772703280042</v>
      </c>
      <c r="E767" s="152" t="s">
        <v>117</v>
      </c>
      <c r="F767" s="29">
        <v>1</v>
      </c>
      <c r="G767" s="9">
        <v>1</v>
      </c>
      <c r="H767" s="9">
        <v>2</v>
      </c>
      <c r="I767" s="9">
        <v>1</v>
      </c>
      <c r="J767" s="43">
        <v>2</v>
      </c>
      <c r="K767" s="265">
        <f t="shared" si="12"/>
        <v>0.35859414261160716</v>
      </c>
      <c r="L767" s="164"/>
    </row>
    <row r="768" spans="1:12">
      <c r="A768" s="34" t="str">
        <f>Packaging!U30</f>
        <v>Packaging</v>
      </c>
      <c r="B768" s="40">
        <f>Packaging!V30</f>
        <v>2021</v>
      </c>
      <c r="C768" s="34" t="str">
        <f>Packaging!X30</f>
        <v>OTHER</v>
      </c>
      <c r="D768" s="812">
        <f>Packaging!Y30</f>
        <v>13.860215362562069</v>
      </c>
      <c r="E768" s="152" t="s">
        <v>117</v>
      </c>
      <c r="F768" s="29">
        <v>1</v>
      </c>
      <c r="G768" s="9">
        <v>1</v>
      </c>
      <c r="H768" s="9">
        <v>2</v>
      </c>
      <c r="I768" s="9">
        <v>1</v>
      </c>
      <c r="J768" s="43">
        <v>2</v>
      </c>
      <c r="K768" s="265">
        <f t="shared" si="12"/>
        <v>0.35859414261160716</v>
      </c>
      <c r="L768" s="164"/>
    </row>
    <row r="769" spans="1:12">
      <c r="A769" s="34" t="str">
        <f>Packaging!U46</f>
        <v>Packaging</v>
      </c>
      <c r="B769" s="40">
        <f>Packaging!V46</f>
        <v>2019</v>
      </c>
      <c r="C769" s="34" t="str">
        <f>Packaging!X46</f>
        <v>OTHER</v>
      </c>
      <c r="D769" s="812">
        <f>Packaging!Y46</f>
        <v>13.280543751181623</v>
      </c>
      <c r="E769" s="152" t="s">
        <v>117</v>
      </c>
      <c r="F769" s="29">
        <v>1</v>
      </c>
      <c r="G769" s="9">
        <v>1</v>
      </c>
      <c r="H769" s="9">
        <v>2</v>
      </c>
      <c r="I769" s="9">
        <v>1</v>
      </c>
      <c r="J769" s="43">
        <v>2</v>
      </c>
      <c r="K769" s="265">
        <f t="shared" si="12"/>
        <v>0.35859414261160716</v>
      </c>
      <c r="L769" s="164"/>
    </row>
    <row r="770" spans="1:12">
      <c r="A770" s="34" t="str">
        <f>Packaging!U54</f>
        <v>Packaging</v>
      </c>
      <c r="B770" s="40">
        <f>Packaging!V54</f>
        <v>2018</v>
      </c>
      <c r="C770" s="34" t="str">
        <f>Packaging!X54</f>
        <v>OTHER</v>
      </c>
      <c r="D770" s="812">
        <f>Packaging!Y54</f>
        <v>13.280543751181623</v>
      </c>
      <c r="E770" s="152" t="s">
        <v>117</v>
      </c>
      <c r="F770" s="29">
        <v>1</v>
      </c>
      <c r="G770" s="9">
        <v>1</v>
      </c>
      <c r="H770" s="9">
        <v>2</v>
      </c>
      <c r="I770" s="9">
        <v>1</v>
      </c>
      <c r="J770" s="43">
        <v>2</v>
      </c>
      <c r="K770" s="265">
        <f t="shared" si="12"/>
        <v>0.35859414261160716</v>
      </c>
      <c r="L770" s="164"/>
    </row>
    <row r="771" spans="1:12">
      <c r="A771" s="34" t="str">
        <f>Packaging!U62</f>
        <v>Packaging</v>
      </c>
      <c r="B771" s="40">
        <f>Packaging!V62</f>
        <v>2017</v>
      </c>
      <c r="C771" s="34" t="str">
        <f>Packaging!X62</f>
        <v>OTHER</v>
      </c>
      <c r="D771" s="812">
        <f>Packaging!Y62</f>
        <v>13.001220651252373</v>
      </c>
      <c r="E771" s="152" t="s">
        <v>117</v>
      </c>
      <c r="F771" s="29">
        <v>1</v>
      </c>
      <c r="G771" s="9">
        <v>1</v>
      </c>
      <c r="H771" s="9">
        <v>2</v>
      </c>
      <c r="I771" s="9">
        <v>1</v>
      </c>
      <c r="J771" s="43">
        <v>2</v>
      </c>
      <c r="K771" s="265">
        <f t="shared" si="12"/>
        <v>0.35859414261160716</v>
      </c>
      <c r="L771" s="164"/>
    </row>
    <row r="772" spans="1:12">
      <c r="A772" s="34" t="s">
        <v>39</v>
      </c>
      <c r="B772" s="40">
        <v>2020</v>
      </c>
      <c r="C772" s="34" t="s">
        <v>90</v>
      </c>
      <c r="D772" s="812">
        <f>Packaging!E24</f>
        <v>11.900009692415585</v>
      </c>
      <c r="E772" s="152" t="s">
        <v>117</v>
      </c>
      <c r="F772" s="29">
        <v>1</v>
      </c>
      <c r="G772" s="9">
        <v>1</v>
      </c>
      <c r="H772" s="9">
        <v>2</v>
      </c>
      <c r="I772" s="9">
        <v>1</v>
      </c>
      <c r="J772" s="43">
        <v>2</v>
      </c>
      <c r="K772" s="265">
        <f t="shared" si="12"/>
        <v>0.35859414261160716</v>
      </c>
      <c r="L772" s="164"/>
    </row>
    <row r="773" spans="1:12">
      <c r="A773" s="34" t="str">
        <f>Packaging!U28</f>
        <v>Packaging</v>
      </c>
      <c r="B773" s="40">
        <f>Packaging!V28</f>
        <v>2021</v>
      </c>
      <c r="C773" s="34" t="str">
        <f>Packaging!X28</f>
        <v>PVC</v>
      </c>
      <c r="D773" s="812">
        <f>Packaging!Y28</f>
        <v>11.724473809371505</v>
      </c>
      <c r="E773" s="152" t="s">
        <v>117</v>
      </c>
      <c r="F773" s="29">
        <v>1</v>
      </c>
      <c r="G773" s="9">
        <v>1</v>
      </c>
      <c r="H773" s="9">
        <v>2</v>
      </c>
      <c r="I773" s="9">
        <v>1</v>
      </c>
      <c r="J773" s="43">
        <v>2</v>
      </c>
      <c r="K773" s="265">
        <f t="shared" si="12"/>
        <v>0.35859414261160716</v>
      </c>
      <c r="L773" s="164"/>
    </row>
    <row r="774" spans="1:12">
      <c r="A774" s="34" t="str">
        <f>Packaging!U44</f>
        <v>Packaging</v>
      </c>
      <c r="B774" s="40">
        <f>Packaging!V44</f>
        <v>2019</v>
      </c>
      <c r="C774" s="34" t="str">
        <f>Packaging!X44</f>
        <v>PVC</v>
      </c>
      <c r="D774" s="812">
        <f>Packaging!Y44</f>
        <v>11.234124673525903</v>
      </c>
      <c r="E774" s="152" t="s">
        <v>117</v>
      </c>
      <c r="F774" s="29">
        <v>1</v>
      </c>
      <c r="G774" s="9">
        <v>1</v>
      </c>
      <c r="H774" s="9">
        <v>2</v>
      </c>
      <c r="I774" s="9">
        <v>1</v>
      </c>
      <c r="J774" s="43">
        <v>2</v>
      </c>
      <c r="K774" s="265">
        <f t="shared" si="12"/>
        <v>0.35859414261160716</v>
      </c>
      <c r="L774" s="164"/>
    </row>
    <row r="775" spans="1:12">
      <c r="A775" s="34" t="str">
        <f>Packaging!U52</f>
        <v>Packaging</v>
      </c>
      <c r="B775" s="40">
        <f>Packaging!V52</f>
        <v>2018</v>
      </c>
      <c r="C775" s="34" t="str">
        <f>Packaging!X52</f>
        <v>PVC</v>
      </c>
      <c r="D775" s="812">
        <f>Packaging!Y52</f>
        <v>11.234124673525903</v>
      </c>
      <c r="E775" s="152" t="s">
        <v>117</v>
      </c>
      <c r="F775" s="29">
        <v>1</v>
      </c>
      <c r="G775" s="9">
        <v>1</v>
      </c>
      <c r="H775" s="9">
        <v>2</v>
      </c>
      <c r="I775" s="9">
        <v>1</v>
      </c>
      <c r="J775" s="43">
        <v>2</v>
      </c>
      <c r="K775" s="265">
        <f t="shared" si="12"/>
        <v>0.35859414261160716</v>
      </c>
      <c r="L775" s="164"/>
    </row>
    <row r="776" spans="1:12">
      <c r="A776" s="34" t="str">
        <f>Packaging!U60</f>
        <v>Packaging</v>
      </c>
      <c r="B776" s="40">
        <f>Packaging!V60</f>
        <v>2017</v>
      </c>
      <c r="C776" s="34" t="str">
        <f>Packaging!X60</f>
        <v>PVC</v>
      </c>
      <c r="D776" s="812">
        <f>Packaging!Y60</f>
        <v>10.997842892629565</v>
      </c>
      <c r="E776" s="152" t="s">
        <v>117</v>
      </c>
      <c r="F776" s="29">
        <v>1</v>
      </c>
      <c r="G776" s="9">
        <v>1</v>
      </c>
      <c r="H776" s="9">
        <v>2</v>
      </c>
      <c r="I776" s="9">
        <v>1</v>
      </c>
      <c r="J776" s="43">
        <v>2</v>
      </c>
      <c r="K776" s="265">
        <f t="shared" si="12"/>
        <v>0.35859414261160716</v>
      </c>
      <c r="L776" s="164"/>
    </row>
    <row r="777" spans="1:12">
      <c r="A777" s="34" t="s">
        <v>39</v>
      </c>
      <c r="B777" s="40">
        <v>2020</v>
      </c>
      <c r="C777" s="34" t="s">
        <v>89</v>
      </c>
      <c r="D777" s="812">
        <f>Packaging!E23</f>
        <v>7.4683391591176429</v>
      </c>
      <c r="E777" s="152" t="s">
        <v>117</v>
      </c>
      <c r="F777" s="29">
        <v>1</v>
      </c>
      <c r="G777" s="9">
        <v>1</v>
      </c>
      <c r="H777" s="9">
        <v>2</v>
      </c>
      <c r="I777" s="9">
        <v>1</v>
      </c>
      <c r="J777" s="43">
        <v>2</v>
      </c>
      <c r="K777" s="265">
        <f t="shared" si="12"/>
        <v>0.35859414261160716</v>
      </c>
      <c r="L777" s="164"/>
    </row>
    <row r="778" spans="1:12">
      <c r="A778" s="34" t="str">
        <f>Packaging!U27</f>
        <v>Packaging</v>
      </c>
      <c r="B778" s="40">
        <f>Packaging!V27</f>
        <v>2021</v>
      </c>
      <c r="C778" s="34" t="str">
        <f>Packaging!X27</f>
        <v>EPS</v>
      </c>
      <c r="D778" s="812">
        <f>Packaging!Y27</f>
        <v>7.3581744161423543</v>
      </c>
      <c r="E778" s="152" t="s">
        <v>117</v>
      </c>
      <c r="F778" s="29">
        <v>1</v>
      </c>
      <c r="G778" s="9">
        <v>1</v>
      </c>
      <c r="H778" s="9">
        <v>2</v>
      </c>
      <c r="I778" s="9">
        <v>1</v>
      </c>
      <c r="J778" s="43">
        <v>2</v>
      </c>
      <c r="K778" s="265">
        <f t="shared" si="12"/>
        <v>0.35859414261160716</v>
      </c>
      <c r="L778" s="164"/>
    </row>
    <row r="779" spans="1:12">
      <c r="A779" s="34" t="str">
        <f>Packaging!U43</f>
        <v>Packaging</v>
      </c>
      <c r="B779" s="40">
        <f>Packaging!V43</f>
        <v>2019</v>
      </c>
      <c r="C779" s="34" t="str">
        <f>Packaging!X43</f>
        <v>EPS</v>
      </c>
      <c r="D779" s="812">
        <f>Packaging!Y43</f>
        <v>7.0504357043655723</v>
      </c>
      <c r="E779" s="152" t="s">
        <v>117</v>
      </c>
      <c r="F779" s="29">
        <v>1</v>
      </c>
      <c r="G779" s="9">
        <v>1</v>
      </c>
      <c r="H779" s="9">
        <v>2</v>
      </c>
      <c r="I779" s="9">
        <v>1</v>
      </c>
      <c r="J779" s="43">
        <v>2</v>
      </c>
      <c r="K779" s="265">
        <f t="shared" si="12"/>
        <v>0.35859414261160716</v>
      </c>
      <c r="L779" s="164"/>
    </row>
    <row r="780" spans="1:12">
      <c r="A780" s="34" t="str">
        <f>Packaging!U51</f>
        <v>Packaging</v>
      </c>
      <c r="B780" s="40">
        <f>Packaging!V51</f>
        <v>2018</v>
      </c>
      <c r="C780" s="34" t="str">
        <f>Packaging!X51</f>
        <v>EPS</v>
      </c>
      <c r="D780" s="812">
        <f>Packaging!Y51</f>
        <v>7.0504357043655723</v>
      </c>
      <c r="E780" s="152" t="s">
        <v>117</v>
      </c>
      <c r="F780" s="29">
        <v>1</v>
      </c>
      <c r="G780" s="9">
        <v>1</v>
      </c>
      <c r="H780" s="9">
        <v>2</v>
      </c>
      <c r="I780" s="9">
        <v>1</v>
      </c>
      <c r="J780" s="43">
        <v>2</v>
      </c>
      <c r="K780" s="265">
        <f t="shared" si="12"/>
        <v>0.35859414261160716</v>
      </c>
      <c r="L780" s="164"/>
    </row>
    <row r="781" spans="1:12" ht="15.75" thickBot="1">
      <c r="A781" s="150" t="str">
        <f>Packaging!U59</f>
        <v>Packaging</v>
      </c>
      <c r="B781" s="154">
        <f>Packaging!V59</f>
        <v>2017</v>
      </c>
      <c r="C781" s="150" t="str">
        <f>Packaging!X59</f>
        <v>EPS</v>
      </c>
      <c r="D781" s="817">
        <f>Packaging!Y59</f>
        <v>6.9021473817116119</v>
      </c>
      <c r="E781" s="230" t="s">
        <v>117</v>
      </c>
      <c r="F781" s="155">
        <v>1</v>
      </c>
      <c r="G781" s="119">
        <v>1</v>
      </c>
      <c r="H781" s="119">
        <v>2</v>
      </c>
      <c r="I781" s="119">
        <v>1</v>
      </c>
      <c r="J781" s="156">
        <v>2</v>
      </c>
      <c r="K781" s="293">
        <f t="shared" si="12"/>
        <v>0.35859414261160716</v>
      </c>
      <c r="L781" s="818"/>
    </row>
    <row r="782" spans="1:12">
      <c r="A782" s="440" t="s">
        <v>118</v>
      </c>
      <c r="B782" s="39">
        <v>2015</v>
      </c>
      <c r="C782" s="33" t="s">
        <v>99</v>
      </c>
      <c r="D782" s="811">
        <v>66.732831428571416</v>
      </c>
      <c r="E782" s="151" t="s">
        <v>119</v>
      </c>
      <c r="F782" s="28">
        <v>1</v>
      </c>
      <c r="G782" s="11">
        <v>1</v>
      </c>
      <c r="H782" s="11">
        <v>3</v>
      </c>
      <c r="I782" s="11">
        <v>1</v>
      </c>
      <c r="J782" s="42">
        <v>2</v>
      </c>
      <c r="K782" s="264">
        <f t="shared" si="12"/>
        <v>0.47802211380704585</v>
      </c>
      <c r="L782" s="819" t="s">
        <v>120</v>
      </c>
    </row>
    <row r="783" spans="1:12">
      <c r="A783" s="370" t="s">
        <v>118</v>
      </c>
      <c r="B783" s="40">
        <v>2020</v>
      </c>
      <c r="C783" s="34" t="s">
        <v>99</v>
      </c>
      <c r="D783" s="812">
        <v>54.081600000000002</v>
      </c>
      <c r="E783" s="152" t="s">
        <v>119</v>
      </c>
      <c r="F783" s="29">
        <v>1</v>
      </c>
      <c r="G783" s="9">
        <v>1</v>
      </c>
      <c r="H783" s="9">
        <v>3</v>
      </c>
      <c r="I783" s="9">
        <v>1</v>
      </c>
      <c r="J783" s="43">
        <v>2</v>
      </c>
      <c r="K783" s="265">
        <f t="shared" si="12"/>
        <v>0.47802211380704585</v>
      </c>
      <c r="L783" s="319" t="s">
        <v>120</v>
      </c>
    </row>
    <row r="784" spans="1:12">
      <c r="A784" s="370" t="s">
        <v>118</v>
      </c>
      <c r="B784" s="40">
        <v>2016</v>
      </c>
      <c r="C784" s="34" t="s">
        <v>99</v>
      </c>
      <c r="D784" s="812">
        <v>53.115857142857152</v>
      </c>
      <c r="E784" s="152" t="s">
        <v>119</v>
      </c>
      <c r="F784" s="29">
        <v>1</v>
      </c>
      <c r="G784" s="9">
        <v>1</v>
      </c>
      <c r="H784" s="9">
        <v>3</v>
      </c>
      <c r="I784" s="9">
        <v>1</v>
      </c>
      <c r="J784" s="43">
        <v>2</v>
      </c>
      <c r="K784" s="265">
        <f t="shared" si="12"/>
        <v>0.47802211380704585</v>
      </c>
      <c r="L784" s="319" t="s">
        <v>120</v>
      </c>
    </row>
    <row r="785" spans="1:12">
      <c r="A785" s="370" t="s">
        <v>118</v>
      </c>
      <c r="B785" s="40">
        <v>2021</v>
      </c>
      <c r="C785" s="34" t="s">
        <v>99</v>
      </c>
      <c r="D785" s="812">
        <v>52.874421428571424</v>
      </c>
      <c r="E785" s="152" t="s">
        <v>119</v>
      </c>
      <c r="F785" s="29">
        <v>1</v>
      </c>
      <c r="G785" s="9">
        <v>1</v>
      </c>
      <c r="H785" s="9">
        <v>3</v>
      </c>
      <c r="I785" s="9">
        <v>1</v>
      </c>
      <c r="J785" s="43">
        <v>2</v>
      </c>
      <c r="K785" s="265">
        <f t="shared" si="12"/>
        <v>0.47802211380704585</v>
      </c>
      <c r="L785" s="319" t="s">
        <v>120</v>
      </c>
    </row>
    <row r="786" spans="1:12">
      <c r="A786" s="370" t="s">
        <v>118</v>
      </c>
      <c r="B786" s="40">
        <v>2017</v>
      </c>
      <c r="C786" s="34" t="s">
        <v>99</v>
      </c>
      <c r="D786" s="812">
        <v>52.681272857142851</v>
      </c>
      <c r="E786" s="152" t="s">
        <v>119</v>
      </c>
      <c r="F786" s="29">
        <v>1</v>
      </c>
      <c r="G786" s="9">
        <v>1</v>
      </c>
      <c r="H786" s="9">
        <v>3</v>
      </c>
      <c r="I786" s="9">
        <v>1</v>
      </c>
      <c r="J786" s="43">
        <v>2</v>
      </c>
      <c r="K786" s="265">
        <f t="shared" si="12"/>
        <v>0.47802211380704585</v>
      </c>
      <c r="L786" s="319" t="s">
        <v>120</v>
      </c>
    </row>
    <row r="787" spans="1:12">
      <c r="A787" s="370" t="s">
        <v>118</v>
      </c>
      <c r="B787" s="40">
        <v>2018</v>
      </c>
      <c r="C787" s="34" t="s">
        <v>99</v>
      </c>
      <c r="D787" s="812">
        <v>52.246688571428557</v>
      </c>
      <c r="E787" s="152" t="s">
        <v>119</v>
      </c>
      <c r="F787" s="29">
        <v>1</v>
      </c>
      <c r="G787" s="9">
        <v>1</v>
      </c>
      <c r="H787" s="9">
        <v>3</v>
      </c>
      <c r="I787" s="9">
        <v>1</v>
      </c>
      <c r="J787" s="43">
        <v>2</v>
      </c>
      <c r="K787" s="265">
        <f t="shared" si="12"/>
        <v>0.47802211380704585</v>
      </c>
      <c r="L787" s="319" t="s">
        <v>120</v>
      </c>
    </row>
    <row r="788" spans="1:12">
      <c r="A788" s="370" t="s">
        <v>118</v>
      </c>
      <c r="B788" s="40">
        <v>2019</v>
      </c>
      <c r="C788" s="34" t="s">
        <v>99</v>
      </c>
      <c r="D788" s="812">
        <v>51.232658571428573</v>
      </c>
      <c r="E788" s="152" t="s">
        <v>119</v>
      </c>
      <c r="F788" s="29">
        <v>1</v>
      </c>
      <c r="G788" s="9">
        <v>1</v>
      </c>
      <c r="H788" s="9">
        <v>3</v>
      </c>
      <c r="I788" s="9">
        <v>1</v>
      </c>
      <c r="J788" s="43">
        <v>2</v>
      </c>
      <c r="K788" s="265">
        <f t="shared" si="12"/>
        <v>0.47802211380704585</v>
      </c>
      <c r="L788" s="319" t="s">
        <v>120</v>
      </c>
    </row>
    <row r="789" spans="1:12" ht="15.75" thickBot="1">
      <c r="A789" s="441" t="s">
        <v>118</v>
      </c>
      <c r="B789" s="41">
        <v>2022</v>
      </c>
      <c r="C789" s="35" t="s">
        <v>99</v>
      </c>
      <c r="D789" s="815">
        <v>47.417974285714294</v>
      </c>
      <c r="E789" s="153" t="s">
        <v>119</v>
      </c>
      <c r="F789" s="30">
        <v>1</v>
      </c>
      <c r="G789" s="12">
        <v>1</v>
      </c>
      <c r="H789" s="12">
        <v>3</v>
      </c>
      <c r="I789" s="12">
        <v>1</v>
      </c>
      <c r="J789" s="44">
        <v>2</v>
      </c>
      <c r="K789" s="266">
        <f t="shared" si="12"/>
        <v>0.47802211380704585</v>
      </c>
      <c r="L789" s="820" t="s">
        <v>120</v>
      </c>
    </row>
    <row r="790" spans="1:12">
      <c r="A790" s="60" t="s">
        <v>121</v>
      </c>
      <c r="B790" s="162">
        <v>2017</v>
      </c>
      <c r="C790" s="60" t="s">
        <v>95</v>
      </c>
      <c r="D790" s="814">
        <v>115.88066666666667</v>
      </c>
      <c r="E790" s="233" t="s">
        <v>122</v>
      </c>
      <c r="F790" s="676">
        <v>1</v>
      </c>
      <c r="G790" s="118">
        <v>1</v>
      </c>
      <c r="H790" s="118">
        <v>2</v>
      </c>
      <c r="I790" s="118">
        <v>3</v>
      </c>
      <c r="J790" s="677">
        <v>2</v>
      </c>
      <c r="K790" s="588">
        <f t="shared" si="12"/>
        <v>0.48935255543384243</v>
      </c>
      <c r="L790" s="669"/>
    </row>
    <row r="791" spans="1:12">
      <c r="A791" s="34" t="s">
        <v>121</v>
      </c>
      <c r="B791" s="40">
        <v>2017</v>
      </c>
      <c r="C791" s="34" t="s">
        <v>87</v>
      </c>
      <c r="D791" s="812">
        <v>93.731666666666669</v>
      </c>
      <c r="E791" s="152" t="s">
        <v>122</v>
      </c>
      <c r="F791" s="29">
        <v>1</v>
      </c>
      <c r="G791" s="9">
        <v>1</v>
      </c>
      <c r="H791" s="9">
        <v>2</v>
      </c>
      <c r="I791" s="9">
        <v>3</v>
      </c>
      <c r="J791" s="43">
        <v>2</v>
      </c>
      <c r="K791" s="265">
        <f t="shared" si="12"/>
        <v>0.48935255543384243</v>
      </c>
      <c r="L791" s="164"/>
    </row>
    <row r="792" spans="1:12">
      <c r="A792" s="34" t="s">
        <v>121</v>
      </c>
      <c r="B792" s="40">
        <v>2017</v>
      </c>
      <c r="C792" s="34" t="s">
        <v>91</v>
      </c>
      <c r="D792" s="812">
        <v>89.234166666666653</v>
      </c>
      <c r="E792" s="152" t="s">
        <v>122</v>
      </c>
      <c r="F792" s="29">
        <v>1</v>
      </c>
      <c r="G792" s="9">
        <v>1</v>
      </c>
      <c r="H792" s="9">
        <v>2</v>
      </c>
      <c r="I792" s="9">
        <v>3</v>
      </c>
      <c r="J792" s="43">
        <v>2</v>
      </c>
      <c r="K792" s="265">
        <f t="shared" si="12"/>
        <v>0.48935255543384243</v>
      </c>
      <c r="L792" s="164"/>
    </row>
    <row r="793" spans="1:12">
      <c r="A793" s="34" t="s">
        <v>121</v>
      </c>
      <c r="B793" s="40">
        <v>2017</v>
      </c>
      <c r="C793" s="34" t="s">
        <v>99</v>
      </c>
      <c r="D793" s="812">
        <v>19.665500000000002</v>
      </c>
      <c r="E793" s="152" t="s">
        <v>122</v>
      </c>
      <c r="F793" s="29">
        <v>1</v>
      </c>
      <c r="G793" s="9">
        <v>1</v>
      </c>
      <c r="H793" s="9">
        <v>2</v>
      </c>
      <c r="I793" s="9">
        <v>3</v>
      </c>
      <c r="J793" s="43">
        <v>2</v>
      </c>
      <c r="K793" s="265">
        <f t="shared" si="12"/>
        <v>0.48935255543384243</v>
      </c>
      <c r="L793" s="164"/>
    </row>
    <row r="794" spans="1:12">
      <c r="A794" s="34" t="s">
        <v>121</v>
      </c>
      <c r="B794" s="40">
        <v>2017</v>
      </c>
      <c r="C794" s="34" t="s">
        <v>90</v>
      </c>
      <c r="D794" s="812">
        <v>10.18</v>
      </c>
      <c r="E794" s="152" t="s">
        <v>122</v>
      </c>
      <c r="F794" s="29">
        <v>1</v>
      </c>
      <c r="G794" s="9">
        <v>1</v>
      </c>
      <c r="H794" s="9">
        <v>2</v>
      </c>
      <c r="I794" s="9">
        <v>3</v>
      </c>
      <c r="J794" s="43">
        <v>2</v>
      </c>
      <c r="K794" s="265">
        <f t="shared" si="12"/>
        <v>0.48935255543384243</v>
      </c>
      <c r="L794" s="164"/>
    </row>
    <row r="795" spans="1:12" ht="15.75" thickBot="1">
      <c r="A795" s="150" t="s">
        <v>121</v>
      </c>
      <c r="B795" s="154">
        <v>2017</v>
      </c>
      <c r="C795" s="150" t="s">
        <v>86</v>
      </c>
      <c r="D795" s="817">
        <v>0.22800000000000001</v>
      </c>
      <c r="E795" s="230" t="s">
        <v>122</v>
      </c>
      <c r="F795" s="155">
        <v>1</v>
      </c>
      <c r="G795" s="119">
        <v>1</v>
      </c>
      <c r="H795" s="119">
        <v>2</v>
      </c>
      <c r="I795" s="119">
        <v>3</v>
      </c>
      <c r="J795" s="156">
        <v>2</v>
      </c>
      <c r="K795" s="293">
        <f t="shared" si="12"/>
        <v>0.48935255543384243</v>
      </c>
      <c r="L795" s="818"/>
    </row>
    <row r="796" spans="1:12">
      <c r="A796" s="33" t="str">
        <f>'Tyre wear'!B15</f>
        <v>Tyre wear</v>
      </c>
      <c r="B796" s="39">
        <f>'Tyre wear'!C15</f>
        <v>1990</v>
      </c>
      <c r="C796" s="33" t="str">
        <f>'Tyre wear'!D15</f>
        <v>RUBBER</v>
      </c>
      <c r="D796" s="811">
        <f>'Tyre wear'!E15</f>
        <v>9.7959110544217687</v>
      </c>
      <c r="E796" s="151" t="str">
        <f>'Tyre wear'!F15</f>
        <v>LOW - Own calculation based on RWS, 2022. Bandenslijtage wegverkeer (No. Versie juli 2022), Emissieschattingen Diffuse bronnen Emissieregistratie.</v>
      </c>
      <c r="F796" s="28">
        <f>'Tyre wear'!G15</f>
        <v>1</v>
      </c>
      <c r="G796" s="11">
        <f>'Tyre wear'!H15</f>
        <v>1</v>
      </c>
      <c r="H796" s="11">
        <f>'Tyre wear'!I15</f>
        <v>1</v>
      </c>
      <c r="I796" s="11">
        <f>'Tyre wear'!J15</f>
        <v>1</v>
      </c>
      <c r="J796" s="42">
        <f>'Tyre wear'!K15</f>
        <v>1</v>
      </c>
      <c r="K796" s="293">
        <f t="shared" si="12"/>
        <v>0.13309242924026707</v>
      </c>
      <c r="L796" s="163"/>
    </row>
    <row r="797" spans="1:12">
      <c r="A797" s="34" t="str">
        <f>'Tyre wear'!B16</f>
        <v>Tyre wear</v>
      </c>
      <c r="B797" s="40">
        <f>'Tyre wear'!C16</f>
        <v>1995</v>
      </c>
      <c r="C797" s="34" t="str">
        <f>'Tyre wear'!D16</f>
        <v>RUBBER</v>
      </c>
      <c r="D797" s="812">
        <f>'Tyre wear'!E16</f>
        <v>10.531216071428499</v>
      </c>
      <c r="E797" s="152" t="str">
        <f>'Tyre wear'!F16</f>
        <v>LOW - Own calculation based on RWS, 2022. Bandenslijtage wegverkeer (No. Versie juli 2022), Emissieschattingen Diffuse bronnen Emissieregistratie.</v>
      </c>
      <c r="F797" s="29">
        <f>'Tyre wear'!G16</f>
        <v>1</v>
      </c>
      <c r="G797" s="9">
        <f>'Tyre wear'!H16</f>
        <v>1</v>
      </c>
      <c r="H797" s="9">
        <f>'Tyre wear'!I16</f>
        <v>1</v>
      </c>
      <c r="I797" s="9">
        <f>'Tyre wear'!J16</f>
        <v>1</v>
      </c>
      <c r="J797" s="43">
        <f>'Tyre wear'!K16</f>
        <v>1</v>
      </c>
      <c r="K797" s="293">
        <f t="shared" si="12"/>
        <v>0.13309242924026707</v>
      </c>
      <c r="L797" s="164"/>
    </row>
    <row r="798" spans="1:12">
      <c r="A798" s="34" t="str">
        <f>'Tyre wear'!B17</f>
        <v>Tyre wear</v>
      </c>
      <c r="B798" s="40">
        <f>'Tyre wear'!C17</f>
        <v>2000</v>
      </c>
      <c r="C798" s="34" t="str">
        <f>'Tyre wear'!D17</f>
        <v>RUBBER</v>
      </c>
      <c r="D798" s="812">
        <f>'Tyre wear'!E17</f>
        <v>11.700245306122401</v>
      </c>
      <c r="E798" s="152" t="str">
        <f>'Tyre wear'!F17</f>
        <v>LOW - Own calculation based on RWS, 2022. Bandenslijtage wegverkeer (No. Versie juli 2022), Emissieschattingen Diffuse bronnen Emissieregistratie.</v>
      </c>
      <c r="F798" s="29">
        <f>'Tyre wear'!G17</f>
        <v>1</v>
      </c>
      <c r="G798" s="9">
        <f>'Tyre wear'!H17</f>
        <v>1</v>
      </c>
      <c r="H798" s="9">
        <f>'Tyre wear'!I17</f>
        <v>1</v>
      </c>
      <c r="I798" s="9">
        <f>'Tyre wear'!J17</f>
        <v>1</v>
      </c>
      <c r="J798" s="43">
        <f>'Tyre wear'!K17</f>
        <v>1</v>
      </c>
      <c r="K798" s="293">
        <f t="shared" si="12"/>
        <v>0.13309242924026707</v>
      </c>
      <c r="L798" s="164"/>
    </row>
    <row r="799" spans="1:12">
      <c r="A799" s="34" t="str">
        <f>'Tyre wear'!B18</f>
        <v>Tyre wear</v>
      </c>
      <c r="B799" s="40">
        <f>'Tyre wear'!C18</f>
        <v>2005</v>
      </c>
      <c r="C799" s="34" t="str">
        <f>'Tyre wear'!D18</f>
        <v>RUBBER</v>
      </c>
      <c r="D799" s="812">
        <f>'Tyre wear'!E18</f>
        <v>12.3959197789115</v>
      </c>
      <c r="E799" s="152" t="str">
        <f>'Tyre wear'!F18</f>
        <v>LOW - Own calculation based on RWS, 2022. Bandenslijtage wegverkeer (No. Versie juli 2022), Emissieschattingen Diffuse bronnen Emissieregistratie.</v>
      </c>
      <c r="F799" s="29">
        <f>'Tyre wear'!G18</f>
        <v>1</v>
      </c>
      <c r="G799" s="9">
        <f>'Tyre wear'!H18</f>
        <v>1</v>
      </c>
      <c r="H799" s="9">
        <f>'Tyre wear'!I18</f>
        <v>1</v>
      </c>
      <c r="I799" s="9">
        <f>'Tyre wear'!J18</f>
        <v>1</v>
      </c>
      <c r="J799" s="43">
        <f>'Tyre wear'!K18</f>
        <v>1</v>
      </c>
      <c r="K799" s="293">
        <f t="shared" si="12"/>
        <v>0.13309242924026707</v>
      </c>
      <c r="L799" s="164"/>
    </row>
    <row r="800" spans="1:12">
      <c r="A800" s="34" t="str">
        <f>'Tyre wear'!B19</f>
        <v>Tyre wear</v>
      </c>
      <c r="B800" s="40">
        <f>'Tyre wear'!C19</f>
        <v>2010</v>
      </c>
      <c r="C800" s="34" t="str">
        <f>'Tyre wear'!D19</f>
        <v>RUBBER</v>
      </c>
      <c r="D800" s="812">
        <f>'Tyre wear'!E19</f>
        <v>12.5812969557823</v>
      </c>
      <c r="E800" s="152" t="str">
        <f>'Tyre wear'!F19</f>
        <v>LOW - Own calculation based on RWS, 2022. Bandenslijtage wegverkeer (No. Versie juli 2022), Emissieschattingen Diffuse bronnen Emissieregistratie.</v>
      </c>
      <c r="F800" s="29">
        <f>'Tyre wear'!G19</f>
        <v>1</v>
      </c>
      <c r="G800" s="9">
        <f>'Tyre wear'!H19</f>
        <v>1</v>
      </c>
      <c r="H800" s="9">
        <f>'Tyre wear'!I19</f>
        <v>1</v>
      </c>
      <c r="I800" s="9">
        <f>'Tyre wear'!J19</f>
        <v>1</v>
      </c>
      <c r="J800" s="43">
        <f>'Tyre wear'!K19</f>
        <v>1</v>
      </c>
      <c r="K800" s="293">
        <f t="shared" si="12"/>
        <v>0.13309242924026707</v>
      </c>
      <c r="L800" s="164"/>
    </row>
    <row r="801" spans="1:12">
      <c r="A801" s="34" t="str">
        <f>'Tyre wear'!B20</f>
        <v>Tyre wear</v>
      </c>
      <c r="B801" s="40">
        <f>'Tyre wear'!C20</f>
        <v>2015</v>
      </c>
      <c r="C801" s="34" t="str">
        <f>'Tyre wear'!D20</f>
        <v>RUBBER</v>
      </c>
      <c r="D801" s="812">
        <f>'Tyre wear'!E20</f>
        <v>12.711999795918301</v>
      </c>
      <c r="E801" s="152" t="str">
        <f>'Tyre wear'!F20</f>
        <v>LOW - Own calculation based on RWS, 2022. Bandenslijtage wegverkeer (No. Versie juli 2022), Emissieschattingen Diffuse bronnen Emissieregistratie.</v>
      </c>
      <c r="F801" s="29">
        <f>'Tyre wear'!G20</f>
        <v>1</v>
      </c>
      <c r="G801" s="9">
        <f>'Tyre wear'!H20</f>
        <v>1</v>
      </c>
      <c r="H801" s="9">
        <f>'Tyre wear'!I20</f>
        <v>1</v>
      </c>
      <c r="I801" s="9">
        <f>'Tyre wear'!J20</f>
        <v>1</v>
      </c>
      <c r="J801" s="43">
        <f>'Tyre wear'!K20</f>
        <v>1</v>
      </c>
      <c r="K801" s="293">
        <f t="shared" si="12"/>
        <v>0.13309242924026707</v>
      </c>
      <c r="L801" s="164"/>
    </row>
    <row r="802" spans="1:12">
      <c r="A802" s="34" t="str">
        <f>'Tyre wear'!B21</f>
        <v>Tyre wear</v>
      </c>
      <c r="B802" s="40">
        <f>'Tyre wear'!C21</f>
        <v>2019</v>
      </c>
      <c r="C802" s="34" t="str">
        <f>'Tyre wear'!D21</f>
        <v>RUBBER</v>
      </c>
      <c r="D802" s="812">
        <f>'Tyre wear'!E21</f>
        <v>13.4844244557823</v>
      </c>
      <c r="E802" s="152" t="str">
        <f>'Tyre wear'!F21</f>
        <v>LOW - Own calculation based on RWS, 2022. Bandenslijtage wegverkeer (No. Versie juli 2022), Emissieschattingen Diffuse bronnen Emissieregistratie.</v>
      </c>
      <c r="F802" s="29">
        <f>'Tyre wear'!G21</f>
        <v>1</v>
      </c>
      <c r="G802" s="9">
        <f>'Tyre wear'!H21</f>
        <v>1</v>
      </c>
      <c r="H802" s="9">
        <f>'Tyre wear'!I21</f>
        <v>1</v>
      </c>
      <c r="I802" s="9">
        <f>'Tyre wear'!J21</f>
        <v>1</v>
      </c>
      <c r="J802" s="43">
        <f>'Tyre wear'!K21</f>
        <v>1</v>
      </c>
      <c r="K802" s="293">
        <f t="shared" si="12"/>
        <v>0.13309242924026707</v>
      </c>
      <c r="L802" s="164"/>
    </row>
    <row r="803" spans="1:12">
      <c r="A803" s="34" t="str">
        <f>'Tyre wear'!B22</f>
        <v>Tyre wear</v>
      </c>
      <c r="B803" s="40">
        <f>'Tyre wear'!C22</f>
        <v>2020</v>
      </c>
      <c r="C803" s="34" t="str">
        <f>'Tyre wear'!D22</f>
        <v>RUBBER</v>
      </c>
      <c r="D803" s="812">
        <f>'Tyre wear'!E22</f>
        <v>11.683736828009399</v>
      </c>
      <c r="E803" s="152" t="str">
        <f>'Tyre wear'!F22</f>
        <v>LOW - Own calculation based on RWS, 2022. Bandenslijtage wegverkeer (No. Versie juli 2022), Emissieschattingen Diffuse bronnen Emissieregistratie.</v>
      </c>
      <c r="F803" s="29">
        <f>'Tyre wear'!G22</f>
        <v>1</v>
      </c>
      <c r="G803" s="9">
        <f>'Tyre wear'!H22</f>
        <v>1</v>
      </c>
      <c r="H803" s="9">
        <f>'Tyre wear'!I22</f>
        <v>1</v>
      </c>
      <c r="I803" s="9">
        <f>'Tyre wear'!J22</f>
        <v>1</v>
      </c>
      <c r="J803" s="43">
        <f>'Tyre wear'!K22</f>
        <v>1</v>
      </c>
      <c r="K803" s="293">
        <f t="shared" si="12"/>
        <v>0.13309242924026707</v>
      </c>
      <c r="L803" s="164"/>
    </row>
    <row r="804" spans="1:12">
      <c r="A804" s="34" t="str">
        <f>'Tyre wear'!B24</f>
        <v>Tyre wear</v>
      </c>
      <c r="B804" s="40">
        <f>'Tyre wear'!C24</f>
        <v>1990</v>
      </c>
      <c r="C804" s="34" t="str">
        <f>'Tyre wear'!D24</f>
        <v>RUBBER</v>
      </c>
      <c r="D804" s="812">
        <f>'Tyre wear'!E24</f>
        <v>18.038811819727801</v>
      </c>
      <c r="E804" s="152" t="str">
        <f>'Tyre wear'!F24</f>
        <v>HIGH - Own calculation based on RWS, 2022. Bandenslijtage wegverkeer (No. Versie juli 2022), Emissieschattingen Diffuse bronnen Emissieregistratie.</v>
      </c>
      <c r="F804" s="29">
        <f>'Tyre wear'!G24</f>
        <v>1</v>
      </c>
      <c r="G804" s="9">
        <f>'Tyre wear'!H24</f>
        <v>1</v>
      </c>
      <c r="H804" s="9">
        <f>'Tyre wear'!I24</f>
        <v>1</v>
      </c>
      <c r="I804" s="9">
        <f>'Tyre wear'!J24</f>
        <v>1</v>
      </c>
      <c r="J804" s="43">
        <f>'Tyre wear'!K24</f>
        <v>1</v>
      </c>
      <c r="K804" s="293">
        <f t="shared" si="12"/>
        <v>0.13309242924026707</v>
      </c>
      <c r="L804" s="164"/>
    </row>
    <row r="805" spans="1:12">
      <c r="A805" s="34" t="str">
        <f>'Tyre wear'!B25</f>
        <v>Tyre wear</v>
      </c>
      <c r="B805" s="40">
        <f>'Tyre wear'!C25</f>
        <v>1995</v>
      </c>
      <c r="C805" s="34" t="str">
        <f>'Tyre wear'!D25</f>
        <v>RUBBER</v>
      </c>
      <c r="D805" s="812">
        <f>'Tyre wear'!E25</f>
        <v>19.392849107142801</v>
      </c>
      <c r="E805" s="152" t="str">
        <f>'Tyre wear'!F25</f>
        <v>HIGH - Own calculation based on RWS, 2022. Bandenslijtage wegverkeer (No. Versie juli 2022), Emissieschattingen Diffuse bronnen Emissieregistratie.</v>
      </c>
      <c r="F805" s="29">
        <f>'Tyre wear'!G25</f>
        <v>1</v>
      </c>
      <c r="G805" s="9">
        <f>'Tyre wear'!H25</f>
        <v>1</v>
      </c>
      <c r="H805" s="9">
        <f>'Tyre wear'!I25</f>
        <v>1</v>
      </c>
      <c r="I805" s="9">
        <f>'Tyre wear'!J25</f>
        <v>1</v>
      </c>
      <c r="J805" s="43">
        <f>'Tyre wear'!K25</f>
        <v>1</v>
      </c>
      <c r="K805" s="293">
        <f t="shared" si="12"/>
        <v>0.13309242924026707</v>
      </c>
      <c r="L805" s="164"/>
    </row>
    <row r="806" spans="1:12">
      <c r="A806" s="34" t="str">
        <f>'Tyre wear'!B26</f>
        <v>Tyre wear</v>
      </c>
      <c r="B806" s="40">
        <f>'Tyre wear'!C26</f>
        <v>2000</v>
      </c>
      <c r="C806" s="34" t="str">
        <f>'Tyre wear'!D26</f>
        <v>RUBBER</v>
      </c>
      <c r="D806" s="812">
        <f>'Tyre wear'!E26</f>
        <v>21.545573673469299</v>
      </c>
      <c r="E806" s="152" t="str">
        <f>'Tyre wear'!F26</f>
        <v>HIGH - Own calculation based on RWS, 2022. Bandenslijtage wegverkeer (No. Versie juli 2022), Emissieschattingen Diffuse bronnen Emissieregistratie.</v>
      </c>
      <c r="F806" s="29">
        <f>'Tyre wear'!G26</f>
        <v>1</v>
      </c>
      <c r="G806" s="9">
        <f>'Tyre wear'!H26</f>
        <v>1</v>
      </c>
      <c r="H806" s="9">
        <f>'Tyre wear'!I26</f>
        <v>1</v>
      </c>
      <c r="I806" s="9">
        <f>'Tyre wear'!J26</f>
        <v>1</v>
      </c>
      <c r="J806" s="43">
        <f>'Tyre wear'!K26</f>
        <v>1</v>
      </c>
      <c r="K806" s="293">
        <f t="shared" si="12"/>
        <v>0.13309242924026707</v>
      </c>
      <c r="L806" s="164"/>
    </row>
    <row r="807" spans="1:12">
      <c r="A807" s="34" t="str">
        <f>'Tyre wear'!B27</f>
        <v>Tyre wear</v>
      </c>
      <c r="B807" s="40">
        <f>'Tyre wear'!C27</f>
        <v>2005</v>
      </c>
      <c r="C807" s="34" t="str">
        <f>'Tyre wear'!D27</f>
        <v>RUBBER</v>
      </c>
      <c r="D807" s="812">
        <f>'Tyre wear'!E27</f>
        <v>22.826632763605399</v>
      </c>
      <c r="E807" s="152" t="str">
        <f>'Tyre wear'!F27</f>
        <v>HIGH - Own calculation based on RWS, 2022. Bandenslijtage wegverkeer (No. Versie juli 2022), Emissieschattingen Diffuse bronnen Emissieregistratie.</v>
      </c>
      <c r="F807" s="29">
        <f>'Tyre wear'!G27</f>
        <v>1</v>
      </c>
      <c r="G807" s="9">
        <f>'Tyre wear'!H27</f>
        <v>1</v>
      </c>
      <c r="H807" s="9">
        <f>'Tyre wear'!I27</f>
        <v>1</v>
      </c>
      <c r="I807" s="9">
        <f>'Tyre wear'!J27</f>
        <v>1</v>
      </c>
      <c r="J807" s="43">
        <f>'Tyre wear'!K27</f>
        <v>1</v>
      </c>
      <c r="K807" s="293">
        <f t="shared" si="12"/>
        <v>0.13309242924026707</v>
      </c>
      <c r="L807" s="164"/>
    </row>
    <row r="808" spans="1:12">
      <c r="A808" s="34" t="str">
        <f>'Tyre wear'!B28</f>
        <v>Tyre wear</v>
      </c>
      <c r="B808" s="40">
        <f>'Tyre wear'!C28</f>
        <v>2010</v>
      </c>
      <c r="C808" s="34" t="str">
        <f>'Tyre wear'!D28</f>
        <v>RUBBER</v>
      </c>
      <c r="D808" s="812">
        <f>'Tyre wear'!E28</f>
        <v>23.167998052721</v>
      </c>
      <c r="E808" s="152" t="str">
        <f>'Tyre wear'!F28</f>
        <v>HIGH - Own calculation based on RWS, 2022. Bandenslijtage wegverkeer (No. Versie juli 2022), Emissieschattingen Diffuse bronnen Emissieregistratie.</v>
      </c>
      <c r="F808" s="29">
        <f>'Tyre wear'!G28</f>
        <v>1</v>
      </c>
      <c r="G808" s="9">
        <f>'Tyre wear'!H28</f>
        <v>1</v>
      </c>
      <c r="H808" s="9">
        <f>'Tyre wear'!I28</f>
        <v>1</v>
      </c>
      <c r="I808" s="9">
        <f>'Tyre wear'!J28</f>
        <v>1</v>
      </c>
      <c r="J808" s="43">
        <f>'Tyre wear'!K28</f>
        <v>1</v>
      </c>
      <c r="K808" s="293">
        <f t="shared" si="12"/>
        <v>0.13309242924026707</v>
      </c>
      <c r="L808" s="164"/>
    </row>
    <row r="809" spans="1:12">
      <c r="A809" s="34" t="str">
        <f>'Tyre wear'!B29</f>
        <v>Tyre wear</v>
      </c>
      <c r="B809" s="40">
        <f>'Tyre wear'!C29</f>
        <v>2015</v>
      </c>
      <c r="C809" s="34" t="str">
        <f>'Tyre wear'!D29</f>
        <v>RUBBER</v>
      </c>
      <c r="D809" s="812">
        <f>'Tyre wear'!E29</f>
        <v>23.408682551020402</v>
      </c>
      <c r="E809" s="152" t="str">
        <f>'Tyre wear'!F29</f>
        <v>HIGH - Own calculation based on RWS, 2022. Bandenslijtage wegverkeer (No. Versie juli 2022), Emissieschattingen Diffuse bronnen Emissieregistratie.</v>
      </c>
      <c r="F809" s="29">
        <f>'Tyre wear'!G29</f>
        <v>1</v>
      </c>
      <c r="G809" s="9">
        <f>'Tyre wear'!H29</f>
        <v>1</v>
      </c>
      <c r="H809" s="9">
        <f>'Tyre wear'!I29</f>
        <v>1</v>
      </c>
      <c r="I809" s="9">
        <f>'Tyre wear'!J29</f>
        <v>1</v>
      </c>
      <c r="J809" s="43">
        <f>'Tyre wear'!K29</f>
        <v>1</v>
      </c>
      <c r="K809" s="293">
        <f t="shared" si="12"/>
        <v>0.13309242924026707</v>
      </c>
      <c r="L809" s="164"/>
    </row>
    <row r="810" spans="1:12">
      <c r="A810" s="34" t="str">
        <f>'Tyre wear'!B30</f>
        <v>Tyre wear</v>
      </c>
      <c r="B810" s="40">
        <f>'Tyre wear'!C30</f>
        <v>2019</v>
      </c>
      <c r="C810" s="34" t="str">
        <f>'Tyre wear'!D30</f>
        <v>RUBBER</v>
      </c>
      <c r="D810" s="812">
        <f>'Tyre wear'!E30</f>
        <v>24.831074302720999</v>
      </c>
      <c r="E810" s="152" t="str">
        <f>'Tyre wear'!F30</f>
        <v>HIGH - Own calculation based on RWS, 2022. Bandenslijtage wegverkeer (No. Versie juli 2022), Emissieschattingen Diffuse bronnen Emissieregistratie.</v>
      </c>
      <c r="F810" s="29">
        <f>'Tyre wear'!G30</f>
        <v>1</v>
      </c>
      <c r="G810" s="9">
        <f>'Tyre wear'!H30</f>
        <v>1</v>
      </c>
      <c r="H810" s="9">
        <f>'Tyre wear'!I30</f>
        <v>1</v>
      </c>
      <c r="I810" s="9">
        <f>'Tyre wear'!J30</f>
        <v>1</v>
      </c>
      <c r="J810" s="43">
        <f>'Tyre wear'!K30</f>
        <v>1</v>
      </c>
      <c r="K810" s="293">
        <f t="shared" si="12"/>
        <v>0.13309242924026707</v>
      </c>
      <c r="L810" s="164"/>
    </row>
    <row r="811" spans="1:12" ht="15.75" thickBot="1">
      <c r="A811" s="35" t="str">
        <f>'Tyre wear'!B31</f>
        <v>Tyre wear</v>
      </c>
      <c r="B811" s="41">
        <f>'Tyre wear'!C31</f>
        <v>2020</v>
      </c>
      <c r="C811" s="35" t="str">
        <f>'Tyre wear'!D31</f>
        <v>RUBBER</v>
      </c>
      <c r="D811" s="815">
        <f>'Tyre wear'!E31</f>
        <v>21.5151739149929</v>
      </c>
      <c r="E811" s="153" t="str">
        <f>'Tyre wear'!F31</f>
        <v>HIGH - Own calculation based on RWS, 2022. Bandenslijtage wegverkeer (No. Versie juli 2022), Emissieschattingen Diffuse bronnen Emissieregistratie.</v>
      </c>
      <c r="F811" s="30">
        <f>'Tyre wear'!G31</f>
        <v>1</v>
      </c>
      <c r="G811" s="12">
        <f>'Tyre wear'!H31</f>
        <v>1</v>
      </c>
      <c r="H811" s="12">
        <f>'Tyre wear'!I31</f>
        <v>1</v>
      </c>
      <c r="I811" s="12">
        <f>'Tyre wear'!J31</f>
        <v>1</v>
      </c>
      <c r="J811" s="44">
        <f>'Tyre wear'!K31</f>
        <v>1</v>
      </c>
      <c r="K811" s="293">
        <f t="shared" si="12"/>
        <v>0.13309242924026707</v>
      </c>
      <c r="L811" s="165"/>
    </row>
    <row r="812" spans="1:12">
      <c r="A812" s="918" t="s">
        <v>2043</v>
      </c>
      <c r="B812" s="918">
        <f>Clothing!B20</f>
        <v>2011</v>
      </c>
      <c r="C812" s="918" t="str">
        <f>Clothing!C20</f>
        <v>Acryl</v>
      </c>
      <c r="D812" s="919">
        <f>Clothing!K20</f>
        <v>1.6237025193158858</v>
      </c>
      <c r="E812" s="920" t="s">
        <v>2044</v>
      </c>
      <c r="F812" s="28">
        <f>Clothing!O20</f>
        <v>1</v>
      </c>
      <c r="G812" s="11">
        <f>Clothing!P20</f>
        <v>1</v>
      </c>
      <c r="H812" s="11">
        <f>Clothing!Q20</f>
        <v>2</v>
      </c>
      <c r="I812" s="11">
        <f>Clothing!R20</f>
        <v>2</v>
      </c>
      <c r="J812" s="42">
        <f>Clothing!S20</f>
        <v>2</v>
      </c>
      <c r="K812" s="293">
        <f t="shared" si="12"/>
        <v>0.37356464144298934</v>
      </c>
    </row>
    <row r="813" spans="1:12">
      <c r="A813" s="918" t="s">
        <v>2043</v>
      </c>
      <c r="B813" s="918">
        <f>Clothing!B21</f>
        <v>2011</v>
      </c>
      <c r="C813" s="918" t="str">
        <f>Clothing!C21</f>
        <v>OTHER</v>
      </c>
      <c r="D813" s="919">
        <f>Clothing!K21</f>
        <v>2.0908059721557302</v>
      </c>
      <c r="E813" s="920" t="s">
        <v>2044</v>
      </c>
      <c r="F813" s="918">
        <f>Clothing!O21</f>
        <v>1</v>
      </c>
      <c r="G813" s="918">
        <f>Clothing!P21</f>
        <v>1</v>
      </c>
      <c r="H813" s="918">
        <f>Clothing!Q21</f>
        <v>2</v>
      </c>
      <c r="I813" s="918">
        <f>Clothing!R21</f>
        <v>2</v>
      </c>
      <c r="J813" s="918">
        <f>Clothing!S21</f>
        <v>2</v>
      </c>
      <c r="K813" s="293">
        <f t="shared" si="12"/>
        <v>0.37356464144298934</v>
      </c>
    </row>
    <row r="814" spans="1:12">
      <c r="A814" s="918" t="s">
        <v>2043</v>
      </c>
      <c r="B814" s="918">
        <f>Clothing!B22</f>
        <v>2011</v>
      </c>
      <c r="C814" s="918" t="str">
        <f>Clothing!C22</f>
        <v>PA</v>
      </c>
      <c r="D814" s="919">
        <f>Clothing!K22</f>
        <v>5.5209911197268395</v>
      </c>
      <c r="E814" s="920" t="s">
        <v>2044</v>
      </c>
      <c r="F814" s="918">
        <f>Clothing!O22</f>
        <v>1</v>
      </c>
      <c r="G814" s="918">
        <f>Clothing!P22</f>
        <v>1</v>
      </c>
      <c r="H814" s="918">
        <f>Clothing!Q22</f>
        <v>2</v>
      </c>
      <c r="I814" s="918">
        <f>Clothing!R22</f>
        <v>2</v>
      </c>
      <c r="J814" s="918">
        <f>Clothing!S22</f>
        <v>2</v>
      </c>
      <c r="K814" s="293">
        <f t="shared" si="12"/>
        <v>0.37356464144298934</v>
      </c>
    </row>
    <row r="815" spans="1:12">
      <c r="A815" s="918" t="s">
        <v>2043</v>
      </c>
      <c r="B815" s="918">
        <f>Clothing!B23</f>
        <v>2011</v>
      </c>
      <c r="C815" s="918" t="str">
        <f>Clothing!C23</f>
        <v>PET</v>
      </c>
      <c r="D815" s="919">
        <f>Clothing!K23</f>
        <v>14.874817120410395</v>
      </c>
      <c r="E815" s="920" t="s">
        <v>2044</v>
      </c>
      <c r="F815" s="918">
        <f>Clothing!O23</f>
        <v>1</v>
      </c>
      <c r="G815" s="918">
        <f>Clothing!P23</f>
        <v>1</v>
      </c>
      <c r="H815" s="918">
        <f>Clothing!Q23</f>
        <v>2</v>
      </c>
      <c r="I815" s="918">
        <f>Clothing!R23</f>
        <v>2</v>
      </c>
      <c r="J815" s="918">
        <f>Clothing!S23</f>
        <v>2</v>
      </c>
      <c r="K815" s="293">
        <f t="shared" si="12"/>
        <v>0.37356464144298934</v>
      </c>
    </row>
    <row r="816" spans="1:12">
      <c r="A816" s="918" t="s">
        <v>2043</v>
      </c>
      <c r="B816" s="918">
        <f>Clothing!B24</f>
        <v>2011</v>
      </c>
      <c r="C816" s="918" t="str">
        <f>Clothing!C24</f>
        <v>PUR</v>
      </c>
      <c r="D816" s="919">
        <f>Clothing!K24</f>
        <v>2.5409901515832356</v>
      </c>
      <c r="E816" s="920" t="s">
        <v>2044</v>
      </c>
      <c r="F816" s="918">
        <f>Clothing!O24</f>
        <v>1</v>
      </c>
      <c r="G816" s="918">
        <f>Clothing!P24</f>
        <v>1</v>
      </c>
      <c r="H816" s="918">
        <f>Clothing!Q24</f>
        <v>2</v>
      </c>
      <c r="I816" s="918">
        <f>Clothing!R24</f>
        <v>2</v>
      </c>
      <c r="J816" s="918">
        <f>Clothing!S24</f>
        <v>2</v>
      </c>
      <c r="K816" s="293">
        <f t="shared" si="12"/>
        <v>0.37356464144298934</v>
      </c>
    </row>
    <row r="817" spans="1:11">
      <c r="A817" s="918" t="s">
        <v>2043</v>
      </c>
      <c r="B817" s="918">
        <f>Clothing!B25</f>
        <v>2011</v>
      </c>
      <c r="C817" s="918" t="str">
        <f>Clothing!C25</f>
        <v>PVC</v>
      </c>
      <c r="D817" s="919">
        <f>Clothing!K25</f>
        <v>1.540249393108625</v>
      </c>
      <c r="E817" s="920" t="s">
        <v>2044</v>
      </c>
      <c r="F817" s="918">
        <f>Clothing!O25</f>
        <v>1</v>
      </c>
      <c r="G817" s="918">
        <f>Clothing!P25</f>
        <v>1</v>
      </c>
      <c r="H817" s="918">
        <f>Clothing!Q25</f>
        <v>2</v>
      </c>
      <c r="I817" s="918">
        <f>Clothing!R25</f>
        <v>2</v>
      </c>
      <c r="J817" s="918">
        <f>Clothing!S25</f>
        <v>2</v>
      </c>
      <c r="K817" s="293">
        <f t="shared" si="12"/>
        <v>0.37356464144298934</v>
      </c>
    </row>
    <row r="818" spans="1:11">
      <c r="A818" s="918" t="s">
        <v>2043</v>
      </c>
      <c r="B818" s="918">
        <f>Clothing!B26</f>
        <v>2011</v>
      </c>
      <c r="C818" s="918" t="str">
        <f>Clothing!C26</f>
        <v>RUBBER</v>
      </c>
      <c r="D818" s="919">
        <f>Clothing!K26</f>
        <v>1.9686961596173094</v>
      </c>
      <c r="E818" s="920" t="s">
        <v>2044</v>
      </c>
      <c r="F818" s="918">
        <f>Clothing!O26</f>
        <v>1</v>
      </c>
      <c r="G818" s="918">
        <f>Clothing!P26</f>
        <v>1</v>
      </c>
      <c r="H818" s="918">
        <f>Clothing!Q26</f>
        <v>2</v>
      </c>
      <c r="I818" s="918">
        <f>Clothing!R26</f>
        <v>2</v>
      </c>
      <c r="J818" s="918">
        <f>Clothing!S26</f>
        <v>2</v>
      </c>
      <c r="K818" s="293">
        <f t="shared" si="12"/>
        <v>0.37356464144298934</v>
      </c>
    </row>
    <row r="819" spans="1:11">
      <c r="A819" s="918" t="s">
        <v>2043</v>
      </c>
      <c r="B819" s="918">
        <f>Clothing!B27</f>
        <v>2012</v>
      </c>
      <c r="C819" s="918" t="str">
        <f>Clothing!C27</f>
        <v>Acryl</v>
      </c>
      <c r="D819" s="919">
        <f>Clothing!K27</f>
        <v>1.6522743598763239</v>
      </c>
      <c r="E819" s="920" t="s">
        <v>2044</v>
      </c>
      <c r="F819" s="918">
        <f>Clothing!O27</f>
        <v>1</v>
      </c>
      <c r="G819" s="918">
        <f>Clothing!P27</f>
        <v>1</v>
      </c>
      <c r="H819" s="918">
        <f>Clothing!Q27</f>
        <v>2</v>
      </c>
      <c r="I819" s="918">
        <f>Clothing!R27</f>
        <v>2</v>
      </c>
      <c r="J819" s="918">
        <f>Clothing!S27</f>
        <v>2</v>
      </c>
      <c r="K819" s="293">
        <f t="shared" si="12"/>
        <v>0.37356464144298934</v>
      </c>
    </row>
    <row r="820" spans="1:11">
      <c r="A820" s="918" t="s">
        <v>2043</v>
      </c>
      <c r="B820" s="918">
        <f>Clothing!B28</f>
        <v>2012</v>
      </c>
      <c r="C820" s="918" t="str">
        <f>Clothing!C28</f>
        <v>OTHER</v>
      </c>
      <c r="D820" s="919">
        <f>Clothing!K28</f>
        <v>1.6515464460146478</v>
      </c>
      <c r="E820" s="920" t="s">
        <v>2044</v>
      </c>
      <c r="F820" s="918">
        <f>Clothing!O28</f>
        <v>1</v>
      </c>
      <c r="G820" s="918">
        <f>Clothing!P28</f>
        <v>1</v>
      </c>
      <c r="H820" s="918">
        <f>Clothing!Q28</f>
        <v>2</v>
      </c>
      <c r="I820" s="918">
        <f>Clothing!R28</f>
        <v>2</v>
      </c>
      <c r="J820" s="918">
        <f>Clothing!S28</f>
        <v>2</v>
      </c>
      <c r="K820" s="293">
        <f t="shared" si="12"/>
        <v>0.37356464144298934</v>
      </c>
    </row>
    <row r="821" spans="1:11">
      <c r="A821" s="918" t="s">
        <v>2043</v>
      </c>
      <c r="B821" s="918">
        <f>Clothing!B29</f>
        <v>2012</v>
      </c>
      <c r="C821" s="918" t="str">
        <f>Clothing!C29</f>
        <v>PA</v>
      </c>
      <c r="D821" s="919">
        <f>Clothing!K29</f>
        <v>4.8447503957320581</v>
      </c>
      <c r="E821" s="920" t="s">
        <v>2044</v>
      </c>
      <c r="F821" s="918">
        <f>Clothing!O29</f>
        <v>1</v>
      </c>
      <c r="G821" s="918">
        <f>Clothing!P29</f>
        <v>1</v>
      </c>
      <c r="H821" s="918">
        <f>Clothing!Q29</f>
        <v>2</v>
      </c>
      <c r="I821" s="918">
        <f>Clothing!R29</f>
        <v>2</v>
      </c>
      <c r="J821" s="918">
        <f>Clothing!S29</f>
        <v>2</v>
      </c>
      <c r="K821" s="293">
        <f t="shared" si="12"/>
        <v>0.37356464144298934</v>
      </c>
    </row>
    <row r="822" spans="1:11">
      <c r="A822" s="918" t="s">
        <v>2043</v>
      </c>
      <c r="B822" s="918">
        <f>Clothing!B30</f>
        <v>2012</v>
      </c>
      <c r="C822" s="918" t="str">
        <f>Clothing!C30</f>
        <v>PET</v>
      </c>
      <c r="D822" s="919">
        <f>Clothing!K30</f>
        <v>15.489528328011447</v>
      </c>
      <c r="E822" s="920" t="s">
        <v>2044</v>
      </c>
      <c r="F822" s="918">
        <f>Clothing!O30</f>
        <v>1</v>
      </c>
      <c r="G822" s="918">
        <f>Clothing!P30</f>
        <v>1</v>
      </c>
      <c r="H822" s="918">
        <f>Clothing!Q30</f>
        <v>2</v>
      </c>
      <c r="I822" s="918">
        <f>Clothing!R30</f>
        <v>2</v>
      </c>
      <c r="J822" s="918">
        <f>Clothing!S30</f>
        <v>2</v>
      </c>
      <c r="K822" s="293">
        <f t="shared" si="12"/>
        <v>0.37356464144298934</v>
      </c>
    </row>
    <row r="823" spans="1:11">
      <c r="A823" s="918" t="s">
        <v>2043</v>
      </c>
      <c r="B823" s="918">
        <f>Clothing!B31</f>
        <v>2012</v>
      </c>
      <c r="C823" s="918" t="str">
        <f>Clothing!C31</f>
        <v>PUR</v>
      </c>
      <c r="D823" s="919">
        <f>Clothing!K31</f>
        <v>2.3548114072756321</v>
      </c>
      <c r="E823" s="920" t="s">
        <v>2044</v>
      </c>
      <c r="F823" s="918">
        <f>Clothing!O31</f>
        <v>1</v>
      </c>
      <c r="G823" s="918">
        <f>Clothing!P31</f>
        <v>1</v>
      </c>
      <c r="H823" s="918">
        <f>Clothing!Q31</f>
        <v>2</v>
      </c>
      <c r="I823" s="918">
        <f>Clothing!R31</f>
        <v>2</v>
      </c>
      <c r="J823" s="918">
        <f>Clothing!S31</f>
        <v>2</v>
      </c>
      <c r="K823" s="293">
        <f t="shared" si="12"/>
        <v>0.37356464144298934</v>
      </c>
    </row>
    <row r="824" spans="1:11">
      <c r="A824" s="918" t="s">
        <v>2043</v>
      </c>
      <c r="B824" s="918">
        <f>Clothing!B32</f>
        <v>2012</v>
      </c>
      <c r="C824" s="918" t="str">
        <f>Clothing!C32</f>
        <v>PVC</v>
      </c>
      <c r="D824" s="919">
        <f>Clothing!K32</f>
        <v>1.4157171669046023</v>
      </c>
      <c r="E824" s="920" t="s">
        <v>2044</v>
      </c>
      <c r="F824" s="918">
        <f>Clothing!O32</f>
        <v>1</v>
      </c>
      <c r="G824" s="918">
        <f>Clothing!P32</f>
        <v>1</v>
      </c>
      <c r="H824" s="918">
        <f>Clothing!Q32</f>
        <v>2</v>
      </c>
      <c r="I824" s="918">
        <f>Clothing!R32</f>
        <v>2</v>
      </c>
      <c r="J824" s="918">
        <f>Clothing!S32</f>
        <v>2</v>
      </c>
      <c r="K824" s="293">
        <f t="shared" si="12"/>
        <v>0.37356464144298934</v>
      </c>
    </row>
    <row r="825" spans="1:11">
      <c r="A825" s="918" t="s">
        <v>2043</v>
      </c>
      <c r="B825" s="918">
        <f>Clothing!B33</f>
        <v>2012</v>
      </c>
      <c r="C825" s="918" t="str">
        <f>Clothing!C33</f>
        <v>RUBBER</v>
      </c>
      <c r="D825" s="919">
        <f>Clothing!K33</f>
        <v>1.7076731562759742</v>
      </c>
      <c r="E825" s="920" t="s">
        <v>2044</v>
      </c>
      <c r="F825" s="918">
        <f>Clothing!O33</f>
        <v>1</v>
      </c>
      <c r="G825" s="918">
        <f>Clothing!P33</f>
        <v>1</v>
      </c>
      <c r="H825" s="918">
        <f>Clothing!Q33</f>
        <v>2</v>
      </c>
      <c r="I825" s="918">
        <f>Clothing!R33</f>
        <v>2</v>
      </c>
      <c r="J825" s="918">
        <f>Clothing!S33</f>
        <v>2</v>
      </c>
      <c r="K825" s="293">
        <f t="shared" si="12"/>
        <v>0.37356464144298934</v>
      </c>
    </row>
    <row r="826" spans="1:11">
      <c r="A826" s="918" t="s">
        <v>2043</v>
      </c>
      <c r="B826" s="918">
        <f>Clothing!B34</f>
        <v>2013</v>
      </c>
      <c r="C826" s="918" t="str">
        <f>Clothing!C34</f>
        <v>Acryl</v>
      </c>
      <c r="D826" s="919">
        <f>Clothing!K34</f>
        <v>1.5954357548732474</v>
      </c>
      <c r="E826" s="920" t="s">
        <v>2044</v>
      </c>
      <c r="F826" s="918">
        <f>Clothing!O34</f>
        <v>1</v>
      </c>
      <c r="G826" s="918">
        <f>Clothing!P34</f>
        <v>1</v>
      </c>
      <c r="H826" s="918">
        <f>Clothing!Q34</f>
        <v>2</v>
      </c>
      <c r="I826" s="918">
        <f>Clothing!R34</f>
        <v>2</v>
      </c>
      <c r="J826" s="918">
        <f>Clothing!S34</f>
        <v>2</v>
      </c>
      <c r="K826" s="293">
        <f t="shared" si="12"/>
        <v>0.37356464144298934</v>
      </c>
    </row>
    <row r="827" spans="1:11">
      <c r="A827" s="918" t="s">
        <v>2043</v>
      </c>
      <c r="B827" s="918">
        <f>Clothing!B35</f>
        <v>2013</v>
      </c>
      <c r="C827" s="918" t="str">
        <f>Clothing!C35</f>
        <v>OTHER</v>
      </c>
      <c r="D827" s="919">
        <f>Clothing!K35</f>
        <v>1.8631700836202618</v>
      </c>
      <c r="E827" s="920" t="s">
        <v>2044</v>
      </c>
      <c r="F827" s="918">
        <f>Clothing!O35</f>
        <v>1</v>
      </c>
      <c r="G827" s="918">
        <f>Clothing!P35</f>
        <v>1</v>
      </c>
      <c r="H827" s="918">
        <f>Clothing!Q35</f>
        <v>2</v>
      </c>
      <c r="I827" s="918">
        <f>Clothing!R35</f>
        <v>2</v>
      </c>
      <c r="J827" s="918">
        <f>Clothing!S35</f>
        <v>2</v>
      </c>
      <c r="K827" s="293">
        <f t="shared" si="12"/>
        <v>0.37356464144298934</v>
      </c>
    </row>
    <row r="828" spans="1:11">
      <c r="A828" s="918" t="s">
        <v>2043</v>
      </c>
      <c r="B828" s="918">
        <f>Clothing!B36</f>
        <v>2013</v>
      </c>
      <c r="C828" s="918" t="str">
        <f>Clothing!C36</f>
        <v>PA</v>
      </c>
      <c r="D828" s="919">
        <f>Clothing!K36</f>
        <v>4.9208912999329382</v>
      </c>
      <c r="E828" s="920" t="s">
        <v>2044</v>
      </c>
      <c r="F828" s="918">
        <f>Clothing!O36</f>
        <v>1</v>
      </c>
      <c r="G828" s="918">
        <f>Clothing!P36</f>
        <v>1</v>
      </c>
      <c r="H828" s="918">
        <f>Clothing!Q36</f>
        <v>2</v>
      </c>
      <c r="I828" s="918">
        <f>Clothing!R36</f>
        <v>2</v>
      </c>
      <c r="J828" s="918">
        <f>Clothing!S36</f>
        <v>2</v>
      </c>
      <c r="K828" s="293">
        <f t="shared" si="12"/>
        <v>0.37356464144298934</v>
      </c>
    </row>
    <row r="829" spans="1:11">
      <c r="A829" s="918" t="s">
        <v>2043</v>
      </c>
      <c r="B829" s="918">
        <f>Clothing!B37</f>
        <v>2013</v>
      </c>
      <c r="C829" s="918" t="str">
        <f>Clothing!C37</f>
        <v>PET</v>
      </c>
      <c r="D829" s="919">
        <f>Clothing!K37</f>
        <v>16.487461578420913</v>
      </c>
      <c r="E829" s="920" t="s">
        <v>2044</v>
      </c>
      <c r="F829" s="918">
        <f>Clothing!O37</f>
        <v>1</v>
      </c>
      <c r="G829" s="918">
        <f>Clothing!P37</f>
        <v>1</v>
      </c>
      <c r="H829" s="918">
        <f>Clothing!Q37</f>
        <v>2</v>
      </c>
      <c r="I829" s="918">
        <f>Clothing!R37</f>
        <v>2</v>
      </c>
      <c r="J829" s="918">
        <f>Clothing!S37</f>
        <v>2</v>
      </c>
      <c r="K829" s="293">
        <f t="shared" ref="K829:K892" si="13">IF( OR( ISBLANK(F829),ISBLANK(G829), ISBLANK(H829), ISBLANK(I829), ISBLANK(J829) ), "", 1.5*SQRT(   EXP(2.21*(F829-1)) + EXP(2.21*(G829-1)) + EXP(2.21*(H829-1)) + EXP(2.21*(I829-1)) + EXP(2.21*J829)   )/100*2.45 )</f>
        <v>0.37356464144298934</v>
      </c>
    </row>
    <row r="830" spans="1:11">
      <c r="A830" s="918" t="s">
        <v>2043</v>
      </c>
      <c r="B830" s="918">
        <f>Clothing!B38</f>
        <v>2013</v>
      </c>
      <c r="C830" s="918" t="str">
        <f>Clothing!C38</f>
        <v>PUR</v>
      </c>
      <c r="D830" s="919">
        <f>Clothing!K38</f>
        <v>2.4115147645971078</v>
      </c>
      <c r="E830" s="920" t="s">
        <v>2044</v>
      </c>
      <c r="F830" s="918">
        <f>Clothing!O38</f>
        <v>1</v>
      </c>
      <c r="G830" s="918">
        <f>Clothing!P38</f>
        <v>1</v>
      </c>
      <c r="H830" s="918">
        <f>Clothing!Q38</f>
        <v>2</v>
      </c>
      <c r="I830" s="918">
        <f>Clothing!R38</f>
        <v>2</v>
      </c>
      <c r="J830" s="918">
        <f>Clothing!S38</f>
        <v>2</v>
      </c>
      <c r="K830" s="293">
        <f t="shared" si="13"/>
        <v>0.37356464144298934</v>
      </c>
    </row>
    <row r="831" spans="1:11">
      <c r="A831" s="918" t="s">
        <v>2043</v>
      </c>
      <c r="B831" s="918">
        <f>Clothing!B39</f>
        <v>2013</v>
      </c>
      <c r="C831" s="918" t="str">
        <f>Clothing!C39</f>
        <v>PVC</v>
      </c>
      <c r="D831" s="919">
        <f>Clothing!K39</f>
        <v>1.4710856157845025</v>
      </c>
      <c r="E831" s="920" t="s">
        <v>2044</v>
      </c>
      <c r="F831" s="918">
        <f>Clothing!O39</f>
        <v>1</v>
      </c>
      <c r="G831" s="918">
        <f>Clothing!P39</f>
        <v>1</v>
      </c>
      <c r="H831" s="918">
        <f>Clothing!Q39</f>
        <v>2</v>
      </c>
      <c r="I831" s="918">
        <f>Clothing!R39</f>
        <v>2</v>
      </c>
      <c r="J831" s="918">
        <f>Clothing!S39</f>
        <v>2</v>
      </c>
      <c r="K831" s="293">
        <f t="shared" si="13"/>
        <v>0.37356464144298934</v>
      </c>
    </row>
    <row r="832" spans="1:11">
      <c r="A832" s="918" t="s">
        <v>2043</v>
      </c>
      <c r="B832" s="918">
        <f>Clothing!B40</f>
        <v>2013</v>
      </c>
      <c r="C832" s="918" t="str">
        <f>Clothing!C40</f>
        <v>RUBBER</v>
      </c>
      <c r="D832" s="919">
        <f>Clothing!K40</f>
        <v>1.9350169436210598</v>
      </c>
      <c r="E832" s="920" t="s">
        <v>2044</v>
      </c>
      <c r="F832" s="918">
        <f>Clothing!O40</f>
        <v>1</v>
      </c>
      <c r="G832" s="918">
        <f>Clothing!P40</f>
        <v>1</v>
      </c>
      <c r="H832" s="918">
        <f>Clothing!Q40</f>
        <v>2</v>
      </c>
      <c r="I832" s="918">
        <f>Clothing!R40</f>
        <v>2</v>
      </c>
      <c r="J832" s="918">
        <f>Clothing!S40</f>
        <v>2</v>
      </c>
      <c r="K832" s="293">
        <f t="shared" si="13"/>
        <v>0.37356464144298934</v>
      </c>
    </row>
    <row r="833" spans="1:11">
      <c r="A833" s="918" t="s">
        <v>2043</v>
      </c>
      <c r="B833" s="918">
        <f>Clothing!B41</f>
        <v>2014</v>
      </c>
      <c r="C833" s="918" t="str">
        <f>Clothing!C41</f>
        <v>Acryl</v>
      </c>
      <c r="D833" s="919">
        <f>Clothing!K41</f>
        <v>1.5404063707319062</v>
      </c>
      <c r="E833" s="920" t="s">
        <v>2044</v>
      </c>
      <c r="F833" s="918">
        <f>Clothing!O41</f>
        <v>1</v>
      </c>
      <c r="G833" s="918">
        <f>Clothing!P41</f>
        <v>1</v>
      </c>
      <c r="H833" s="918">
        <f>Clothing!Q41</f>
        <v>2</v>
      </c>
      <c r="I833" s="918">
        <f>Clothing!R41</f>
        <v>2</v>
      </c>
      <c r="J833" s="918">
        <f>Clothing!S41</f>
        <v>2</v>
      </c>
      <c r="K833" s="293">
        <f t="shared" si="13"/>
        <v>0.37356464144298934</v>
      </c>
    </row>
    <row r="834" spans="1:11">
      <c r="A834" s="918" t="s">
        <v>2043</v>
      </c>
      <c r="B834" s="918">
        <f>Clothing!B42</f>
        <v>2014</v>
      </c>
      <c r="C834" s="918" t="str">
        <f>Clothing!C42</f>
        <v>OTHER</v>
      </c>
      <c r="D834" s="919">
        <f>Clothing!K42</f>
        <v>2.1855108727502697</v>
      </c>
      <c r="E834" s="920" t="s">
        <v>2044</v>
      </c>
      <c r="F834" s="918">
        <f>Clothing!O42</f>
        <v>1</v>
      </c>
      <c r="G834" s="918">
        <f>Clothing!P42</f>
        <v>1</v>
      </c>
      <c r="H834" s="918">
        <f>Clothing!Q42</f>
        <v>2</v>
      </c>
      <c r="I834" s="918">
        <f>Clothing!R42</f>
        <v>2</v>
      </c>
      <c r="J834" s="918">
        <f>Clothing!S42</f>
        <v>2</v>
      </c>
      <c r="K834" s="293">
        <f t="shared" si="13"/>
        <v>0.37356464144298934</v>
      </c>
    </row>
    <row r="835" spans="1:11">
      <c r="A835" s="918" t="s">
        <v>2043</v>
      </c>
      <c r="B835" s="918">
        <f>Clothing!B43</f>
        <v>2014</v>
      </c>
      <c r="C835" s="918" t="str">
        <f>Clothing!C43</f>
        <v>PA</v>
      </c>
      <c r="D835" s="919">
        <f>Clothing!K43</f>
        <v>5.225532798831475</v>
      </c>
      <c r="E835" s="920" t="s">
        <v>2044</v>
      </c>
      <c r="F835" s="918">
        <f>Clothing!O43</f>
        <v>1</v>
      </c>
      <c r="G835" s="918">
        <f>Clothing!P43</f>
        <v>1</v>
      </c>
      <c r="H835" s="918">
        <f>Clothing!Q43</f>
        <v>2</v>
      </c>
      <c r="I835" s="918">
        <f>Clothing!R43</f>
        <v>2</v>
      </c>
      <c r="J835" s="918">
        <f>Clothing!S43</f>
        <v>2</v>
      </c>
      <c r="K835" s="293">
        <f t="shared" si="13"/>
        <v>0.37356464144298934</v>
      </c>
    </row>
    <row r="836" spans="1:11">
      <c r="A836" s="918" t="s">
        <v>2043</v>
      </c>
      <c r="B836" s="918">
        <f>Clothing!B44</f>
        <v>2014</v>
      </c>
      <c r="C836" s="918" t="str">
        <f>Clothing!C44</f>
        <v>PET</v>
      </c>
      <c r="D836" s="919">
        <f>Clothing!K44</f>
        <v>17.39756984603968</v>
      </c>
      <c r="E836" s="920" t="s">
        <v>2044</v>
      </c>
      <c r="F836" s="918">
        <f>Clothing!O44</f>
        <v>1</v>
      </c>
      <c r="G836" s="918">
        <f>Clothing!P44</f>
        <v>1</v>
      </c>
      <c r="H836" s="918">
        <f>Clothing!Q44</f>
        <v>2</v>
      </c>
      <c r="I836" s="918">
        <f>Clothing!R44</f>
        <v>2</v>
      </c>
      <c r="J836" s="918">
        <f>Clothing!S44</f>
        <v>2</v>
      </c>
      <c r="K836" s="293">
        <f t="shared" si="13"/>
        <v>0.37356464144298934</v>
      </c>
    </row>
    <row r="837" spans="1:11">
      <c r="A837" s="918" t="s">
        <v>2043</v>
      </c>
      <c r="B837" s="918">
        <f>Clothing!B45</f>
        <v>2014</v>
      </c>
      <c r="C837" s="918" t="str">
        <f>Clothing!C45</f>
        <v>PUR</v>
      </c>
      <c r="D837" s="919">
        <f>Clothing!K45</f>
        <v>2.8746714381139333</v>
      </c>
      <c r="E837" s="920" t="s">
        <v>2044</v>
      </c>
      <c r="F837" s="918">
        <f>Clothing!O45</f>
        <v>1</v>
      </c>
      <c r="G837" s="918">
        <f>Clothing!P45</f>
        <v>1</v>
      </c>
      <c r="H837" s="918">
        <f>Clothing!Q45</f>
        <v>2</v>
      </c>
      <c r="I837" s="918">
        <f>Clothing!R45</f>
        <v>2</v>
      </c>
      <c r="J837" s="918">
        <f>Clothing!S45</f>
        <v>2</v>
      </c>
      <c r="K837" s="293">
        <f t="shared" si="13"/>
        <v>0.37356464144298934</v>
      </c>
    </row>
    <row r="838" spans="1:11">
      <c r="A838" s="918" t="s">
        <v>2043</v>
      </c>
      <c r="B838" s="918">
        <f>Clothing!B46</f>
        <v>2014</v>
      </c>
      <c r="C838" s="918" t="str">
        <f>Clothing!C46</f>
        <v>PVC</v>
      </c>
      <c r="D838" s="919">
        <f>Clothing!K46</f>
        <v>1.7513242029846792</v>
      </c>
      <c r="E838" s="920" t="s">
        <v>2044</v>
      </c>
      <c r="F838" s="918">
        <f>Clothing!O46</f>
        <v>1</v>
      </c>
      <c r="G838" s="918">
        <f>Clothing!P46</f>
        <v>1</v>
      </c>
      <c r="H838" s="918">
        <f>Clothing!Q46</f>
        <v>2</v>
      </c>
      <c r="I838" s="918">
        <f>Clothing!R46</f>
        <v>2</v>
      </c>
      <c r="J838" s="918">
        <f>Clothing!S46</f>
        <v>2</v>
      </c>
      <c r="K838" s="293">
        <f t="shared" si="13"/>
        <v>0.37356464144298934</v>
      </c>
    </row>
    <row r="839" spans="1:11">
      <c r="A839" s="918" t="s">
        <v>2043</v>
      </c>
      <c r="B839" s="918">
        <f>Clothing!B47</f>
        <v>2014</v>
      </c>
      <c r="C839" s="918" t="str">
        <f>Clothing!C47</f>
        <v>RUBBER</v>
      </c>
      <c r="D839" s="919">
        <f>Clothing!K47</f>
        <v>2.2590988047356144</v>
      </c>
      <c r="E839" s="920" t="s">
        <v>2044</v>
      </c>
      <c r="F839" s="918">
        <f>Clothing!O47</f>
        <v>1</v>
      </c>
      <c r="G839" s="918">
        <f>Clothing!P47</f>
        <v>1</v>
      </c>
      <c r="H839" s="918">
        <f>Clothing!Q47</f>
        <v>2</v>
      </c>
      <c r="I839" s="918">
        <f>Clothing!R47</f>
        <v>2</v>
      </c>
      <c r="J839" s="918">
        <f>Clothing!S47</f>
        <v>2</v>
      </c>
      <c r="K839" s="293">
        <f t="shared" si="13"/>
        <v>0.37356464144298934</v>
      </c>
    </row>
    <row r="840" spans="1:11">
      <c r="A840" s="918" t="s">
        <v>2043</v>
      </c>
      <c r="B840" s="918">
        <f>Clothing!B48</f>
        <v>2015</v>
      </c>
      <c r="C840" s="918" t="str">
        <f>Clothing!C48</f>
        <v>Acryl</v>
      </c>
      <c r="D840" s="919">
        <f>Clothing!K48</f>
        <v>1.5060450062500634</v>
      </c>
      <c r="E840" s="920" t="s">
        <v>2044</v>
      </c>
      <c r="F840" s="918">
        <f>Clothing!O48</f>
        <v>1</v>
      </c>
      <c r="G840" s="918">
        <f>Clothing!P48</f>
        <v>1</v>
      </c>
      <c r="H840" s="918">
        <f>Clothing!Q48</f>
        <v>2</v>
      </c>
      <c r="I840" s="918">
        <f>Clothing!R48</f>
        <v>2</v>
      </c>
      <c r="J840" s="918">
        <f>Clothing!S48</f>
        <v>2</v>
      </c>
      <c r="K840" s="293">
        <f t="shared" si="13"/>
        <v>0.37356464144298934</v>
      </c>
    </row>
    <row r="841" spans="1:11">
      <c r="A841" s="918" t="s">
        <v>2043</v>
      </c>
      <c r="B841" s="918">
        <f>Clothing!B49</f>
        <v>2015</v>
      </c>
      <c r="C841" s="918" t="str">
        <f>Clothing!C49</f>
        <v>OTHER</v>
      </c>
      <c r="D841" s="919">
        <f>Clothing!K49</f>
        <v>2.1164958194173891</v>
      </c>
      <c r="E841" s="920" t="s">
        <v>2044</v>
      </c>
      <c r="F841" s="918">
        <f>Clothing!O49</f>
        <v>1</v>
      </c>
      <c r="G841" s="918">
        <f>Clothing!P49</f>
        <v>1</v>
      </c>
      <c r="H841" s="918">
        <f>Clothing!Q49</f>
        <v>2</v>
      </c>
      <c r="I841" s="918">
        <f>Clothing!R49</f>
        <v>2</v>
      </c>
      <c r="J841" s="918">
        <f>Clothing!S49</f>
        <v>2</v>
      </c>
      <c r="K841" s="293">
        <f t="shared" si="13"/>
        <v>0.37356464144298934</v>
      </c>
    </row>
    <row r="842" spans="1:11">
      <c r="A842" s="918" t="s">
        <v>2043</v>
      </c>
      <c r="B842" s="918">
        <f>Clothing!B50</f>
        <v>2015</v>
      </c>
      <c r="C842" s="918" t="str">
        <f>Clothing!C50</f>
        <v>PA</v>
      </c>
      <c r="D842" s="919">
        <f>Clothing!K50</f>
        <v>4.8648354492299468</v>
      </c>
      <c r="E842" s="920" t="s">
        <v>2044</v>
      </c>
      <c r="F842" s="918">
        <f>Clothing!O50</f>
        <v>1</v>
      </c>
      <c r="G842" s="918">
        <f>Clothing!P50</f>
        <v>1</v>
      </c>
      <c r="H842" s="918">
        <f>Clothing!Q50</f>
        <v>2</v>
      </c>
      <c r="I842" s="918">
        <f>Clothing!R50</f>
        <v>2</v>
      </c>
      <c r="J842" s="918">
        <f>Clothing!S50</f>
        <v>2</v>
      </c>
      <c r="K842" s="293">
        <f t="shared" si="13"/>
        <v>0.37356464144298934</v>
      </c>
    </row>
    <row r="843" spans="1:11">
      <c r="A843" s="918" t="s">
        <v>2043</v>
      </c>
      <c r="B843" s="918">
        <f>Clothing!B51</f>
        <v>2015</v>
      </c>
      <c r="C843" s="918" t="str">
        <f>Clothing!C51</f>
        <v>PET</v>
      </c>
      <c r="D843" s="919">
        <f>Clothing!K51</f>
        <v>16.151045106279835</v>
      </c>
      <c r="E843" s="920" t="s">
        <v>2044</v>
      </c>
      <c r="F843" s="918">
        <f>Clothing!O51</f>
        <v>1</v>
      </c>
      <c r="G843" s="918">
        <f>Clothing!P51</f>
        <v>1</v>
      </c>
      <c r="H843" s="918">
        <f>Clothing!Q51</f>
        <v>2</v>
      </c>
      <c r="I843" s="918">
        <f>Clothing!R51</f>
        <v>2</v>
      </c>
      <c r="J843" s="918">
        <f>Clothing!S51</f>
        <v>2</v>
      </c>
      <c r="K843" s="293">
        <f t="shared" si="13"/>
        <v>0.37356464144298934</v>
      </c>
    </row>
    <row r="844" spans="1:11">
      <c r="A844" s="918" t="s">
        <v>2043</v>
      </c>
      <c r="B844" s="918">
        <f>Clothing!B52</f>
        <v>2015</v>
      </c>
      <c r="C844" s="918" t="str">
        <f>Clothing!C52</f>
        <v>PUR</v>
      </c>
      <c r="D844" s="919">
        <f>Clothing!K52</f>
        <v>3.1354022690406556</v>
      </c>
      <c r="E844" s="920" t="s">
        <v>2044</v>
      </c>
      <c r="F844" s="918">
        <f>Clothing!O52</f>
        <v>1</v>
      </c>
      <c r="G844" s="918">
        <f>Clothing!P52</f>
        <v>1</v>
      </c>
      <c r="H844" s="918">
        <f>Clothing!Q52</f>
        <v>2</v>
      </c>
      <c r="I844" s="918">
        <f>Clothing!R52</f>
        <v>2</v>
      </c>
      <c r="J844" s="918">
        <f>Clothing!S52</f>
        <v>2</v>
      </c>
      <c r="K844" s="293">
        <f t="shared" si="13"/>
        <v>0.37356464144298934</v>
      </c>
    </row>
    <row r="845" spans="1:11">
      <c r="A845" s="918" t="s">
        <v>2043</v>
      </c>
      <c r="B845" s="918">
        <f>Clothing!B53</f>
        <v>2015</v>
      </c>
      <c r="C845" s="918" t="str">
        <f>Clothing!C53</f>
        <v>PVC</v>
      </c>
      <c r="D845" s="919">
        <f>Clothing!K53</f>
        <v>1.9160210368515285</v>
      </c>
      <c r="E845" s="920" t="s">
        <v>2044</v>
      </c>
      <c r="F845" s="918">
        <f>Clothing!O53</f>
        <v>1</v>
      </c>
      <c r="G845" s="918">
        <f>Clothing!P53</f>
        <v>1</v>
      </c>
      <c r="H845" s="918">
        <f>Clothing!Q53</f>
        <v>2</v>
      </c>
      <c r="I845" s="918">
        <f>Clothing!R53</f>
        <v>2</v>
      </c>
      <c r="J845" s="918">
        <f>Clothing!S53</f>
        <v>2</v>
      </c>
      <c r="K845" s="293">
        <f t="shared" si="13"/>
        <v>0.37356464144298934</v>
      </c>
    </row>
    <row r="846" spans="1:11">
      <c r="A846" s="918" t="s">
        <v>2043</v>
      </c>
      <c r="B846" s="918">
        <f>Clothing!B54</f>
        <v>2015</v>
      </c>
      <c r="C846" s="918" t="str">
        <f>Clothing!C54</f>
        <v>RUBBER</v>
      </c>
      <c r="D846" s="919">
        <f>Clothing!K54</f>
        <v>2.5472507864969991</v>
      </c>
      <c r="E846" s="920" t="s">
        <v>2044</v>
      </c>
      <c r="F846" s="918">
        <f>Clothing!O54</f>
        <v>1</v>
      </c>
      <c r="G846" s="918">
        <f>Clothing!P54</f>
        <v>1</v>
      </c>
      <c r="H846" s="918">
        <f>Clothing!Q54</f>
        <v>2</v>
      </c>
      <c r="I846" s="918">
        <f>Clothing!R54</f>
        <v>2</v>
      </c>
      <c r="J846" s="918">
        <f>Clothing!S54</f>
        <v>2</v>
      </c>
      <c r="K846" s="293">
        <f t="shared" si="13"/>
        <v>0.37356464144298934</v>
      </c>
    </row>
    <row r="847" spans="1:11">
      <c r="A847" s="918" t="s">
        <v>2043</v>
      </c>
      <c r="B847" s="918">
        <f>Clothing!B55</f>
        <v>2016</v>
      </c>
      <c r="C847" s="918" t="str">
        <f>Clothing!C55</f>
        <v>Acryl</v>
      </c>
      <c r="D847" s="919">
        <f>Clothing!K55</f>
        <v>1.6982389783782834</v>
      </c>
      <c r="E847" s="920" t="s">
        <v>2044</v>
      </c>
      <c r="F847" s="918">
        <f>Clothing!O55</f>
        <v>1</v>
      </c>
      <c r="G847" s="918">
        <f>Clothing!P55</f>
        <v>1</v>
      </c>
      <c r="H847" s="918">
        <f>Clothing!Q55</f>
        <v>2</v>
      </c>
      <c r="I847" s="918">
        <f>Clothing!R55</f>
        <v>2</v>
      </c>
      <c r="J847" s="918">
        <f>Clothing!S55</f>
        <v>2</v>
      </c>
      <c r="K847" s="293">
        <f t="shared" si="13"/>
        <v>0.37356464144298934</v>
      </c>
    </row>
    <row r="848" spans="1:11">
      <c r="A848" s="918" t="s">
        <v>2043</v>
      </c>
      <c r="B848" s="918">
        <f>Clothing!B56</f>
        <v>2016</v>
      </c>
      <c r="C848" s="918" t="str">
        <f>Clothing!C56</f>
        <v>OTHER</v>
      </c>
      <c r="D848" s="919">
        <f>Clothing!K56</f>
        <v>2.1538443858916123</v>
      </c>
      <c r="E848" s="920" t="s">
        <v>2044</v>
      </c>
      <c r="F848" s="918">
        <f>Clothing!O56</f>
        <v>1</v>
      </c>
      <c r="G848" s="918">
        <f>Clothing!P56</f>
        <v>1</v>
      </c>
      <c r="H848" s="918">
        <f>Clothing!Q56</f>
        <v>2</v>
      </c>
      <c r="I848" s="918">
        <f>Clothing!R56</f>
        <v>2</v>
      </c>
      <c r="J848" s="918">
        <f>Clothing!S56</f>
        <v>2</v>
      </c>
      <c r="K848" s="293">
        <f t="shared" si="13"/>
        <v>0.37356464144298934</v>
      </c>
    </row>
    <row r="849" spans="1:11">
      <c r="A849" s="918" t="s">
        <v>2043</v>
      </c>
      <c r="B849" s="918">
        <f>Clothing!B57</f>
        <v>2016</v>
      </c>
      <c r="C849" s="918" t="str">
        <f>Clothing!C57</f>
        <v>PA</v>
      </c>
      <c r="D849" s="919">
        <f>Clothing!K57</f>
        <v>5.0900620563355403</v>
      </c>
      <c r="E849" s="920" t="s">
        <v>2044</v>
      </c>
      <c r="F849" s="918">
        <f>Clothing!O57</f>
        <v>1</v>
      </c>
      <c r="G849" s="918">
        <f>Clothing!P57</f>
        <v>1</v>
      </c>
      <c r="H849" s="918">
        <f>Clothing!Q57</f>
        <v>2</v>
      </c>
      <c r="I849" s="918">
        <f>Clothing!R57</f>
        <v>2</v>
      </c>
      <c r="J849" s="918">
        <f>Clothing!S57</f>
        <v>2</v>
      </c>
      <c r="K849" s="293">
        <f t="shared" si="13"/>
        <v>0.37356464144298934</v>
      </c>
    </row>
    <row r="850" spans="1:11">
      <c r="A850" s="918" t="s">
        <v>2043</v>
      </c>
      <c r="B850" s="918">
        <f>Clothing!B58</f>
        <v>2016</v>
      </c>
      <c r="C850" s="918" t="str">
        <f>Clothing!C58</f>
        <v>PET</v>
      </c>
      <c r="D850" s="919">
        <f>Clothing!K58</f>
        <v>17.473800975914923</v>
      </c>
      <c r="E850" s="920" t="s">
        <v>2044</v>
      </c>
      <c r="F850" s="918">
        <f>Clothing!O58</f>
        <v>1</v>
      </c>
      <c r="G850" s="918">
        <f>Clothing!P58</f>
        <v>1</v>
      </c>
      <c r="H850" s="918">
        <f>Clothing!Q58</f>
        <v>2</v>
      </c>
      <c r="I850" s="918">
        <f>Clothing!R58</f>
        <v>2</v>
      </c>
      <c r="J850" s="918">
        <f>Clothing!S58</f>
        <v>2</v>
      </c>
      <c r="K850" s="293">
        <f t="shared" si="13"/>
        <v>0.37356464144298934</v>
      </c>
    </row>
    <row r="851" spans="1:11">
      <c r="A851" s="918" t="s">
        <v>2043</v>
      </c>
      <c r="B851" s="918">
        <f>Clothing!B59</f>
        <v>2016</v>
      </c>
      <c r="C851" s="918" t="str">
        <f>Clothing!C59</f>
        <v>PUR</v>
      </c>
      <c r="D851" s="919">
        <f>Clothing!K59</f>
        <v>3.2091331770242211</v>
      </c>
      <c r="E851" s="920" t="s">
        <v>2044</v>
      </c>
      <c r="F851" s="918">
        <f>Clothing!O59</f>
        <v>1</v>
      </c>
      <c r="G851" s="918">
        <f>Clothing!P59</f>
        <v>1</v>
      </c>
      <c r="H851" s="918">
        <f>Clothing!Q59</f>
        <v>2</v>
      </c>
      <c r="I851" s="918">
        <f>Clothing!R59</f>
        <v>2</v>
      </c>
      <c r="J851" s="918">
        <f>Clothing!S59</f>
        <v>2</v>
      </c>
      <c r="K851" s="293">
        <f t="shared" si="13"/>
        <v>0.37356464144298934</v>
      </c>
    </row>
    <row r="852" spans="1:11">
      <c r="A852" s="918" t="s">
        <v>2043</v>
      </c>
      <c r="B852" s="918">
        <f>Clothing!B60</f>
        <v>2016</v>
      </c>
      <c r="C852" s="918" t="str">
        <f>Clothing!C60</f>
        <v>PVC</v>
      </c>
      <c r="D852" s="919">
        <f>Clothing!K60</f>
        <v>1.9418985702840277</v>
      </c>
      <c r="E852" s="920" t="s">
        <v>2044</v>
      </c>
      <c r="F852" s="918">
        <f>Clothing!O60</f>
        <v>1</v>
      </c>
      <c r="G852" s="918">
        <f>Clothing!P60</f>
        <v>1</v>
      </c>
      <c r="H852" s="918">
        <f>Clothing!Q60</f>
        <v>2</v>
      </c>
      <c r="I852" s="918">
        <f>Clothing!R60</f>
        <v>2</v>
      </c>
      <c r="J852" s="918">
        <f>Clothing!S60</f>
        <v>2</v>
      </c>
      <c r="K852" s="293">
        <f t="shared" si="13"/>
        <v>0.37356464144298934</v>
      </c>
    </row>
    <row r="853" spans="1:11">
      <c r="A853" s="918" t="s">
        <v>2043</v>
      </c>
      <c r="B853" s="918">
        <f>Clothing!B61</f>
        <v>2016</v>
      </c>
      <c r="C853" s="918" t="str">
        <f>Clothing!C61</f>
        <v>RUBBER</v>
      </c>
      <c r="D853" s="919">
        <f>Clothing!K61</f>
        <v>2.3864713267876612</v>
      </c>
      <c r="E853" s="920" t="s">
        <v>2044</v>
      </c>
      <c r="F853" s="918">
        <f>Clothing!O61</f>
        <v>1</v>
      </c>
      <c r="G853" s="918">
        <f>Clothing!P61</f>
        <v>1</v>
      </c>
      <c r="H853" s="918">
        <f>Clothing!Q61</f>
        <v>2</v>
      </c>
      <c r="I853" s="918">
        <f>Clothing!R61</f>
        <v>2</v>
      </c>
      <c r="J853" s="918">
        <f>Clothing!S61</f>
        <v>2</v>
      </c>
      <c r="K853" s="293">
        <f t="shared" si="13"/>
        <v>0.37356464144298934</v>
      </c>
    </row>
    <row r="854" spans="1:11">
      <c r="A854" s="918" t="s">
        <v>2043</v>
      </c>
      <c r="B854" s="918">
        <f>Clothing!B62</f>
        <v>2017</v>
      </c>
      <c r="C854" s="918" t="str">
        <f>Clothing!C62</f>
        <v>Acryl</v>
      </c>
      <c r="D854" s="919">
        <f>Clothing!K62</f>
        <v>1.3476085475783106</v>
      </c>
      <c r="E854" s="920" t="s">
        <v>2044</v>
      </c>
      <c r="F854" s="918">
        <f>Clothing!O62</f>
        <v>1</v>
      </c>
      <c r="G854" s="918">
        <f>Clothing!P62</f>
        <v>1</v>
      </c>
      <c r="H854" s="918">
        <f>Clothing!Q62</f>
        <v>2</v>
      </c>
      <c r="I854" s="918">
        <f>Clothing!R62</f>
        <v>2</v>
      </c>
      <c r="J854" s="918">
        <f>Clothing!S62</f>
        <v>2</v>
      </c>
      <c r="K854" s="293">
        <f t="shared" si="13"/>
        <v>0.37356464144298934</v>
      </c>
    </row>
    <row r="855" spans="1:11">
      <c r="A855" s="918" t="s">
        <v>2043</v>
      </c>
      <c r="B855" s="918">
        <f>Clothing!B63</f>
        <v>2017</v>
      </c>
      <c r="C855" s="918" t="str">
        <f>Clothing!C63</f>
        <v>OTHER</v>
      </c>
      <c r="D855" s="919">
        <f>Clothing!K63</f>
        <v>1.7953421644570506</v>
      </c>
      <c r="E855" s="920" t="s">
        <v>2044</v>
      </c>
      <c r="F855" s="918">
        <f>Clothing!O63</f>
        <v>1</v>
      </c>
      <c r="G855" s="918">
        <f>Clothing!P63</f>
        <v>1</v>
      </c>
      <c r="H855" s="918">
        <f>Clothing!Q63</f>
        <v>2</v>
      </c>
      <c r="I855" s="918">
        <f>Clothing!R63</f>
        <v>2</v>
      </c>
      <c r="J855" s="918">
        <f>Clothing!S63</f>
        <v>2</v>
      </c>
      <c r="K855" s="293">
        <f t="shared" si="13"/>
        <v>0.37356464144298934</v>
      </c>
    </row>
    <row r="856" spans="1:11">
      <c r="A856" s="918" t="s">
        <v>2043</v>
      </c>
      <c r="B856" s="918">
        <f>Clothing!B64</f>
        <v>2017</v>
      </c>
      <c r="C856" s="918" t="str">
        <f>Clothing!C64</f>
        <v>PA</v>
      </c>
      <c r="D856" s="919">
        <f>Clothing!K64</f>
        <v>4.1809981198003152</v>
      </c>
      <c r="E856" s="920" t="s">
        <v>2044</v>
      </c>
      <c r="F856" s="918">
        <f>Clothing!O64</f>
        <v>1</v>
      </c>
      <c r="G856" s="918">
        <f>Clothing!P64</f>
        <v>1</v>
      </c>
      <c r="H856" s="918">
        <f>Clothing!Q64</f>
        <v>2</v>
      </c>
      <c r="I856" s="918">
        <f>Clothing!R64</f>
        <v>2</v>
      </c>
      <c r="J856" s="918">
        <f>Clothing!S64</f>
        <v>2</v>
      </c>
      <c r="K856" s="293">
        <f t="shared" si="13"/>
        <v>0.37356464144298934</v>
      </c>
    </row>
    <row r="857" spans="1:11">
      <c r="A857" s="918" t="s">
        <v>2043</v>
      </c>
      <c r="B857" s="918">
        <f>Clothing!B65</f>
        <v>2017</v>
      </c>
      <c r="C857" s="918" t="str">
        <f>Clothing!C65</f>
        <v>PET</v>
      </c>
      <c r="D857" s="919">
        <f>Clothing!K65</f>
        <v>14.005677253863954</v>
      </c>
      <c r="E857" s="920" t="s">
        <v>2044</v>
      </c>
      <c r="F857" s="918">
        <f>Clothing!O65</f>
        <v>1</v>
      </c>
      <c r="G857" s="918">
        <f>Clothing!P65</f>
        <v>1</v>
      </c>
      <c r="H857" s="918">
        <f>Clothing!Q65</f>
        <v>2</v>
      </c>
      <c r="I857" s="918">
        <f>Clothing!R65</f>
        <v>2</v>
      </c>
      <c r="J857" s="918">
        <f>Clothing!S65</f>
        <v>2</v>
      </c>
      <c r="K857" s="293">
        <f t="shared" si="13"/>
        <v>0.37356464144298934</v>
      </c>
    </row>
    <row r="858" spans="1:11">
      <c r="A858" s="918" t="s">
        <v>2043</v>
      </c>
      <c r="B858" s="918">
        <f>Clothing!B66</f>
        <v>2017</v>
      </c>
      <c r="C858" s="918" t="str">
        <f>Clothing!C66</f>
        <v>PUR</v>
      </c>
      <c r="D858" s="919">
        <f>Clothing!K66</f>
        <v>2.6934109604892571</v>
      </c>
      <c r="E858" s="920" t="s">
        <v>2044</v>
      </c>
      <c r="F858" s="918">
        <f>Clothing!O66</f>
        <v>1</v>
      </c>
      <c r="G858" s="918">
        <f>Clothing!P66</f>
        <v>1</v>
      </c>
      <c r="H858" s="918">
        <f>Clothing!Q66</f>
        <v>2</v>
      </c>
      <c r="I858" s="918">
        <f>Clothing!R66</f>
        <v>2</v>
      </c>
      <c r="J858" s="918">
        <f>Clothing!S66</f>
        <v>2</v>
      </c>
      <c r="K858" s="293">
        <f t="shared" si="13"/>
        <v>0.37356464144298934</v>
      </c>
    </row>
    <row r="859" spans="1:11">
      <c r="A859" s="918" t="s">
        <v>2043</v>
      </c>
      <c r="B859" s="918">
        <f>Clothing!B67</f>
        <v>2017</v>
      </c>
      <c r="C859" s="918" t="str">
        <f>Clothing!C67</f>
        <v>PVC</v>
      </c>
      <c r="D859" s="919">
        <f>Clothing!K67</f>
        <v>1.6372265473178207</v>
      </c>
      <c r="E859" s="920" t="s">
        <v>2044</v>
      </c>
      <c r="F859" s="918">
        <f>Clothing!O67</f>
        <v>1</v>
      </c>
      <c r="G859" s="918">
        <f>Clothing!P67</f>
        <v>1</v>
      </c>
      <c r="H859" s="918">
        <f>Clothing!Q67</f>
        <v>2</v>
      </c>
      <c r="I859" s="918">
        <f>Clothing!R67</f>
        <v>2</v>
      </c>
      <c r="J859" s="918">
        <f>Clothing!S67</f>
        <v>2</v>
      </c>
      <c r="K859" s="293">
        <f t="shared" si="13"/>
        <v>0.37356464144298934</v>
      </c>
    </row>
    <row r="860" spans="1:11">
      <c r="A860" s="918" t="s">
        <v>2043</v>
      </c>
      <c r="B860" s="918">
        <f>Clothing!B68</f>
        <v>2017</v>
      </c>
      <c r="C860" s="918" t="str">
        <f>Clothing!C68</f>
        <v>RUBBER</v>
      </c>
      <c r="D860" s="919">
        <f>Clothing!K68</f>
        <v>2.0738727765469465</v>
      </c>
      <c r="E860" s="920" t="s">
        <v>2044</v>
      </c>
      <c r="F860" s="918">
        <f>Clothing!O68</f>
        <v>1</v>
      </c>
      <c r="G860" s="918">
        <f>Clothing!P68</f>
        <v>1</v>
      </c>
      <c r="H860" s="918">
        <f>Clothing!Q68</f>
        <v>2</v>
      </c>
      <c r="I860" s="918">
        <f>Clothing!R68</f>
        <v>2</v>
      </c>
      <c r="J860" s="918">
        <f>Clothing!S68</f>
        <v>2</v>
      </c>
      <c r="K860" s="293">
        <f t="shared" si="13"/>
        <v>0.37356464144298934</v>
      </c>
    </row>
    <row r="861" spans="1:11">
      <c r="A861" s="918" t="s">
        <v>2043</v>
      </c>
      <c r="B861" s="918">
        <f>Clothing!B69</f>
        <v>2018</v>
      </c>
      <c r="C861" s="918" t="str">
        <f>Clothing!C69</f>
        <v>Acryl</v>
      </c>
      <c r="D861" s="919">
        <f>Clothing!K69</f>
        <v>1.5107243308265994</v>
      </c>
      <c r="E861" s="920" t="s">
        <v>2044</v>
      </c>
      <c r="F861" s="918">
        <f>Clothing!O69</f>
        <v>1</v>
      </c>
      <c r="G861" s="918">
        <f>Clothing!P69</f>
        <v>1</v>
      </c>
      <c r="H861" s="918">
        <f>Clothing!Q69</f>
        <v>2</v>
      </c>
      <c r="I861" s="918">
        <f>Clothing!R69</f>
        <v>2</v>
      </c>
      <c r="J861" s="918">
        <f>Clothing!S69</f>
        <v>2</v>
      </c>
      <c r="K861" s="293">
        <f t="shared" si="13"/>
        <v>0.37356464144298934</v>
      </c>
    </row>
    <row r="862" spans="1:11">
      <c r="A862" s="918" t="s">
        <v>2043</v>
      </c>
      <c r="B862" s="918">
        <f>Clothing!B70</f>
        <v>2018</v>
      </c>
      <c r="C862" s="918" t="str">
        <f>Clothing!C70</f>
        <v>OTHER</v>
      </c>
      <c r="D862" s="919">
        <f>Clothing!K70</f>
        <v>2.4191683981692216</v>
      </c>
      <c r="E862" s="920" t="s">
        <v>2044</v>
      </c>
      <c r="F862" s="918">
        <f>Clothing!O70</f>
        <v>1</v>
      </c>
      <c r="G862" s="918">
        <f>Clothing!P70</f>
        <v>1</v>
      </c>
      <c r="H862" s="918">
        <f>Clothing!Q70</f>
        <v>2</v>
      </c>
      <c r="I862" s="918">
        <f>Clothing!R70</f>
        <v>2</v>
      </c>
      <c r="J862" s="918">
        <f>Clothing!S70</f>
        <v>2</v>
      </c>
      <c r="K862" s="293">
        <f t="shared" si="13"/>
        <v>0.37356464144298934</v>
      </c>
    </row>
    <row r="863" spans="1:11">
      <c r="A863" s="918" t="s">
        <v>2043</v>
      </c>
      <c r="B863" s="918">
        <f>Clothing!B71</f>
        <v>2018</v>
      </c>
      <c r="C863" s="918" t="str">
        <f>Clothing!C71</f>
        <v>PA</v>
      </c>
      <c r="D863" s="919">
        <f>Clothing!K71</f>
        <v>4.8427806568226011</v>
      </c>
      <c r="E863" s="920" t="s">
        <v>2044</v>
      </c>
      <c r="F863" s="918">
        <f>Clothing!O71</f>
        <v>1</v>
      </c>
      <c r="G863" s="918">
        <f>Clothing!P71</f>
        <v>1</v>
      </c>
      <c r="H863" s="918">
        <f>Clothing!Q71</f>
        <v>2</v>
      </c>
      <c r="I863" s="918">
        <f>Clothing!R71</f>
        <v>2</v>
      </c>
      <c r="J863" s="918">
        <f>Clothing!S71</f>
        <v>2</v>
      </c>
      <c r="K863" s="293">
        <f t="shared" si="13"/>
        <v>0.37356464144298934</v>
      </c>
    </row>
    <row r="864" spans="1:11">
      <c r="A864" s="918" t="s">
        <v>2043</v>
      </c>
      <c r="B864" s="918">
        <f>Clothing!B72</f>
        <v>2018</v>
      </c>
      <c r="C864" s="918" t="str">
        <f>Clothing!C72</f>
        <v>PET</v>
      </c>
      <c r="D864" s="919">
        <f>Clothing!K72</f>
        <v>17.3813538859233</v>
      </c>
      <c r="E864" s="920" t="s">
        <v>2044</v>
      </c>
      <c r="F864" s="918">
        <f>Clothing!O72</f>
        <v>1</v>
      </c>
      <c r="G864" s="918">
        <f>Clothing!P72</f>
        <v>1</v>
      </c>
      <c r="H864" s="918">
        <f>Clothing!Q72</f>
        <v>2</v>
      </c>
      <c r="I864" s="918">
        <f>Clothing!R72</f>
        <v>2</v>
      </c>
      <c r="J864" s="918">
        <f>Clothing!S72</f>
        <v>2</v>
      </c>
      <c r="K864" s="293">
        <f t="shared" si="13"/>
        <v>0.37356464144298934</v>
      </c>
    </row>
    <row r="865" spans="1:11">
      <c r="A865" s="918" t="s">
        <v>2043</v>
      </c>
      <c r="B865" s="918">
        <f>Clothing!B73</f>
        <v>2018</v>
      </c>
      <c r="C865" s="918" t="str">
        <f>Clothing!C73</f>
        <v>PUR</v>
      </c>
      <c r="D865" s="919">
        <f>Clothing!K73</f>
        <v>2.8042744025472994</v>
      </c>
      <c r="E865" s="920" t="s">
        <v>2044</v>
      </c>
      <c r="F865" s="918">
        <f>Clothing!O73</f>
        <v>1</v>
      </c>
      <c r="G865" s="918">
        <f>Clothing!P73</f>
        <v>1</v>
      </c>
      <c r="H865" s="918">
        <f>Clothing!Q73</f>
        <v>2</v>
      </c>
      <c r="I865" s="918">
        <f>Clothing!R73</f>
        <v>2</v>
      </c>
      <c r="J865" s="918">
        <f>Clothing!S73</f>
        <v>2</v>
      </c>
      <c r="K865" s="293">
        <f t="shared" si="13"/>
        <v>0.37356464144298934</v>
      </c>
    </row>
    <row r="866" spans="1:11">
      <c r="A866" s="918" t="s">
        <v>2043</v>
      </c>
      <c r="B866" s="918">
        <f>Clothing!B74</f>
        <v>2018</v>
      </c>
      <c r="C866" s="918" t="str">
        <f>Clothing!C74</f>
        <v>PVC</v>
      </c>
      <c r="D866" s="919">
        <f>Clothing!K74</f>
        <v>1.7252653723349698</v>
      </c>
      <c r="E866" s="920" t="s">
        <v>2044</v>
      </c>
      <c r="F866" s="918">
        <f>Clothing!O74</f>
        <v>1</v>
      </c>
      <c r="G866" s="918">
        <f>Clothing!P74</f>
        <v>1</v>
      </c>
      <c r="H866" s="918">
        <f>Clothing!Q74</f>
        <v>2</v>
      </c>
      <c r="I866" s="918">
        <f>Clothing!R74</f>
        <v>2</v>
      </c>
      <c r="J866" s="918">
        <f>Clothing!S74</f>
        <v>2</v>
      </c>
      <c r="K866" s="293">
        <f t="shared" si="13"/>
        <v>0.37356464144298934</v>
      </c>
    </row>
    <row r="867" spans="1:11">
      <c r="A867" s="918" t="s">
        <v>2043</v>
      </c>
      <c r="B867" s="918">
        <f>Clothing!B75</f>
        <v>2018</v>
      </c>
      <c r="C867" s="918" t="str">
        <f>Clothing!C75</f>
        <v>RUBBER</v>
      </c>
      <c r="D867" s="919">
        <f>Clothing!K75</f>
        <v>2.5371011303645723</v>
      </c>
      <c r="E867" s="920" t="s">
        <v>2044</v>
      </c>
      <c r="F867" s="918">
        <f>Clothing!O75</f>
        <v>1</v>
      </c>
      <c r="G867" s="918">
        <f>Clothing!P75</f>
        <v>1</v>
      </c>
      <c r="H867" s="918">
        <f>Clothing!Q75</f>
        <v>2</v>
      </c>
      <c r="I867" s="918">
        <f>Clothing!R75</f>
        <v>2</v>
      </c>
      <c r="J867" s="918">
        <f>Clothing!S75</f>
        <v>2</v>
      </c>
      <c r="K867" s="293">
        <f t="shared" si="13"/>
        <v>0.37356464144298934</v>
      </c>
    </row>
    <row r="868" spans="1:11">
      <c r="A868" s="918" t="s">
        <v>2043</v>
      </c>
      <c r="B868" s="918">
        <f>Clothing!B76</f>
        <v>2019</v>
      </c>
      <c r="C868" s="918" t="str">
        <f>Clothing!C76</f>
        <v>Acryl</v>
      </c>
      <c r="D868" s="919">
        <f>Clothing!K76</f>
        <v>1.3447711417853476</v>
      </c>
      <c r="E868" s="920" t="s">
        <v>2044</v>
      </c>
      <c r="F868" s="918">
        <f>Clothing!O76</f>
        <v>1</v>
      </c>
      <c r="G868" s="918">
        <f>Clothing!P76</f>
        <v>1</v>
      </c>
      <c r="H868" s="918">
        <f>Clothing!Q76</f>
        <v>2</v>
      </c>
      <c r="I868" s="918">
        <f>Clothing!R76</f>
        <v>2</v>
      </c>
      <c r="J868" s="918">
        <f>Clothing!S76</f>
        <v>2</v>
      </c>
      <c r="K868" s="293">
        <f t="shared" si="13"/>
        <v>0.37356464144298934</v>
      </c>
    </row>
    <row r="869" spans="1:11">
      <c r="A869" s="918" t="s">
        <v>2043</v>
      </c>
      <c r="B869" s="918">
        <f>Clothing!B77</f>
        <v>2019</v>
      </c>
      <c r="C869" s="918" t="str">
        <f>Clothing!C77</f>
        <v>OTHER</v>
      </c>
      <c r="D869" s="919">
        <f>Clothing!K77</f>
        <v>1.9999050083245817</v>
      </c>
      <c r="E869" s="920" t="s">
        <v>2044</v>
      </c>
      <c r="F869" s="918">
        <f>Clothing!O77</f>
        <v>1</v>
      </c>
      <c r="G869" s="918">
        <f>Clothing!P77</f>
        <v>1</v>
      </c>
      <c r="H869" s="918">
        <f>Clothing!Q77</f>
        <v>2</v>
      </c>
      <c r="I869" s="918">
        <f>Clothing!R77</f>
        <v>2</v>
      </c>
      <c r="J869" s="918">
        <f>Clothing!S77</f>
        <v>2</v>
      </c>
      <c r="K869" s="293">
        <f t="shared" si="13"/>
        <v>0.37356464144298934</v>
      </c>
    </row>
    <row r="870" spans="1:11">
      <c r="A870" s="918" t="s">
        <v>2043</v>
      </c>
      <c r="B870" s="918">
        <f>Clothing!B78</f>
        <v>2019</v>
      </c>
      <c r="C870" s="918" t="str">
        <f>Clothing!C78</f>
        <v>PA</v>
      </c>
      <c r="D870" s="919">
        <f>Clothing!K78</f>
        <v>4.0176389810612312</v>
      </c>
      <c r="E870" s="920" t="s">
        <v>2044</v>
      </c>
      <c r="F870" s="918">
        <f>Clothing!O78</f>
        <v>1</v>
      </c>
      <c r="G870" s="918">
        <f>Clothing!P78</f>
        <v>1</v>
      </c>
      <c r="H870" s="918">
        <f>Clothing!Q78</f>
        <v>2</v>
      </c>
      <c r="I870" s="918">
        <f>Clothing!R78</f>
        <v>2</v>
      </c>
      <c r="J870" s="918">
        <f>Clothing!S78</f>
        <v>2</v>
      </c>
      <c r="K870" s="293">
        <f t="shared" si="13"/>
        <v>0.37356464144298934</v>
      </c>
    </row>
    <row r="871" spans="1:11">
      <c r="A871" s="918" t="s">
        <v>2043</v>
      </c>
      <c r="B871" s="918">
        <f>Clothing!B79</f>
        <v>2019</v>
      </c>
      <c r="C871" s="918" t="str">
        <f>Clothing!C79</f>
        <v>PET</v>
      </c>
      <c r="D871" s="919">
        <f>Clothing!K79</f>
        <v>13.983304081100663</v>
      </c>
      <c r="E871" s="920" t="s">
        <v>2044</v>
      </c>
      <c r="F871" s="918">
        <f>Clothing!O79</f>
        <v>1</v>
      </c>
      <c r="G871" s="918">
        <f>Clothing!P79</f>
        <v>1</v>
      </c>
      <c r="H871" s="918">
        <f>Clothing!Q79</f>
        <v>2</v>
      </c>
      <c r="I871" s="918">
        <f>Clothing!R79</f>
        <v>2</v>
      </c>
      <c r="J871" s="918">
        <f>Clothing!S79</f>
        <v>2</v>
      </c>
      <c r="K871" s="293">
        <f t="shared" si="13"/>
        <v>0.37356464144298934</v>
      </c>
    </row>
    <row r="872" spans="1:11">
      <c r="A872" s="918" t="s">
        <v>2043</v>
      </c>
      <c r="B872" s="918">
        <f>Clothing!B80</f>
        <v>2019</v>
      </c>
      <c r="C872" s="918" t="str">
        <f>Clothing!C80</f>
        <v>PUR</v>
      </c>
      <c r="D872" s="919">
        <f>Clothing!K80</f>
        <v>2.5069411175258973</v>
      </c>
      <c r="E872" s="920" t="s">
        <v>2044</v>
      </c>
      <c r="F872" s="918">
        <f>Clothing!O80</f>
        <v>1</v>
      </c>
      <c r="G872" s="918">
        <f>Clothing!P80</f>
        <v>1</v>
      </c>
      <c r="H872" s="918">
        <f>Clothing!Q80</f>
        <v>2</v>
      </c>
      <c r="I872" s="918">
        <f>Clothing!R80</f>
        <v>2</v>
      </c>
      <c r="J872" s="918">
        <f>Clothing!S80</f>
        <v>2</v>
      </c>
      <c r="K872" s="293">
        <f t="shared" si="13"/>
        <v>0.37356464144298934</v>
      </c>
    </row>
    <row r="873" spans="1:11">
      <c r="A873" s="918" t="s">
        <v>2043</v>
      </c>
      <c r="B873" s="918">
        <f>Clothing!B81</f>
        <v>2019</v>
      </c>
      <c r="C873" s="918" t="str">
        <f>Clothing!C81</f>
        <v>PVC</v>
      </c>
      <c r="D873" s="919">
        <f>Clothing!K81</f>
        <v>1.5229676657207667</v>
      </c>
      <c r="E873" s="920" t="s">
        <v>2044</v>
      </c>
      <c r="F873" s="918">
        <f>Clothing!O81</f>
        <v>1</v>
      </c>
      <c r="G873" s="918">
        <f>Clothing!P81</f>
        <v>1</v>
      </c>
      <c r="H873" s="918">
        <f>Clothing!Q81</f>
        <v>2</v>
      </c>
      <c r="I873" s="918">
        <f>Clothing!R81</f>
        <v>2</v>
      </c>
      <c r="J873" s="918">
        <f>Clothing!S81</f>
        <v>2</v>
      </c>
      <c r="K873" s="293">
        <f t="shared" si="13"/>
        <v>0.37356464144298934</v>
      </c>
    </row>
    <row r="874" spans="1:11">
      <c r="A874" s="918" t="s">
        <v>2043</v>
      </c>
      <c r="B874" s="918">
        <f>Clothing!B82</f>
        <v>2019</v>
      </c>
      <c r="C874" s="918" t="str">
        <f>Clothing!C82</f>
        <v>RUBBER</v>
      </c>
      <c r="D874" s="919">
        <f>Clothing!K82</f>
        <v>1.9873782230630601</v>
      </c>
      <c r="E874" s="920" t="s">
        <v>2044</v>
      </c>
      <c r="F874" s="918">
        <f>Clothing!O82</f>
        <v>1</v>
      </c>
      <c r="G874" s="918">
        <f>Clothing!P82</f>
        <v>1</v>
      </c>
      <c r="H874" s="918">
        <f>Clothing!Q82</f>
        <v>2</v>
      </c>
      <c r="I874" s="918">
        <f>Clothing!R82</f>
        <v>2</v>
      </c>
      <c r="J874" s="918">
        <f>Clothing!S82</f>
        <v>2</v>
      </c>
      <c r="K874" s="293">
        <f t="shared" si="13"/>
        <v>0.37356464144298934</v>
      </c>
    </row>
    <row r="875" spans="1:11">
      <c r="A875" s="918" t="s">
        <v>2043</v>
      </c>
      <c r="B875" s="918">
        <f>Clothing!B83</f>
        <v>2020</v>
      </c>
      <c r="C875" s="918" t="str">
        <f>Clothing!C83</f>
        <v>Acryl</v>
      </c>
      <c r="D875" s="919">
        <f>Clothing!K83</f>
        <v>0.57858596055817468</v>
      </c>
      <c r="E875" s="920" t="s">
        <v>2044</v>
      </c>
      <c r="F875" s="918">
        <f>Clothing!O83</f>
        <v>1</v>
      </c>
      <c r="G875" s="918">
        <f>Clothing!P83</f>
        <v>1</v>
      </c>
      <c r="H875" s="918">
        <f>Clothing!Q83</f>
        <v>2</v>
      </c>
      <c r="I875" s="918">
        <f>Clothing!R83</f>
        <v>2</v>
      </c>
      <c r="J875" s="918">
        <f>Clothing!S83</f>
        <v>2</v>
      </c>
      <c r="K875" s="293">
        <f t="shared" si="13"/>
        <v>0.37356464144298934</v>
      </c>
    </row>
    <row r="876" spans="1:11">
      <c r="A876" s="918" t="s">
        <v>2043</v>
      </c>
      <c r="B876" s="918">
        <f>Clothing!B84</f>
        <v>2020</v>
      </c>
      <c r="C876" s="918" t="str">
        <f>Clothing!C84</f>
        <v>OTHER</v>
      </c>
      <c r="D876" s="919">
        <f>Clothing!K84</f>
        <v>0.77293913678159698</v>
      </c>
      <c r="E876" s="920" t="s">
        <v>2044</v>
      </c>
      <c r="F876" s="918">
        <f>Clothing!O84</f>
        <v>1</v>
      </c>
      <c r="G876" s="918">
        <f>Clothing!P84</f>
        <v>1</v>
      </c>
      <c r="H876" s="918">
        <f>Clothing!Q84</f>
        <v>2</v>
      </c>
      <c r="I876" s="918">
        <f>Clothing!R84</f>
        <v>2</v>
      </c>
      <c r="J876" s="918">
        <f>Clothing!S84</f>
        <v>2</v>
      </c>
      <c r="K876" s="293">
        <f t="shared" si="13"/>
        <v>0.37356464144298934</v>
      </c>
    </row>
    <row r="877" spans="1:11">
      <c r="A877" s="918" t="s">
        <v>2043</v>
      </c>
      <c r="B877" s="918">
        <f>Clothing!B85</f>
        <v>2020</v>
      </c>
      <c r="C877" s="918" t="str">
        <f>Clothing!C85</f>
        <v>PA</v>
      </c>
      <c r="D877" s="919">
        <f>Clothing!K85</f>
        <v>1.608429992653017</v>
      </c>
      <c r="E877" s="920" t="s">
        <v>2044</v>
      </c>
      <c r="F877" s="918">
        <f>Clothing!O85</f>
        <v>1</v>
      </c>
      <c r="G877" s="918">
        <f>Clothing!P85</f>
        <v>1</v>
      </c>
      <c r="H877" s="918">
        <f>Clothing!Q85</f>
        <v>2</v>
      </c>
      <c r="I877" s="918">
        <f>Clothing!R85</f>
        <v>2</v>
      </c>
      <c r="J877" s="918">
        <f>Clothing!S85</f>
        <v>2</v>
      </c>
      <c r="K877" s="293">
        <f t="shared" si="13"/>
        <v>0.37356464144298934</v>
      </c>
    </row>
    <row r="878" spans="1:11">
      <c r="A878" s="918" t="s">
        <v>2043</v>
      </c>
      <c r="B878" s="918">
        <f>Clothing!B86</f>
        <v>2020</v>
      </c>
      <c r="C878" s="918" t="str">
        <f>Clothing!C86</f>
        <v>PET</v>
      </c>
      <c r="D878" s="919">
        <f>Clothing!K86</f>
        <v>5.1184992076113964</v>
      </c>
      <c r="E878" s="920" t="s">
        <v>2044</v>
      </c>
      <c r="F878" s="918">
        <f>Clothing!O86</f>
        <v>1</v>
      </c>
      <c r="G878" s="918">
        <f>Clothing!P86</f>
        <v>1</v>
      </c>
      <c r="H878" s="918">
        <f>Clothing!Q86</f>
        <v>2</v>
      </c>
      <c r="I878" s="918">
        <f>Clothing!R86</f>
        <v>2</v>
      </c>
      <c r="J878" s="918">
        <f>Clothing!S86</f>
        <v>2</v>
      </c>
      <c r="K878" s="293">
        <f t="shared" si="13"/>
        <v>0.37356464144298934</v>
      </c>
    </row>
    <row r="879" spans="1:11">
      <c r="A879" s="918" t="s">
        <v>2043</v>
      </c>
      <c r="B879" s="918">
        <f>Clothing!B87</f>
        <v>2020</v>
      </c>
      <c r="C879" s="918" t="str">
        <f>Clothing!C87</f>
        <v>PUR</v>
      </c>
      <c r="D879" s="919">
        <f>Clothing!K87</f>
        <v>1.7182711116575502</v>
      </c>
      <c r="E879" s="920" t="s">
        <v>2044</v>
      </c>
      <c r="F879" s="918">
        <f>Clothing!O87</f>
        <v>1</v>
      </c>
      <c r="G879" s="918">
        <f>Clothing!P87</f>
        <v>1</v>
      </c>
      <c r="H879" s="918">
        <f>Clothing!Q87</f>
        <v>2</v>
      </c>
      <c r="I879" s="918">
        <f>Clothing!R87</f>
        <v>2</v>
      </c>
      <c r="J879" s="918">
        <f>Clothing!S87</f>
        <v>2</v>
      </c>
      <c r="K879" s="293">
        <f t="shared" si="13"/>
        <v>0.37356464144298934</v>
      </c>
    </row>
    <row r="880" spans="1:11">
      <c r="A880" s="918" t="s">
        <v>2043</v>
      </c>
      <c r="B880" s="918">
        <f>Clothing!B88</f>
        <v>2020</v>
      </c>
      <c r="C880" s="918" t="str">
        <f>Clothing!C88</f>
        <v>PVC</v>
      </c>
      <c r="D880" s="919">
        <f>Clothing!K88</f>
        <v>1.0208136854516581</v>
      </c>
      <c r="E880" s="920" t="s">
        <v>2044</v>
      </c>
      <c r="F880" s="918">
        <f>Clothing!O88</f>
        <v>1</v>
      </c>
      <c r="G880" s="918">
        <f>Clothing!P88</f>
        <v>1</v>
      </c>
      <c r="H880" s="918">
        <f>Clothing!Q88</f>
        <v>2</v>
      </c>
      <c r="I880" s="918">
        <f>Clothing!R88</f>
        <v>2</v>
      </c>
      <c r="J880" s="918">
        <f>Clothing!S88</f>
        <v>2</v>
      </c>
      <c r="K880" s="293">
        <f t="shared" si="13"/>
        <v>0.37356464144298934</v>
      </c>
    </row>
    <row r="881" spans="1:11">
      <c r="A881" s="918" t="s">
        <v>2043</v>
      </c>
      <c r="B881" s="918">
        <f>Clothing!B89</f>
        <v>2020</v>
      </c>
      <c r="C881" s="918" t="str">
        <f>Clothing!C89</f>
        <v>RUBBER</v>
      </c>
      <c r="D881" s="919">
        <f>Clothing!K89</f>
        <v>1.1400132603399793</v>
      </c>
      <c r="E881" s="920" t="s">
        <v>2044</v>
      </c>
      <c r="F881" s="918">
        <f>Clothing!O89</f>
        <v>1</v>
      </c>
      <c r="G881" s="918">
        <f>Clothing!P89</f>
        <v>1</v>
      </c>
      <c r="H881" s="918">
        <f>Clothing!Q89</f>
        <v>2</v>
      </c>
      <c r="I881" s="918">
        <f>Clothing!R89</f>
        <v>2</v>
      </c>
      <c r="J881" s="918">
        <f>Clothing!S89</f>
        <v>2</v>
      </c>
      <c r="K881" s="293">
        <f t="shared" si="13"/>
        <v>0.37356464144298934</v>
      </c>
    </row>
    <row r="882" spans="1:11">
      <c r="A882" s="918" t="s">
        <v>2043</v>
      </c>
      <c r="B882" s="918">
        <f>Clothing!B90</f>
        <v>2021</v>
      </c>
      <c r="C882" s="918" t="str">
        <f>Clothing!C90</f>
        <v>Acryl</v>
      </c>
      <c r="D882" s="919">
        <f>Clothing!K90</f>
        <v>0.65518473748996497</v>
      </c>
      <c r="E882" s="920" t="s">
        <v>2044</v>
      </c>
      <c r="F882" s="918">
        <f>Clothing!O90</f>
        <v>1</v>
      </c>
      <c r="G882" s="918">
        <f>Clothing!P90</f>
        <v>1</v>
      </c>
      <c r="H882" s="918">
        <f>Clothing!Q90</f>
        <v>2</v>
      </c>
      <c r="I882" s="918">
        <f>Clothing!R90</f>
        <v>2</v>
      </c>
      <c r="J882" s="918">
        <f>Clothing!S90</f>
        <v>2</v>
      </c>
      <c r="K882" s="293">
        <f t="shared" si="13"/>
        <v>0.37356464144298934</v>
      </c>
    </row>
    <row r="883" spans="1:11">
      <c r="A883" s="918" t="s">
        <v>2043</v>
      </c>
      <c r="B883" s="918">
        <f>Clothing!B91</f>
        <v>2021</v>
      </c>
      <c r="C883" s="918" t="str">
        <f>Clothing!C91</f>
        <v>OTHER</v>
      </c>
      <c r="D883" s="919">
        <f>Clothing!K91</f>
        <v>0.7774650612248083</v>
      </c>
      <c r="E883" s="920" t="s">
        <v>2044</v>
      </c>
      <c r="F883" s="918">
        <f>Clothing!O91</f>
        <v>1</v>
      </c>
      <c r="G883" s="918">
        <f>Clothing!P91</f>
        <v>1</v>
      </c>
      <c r="H883" s="918">
        <f>Clothing!Q91</f>
        <v>2</v>
      </c>
      <c r="I883" s="918">
        <f>Clothing!R91</f>
        <v>2</v>
      </c>
      <c r="J883" s="918">
        <f>Clothing!S91</f>
        <v>2</v>
      </c>
      <c r="K883" s="293">
        <f t="shared" si="13"/>
        <v>0.37356464144298934</v>
      </c>
    </row>
    <row r="884" spans="1:11">
      <c r="A884" s="918" t="s">
        <v>2043</v>
      </c>
      <c r="B884" s="918">
        <f>Clothing!B92</f>
        <v>2021</v>
      </c>
      <c r="C884" s="918" t="str">
        <f>Clothing!C92</f>
        <v>PA</v>
      </c>
      <c r="D884" s="919">
        <f>Clothing!K92</f>
        <v>1.4966883397981259</v>
      </c>
      <c r="E884" s="920" t="s">
        <v>2044</v>
      </c>
      <c r="F884" s="918">
        <f>Clothing!O92</f>
        <v>1</v>
      </c>
      <c r="G884" s="918">
        <f>Clothing!P92</f>
        <v>1</v>
      </c>
      <c r="H884" s="918">
        <f>Clothing!Q92</f>
        <v>2</v>
      </c>
      <c r="I884" s="918">
        <f>Clothing!R92</f>
        <v>2</v>
      </c>
      <c r="J884" s="918">
        <f>Clothing!S92</f>
        <v>2</v>
      </c>
      <c r="K884" s="293">
        <f t="shared" si="13"/>
        <v>0.37356464144298934</v>
      </c>
    </row>
    <row r="885" spans="1:11">
      <c r="A885" s="918" t="s">
        <v>2043</v>
      </c>
      <c r="B885" s="918">
        <f>Clothing!B93</f>
        <v>2021</v>
      </c>
      <c r="C885" s="918" t="str">
        <f>Clothing!C93</f>
        <v>PET</v>
      </c>
      <c r="D885" s="919">
        <f>Clothing!K93</f>
        <v>5.617100830561192</v>
      </c>
      <c r="E885" s="920" t="s">
        <v>2044</v>
      </c>
      <c r="F885" s="918">
        <f>Clothing!O93</f>
        <v>1</v>
      </c>
      <c r="G885" s="918">
        <f>Clothing!P93</f>
        <v>1</v>
      </c>
      <c r="H885" s="918">
        <f>Clothing!Q93</f>
        <v>2</v>
      </c>
      <c r="I885" s="918">
        <f>Clothing!R93</f>
        <v>2</v>
      </c>
      <c r="J885" s="918">
        <f>Clothing!S93</f>
        <v>2</v>
      </c>
      <c r="K885" s="293">
        <f t="shared" si="13"/>
        <v>0.37356464144298934</v>
      </c>
    </row>
    <row r="886" spans="1:11">
      <c r="A886" s="918" t="s">
        <v>2043</v>
      </c>
      <c r="B886" s="918">
        <f>Clothing!B94</f>
        <v>2021</v>
      </c>
      <c r="C886" s="918" t="str">
        <f>Clothing!C94</f>
        <v>PUR</v>
      </c>
      <c r="D886" s="919">
        <f>Clothing!K94</f>
        <v>2.1694329689042839</v>
      </c>
      <c r="E886" s="920" t="s">
        <v>2044</v>
      </c>
      <c r="F886" s="918">
        <f>Clothing!O94</f>
        <v>1</v>
      </c>
      <c r="G886" s="918">
        <f>Clothing!P94</f>
        <v>1</v>
      </c>
      <c r="H886" s="918">
        <f>Clothing!Q94</f>
        <v>2</v>
      </c>
      <c r="I886" s="918">
        <f>Clothing!R94</f>
        <v>2</v>
      </c>
      <c r="J886" s="918">
        <f>Clothing!S94</f>
        <v>2</v>
      </c>
      <c r="K886" s="293">
        <f t="shared" si="13"/>
        <v>0.37356464144298934</v>
      </c>
    </row>
    <row r="887" spans="1:11">
      <c r="A887" s="918" t="s">
        <v>2043</v>
      </c>
      <c r="B887" s="918">
        <f>Clothing!B95</f>
        <v>2021</v>
      </c>
      <c r="C887" s="918" t="str">
        <f>Clothing!C95</f>
        <v>PVC</v>
      </c>
      <c r="D887" s="919">
        <f>Clothing!K95</f>
        <v>1.2924775325611118</v>
      </c>
      <c r="E887" s="920" t="s">
        <v>2044</v>
      </c>
      <c r="F887" s="918">
        <f>Clothing!O95</f>
        <v>1</v>
      </c>
      <c r="G887" s="918">
        <f>Clothing!P95</f>
        <v>1</v>
      </c>
      <c r="H887" s="918">
        <f>Clothing!Q95</f>
        <v>2</v>
      </c>
      <c r="I887" s="918">
        <f>Clothing!R95</f>
        <v>2</v>
      </c>
      <c r="J887" s="918">
        <f>Clothing!S95</f>
        <v>2</v>
      </c>
      <c r="K887" s="293">
        <f t="shared" si="13"/>
        <v>0.37356464144298934</v>
      </c>
    </row>
    <row r="888" spans="1:11">
      <c r="A888" s="918" t="s">
        <v>2043</v>
      </c>
      <c r="B888" s="918">
        <f>Clothing!B96</f>
        <v>2021</v>
      </c>
      <c r="C888" s="918" t="str">
        <f>Clothing!C96</f>
        <v>RUBBER</v>
      </c>
      <c r="D888" s="919">
        <f>Clothing!K96</f>
        <v>1.468102924447648</v>
      </c>
      <c r="E888" s="920" t="s">
        <v>2044</v>
      </c>
      <c r="F888" s="918">
        <f>Clothing!O96</f>
        <v>1</v>
      </c>
      <c r="G888" s="918">
        <f>Clothing!P96</f>
        <v>1</v>
      </c>
      <c r="H888" s="918">
        <f>Clothing!Q96</f>
        <v>2</v>
      </c>
      <c r="I888" s="918">
        <f>Clothing!R96</f>
        <v>2</v>
      </c>
      <c r="J888" s="918">
        <f>Clothing!S96</f>
        <v>2</v>
      </c>
      <c r="K888" s="293">
        <f t="shared" si="13"/>
        <v>0.37356464144298934</v>
      </c>
    </row>
    <row r="889" spans="1:11">
      <c r="A889" s="918" t="s">
        <v>2043</v>
      </c>
      <c r="B889" s="918">
        <f>Clothing!B97</f>
        <v>2022</v>
      </c>
      <c r="C889" s="918" t="str">
        <f>Clothing!C97</f>
        <v>Acryl</v>
      </c>
      <c r="D889" s="919">
        <f>Clothing!K97</f>
        <v>0.99075859509354114</v>
      </c>
      <c r="E889" s="920" t="s">
        <v>2044</v>
      </c>
      <c r="F889" s="918">
        <f>Clothing!O97</f>
        <v>1</v>
      </c>
      <c r="G889" s="918">
        <f>Clothing!P97</f>
        <v>1</v>
      </c>
      <c r="H889" s="918">
        <f>Clothing!Q97</f>
        <v>2</v>
      </c>
      <c r="I889" s="918">
        <f>Clothing!R97</f>
        <v>2</v>
      </c>
      <c r="J889" s="918">
        <f>Clothing!S97</f>
        <v>2</v>
      </c>
      <c r="K889" s="293">
        <f t="shared" si="13"/>
        <v>0.37356464144298934</v>
      </c>
    </row>
    <row r="890" spans="1:11">
      <c r="A890" s="918" t="s">
        <v>2043</v>
      </c>
      <c r="B890" s="918">
        <f>Clothing!B98</f>
        <v>2022</v>
      </c>
      <c r="C890" s="918" t="str">
        <f>Clothing!C98</f>
        <v>OTHER</v>
      </c>
      <c r="D890" s="919">
        <f>Clothing!K98</f>
        <v>1.6065030509265252</v>
      </c>
      <c r="E890" s="920" t="s">
        <v>2044</v>
      </c>
      <c r="F890" s="918">
        <f>Clothing!O98</f>
        <v>1</v>
      </c>
      <c r="G890" s="918">
        <f>Clothing!P98</f>
        <v>1</v>
      </c>
      <c r="H890" s="918">
        <f>Clothing!Q98</f>
        <v>2</v>
      </c>
      <c r="I890" s="918">
        <f>Clothing!R98</f>
        <v>2</v>
      </c>
      <c r="J890" s="918">
        <f>Clothing!S98</f>
        <v>2</v>
      </c>
      <c r="K890" s="293">
        <f t="shared" si="13"/>
        <v>0.37356464144298934</v>
      </c>
    </row>
    <row r="891" spans="1:11">
      <c r="A891" s="918" t="s">
        <v>2043</v>
      </c>
      <c r="B891" s="918">
        <f>Clothing!B99</f>
        <v>2022</v>
      </c>
      <c r="C891" s="918" t="str">
        <f>Clothing!C99</f>
        <v>PA</v>
      </c>
      <c r="D891" s="919">
        <f>Clothing!K99</f>
        <v>2.5935270031614568</v>
      </c>
      <c r="E891" s="920" t="s">
        <v>2044</v>
      </c>
      <c r="F891" s="918">
        <f>Clothing!O99</f>
        <v>1</v>
      </c>
      <c r="G891" s="918">
        <f>Clothing!P99</f>
        <v>1</v>
      </c>
      <c r="H891" s="918">
        <f>Clothing!Q99</f>
        <v>2</v>
      </c>
      <c r="I891" s="918">
        <f>Clothing!R99</f>
        <v>2</v>
      </c>
      <c r="J891" s="918">
        <f>Clothing!S99</f>
        <v>2</v>
      </c>
      <c r="K891" s="293">
        <f t="shared" si="13"/>
        <v>0.37356464144298934</v>
      </c>
    </row>
    <row r="892" spans="1:11">
      <c r="A892" s="918" t="s">
        <v>2043</v>
      </c>
      <c r="B892" s="918">
        <f>Clothing!B100</f>
        <v>2022</v>
      </c>
      <c r="C892" s="918" t="str">
        <f>Clothing!C100</f>
        <v>PET</v>
      </c>
      <c r="D892" s="919">
        <f>Clothing!K100</f>
        <v>9.1422902607617065</v>
      </c>
      <c r="E892" s="920" t="s">
        <v>2044</v>
      </c>
      <c r="F892" s="918">
        <f>Clothing!O100</f>
        <v>1</v>
      </c>
      <c r="G892" s="918">
        <f>Clothing!P100</f>
        <v>1</v>
      </c>
      <c r="H892" s="918">
        <f>Clothing!Q100</f>
        <v>2</v>
      </c>
      <c r="I892" s="918">
        <f>Clothing!R100</f>
        <v>2</v>
      </c>
      <c r="J892" s="918">
        <f>Clothing!S100</f>
        <v>2</v>
      </c>
      <c r="K892" s="293">
        <f t="shared" si="13"/>
        <v>0.37356464144298934</v>
      </c>
    </row>
    <row r="893" spans="1:11">
      <c r="A893" s="918" t="s">
        <v>2043</v>
      </c>
      <c r="B893" s="918">
        <f>Clothing!B101</f>
        <v>2022</v>
      </c>
      <c r="C893" s="918" t="str">
        <f>Clothing!C101</f>
        <v>PUR</v>
      </c>
      <c r="D893" s="919">
        <f>Clothing!K101</f>
        <v>2.2275685225261483</v>
      </c>
      <c r="E893" s="920" t="s">
        <v>2044</v>
      </c>
      <c r="F893" s="918">
        <f>Clothing!O101</f>
        <v>1</v>
      </c>
      <c r="G893" s="918">
        <f>Clothing!P101</f>
        <v>1</v>
      </c>
      <c r="H893" s="918">
        <f>Clothing!Q101</f>
        <v>2</v>
      </c>
      <c r="I893" s="918">
        <f>Clothing!R101</f>
        <v>2</v>
      </c>
      <c r="J893" s="918">
        <f>Clothing!S101</f>
        <v>2</v>
      </c>
      <c r="K893" s="293">
        <f t="shared" ref="K893:K956" si="14">IF( OR( ISBLANK(F893),ISBLANK(G893), ISBLANK(H893), ISBLANK(I893), ISBLANK(J893) ), "", 1.5*SQRT(   EXP(2.21*(F893-1)) + EXP(2.21*(G893-1)) + EXP(2.21*(H893-1)) + EXP(2.21*(I893-1)) + EXP(2.21*J893)   )/100*2.45 )</f>
        <v>0.37356464144298934</v>
      </c>
    </row>
    <row r="894" spans="1:11">
      <c r="A894" s="918" t="s">
        <v>2043</v>
      </c>
      <c r="B894" s="918">
        <f>Clothing!B102</f>
        <v>2022</v>
      </c>
      <c r="C894" s="918" t="str">
        <f>Clothing!C102</f>
        <v>PVC</v>
      </c>
      <c r="D894" s="919">
        <f>Clothing!K102</f>
        <v>1.3615167263339654</v>
      </c>
      <c r="E894" s="920" t="s">
        <v>2044</v>
      </c>
      <c r="F894" s="918">
        <f>Clothing!O102</f>
        <v>1</v>
      </c>
      <c r="G894" s="918">
        <f>Clothing!P102</f>
        <v>1</v>
      </c>
      <c r="H894" s="918">
        <f>Clothing!Q102</f>
        <v>2</v>
      </c>
      <c r="I894" s="918">
        <f>Clothing!R102</f>
        <v>2</v>
      </c>
      <c r="J894" s="918">
        <f>Clothing!S102</f>
        <v>2</v>
      </c>
      <c r="K894" s="293">
        <f t="shared" si="14"/>
        <v>0.37356464144298934</v>
      </c>
    </row>
    <row r="895" spans="1:11">
      <c r="A895" s="918" t="s">
        <v>2043</v>
      </c>
      <c r="B895" s="918">
        <f>Clothing!B103</f>
        <v>2022</v>
      </c>
      <c r="C895" s="918" t="str">
        <f>Clothing!C103</f>
        <v>RUBBER</v>
      </c>
      <c r="D895" s="919">
        <f>Clothing!K103</f>
        <v>1.8388419351528162</v>
      </c>
      <c r="E895" s="920" t="s">
        <v>2044</v>
      </c>
      <c r="F895" s="918">
        <f>Clothing!O103</f>
        <v>1</v>
      </c>
      <c r="G895" s="918">
        <f>Clothing!P103</f>
        <v>1</v>
      </c>
      <c r="H895" s="918">
        <f>Clothing!Q103</f>
        <v>2</v>
      </c>
      <c r="I895" s="918">
        <f>Clothing!R103</f>
        <v>2</v>
      </c>
      <c r="J895" s="918">
        <f>Clothing!S103</f>
        <v>2</v>
      </c>
      <c r="K895" s="293">
        <f t="shared" si="14"/>
        <v>0.37356464144298934</v>
      </c>
    </row>
    <row r="896" spans="1:11">
      <c r="A896" s="918" t="s">
        <v>2043</v>
      </c>
      <c r="B896" s="918">
        <f>Clothing!B20</f>
        <v>2011</v>
      </c>
      <c r="C896" s="918" t="str">
        <f>Clothing!C20</f>
        <v>Acryl</v>
      </c>
      <c r="D896" s="918">
        <f>Clothing!L20</f>
        <v>1.9845253013860829</v>
      </c>
      <c r="E896" s="920" t="s">
        <v>2045</v>
      </c>
      <c r="F896" s="918">
        <f>Clothing!O20</f>
        <v>1</v>
      </c>
      <c r="G896" s="918">
        <f>Clothing!P20</f>
        <v>1</v>
      </c>
      <c r="H896" s="918">
        <f>Clothing!Q20</f>
        <v>2</v>
      </c>
      <c r="I896" s="918">
        <f>Clothing!R20</f>
        <v>2</v>
      </c>
      <c r="J896" s="918">
        <f>Clothing!S20</f>
        <v>2</v>
      </c>
      <c r="K896" s="293">
        <f t="shared" si="14"/>
        <v>0.37356464144298934</v>
      </c>
    </row>
    <row r="897" spans="1:11">
      <c r="A897" s="918" t="s">
        <v>2043</v>
      </c>
      <c r="B897" s="918">
        <f>Clothing!B21</f>
        <v>2011</v>
      </c>
      <c r="C897" s="918" t="str">
        <f>Clothing!C21</f>
        <v>OTHER</v>
      </c>
      <c r="D897" s="918">
        <f>Clothing!L21</f>
        <v>2.5554295215236702</v>
      </c>
      <c r="E897" s="920" t="s">
        <v>2045</v>
      </c>
      <c r="F897" s="918">
        <f>Clothing!O21</f>
        <v>1</v>
      </c>
      <c r="G897" s="918">
        <f>Clothing!P21</f>
        <v>1</v>
      </c>
      <c r="H897" s="918">
        <f>Clothing!Q21</f>
        <v>2</v>
      </c>
      <c r="I897" s="918">
        <f>Clothing!R21</f>
        <v>2</v>
      </c>
      <c r="J897" s="918">
        <f>Clothing!S21</f>
        <v>2</v>
      </c>
      <c r="K897" s="293">
        <f t="shared" si="14"/>
        <v>0.37356464144298934</v>
      </c>
    </row>
    <row r="898" spans="1:11">
      <c r="A898" s="918" t="s">
        <v>2043</v>
      </c>
      <c r="B898" s="918">
        <f>Clothing!B22</f>
        <v>2011</v>
      </c>
      <c r="C898" s="918" t="str">
        <f>Clothing!C22</f>
        <v>PA</v>
      </c>
      <c r="D898" s="918">
        <f>Clothing!L22</f>
        <v>6.7478780352216932</v>
      </c>
      <c r="E898" s="920" t="s">
        <v>2045</v>
      </c>
      <c r="F898" s="918">
        <f>Clothing!O22</f>
        <v>1</v>
      </c>
      <c r="G898" s="918">
        <f>Clothing!P22</f>
        <v>1</v>
      </c>
      <c r="H898" s="918">
        <f>Clothing!Q22</f>
        <v>2</v>
      </c>
      <c r="I898" s="918">
        <f>Clothing!R22</f>
        <v>2</v>
      </c>
      <c r="J898" s="918">
        <f>Clothing!S22</f>
        <v>2</v>
      </c>
      <c r="K898" s="293">
        <f t="shared" si="14"/>
        <v>0.37356464144298934</v>
      </c>
    </row>
    <row r="899" spans="1:11">
      <c r="A899" s="918" t="s">
        <v>2043</v>
      </c>
      <c r="B899" s="918">
        <f>Clothing!B23</f>
        <v>2011</v>
      </c>
      <c r="C899" s="918" t="str">
        <f>Clothing!C23</f>
        <v>PET</v>
      </c>
      <c r="D899" s="918">
        <f>Clothing!L23</f>
        <v>18.180332036057152</v>
      </c>
      <c r="E899" s="920" t="s">
        <v>2045</v>
      </c>
      <c r="F899" s="918">
        <f>Clothing!O23</f>
        <v>1</v>
      </c>
      <c r="G899" s="918">
        <f>Clothing!P23</f>
        <v>1</v>
      </c>
      <c r="H899" s="918">
        <f>Clothing!Q23</f>
        <v>2</v>
      </c>
      <c r="I899" s="918">
        <f>Clothing!R23</f>
        <v>2</v>
      </c>
      <c r="J899" s="918">
        <f>Clothing!S23</f>
        <v>2</v>
      </c>
      <c r="K899" s="293">
        <f t="shared" si="14"/>
        <v>0.37356464144298934</v>
      </c>
    </row>
    <row r="900" spans="1:11">
      <c r="A900" s="918" t="s">
        <v>2043</v>
      </c>
      <c r="B900" s="918">
        <f>Clothing!B24</f>
        <v>2011</v>
      </c>
      <c r="C900" s="918" t="str">
        <f>Clothing!C24</f>
        <v>PUR</v>
      </c>
      <c r="D900" s="918">
        <f>Clothing!L24</f>
        <v>3.1056546297128436</v>
      </c>
      <c r="E900" s="920" t="s">
        <v>2045</v>
      </c>
      <c r="F900" s="918">
        <f>Clothing!O24</f>
        <v>1</v>
      </c>
      <c r="G900" s="918">
        <f>Clothing!P24</f>
        <v>1</v>
      </c>
      <c r="H900" s="918">
        <f>Clothing!Q24</f>
        <v>2</v>
      </c>
      <c r="I900" s="918">
        <f>Clothing!R24</f>
        <v>2</v>
      </c>
      <c r="J900" s="918">
        <f>Clothing!S24</f>
        <v>2</v>
      </c>
      <c r="K900" s="293">
        <f t="shared" si="14"/>
        <v>0.37356464144298934</v>
      </c>
    </row>
    <row r="901" spans="1:11">
      <c r="A901" s="918" t="s">
        <v>2043</v>
      </c>
      <c r="B901" s="918">
        <f>Clothing!B25</f>
        <v>2011</v>
      </c>
      <c r="C901" s="918" t="str">
        <f>Clothing!C25</f>
        <v>PVC</v>
      </c>
      <c r="D901" s="918">
        <f>Clothing!L25</f>
        <v>1.8825270360216528</v>
      </c>
      <c r="E901" s="920" t="s">
        <v>2045</v>
      </c>
      <c r="F901" s="918">
        <f>Clothing!O25</f>
        <v>1</v>
      </c>
      <c r="G901" s="918">
        <f>Clothing!P25</f>
        <v>1</v>
      </c>
      <c r="H901" s="918">
        <f>Clothing!Q25</f>
        <v>2</v>
      </c>
      <c r="I901" s="918">
        <f>Clothing!R25</f>
        <v>2</v>
      </c>
      <c r="J901" s="918">
        <f>Clothing!S25</f>
        <v>2</v>
      </c>
      <c r="K901" s="293">
        <f t="shared" si="14"/>
        <v>0.37356464144298934</v>
      </c>
    </row>
    <row r="902" spans="1:11">
      <c r="A902" s="918" t="s">
        <v>2043</v>
      </c>
      <c r="B902" s="918">
        <f>Clothing!B26</f>
        <v>2011</v>
      </c>
      <c r="C902" s="918" t="str">
        <f>Clothing!C26</f>
        <v>RUBBER</v>
      </c>
      <c r="D902" s="918">
        <f>Clothing!L26</f>
        <v>2.4061841950878229</v>
      </c>
      <c r="E902" s="920" t="s">
        <v>2045</v>
      </c>
      <c r="F902" s="918">
        <f>Clothing!O26</f>
        <v>1</v>
      </c>
      <c r="G902" s="918">
        <f>Clothing!P26</f>
        <v>1</v>
      </c>
      <c r="H902" s="918">
        <f>Clothing!Q26</f>
        <v>2</v>
      </c>
      <c r="I902" s="918">
        <f>Clothing!R26</f>
        <v>2</v>
      </c>
      <c r="J902" s="918">
        <f>Clothing!S26</f>
        <v>2</v>
      </c>
      <c r="K902" s="293">
        <f t="shared" si="14"/>
        <v>0.37356464144298934</v>
      </c>
    </row>
    <row r="903" spans="1:11">
      <c r="A903" s="918" t="s">
        <v>2043</v>
      </c>
      <c r="B903" s="918">
        <f>Clothing!B27</f>
        <v>2012</v>
      </c>
      <c r="C903" s="918" t="str">
        <f>Clothing!C27</f>
        <v>Acryl</v>
      </c>
      <c r="D903" s="918">
        <f>Clothing!L27</f>
        <v>2.0194464398488403</v>
      </c>
      <c r="E903" s="920" t="s">
        <v>2045</v>
      </c>
      <c r="F903" s="918">
        <f>Clothing!O27</f>
        <v>1</v>
      </c>
      <c r="G903" s="918">
        <f>Clothing!P27</f>
        <v>1</v>
      </c>
      <c r="H903" s="918">
        <f>Clothing!Q27</f>
        <v>2</v>
      </c>
      <c r="I903" s="918">
        <f>Clothing!R27</f>
        <v>2</v>
      </c>
      <c r="J903" s="918">
        <f>Clothing!S27</f>
        <v>2</v>
      </c>
      <c r="K903" s="293">
        <f t="shared" si="14"/>
        <v>0.37356464144298934</v>
      </c>
    </row>
    <row r="904" spans="1:11">
      <c r="A904" s="918" t="s">
        <v>2043</v>
      </c>
      <c r="B904" s="918">
        <f>Clothing!B28</f>
        <v>2012</v>
      </c>
      <c r="C904" s="918" t="str">
        <f>Clothing!C28</f>
        <v>OTHER</v>
      </c>
      <c r="D904" s="918">
        <f>Clothing!L28</f>
        <v>2.0185567673512366</v>
      </c>
      <c r="E904" s="920" t="s">
        <v>2045</v>
      </c>
      <c r="F904" s="918">
        <f>Clothing!O28</f>
        <v>1</v>
      </c>
      <c r="G904" s="918">
        <f>Clothing!P28</f>
        <v>1</v>
      </c>
      <c r="H904" s="918">
        <f>Clothing!Q28</f>
        <v>2</v>
      </c>
      <c r="I904" s="918">
        <f>Clothing!R28</f>
        <v>2</v>
      </c>
      <c r="J904" s="918">
        <f>Clothing!S28</f>
        <v>2</v>
      </c>
      <c r="K904" s="293">
        <f t="shared" si="14"/>
        <v>0.37356464144298934</v>
      </c>
    </row>
    <row r="905" spans="1:11">
      <c r="A905" s="918" t="s">
        <v>2043</v>
      </c>
      <c r="B905" s="918">
        <f>Clothing!B29</f>
        <v>2012</v>
      </c>
      <c r="C905" s="918" t="str">
        <f>Clothing!C29</f>
        <v>PA</v>
      </c>
      <c r="D905" s="918">
        <f>Clothing!L29</f>
        <v>5.9213615947836269</v>
      </c>
      <c r="E905" s="920" t="s">
        <v>2045</v>
      </c>
      <c r="F905" s="918">
        <f>Clothing!O29</f>
        <v>1</v>
      </c>
      <c r="G905" s="918">
        <f>Clothing!P29</f>
        <v>1</v>
      </c>
      <c r="H905" s="918">
        <f>Clothing!Q29</f>
        <v>2</v>
      </c>
      <c r="I905" s="918">
        <f>Clothing!R29</f>
        <v>2</v>
      </c>
      <c r="J905" s="918">
        <f>Clothing!S29</f>
        <v>2</v>
      </c>
      <c r="K905" s="293">
        <f t="shared" si="14"/>
        <v>0.37356464144298934</v>
      </c>
    </row>
    <row r="906" spans="1:11">
      <c r="A906" s="918" t="s">
        <v>2043</v>
      </c>
      <c r="B906" s="918">
        <f>Clothing!B30</f>
        <v>2012</v>
      </c>
      <c r="C906" s="918" t="str">
        <f>Clothing!C30</f>
        <v>PET</v>
      </c>
      <c r="D906" s="918">
        <f>Clothing!L30</f>
        <v>18.931645734236213</v>
      </c>
      <c r="E906" s="920" t="s">
        <v>2045</v>
      </c>
      <c r="F906" s="918">
        <f>Clothing!O30</f>
        <v>1</v>
      </c>
      <c r="G906" s="918">
        <f>Clothing!P30</f>
        <v>1</v>
      </c>
      <c r="H906" s="918">
        <f>Clothing!Q30</f>
        <v>2</v>
      </c>
      <c r="I906" s="918">
        <f>Clothing!R30</f>
        <v>2</v>
      </c>
      <c r="J906" s="918">
        <f>Clothing!S30</f>
        <v>2</v>
      </c>
      <c r="K906" s="293">
        <f t="shared" si="14"/>
        <v>0.37356464144298934</v>
      </c>
    </row>
    <row r="907" spans="1:11">
      <c r="A907" s="918" t="s">
        <v>2043</v>
      </c>
      <c r="B907" s="918">
        <f>Clothing!B31</f>
        <v>2012</v>
      </c>
      <c r="C907" s="918" t="str">
        <f>Clothing!C31</f>
        <v>PUR</v>
      </c>
      <c r="D907" s="918">
        <f>Clothing!L31</f>
        <v>2.8781028311146617</v>
      </c>
      <c r="E907" s="920" t="s">
        <v>2045</v>
      </c>
      <c r="F907" s="918">
        <f>Clothing!O31</f>
        <v>1</v>
      </c>
      <c r="G907" s="918">
        <f>Clothing!P31</f>
        <v>1</v>
      </c>
      <c r="H907" s="918">
        <f>Clothing!Q31</f>
        <v>2</v>
      </c>
      <c r="I907" s="918">
        <f>Clothing!R31</f>
        <v>2</v>
      </c>
      <c r="J907" s="918">
        <f>Clothing!S31</f>
        <v>2</v>
      </c>
      <c r="K907" s="293">
        <f t="shared" si="14"/>
        <v>0.37356464144298934</v>
      </c>
    </row>
    <row r="908" spans="1:11">
      <c r="A908" s="918" t="s">
        <v>2043</v>
      </c>
      <c r="B908" s="918">
        <f>Clothing!B32</f>
        <v>2012</v>
      </c>
      <c r="C908" s="918" t="str">
        <f>Clothing!C32</f>
        <v>PVC</v>
      </c>
      <c r="D908" s="918">
        <f>Clothing!L32</f>
        <v>1.7303209817722918</v>
      </c>
      <c r="E908" s="920" t="s">
        <v>2045</v>
      </c>
      <c r="F908" s="918">
        <f>Clothing!O32</f>
        <v>1</v>
      </c>
      <c r="G908" s="918">
        <f>Clothing!P32</f>
        <v>1</v>
      </c>
      <c r="H908" s="918">
        <f>Clothing!Q32</f>
        <v>2</v>
      </c>
      <c r="I908" s="918">
        <f>Clothing!R32</f>
        <v>2</v>
      </c>
      <c r="J908" s="918">
        <f>Clothing!S32</f>
        <v>2</v>
      </c>
      <c r="K908" s="293">
        <f t="shared" si="14"/>
        <v>0.37356464144298934</v>
      </c>
    </row>
    <row r="909" spans="1:11">
      <c r="A909" s="918" t="s">
        <v>2043</v>
      </c>
      <c r="B909" s="918">
        <f>Clothing!B33</f>
        <v>2012</v>
      </c>
      <c r="C909" s="918" t="str">
        <f>Clothing!C33</f>
        <v>RUBBER</v>
      </c>
      <c r="D909" s="918">
        <f>Clothing!L33</f>
        <v>2.0871560798928575</v>
      </c>
      <c r="E909" s="920" t="s">
        <v>2045</v>
      </c>
      <c r="F909" s="918">
        <f>Clothing!O33</f>
        <v>1</v>
      </c>
      <c r="G909" s="918">
        <f>Clothing!P33</f>
        <v>1</v>
      </c>
      <c r="H909" s="918">
        <f>Clothing!Q33</f>
        <v>2</v>
      </c>
      <c r="I909" s="918">
        <f>Clothing!R33</f>
        <v>2</v>
      </c>
      <c r="J909" s="918">
        <f>Clothing!S33</f>
        <v>2</v>
      </c>
      <c r="K909" s="293">
        <f t="shared" si="14"/>
        <v>0.37356464144298934</v>
      </c>
    </row>
    <row r="910" spans="1:11">
      <c r="A910" s="918" t="s">
        <v>2043</v>
      </c>
      <c r="B910" s="918">
        <f>Clothing!B34</f>
        <v>2013</v>
      </c>
      <c r="C910" s="918" t="str">
        <f>Clothing!C34</f>
        <v>Acryl</v>
      </c>
      <c r="D910" s="918">
        <f>Clothing!L34</f>
        <v>1.949977033733969</v>
      </c>
      <c r="E910" s="920" t="s">
        <v>2045</v>
      </c>
      <c r="F910" s="918">
        <f>Clothing!O34</f>
        <v>1</v>
      </c>
      <c r="G910" s="918">
        <f>Clothing!P34</f>
        <v>1</v>
      </c>
      <c r="H910" s="918">
        <f>Clothing!Q34</f>
        <v>2</v>
      </c>
      <c r="I910" s="918">
        <f>Clothing!R34</f>
        <v>2</v>
      </c>
      <c r="J910" s="918">
        <f>Clothing!S34</f>
        <v>2</v>
      </c>
      <c r="K910" s="293">
        <f t="shared" si="14"/>
        <v>0.37356464144298934</v>
      </c>
    </row>
    <row r="911" spans="1:11">
      <c r="A911" s="918" t="s">
        <v>2043</v>
      </c>
      <c r="B911" s="918">
        <f>Clothing!B35</f>
        <v>2013</v>
      </c>
      <c r="C911" s="918" t="str">
        <f>Clothing!C35</f>
        <v>OTHER</v>
      </c>
      <c r="D911" s="918">
        <f>Clothing!L35</f>
        <v>2.2772078799803199</v>
      </c>
      <c r="E911" s="920" t="s">
        <v>2045</v>
      </c>
      <c r="F911" s="918">
        <f>Clothing!O35</f>
        <v>1</v>
      </c>
      <c r="G911" s="918">
        <f>Clothing!P35</f>
        <v>1</v>
      </c>
      <c r="H911" s="918">
        <f>Clothing!Q35</f>
        <v>2</v>
      </c>
      <c r="I911" s="918">
        <f>Clothing!R35</f>
        <v>2</v>
      </c>
      <c r="J911" s="918">
        <f>Clothing!S35</f>
        <v>2</v>
      </c>
      <c r="K911" s="293">
        <f t="shared" si="14"/>
        <v>0.37356464144298934</v>
      </c>
    </row>
    <row r="912" spans="1:11">
      <c r="A912" s="918" t="s">
        <v>2043</v>
      </c>
      <c r="B912" s="918">
        <f>Clothing!B36</f>
        <v>2013</v>
      </c>
      <c r="C912" s="918" t="str">
        <f>Clothing!C36</f>
        <v>PA</v>
      </c>
      <c r="D912" s="918">
        <f>Clothing!L36</f>
        <v>6.0144226999180352</v>
      </c>
      <c r="E912" s="920" t="s">
        <v>2045</v>
      </c>
      <c r="F912" s="918">
        <f>Clothing!O36</f>
        <v>1</v>
      </c>
      <c r="G912" s="918">
        <f>Clothing!P36</f>
        <v>1</v>
      </c>
      <c r="H912" s="918">
        <f>Clothing!Q36</f>
        <v>2</v>
      </c>
      <c r="I912" s="918">
        <f>Clothing!R36</f>
        <v>2</v>
      </c>
      <c r="J912" s="918">
        <f>Clothing!S36</f>
        <v>2</v>
      </c>
      <c r="K912" s="293">
        <f t="shared" si="14"/>
        <v>0.37356464144298934</v>
      </c>
    </row>
    <row r="913" spans="1:11">
      <c r="A913" s="918" t="s">
        <v>2043</v>
      </c>
      <c r="B913" s="918">
        <f>Clothing!B37</f>
        <v>2013</v>
      </c>
      <c r="C913" s="918" t="str">
        <f>Clothing!C37</f>
        <v>PET</v>
      </c>
      <c r="D913" s="918">
        <f>Clothing!L37</f>
        <v>20.151341929181118</v>
      </c>
      <c r="E913" s="920" t="s">
        <v>2045</v>
      </c>
      <c r="F913" s="918">
        <f>Clothing!O37</f>
        <v>1</v>
      </c>
      <c r="G913" s="918">
        <f>Clothing!P37</f>
        <v>1</v>
      </c>
      <c r="H913" s="918">
        <f>Clothing!Q37</f>
        <v>2</v>
      </c>
      <c r="I913" s="918">
        <f>Clothing!R37</f>
        <v>2</v>
      </c>
      <c r="J913" s="918">
        <f>Clothing!S37</f>
        <v>2</v>
      </c>
      <c r="K913" s="293">
        <f t="shared" si="14"/>
        <v>0.37356464144298934</v>
      </c>
    </row>
    <row r="914" spans="1:11">
      <c r="A914" s="918" t="s">
        <v>2043</v>
      </c>
      <c r="B914" s="918">
        <f>Clothing!B38</f>
        <v>2013</v>
      </c>
      <c r="C914" s="918" t="str">
        <f>Clothing!C38</f>
        <v>PUR</v>
      </c>
      <c r="D914" s="918">
        <f>Clothing!L38</f>
        <v>2.9474069345075766</v>
      </c>
      <c r="E914" s="920" t="s">
        <v>2045</v>
      </c>
      <c r="F914" s="918">
        <f>Clothing!O38</f>
        <v>1</v>
      </c>
      <c r="G914" s="918">
        <f>Clothing!P38</f>
        <v>1</v>
      </c>
      <c r="H914" s="918">
        <f>Clothing!Q38</f>
        <v>2</v>
      </c>
      <c r="I914" s="918">
        <f>Clothing!R38</f>
        <v>2</v>
      </c>
      <c r="J914" s="918">
        <f>Clothing!S38</f>
        <v>2</v>
      </c>
      <c r="K914" s="293">
        <f t="shared" si="14"/>
        <v>0.37356464144298934</v>
      </c>
    </row>
    <row r="915" spans="1:11">
      <c r="A915" s="918" t="s">
        <v>2043</v>
      </c>
      <c r="B915" s="918">
        <f>Clothing!B39</f>
        <v>2013</v>
      </c>
      <c r="C915" s="918" t="str">
        <f>Clothing!C39</f>
        <v>PVC</v>
      </c>
      <c r="D915" s="918">
        <f>Clothing!L39</f>
        <v>1.797993530403281</v>
      </c>
      <c r="E915" s="920" t="s">
        <v>2045</v>
      </c>
      <c r="F915" s="918">
        <f>Clothing!O39</f>
        <v>1</v>
      </c>
      <c r="G915" s="918">
        <f>Clothing!P39</f>
        <v>1</v>
      </c>
      <c r="H915" s="918">
        <f>Clothing!Q39</f>
        <v>2</v>
      </c>
      <c r="I915" s="918">
        <f>Clothing!R39</f>
        <v>2</v>
      </c>
      <c r="J915" s="918">
        <f>Clothing!S39</f>
        <v>2</v>
      </c>
      <c r="K915" s="293">
        <f t="shared" si="14"/>
        <v>0.37356464144298934</v>
      </c>
    </row>
    <row r="916" spans="1:11">
      <c r="A916" s="918" t="s">
        <v>2043</v>
      </c>
      <c r="B916" s="918">
        <f>Clothing!B40</f>
        <v>2013</v>
      </c>
      <c r="C916" s="918" t="str">
        <f>Clothing!C40</f>
        <v>RUBBER</v>
      </c>
      <c r="D916" s="918">
        <f>Clothing!L40</f>
        <v>2.3650207088701842</v>
      </c>
      <c r="E916" s="920" t="s">
        <v>2045</v>
      </c>
      <c r="F916" s="918">
        <f>Clothing!O40</f>
        <v>1</v>
      </c>
      <c r="G916" s="918">
        <f>Clothing!P40</f>
        <v>1</v>
      </c>
      <c r="H916" s="918">
        <f>Clothing!Q40</f>
        <v>2</v>
      </c>
      <c r="I916" s="918">
        <f>Clothing!R40</f>
        <v>2</v>
      </c>
      <c r="J916" s="918">
        <f>Clothing!S40</f>
        <v>2</v>
      </c>
      <c r="K916" s="293">
        <f t="shared" si="14"/>
        <v>0.37356464144298934</v>
      </c>
    </row>
    <row r="917" spans="1:11">
      <c r="A917" s="918" t="s">
        <v>2043</v>
      </c>
      <c r="B917" s="918">
        <f>Clothing!B41</f>
        <v>2014</v>
      </c>
      <c r="C917" s="918" t="str">
        <f>Clothing!C41</f>
        <v>Acryl</v>
      </c>
      <c r="D917" s="918">
        <f>Clothing!L41</f>
        <v>1.8827188975612188</v>
      </c>
      <c r="E917" s="920" t="s">
        <v>2045</v>
      </c>
      <c r="F917" s="918">
        <f>Clothing!O41</f>
        <v>1</v>
      </c>
      <c r="G917" s="918">
        <f>Clothing!P41</f>
        <v>1</v>
      </c>
      <c r="H917" s="918">
        <f>Clothing!Q41</f>
        <v>2</v>
      </c>
      <c r="I917" s="918">
        <f>Clothing!R41</f>
        <v>2</v>
      </c>
      <c r="J917" s="918">
        <f>Clothing!S41</f>
        <v>2</v>
      </c>
      <c r="K917" s="293">
        <f t="shared" si="14"/>
        <v>0.37356464144298934</v>
      </c>
    </row>
    <row r="918" spans="1:11">
      <c r="A918" s="918" t="s">
        <v>2043</v>
      </c>
      <c r="B918" s="918">
        <f>Clothing!B42</f>
        <v>2014</v>
      </c>
      <c r="C918" s="918" t="str">
        <f>Clothing!C42</f>
        <v>OTHER</v>
      </c>
      <c r="D918" s="918">
        <f>Clothing!L42</f>
        <v>2.6711799555836633</v>
      </c>
      <c r="E918" s="920" t="s">
        <v>2045</v>
      </c>
      <c r="F918" s="918">
        <f>Clothing!O42</f>
        <v>1</v>
      </c>
      <c r="G918" s="918">
        <f>Clothing!P42</f>
        <v>1</v>
      </c>
      <c r="H918" s="918">
        <f>Clothing!Q42</f>
        <v>2</v>
      </c>
      <c r="I918" s="918">
        <f>Clothing!R42</f>
        <v>2</v>
      </c>
      <c r="J918" s="918">
        <f>Clothing!S42</f>
        <v>2</v>
      </c>
      <c r="K918" s="293">
        <f t="shared" si="14"/>
        <v>0.37356464144298934</v>
      </c>
    </row>
    <row r="919" spans="1:11">
      <c r="A919" s="918" t="s">
        <v>2043</v>
      </c>
      <c r="B919" s="918">
        <f>Clothing!B43</f>
        <v>2014</v>
      </c>
      <c r="C919" s="918" t="str">
        <f>Clothing!C43</f>
        <v>PA</v>
      </c>
      <c r="D919" s="918">
        <f>Clothing!L43</f>
        <v>6.386762309682914</v>
      </c>
      <c r="E919" s="920" t="s">
        <v>2045</v>
      </c>
      <c r="F919" s="918">
        <f>Clothing!O43</f>
        <v>1</v>
      </c>
      <c r="G919" s="918">
        <f>Clothing!P43</f>
        <v>1</v>
      </c>
      <c r="H919" s="918">
        <f>Clothing!Q43</f>
        <v>2</v>
      </c>
      <c r="I919" s="918">
        <f>Clothing!R43</f>
        <v>2</v>
      </c>
      <c r="J919" s="918">
        <f>Clothing!S43</f>
        <v>2</v>
      </c>
      <c r="K919" s="293">
        <f t="shared" si="14"/>
        <v>0.37356464144298934</v>
      </c>
    </row>
    <row r="920" spans="1:11">
      <c r="A920" s="918" t="s">
        <v>2043</v>
      </c>
      <c r="B920" s="918">
        <f>Clothing!B44</f>
        <v>2014</v>
      </c>
      <c r="C920" s="918" t="str">
        <f>Clothing!C44</f>
        <v>PET</v>
      </c>
      <c r="D920" s="918">
        <f>Clothing!L44</f>
        <v>21.263696478492943</v>
      </c>
      <c r="E920" s="920" t="s">
        <v>2045</v>
      </c>
      <c r="F920" s="918">
        <f>Clothing!O44</f>
        <v>1</v>
      </c>
      <c r="G920" s="918">
        <f>Clothing!P44</f>
        <v>1</v>
      </c>
      <c r="H920" s="918">
        <f>Clothing!Q44</f>
        <v>2</v>
      </c>
      <c r="I920" s="918">
        <f>Clothing!R44</f>
        <v>2</v>
      </c>
      <c r="J920" s="918">
        <f>Clothing!S44</f>
        <v>2</v>
      </c>
      <c r="K920" s="293">
        <f t="shared" si="14"/>
        <v>0.37356464144298934</v>
      </c>
    </row>
    <row r="921" spans="1:11">
      <c r="A921" s="918" t="s">
        <v>2043</v>
      </c>
      <c r="B921" s="918">
        <f>Clothing!B45</f>
        <v>2014</v>
      </c>
      <c r="C921" s="918" t="str">
        <f>Clothing!C45</f>
        <v>PUR</v>
      </c>
      <c r="D921" s="918">
        <f>Clothing!L45</f>
        <v>3.513487313250363</v>
      </c>
      <c r="E921" s="920" t="s">
        <v>2045</v>
      </c>
      <c r="F921" s="918">
        <f>Clothing!O45</f>
        <v>1</v>
      </c>
      <c r="G921" s="918">
        <f>Clothing!P45</f>
        <v>1</v>
      </c>
      <c r="H921" s="918">
        <f>Clothing!Q45</f>
        <v>2</v>
      </c>
      <c r="I921" s="918">
        <f>Clothing!R45</f>
        <v>2</v>
      </c>
      <c r="J921" s="918">
        <f>Clothing!S45</f>
        <v>2</v>
      </c>
      <c r="K921" s="293">
        <f t="shared" si="14"/>
        <v>0.37356464144298934</v>
      </c>
    </row>
    <row r="922" spans="1:11">
      <c r="A922" s="918" t="s">
        <v>2043</v>
      </c>
      <c r="B922" s="918">
        <f>Clothing!B46</f>
        <v>2014</v>
      </c>
      <c r="C922" s="918" t="str">
        <f>Clothing!C46</f>
        <v>PVC</v>
      </c>
      <c r="D922" s="918">
        <f>Clothing!L46</f>
        <v>2.1405073592034967</v>
      </c>
      <c r="E922" s="920" t="s">
        <v>2045</v>
      </c>
      <c r="F922" s="918">
        <f>Clothing!O46</f>
        <v>1</v>
      </c>
      <c r="G922" s="918">
        <f>Clothing!P46</f>
        <v>1</v>
      </c>
      <c r="H922" s="918">
        <f>Clothing!Q46</f>
        <v>2</v>
      </c>
      <c r="I922" s="918">
        <f>Clothing!R46</f>
        <v>2</v>
      </c>
      <c r="J922" s="918">
        <f>Clothing!S46</f>
        <v>2</v>
      </c>
      <c r="K922" s="293">
        <f t="shared" si="14"/>
        <v>0.37356464144298934</v>
      </c>
    </row>
    <row r="923" spans="1:11">
      <c r="A923" s="918" t="s">
        <v>2043</v>
      </c>
      <c r="B923" s="918">
        <f>Clothing!B47</f>
        <v>2014</v>
      </c>
      <c r="C923" s="918" t="str">
        <f>Clothing!C47</f>
        <v>RUBBER</v>
      </c>
      <c r="D923" s="918">
        <f>Clothing!L47</f>
        <v>2.7611207613435287</v>
      </c>
      <c r="E923" s="920" t="s">
        <v>2045</v>
      </c>
      <c r="F923" s="918">
        <f>Clothing!O47</f>
        <v>1</v>
      </c>
      <c r="G923" s="918">
        <f>Clothing!P47</f>
        <v>1</v>
      </c>
      <c r="H923" s="918">
        <f>Clothing!Q47</f>
        <v>2</v>
      </c>
      <c r="I923" s="918">
        <f>Clothing!R47</f>
        <v>2</v>
      </c>
      <c r="J923" s="918">
        <f>Clothing!S47</f>
        <v>2</v>
      </c>
      <c r="K923" s="293">
        <f t="shared" si="14"/>
        <v>0.37356464144298934</v>
      </c>
    </row>
    <row r="924" spans="1:11">
      <c r="A924" s="918" t="s">
        <v>2043</v>
      </c>
      <c r="B924" s="918">
        <f>Clothing!B48</f>
        <v>2015</v>
      </c>
      <c r="C924" s="918" t="str">
        <f>Clothing!C48</f>
        <v>Acryl</v>
      </c>
      <c r="D924" s="918">
        <f>Clothing!L48</f>
        <v>1.8407216743056332</v>
      </c>
      <c r="E924" s="920" t="s">
        <v>2045</v>
      </c>
      <c r="F924" s="918">
        <f>Clothing!O48</f>
        <v>1</v>
      </c>
      <c r="G924" s="918">
        <f>Clothing!P48</f>
        <v>1</v>
      </c>
      <c r="H924" s="918">
        <f>Clothing!Q48</f>
        <v>2</v>
      </c>
      <c r="I924" s="918">
        <f>Clothing!R48</f>
        <v>2</v>
      </c>
      <c r="J924" s="918">
        <f>Clothing!S48</f>
        <v>2</v>
      </c>
      <c r="K924" s="293">
        <f t="shared" si="14"/>
        <v>0.37356464144298934</v>
      </c>
    </row>
    <row r="925" spans="1:11">
      <c r="A925" s="918" t="s">
        <v>2043</v>
      </c>
      <c r="B925" s="918">
        <f>Clothing!B49</f>
        <v>2015</v>
      </c>
      <c r="C925" s="918" t="str">
        <f>Clothing!C49</f>
        <v>OTHER</v>
      </c>
      <c r="D925" s="918">
        <f>Clothing!L49</f>
        <v>2.5868282237323648</v>
      </c>
      <c r="E925" s="920" t="s">
        <v>2045</v>
      </c>
      <c r="F925" s="918">
        <f>Clothing!O49</f>
        <v>1</v>
      </c>
      <c r="G925" s="918">
        <f>Clothing!P49</f>
        <v>1</v>
      </c>
      <c r="H925" s="918">
        <f>Clothing!Q49</f>
        <v>2</v>
      </c>
      <c r="I925" s="918">
        <f>Clothing!R49</f>
        <v>2</v>
      </c>
      <c r="J925" s="918">
        <f>Clothing!S49</f>
        <v>2</v>
      </c>
      <c r="K925" s="293">
        <f t="shared" si="14"/>
        <v>0.37356464144298934</v>
      </c>
    </row>
    <row r="926" spans="1:11">
      <c r="A926" s="918" t="s">
        <v>2043</v>
      </c>
      <c r="B926" s="918">
        <f>Clothing!B50</f>
        <v>2015</v>
      </c>
      <c r="C926" s="918" t="str">
        <f>Clothing!C50</f>
        <v>PA</v>
      </c>
      <c r="D926" s="918">
        <f>Clothing!L50</f>
        <v>5.9459099935032684</v>
      </c>
      <c r="E926" s="920" t="s">
        <v>2045</v>
      </c>
      <c r="F926" s="918">
        <f>Clothing!O50</f>
        <v>1</v>
      </c>
      <c r="G926" s="918">
        <f>Clothing!P50</f>
        <v>1</v>
      </c>
      <c r="H926" s="918">
        <f>Clothing!Q50</f>
        <v>2</v>
      </c>
      <c r="I926" s="918">
        <f>Clothing!R50</f>
        <v>2</v>
      </c>
      <c r="J926" s="918">
        <f>Clothing!S50</f>
        <v>2</v>
      </c>
      <c r="K926" s="293">
        <f t="shared" si="14"/>
        <v>0.37356464144298934</v>
      </c>
    </row>
    <row r="927" spans="1:11">
      <c r="A927" s="918" t="s">
        <v>2043</v>
      </c>
      <c r="B927" s="918">
        <f>Clothing!B51</f>
        <v>2015</v>
      </c>
      <c r="C927" s="918" t="str">
        <f>Clothing!C51</f>
        <v>PET</v>
      </c>
      <c r="D927" s="918">
        <f>Clothing!L51</f>
        <v>19.740166241008687</v>
      </c>
      <c r="E927" s="920" t="s">
        <v>2045</v>
      </c>
      <c r="F927" s="918">
        <f>Clothing!O51</f>
        <v>1</v>
      </c>
      <c r="G927" s="918">
        <f>Clothing!P51</f>
        <v>1</v>
      </c>
      <c r="H927" s="918">
        <f>Clothing!Q51</f>
        <v>2</v>
      </c>
      <c r="I927" s="918">
        <f>Clothing!R51</f>
        <v>2</v>
      </c>
      <c r="J927" s="918">
        <f>Clothing!S51</f>
        <v>2</v>
      </c>
      <c r="K927" s="293">
        <f t="shared" si="14"/>
        <v>0.37356464144298934</v>
      </c>
    </row>
    <row r="928" spans="1:11">
      <c r="A928" s="918" t="s">
        <v>2043</v>
      </c>
      <c r="B928" s="918">
        <f>Clothing!B52</f>
        <v>2015</v>
      </c>
      <c r="C928" s="918" t="str">
        <f>Clothing!C52</f>
        <v>PUR</v>
      </c>
      <c r="D928" s="918">
        <f>Clothing!L52</f>
        <v>3.8321583288274681</v>
      </c>
      <c r="E928" s="920" t="s">
        <v>2045</v>
      </c>
      <c r="F928" s="918">
        <f>Clothing!O52</f>
        <v>1</v>
      </c>
      <c r="G928" s="918">
        <f>Clothing!P52</f>
        <v>1</v>
      </c>
      <c r="H928" s="918">
        <f>Clothing!Q52</f>
        <v>2</v>
      </c>
      <c r="I928" s="918">
        <f>Clothing!R52</f>
        <v>2</v>
      </c>
      <c r="J928" s="918">
        <f>Clothing!S52</f>
        <v>2</v>
      </c>
      <c r="K928" s="293">
        <f t="shared" si="14"/>
        <v>0.37356464144298934</v>
      </c>
    </row>
    <row r="929" spans="1:11">
      <c r="A929" s="918" t="s">
        <v>2043</v>
      </c>
      <c r="B929" s="918">
        <f>Clothing!B53</f>
        <v>2015</v>
      </c>
      <c r="C929" s="918" t="str">
        <f>Clothing!C53</f>
        <v>PVC</v>
      </c>
      <c r="D929" s="918">
        <f>Clothing!L53</f>
        <v>2.3418034894852018</v>
      </c>
      <c r="E929" s="920" t="s">
        <v>2045</v>
      </c>
      <c r="F929" s="918">
        <f>Clothing!O53</f>
        <v>1</v>
      </c>
      <c r="G929" s="918">
        <f>Clothing!P53</f>
        <v>1</v>
      </c>
      <c r="H929" s="918">
        <f>Clothing!Q53</f>
        <v>2</v>
      </c>
      <c r="I929" s="918">
        <f>Clothing!R53</f>
        <v>2</v>
      </c>
      <c r="J929" s="918">
        <f>Clothing!S53</f>
        <v>2</v>
      </c>
      <c r="K929" s="293">
        <f t="shared" si="14"/>
        <v>0.37356464144298934</v>
      </c>
    </row>
    <row r="930" spans="1:11">
      <c r="A930" s="918" t="s">
        <v>2043</v>
      </c>
      <c r="B930" s="918">
        <f>Clothing!B54</f>
        <v>2015</v>
      </c>
      <c r="C930" s="918" t="str">
        <f>Clothing!C54</f>
        <v>RUBBER</v>
      </c>
      <c r="D930" s="918">
        <f>Clothing!L54</f>
        <v>3.1133065168296654</v>
      </c>
      <c r="E930" s="920" t="s">
        <v>2045</v>
      </c>
      <c r="F930" s="918">
        <f>Clothing!O54</f>
        <v>1</v>
      </c>
      <c r="G930" s="918">
        <f>Clothing!P54</f>
        <v>1</v>
      </c>
      <c r="H930" s="918">
        <f>Clothing!Q54</f>
        <v>2</v>
      </c>
      <c r="I930" s="918">
        <f>Clothing!R54</f>
        <v>2</v>
      </c>
      <c r="J930" s="918">
        <f>Clothing!S54</f>
        <v>2</v>
      </c>
      <c r="K930" s="293">
        <f t="shared" si="14"/>
        <v>0.37356464144298934</v>
      </c>
    </row>
    <row r="931" spans="1:11">
      <c r="A931" s="918" t="s">
        <v>2043</v>
      </c>
      <c r="B931" s="918">
        <f>Clothing!B55</f>
        <v>2016</v>
      </c>
      <c r="C931" s="918" t="str">
        <f>Clothing!C55</f>
        <v>Acryl</v>
      </c>
      <c r="D931" s="918">
        <f>Clothing!L55</f>
        <v>2.0756254180179021</v>
      </c>
      <c r="E931" s="920" t="s">
        <v>2045</v>
      </c>
      <c r="F931" s="918">
        <f>Clothing!O55</f>
        <v>1</v>
      </c>
      <c r="G931" s="918">
        <f>Clothing!P55</f>
        <v>1</v>
      </c>
      <c r="H931" s="918">
        <f>Clothing!Q55</f>
        <v>2</v>
      </c>
      <c r="I931" s="918">
        <f>Clothing!R55</f>
        <v>2</v>
      </c>
      <c r="J931" s="918">
        <f>Clothing!S55</f>
        <v>2</v>
      </c>
      <c r="K931" s="293">
        <f t="shared" si="14"/>
        <v>0.37356464144298934</v>
      </c>
    </row>
    <row r="932" spans="1:11">
      <c r="A932" s="918" t="s">
        <v>2043</v>
      </c>
      <c r="B932" s="918">
        <f>Clothing!B56</f>
        <v>2016</v>
      </c>
      <c r="C932" s="918" t="str">
        <f>Clothing!C56</f>
        <v>OTHER</v>
      </c>
      <c r="D932" s="918">
        <f>Clothing!L56</f>
        <v>2.6324764716453042</v>
      </c>
      <c r="E932" s="920" t="s">
        <v>2045</v>
      </c>
      <c r="F932" s="918">
        <f>Clothing!O56</f>
        <v>1</v>
      </c>
      <c r="G932" s="918">
        <f>Clothing!P56</f>
        <v>1</v>
      </c>
      <c r="H932" s="918">
        <f>Clothing!Q56</f>
        <v>2</v>
      </c>
      <c r="I932" s="918">
        <f>Clothing!R56</f>
        <v>2</v>
      </c>
      <c r="J932" s="918">
        <f>Clothing!S56</f>
        <v>2</v>
      </c>
      <c r="K932" s="293">
        <f t="shared" si="14"/>
        <v>0.37356464144298934</v>
      </c>
    </row>
    <row r="933" spans="1:11">
      <c r="A933" s="918" t="s">
        <v>2043</v>
      </c>
      <c r="B933" s="918">
        <f>Clothing!B57</f>
        <v>2016</v>
      </c>
      <c r="C933" s="918" t="str">
        <f>Clothing!C57</f>
        <v>PA</v>
      </c>
      <c r="D933" s="918">
        <f>Clothing!L57</f>
        <v>6.2211869577434387</v>
      </c>
      <c r="E933" s="920" t="s">
        <v>2045</v>
      </c>
      <c r="F933" s="918">
        <f>Clothing!O57</f>
        <v>1</v>
      </c>
      <c r="G933" s="918">
        <f>Clothing!P57</f>
        <v>1</v>
      </c>
      <c r="H933" s="918">
        <f>Clothing!Q57</f>
        <v>2</v>
      </c>
      <c r="I933" s="918">
        <f>Clothing!R57</f>
        <v>2</v>
      </c>
      <c r="J933" s="918">
        <f>Clothing!S57</f>
        <v>2</v>
      </c>
      <c r="K933" s="293">
        <f t="shared" si="14"/>
        <v>0.37356464144298934</v>
      </c>
    </row>
    <row r="934" spans="1:11">
      <c r="A934" s="918" t="s">
        <v>2043</v>
      </c>
      <c r="B934" s="918">
        <f>Clothing!B58</f>
        <v>2016</v>
      </c>
      <c r="C934" s="918" t="str">
        <f>Clothing!C58</f>
        <v>PET</v>
      </c>
      <c r="D934" s="918">
        <f>Clothing!L58</f>
        <v>21.356867859451572</v>
      </c>
      <c r="E934" s="920" t="s">
        <v>2045</v>
      </c>
      <c r="F934" s="918">
        <f>Clothing!O58</f>
        <v>1</v>
      </c>
      <c r="G934" s="918">
        <f>Clothing!P58</f>
        <v>1</v>
      </c>
      <c r="H934" s="918">
        <f>Clothing!Q58</f>
        <v>2</v>
      </c>
      <c r="I934" s="918">
        <f>Clothing!R58</f>
        <v>2</v>
      </c>
      <c r="J934" s="918">
        <f>Clothing!S58</f>
        <v>2</v>
      </c>
      <c r="K934" s="293">
        <f t="shared" si="14"/>
        <v>0.37356464144298934</v>
      </c>
    </row>
    <row r="935" spans="1:11">
      <c r="A935" s="918" t="s">
        <v>2043</v>
      </c>
      <c r="B935" s="918">
        <f>Clothing!B59</f>
        <v>2016</v>
      </c>
      <c r="C935" s="918" t="str">
        <f>Clothing!C59</f>
        <v>PUR</v>
      </c>
      <c r="D935" s="918">
        <f>Clothing!L59</f>
        <v>3.9222738830296038</v>
      </c>
      <c r="E935" s="920" t="s">
        <v>2045</v>
      </c>
      <c r="F935" s="918">
        <f>Clothing!O59</f>
        <v>1</v>
      </c>
      <c r="G935" s="918">
        <f>Clothing!P59</f>
        <v>1</v>
      </c>
      <c r="H935" s="918">
        <f>Clothing!Q59</f>
        <v>2</v>
      </c>
      <c r="I935" s="918">
        <f>Clothing!R59</f>
        <v>2</v>
      </c>
      <c r="J935" s="918">
        <f>Clothing!S59</f>
        <v>2</v>
      </c>
      <c r="K935" s="293">
        <f t="shared" si="14"/>
        <v>0.37356464144298934</v>
      </c>
    </row>
    <row r="936" spans="1:11">
      <c r="A936" s="918" t="s">
        <v>2043</v>
      </c>
      <c r="B936" s="918">
        <f>Clothing!B60</f>
        <v>2016</v>
      </c>
      <c r="C936" s="918" t="str">
        <f>Clothing!C60</f>
        <v>PVC</v>
      </c>
      <c r="D936" s="918">
        <f>Clothing!L60</f>
        <v>2.3734315859027006</v>
      </c>
      <c r="E936" s="920" t="s">
        <v>2045</v>
      </c>
      <c r="F936" s="918">
        <f>Clothing!O60</f>
        <v>1</v>
      </c>
      <c r="G936" s="918">
        <f>Clothing!P60</f>
        <v>1</v>
      </c>
      <c r="H936" s="918">
        <f>Clothing!Q60</f>
        <v>2</v>
      </c>
      <c r="I936" s="918">
        <f>Clothing!R60</f>
        <v>2</v>
      </c>
      <c r="J936" s="918">
        <f>Clothing!S60</f>
        <v>2</v>
      </c>
      <c r="K936" s="293">
        <f t="shared" si="14"/>
        <v>0.37356464144298934</v>
      </c>
    </row>
    <row r="937" spans="1:11">
      <c r="A937" s="918" t="s">
        <v>2043</v>
      </c>
      <c r="B937" s="918">
        <f>Clothing!B61</f>
        <v>2016</v>
      </c>
      <c r="C937" s="918" t="str">
        <f>Clothing!C61</f>
        <v>RUBBER</v>
      </c>
      <c r="D937" s="918">
        <f>Clothing!L61</f>
        <v>2.9167982882960306</v>
      </c>
      <c r="E937" s="920" t="s">
        <v>2045</v>
      </c>
      <c r="F937" s="918">
        <f>Clothing!O61</f>
        <v>1</v>
      </c>
      <c r="G937" s="918">
        <f>Clothing!P61</f>
        <v>1</v>
      </c>
      <c r="H937" s="918">
        <f>Clothing!Q61</f>
        <v>2</v>
      </c>
      <c r="I937" s="918">
        <f>Clothing!R61</f>
        <v>2</v>
      </c>
      <c r="J937" s="918">
        <f>Clothing!S61</f>
        <v>2</v>
      </c>
      <c r="K937" s="293">
        <f t="shared" si="14"/>
        <v>0.37356464144298934</v>
      </c>
    </row>
    <row r="938" spans="1:11">
      <c r="A938" s="918" t="s">
        <v>2043</v>
      </c>
      <c r="B938" s="918">
        <f>Clothing!B62</f>
        <v>2017</v>
      </c>
      <c r="C938" s="918" t="str">
        <f>Clothing!C62</f>
        <v>Acryl</v>
      </c>
      <c r="D938" s="918">
        <f>Clothing!L62</f>
        <v>1.6470771137068243</v>
      </c>
      <c r="E938" s="920" t="s">
        <v>2045</v>
      </c>
      <c r="F938" s="918">
        <f>Clothing!O62</f>
        <v>1</v>
      </c>
      <c r="G938" s="918">
        <f>Clothing!P62</f>
        <v>1</v>
      </c>
      <c r="H938" s="918">
        <f>Clothing!Q62</f>
        <v>2</v>
      </c>
      <c r="I938" s="918">
        <f>Clothing!R62</f>
        <v>2</v>
      </c>
      <c r="J938" s="918">
        <f>Clothing!S62</f>
        <v>2</v>
      </c>
      <c r="K938" s="293">
        <f t="shared" si="14"/>
        <v>0.37356464144298934</v>
      </c>
    </row>
    <row r="939" spans="1:11">
      <c r="A939" s="918" t="s">
        <v>2043</v>
      </c>
      <c r="B939" s="918">
        <f>Clothing!B63</f>
        <v>2017</v>
      </c>
      <c r="C939" s="918" t="str">
        <f>Clothing!C63</f>
        <v>OTHER</v>
      </c>
      <c r="D939" s="918">
        <f>Clothing!L63</f>
        <v>2.194307089891951</v>
      </c>
      <c r="E939" s="920" t="s">
        <v>2045</v>
      </c>
      <c r="F939" s="918">
        <f>Clothing!O63</f>
        <v>1</v>
      </c>
      <c r="G939" s="918">
        <f>Clothing!P63</f>
        <v>1</v>
      </c>
      <c r="H939" s="918">
        <f>Clothing!Q63</f>
        <v>2</v>
      </c>
      <c r="I939" s="918">
        <f>Clothing!R63</f>
        <v>2</v>
      </c>
      <c r="J939" s="918">
        <f>Clothing!S63</f>
        <v>2</v>
      </c>
      <c r="K939" s="293">
        <f t="shared" si="14"/>
        <v>0.37356464144298934</v>
      </c>
    </row>
    <row r="940" spans="1:11">
      <c r="A940" s="918" t="s">
        <v>2043</v>
      </c>
      <c r="B940" s="918">
        <f>Clothing!B64</f>
        <v>2017</v>
      </c>
      <c r="C940" s="918" t="str">
        <f>Clothing!C64</f>
        <v>PA</v>
      </c>
      <c r="D940" s="918">
        <f>Clothing!L64</f>
        <v>5.1101088130892744</v>
      </c>
      <c r="E940" s="920" t="s">
        <v>2045</v>
      </c>
      <c r="F940" s="918">
        <f>Clothing!O64</f>
        <v>1</v>
      </c>
      <c r="G940" s="918">
        <f>Clothing!P64</f>
        <v>1</v>
      </c>
      <c r="H940" s="918">
        <f>Clothing!Q64</f>
        <v>2</v>
      </c>
      <c r="I940" s="918">
        <f>Clothing!R64</f>
        <v>2</v>
      </c>
      <c r="J940" s="918">
        <f>Clothing!S64</f>
        <v>2</v>
      </c>
      <c r="K940" s="293">
        <f t="shared" si="14"/>
        <v>0.37356464144298934</v>
      </c>
    </row>
    <row r="941" spans="1:11">
      <c r="A941" s="918" t="s">
        <v>2043</v>
      </c>
      <c r="B941" s="918">
        <f>Clothing!B65</f>
        <v>2017</v>
      </c>
      <c r="C941" s="918" t="str">
        <f>Clothing!C65</f>
        <v>PET</v>
      </c>
      <c r="D941" s="918">
        <f>Clothing!L65</f>
        <v>17.118049976944835</v>
      </c>
      <c r="E941" s="920" t="s">
        <v>2045</v>
      </c>
      <c r="F941" s="918">
        <f>Clothing!O65</f>
        <v>1</v>
      </c>
      <c r="G941" s="918">
        <f>Clothing!P65</f>
        <v>1</v>
      </c>
      <c r="H941" s="918">
        <f>Clothing!Q65</f>
        <v>2</v>
      </c>
      <c r="I941" s="918">
        <f>Clothing!R65</f>
        <v>2</v>
      </c>
      <c r="J941" s="918">
        <f>Clothing!S65</f>
        <v>2</v>
      </c>
      <c r="K941" s="293">
        <f t="shared" si="14"/>
        <v>0.37356464144298934</v>
      </c>
    </row>
    <row r="942" spans="1:11">
      <c r="A942" s="918" t="s">
        <v>2043</v>
      </c>
      <c r="B942" s="918">
        <f>Clothing!B66</f>
        <v>2017</v>
      </c>
      <c r="C942" s="918" t="str">
        <f>Clothing!C66</f>
        <v>PUR</v>
      </c>
      <c r="D942" s="918">
        <f>Clothing!L66</f>
        <v>3.2919467294868698</v>
      </c>
      <c r="E942" s="920" t="s">
        <v>2045</v>
      </c>
      <c r="F942" s="918">
        <f>Clothing!O66</f>
        <v>1</v>
      </c>
      <c r="G942" s="918">
        <f>Clothing!P66</f>
        <v>1</v>
      </c>
      <c r="H942" s="918">
        <f>Clothing!Q66</f>
        <v>2</v>
      </c>
      <c r="I942" s="918">
        <f>Clothing!R66</f>
        <v>2</v>
      </c>
      <c r="J942" s="918">
        <f>Clothing!S66</f>
        <v>2</v>
      </c>
      <c r="K942" s="293">
        <f t="shared" si="14"/>
        <v>0.37356464144298934</v>
      </c>
    </row>
    <row r="943" spans="1:11">
      <c r="A943" s="918" t="s">
        <v>2043</v>
      </c>
      <c r="B943" s="918">
        <f>Clothing!B67</f>
        <v>2017</v>
      </c>
      <c r="C943" s="918" t="str">
        <f>Clothing!C67</f>
        <v>PVC</v>
      </c>
      <c r="D943" s="918">
        <f>Clothing!L67</f>
        <v>2.0010546689440032</v>
      </c>
      <c r="E943" s="920" t="s">
        <v>2045</v>
      </c>
      <c r="F943" s="918">
        <f>Clothing!O67</f>
        <v>1</v>
      </c>
      <c r="G943" s="918">
        <f>Clothing!P67</f>
        <v>1</v>
      </c>
      <c r="H943" s="918">
        <f>Clothing!Q67</f>
        <v>2</v>
      </c>
      <c r="I943" s="918">
        <f>Clothing!R67</f>
        <v>2</v>
      </c>
      <c r="J943" s="918">
        <f>Clothing!S67</f>
        <v>2</v>
      </c>
      <c r="K943" s="293">
        <f t="shared" si="14"/>
        <v>0.37356464144298934</v>
      </c>
    </row>
    <row r="944" spans="1:11">
      <c r="A944" s="918" t="s">
        <v>2043</v>
      </c>
      <c r="B944" s="918">
        <f>Clothing!B68</f>
        <v>2017</v>
      </c>
      <c r="C944" s="918" t="str">
        <f>Clothing!C68</f>
        <v>RUBBER</v>
      </c>
      <c r="D944" s="918">
        <f>Clothing!L68</f>
        <v>2.5347333935573793</v>
      </c>
      <c r="E944" s="920" t="s">
        <v>2045</v>
      </c>
      <c r="F944" s="918">
        <f>Clothing!O68</f>
        <v>1</v>
      </c>
      <c r="G944" s="918">
        <f>Clothing!P68</f>
        <v>1</v>
      </c>
      <c r="H944" s="918">
        <f>Clothing!Q68</f>
        <v>2</v>
      </c>
      <c r="I944" s="918">
        <f>Clothing!R68</f>
        <v>2</v>
      </c>
      <c r="J944" s="918">
        <f>Clothing!S68</f>
        <v>2</v>
      </c>
      <c r="K944" s="293">
        <f t="shared" si="14"/>
        <v>0.37356464144298934</v>
      </c>
    </row>
    <row r="945" spans="1:11">
      <c r="A945" s="918" t="s">
        <v>2043</v>
      </c>
      <c r="B945" s="918">
        <f>Clothing!B69</f>
        <v>2018</v>
      </c>
      <c r="C945" s="918" t="str">
        <f>Clothing!C69</f>
        <v>Acryl</v>
      </c>
      <c r="D945" s="918">
        <f>Clothing!L69</f>
        <v>1.8464408487880659</v>
      </c>
      <c r="E945" s="920" t="s">
        <v>2045</v>
      </c>
      <c r="F945" s="918">
        <f>Clothing!O69</f>
        <v>1</v>
      </c>
      <c r="G945" s="918">
        <f>Clothing!P69</f>
        <v>1</v>
      </c>
      <c r="H945" s="918">
        <f>Clothing!Q69</f>
        <v>2</v>
      </c>
      <c r="I945" s="918">
        <f>Clothing!R69</f>
        <v>2</v>
      </c>
      <c r="J945" s="918">
        <f>Clothing!S69</f>
        <v>2</v>
      </c>
      <c r="K945" s="293">
        <f t="shared" si="14"/>
        <v>0.37356464144298934</v>
      </c>
    </row>
    <row r="946" spans="1:11">
      <c r="A946" s="918" t="s">
        <v>2043</v>
      </c>
      <c r="B946" s="918">
        <f>Clothing!B70</f>
        <v>2018</v>
      </c>
      <c r="C946" s="918" t="str">
        <f>Clothing!C70</f>
        <v>OTHER</v>
      </c>
      <c r="D946" s="918">
        <f>Clothing!L70</f>
        <v>2.9567613755401601</v>
      </c>
      <c r="E946" s="920" t="s">
        <v>2045</v>
      </c>
      <c r="F946" s="918">
        <f>Clothing!O70</f>
        <v>1</v>
      </c>
      <c r="G946" s="918">
        <f>Clothing!P70</f>
        <v>1</v>
      </c>
      <c r="H946" s="918">
        <f>Clothing!Q70</f>
        <v>2</v>
      </c>
      <c r="I946" s="918">
        <f>Clothing!R70</f>
        <v>2</v>
      </c>
      <c r="J946" s="918">
        <f>Clothing!S70</f>
        <v>2</v>
      </c>
      <c r="K946" s="293">
        <f t="shared" si="14"/>
        <v>0.37356464144298934</v>
      </c>
    </row>
    <row r="947" spans="1:11">
      <c r="A947" s="918" t="s">
        <v>2043</v>
      </c>
      <c r="B947" s="918">
        <f>Clothing!B71</f>
        <v>2018</v>
      </c>
      <c r="C947" s="918" t="str">
        <f>Clothing!C71</f>
        <v>PA</v>
      </c>
      <c r="D947" s="918">
        <f>Clothing!L71</f>
        <v>5.918954136116513</v>
      </c>
      <c r="E947" s="920" t="s">
        <v>2045</v>
      </c>
      <c r="F947" s="918">
        <f>Clothing!O71</f>
        <v>1</v>
      </c>
      <c r="G947" s="918">
        <f>Clothing!P71</f>
        <v>1</v>
      </c>
      <c r="H947" s="918">
        <f>Clothing!Q71</f>
        <v>2</v>
      </c>
      <c r="I947" s="918">
        <f>Clothing!R71</f>
        <v>2</v>
      </c>
      <c r="J947" s="918">
        <f>Clothing!S71</f>
        <v>2</v>
      </c>
      <c r="K947" s="293">
        <f t="shared" si="14"/>
        <v>0.37356464144298934</v>
      </c>
    </row>
    <row r="948" spans="1:11">
      <c r="A948" s="918" t="s">
        <v>2043</v>
      </c>
      <c r="B948" s="918">
        <f>Clothing!B72</f>
        <v>2018</v>
      </c>
      <c r="C948" s="918" t="str">
        <f>Clothing!C72</f>
        <v>PET</v>
      </c>
      <c r="D948" s="918">
        <f>Clothing!L72</f>
        <v>21.243876971684035</v>
      </c>
      <c r="E948" s="920" t="s">
        <v>2045</v>
      </c>
      <c r="F948" s="918">
        <f>Clothing!O72</f>
        <v>1</v>
      </c>
      <c r="G948" s="918">
        <f>Clothing!P72</f>
        <v>1</v>
      </c>
      <c r="H948" s="918">
        <f>Clothing!Q72</f>
        <v>2</v>
      </c>
      <c r="I948" s="918">
        <f>Clothing!R72</f>
        <v>2</v>
      </c>
      <c r="J948" s="918">
        <f>Clothing!S72</f>
        <v>2</v>
      </c>
      <c r="K948" s="293">
        <f t="shared" si="14"/>
        <v>0.37356464144298934</v>
      </c>
    </row>
    <row r="949" spans="1:11">
      <c r="A949" s="918" t="s">
        <v>2043</v>
      </c>
      <c r="B949" s="918">
        <f>Clothing!B73</f>
        <v>2018</v>
      </c>
      <c r="C949" s="918" t="str">
        <f>Clothing!C73</f>
        <v>PUR</v>
      </c>
      <c r="D949" s="918">
        <f>Clothing!L73</f>
        <v>3.4274464920022547</v>
      </c>
      <c r="E949" s="920" t="s">
        <v>2045</v>
      </c>
      <c r="F949" s="918">
        <f>Clothing!O73</f>
        <v>1</v>
      </c>
      <c r="G949" s="918">
        <f>Clothing!P73</f>
        <v>1</v>
      </c>
      <c r="H949" s="918">
        <f>Clothing!Q73</f>
        <v>2</v>
      </c>
      <c r="I949" s="918">
        <f>Clothing!R73</f>
        <v>2</v>
      </c>
      <c r="J949" s="918">
        <f>Clothing!S73</f>
        <v>2</v>
      </c>
      <c r="K949" s="293">
        <f t="shared" si="14"/>
        <v>0.37356464144298934</v>
      </c>
    </row>
    <row r="950" spans="1:11">
      <c r="A950" s="918" t="s">
        <v>2043</v>
      </c>
      <c r="B950" s="918">
        <f>Clothing!B74</f>
        <v>2018</v>
      </c>
      <c r="C950" s="918" t="str">
        <f>Clothing!C74</f>
        <v>PVC</v>
      </c>
      <c r="D950" s="918">
        <f>Clothing!L74</f>
        <v>2.1086576772982966</v>
      </c>
      <c r="E950" s="920" t="s">
        <v>2045</v>
      </c>
      <c r="F950" s="918">
        <f>Clothing!O74</f>
        <v>1</v>
      </c>
      <c r="G950" s="918">
        <f>Clothing!P74</f>
        <v>1</v>
      </c>
      <c r="H950" s="918">
        <f>Clothing!Q74</f>
        <v>2</v>
      </c>
      <c r="I950" s="918">
        <f>Clothing!R74</f>
        <v>2</v>
      </c>
      <c r="J950" s="918">
        <f>Clothing!S74</f>
        <v>2</v>
      </c>
      <c r="K950" s="293">
        <f t="shared" si="14"/>
        <v>0.37356464144298934</v>
      </c>
    </row>
    <row r="951" spans="1:11">
      <c r="A951" s="918" t="s">
        <v>2043</v>
      </c>
      <c r="B951" s="918">
        <f>Clothing!B75</f>
        <v>2018</v>
      </c>
      <c r="C951" s="918" t="str">
        <f>Clothing!C75</f>
        <v>RUBBER</v>
      </c>
      <c r="D951" s="918">
        <f>Clothing!L75</f>
        <v>3.1009013815566999</v>
      </c>
      <c r="E951" s="920" t="s">
        <v>2045</v>
      </c>
      <c r="F951" s="918">
        <f>Clothing!O75</f>
        <v>1</v>
      </c>
      <c r="G951" s="918">
        <f>Clothing!P75</f>
        <v>1</v>
      </c>
      <c r="H951" s="918">
        <f>Clothing!Q75</f>
        <v>2</v>
      </c>
      <c r="I951" s="918">
        <f>Clothing!R75</f>
        <v>2</v>
      </c>
      <c r="J951" s="918">
        <f>Clothing!S75</f>
        <v>2</v>
      </c>
      <c r="K951" s="293">
        <f t="shared" si="14"/>
        <v>0.37356464144298934</v>
      </c>
    </row>
    <row r="952" spans="1:11">
      <c r="A952" s="918" t="s">
        <v>2043</v>
      </c>
      <c r="B952" s="918">
        <f>Clothing!B76</f>
        <v>2019</v>
      </c>
      <c r="C952" s="918" t="str">
        <f>Clothing!C76</f>
        <v>Acryl</v>
      </c>
      <c r="D952" s="918">
        <f>Clothing!L76</f>
        <v>1.6436091732932028</v>
      </c>
      <c r="E952" s="920" t="s">
        <v>2045</v>
      </c>
      <c r="F952" s="918">
        <f>Clothing!O76</f>
        <v>1</v>
      </c>
      <c r="G952" s="918">
        <f>Clothing!P76</f>
        <v>1</v>
      </c>
      <c r="H952" s="918">
        <f>Clothing!Q76</f>
        <v>2</v>
      </c>
      <c r="I952" s="918">
        <f>Clothing!R76</f>
        <v>2</v>
      </c>
      <c r="J952" s="918">
        <f>Clothing!S76</f>
        <v>2</v>
      </c>
      <c r="K952" s="293">
        <f t="shared" si="14"/>
        <v>0.37356464144298934</v>
      </c>
    </row>
    <row r="953" spans="1:11">
      <c r="A953" s="918" t="s">
        <v>2043</v>
      </c>
      <c r="B953" s="918">
        <f>Clothing!B77</f>
        <v>2019</v>
      </c>
      <c r="C953" s="918" t="str">
        <f>Clothing!C77</f>
        <v>OTHER</v>
      </c>
      <c r="D953" s="918">
        <f>Clothing!L77</f>
        <v>2.4443283435078222</v>
      </c>
      <c r="E953" s="920" t="s">
        <v>2045</v>
      </c>
      <c r="F953" s="918">
        <f>Clothing!O77</f>
        <v>1</v>
      </c>
      <c r="G953" s="918">
        <f>Clothing!P77</f>
        <v>1</v>
      </c>
      <c r="H953" s="918">
        <f>Clothing!Q77</f>
        <v>2</v>
      </c>
      <c r="I953" s="918">
        <f>Clothing!R77</f>
        <v>2</v>
      </c>
      <c r="J953" s="918">
        <f>Clothing!S77</f>
        <v>2</v>
      </c>
      <c r="K953" s="293">
        <f t="shared" si="14"/>
        <v>0.37356464144298934</v>
      </c>
    </row>
    <row r="954" spans="1:11">
      <c r="A954" s="918" t="s">
        <v>2043</v>
      </c>
      <c r="B954" s="918">
        <f>Clothing!B78</f>
        <v>2019</v>
      </c>
      <c r="C954" s="918" t="str">
        <f>Clothing!C78</f>
        <v>PA</v>
      </c>
      <c r="D954" s="918">
        <f>Clothing!L78</f>
        <v>4.9104476435192828</v>
      </c>
      <c r="E954" s="920" t="s">
        <v>2045</v>
      </c>
      <c r="F954" s="918">
        <f>Clothing!O78</f>
        <v>1</v>
      </c>
      <c r="G954" s="918">
        <f>Clothing!P78</f>
        <v>1</v>
      </c>
      <c r="H954" s="918">
        <f>Clothing!Q78</f>
        <v>2</v>
      </c>
      <c r="I954" s="918">
        <f>Clothing!R78</f>
        <v>2</v>
      </c>
      <c r="J954" s="918">
        <f>Clothing!S78</f>
        <v>2</v>
      </c>
      <c r="K954" s="293">
        <f t="shared" si="14"/>
        <v>0.37356464144298934</v>
      </c>
    </row>
    <row r="955" spans="1:11">
      <c r="A955" s="918" t="s">
        <v>2043</v>
      </c>
      <c r="B955" s="918">
        <f>Clothing!B79</f>
        <v>2019</v>
      </c>
      <c r="C955" s="918" t="str">
        <f>Clothing!C79</f>
        <v>PET</v>
      </c>
      <c r="D955" s="918">
        <f>Clothing!L79</f>
        <v>17.090704988011922</v>
      </c>
      <c r="E955" s="920" t="s">
        <v>2045</v>
      </c>
      <c r="F955" s="918">
        <f>Clothing!O79</f>
        <v>1</v>
      </c>
      <c r="G955" s="918">
        <f>Clothing!P79</f>
        <v>1</v>
      </c>
      <c r="H955" s="918">
        <f>Clothing!Q79</f>
        <v>2</v>
      </c>
      <c r="I955" s="918">
        <f>Clothing!R79</f>
        <v>2</v>
      </c>
      <c r="J955" s="918">
        <f>Clothing!S79</f>
        <v>2</v>
      </c>
      <c r="K955" s="293">
        <f t="shared" si="14"/>
        <v>0.37356464144298934</v>
      </c>
    </row>
    <row r="956" spans="1:11">
      <c r="A956" s="918" t="s">
        <v>2043</v>
      </c>
      <c r="B956" s="918">
        <f>Clothing!B80</f>
        <v>2019</v>
      </c>
      <c r="C956" s="918" t="str">
        <f>Clothing!C80</f>
        <v>PUR</v>
      </c>
      <c r="D956" s="918">
        <f>Clothing!L80</f>
        <v>3.0640391436427636</v>
      </c>
      <c r="E956" s="920" t="s">
        <v>2045</v>
      </c>
      <c r="F956" s="918">
        <f>Clothing!O80</f>
        <v>1</v>
      </c>
      <c r="G956" s="918">
        <f>Clothing!P80</f>
        <v>1</v>
      </c>
      <c r="H956" s="918">
        <f>Clothing!Q80</f>
        <v>2</v>
      </c>
      <c r="I956" s="918">
        <f>Clothing!R80</f>
        <v>2</v>
      </c>
      <c r="J956" s="918">
        <f>Clothing!S80</f>
        <v>2</v>
      </c>
      <c r="K956" s="293">
        <f t="shared" si="14"/>
        <v>0.37356464144298934</v>
      </c>
    </row>
    <row r="957" spans="1:11">
      <c r="A957" s="918" t="s">
        <v>2043</v>
      </c>
      <c r="B957" s="918">
        <f>Clothing!B81</f>
        <v>2019</v>
      </c>
      <c r="C957" s="918" t="str">
        <f>Clothing!C81</f>
        <v>PVC</v>
      </c>
      <c r="D957" s="918">
        <f>Clothing!L81</f>
        <v>1.8614049247698259</v>
      </c>
      <c r="E957" s="920" t="s">
        <v>2045</v>
      </c>
      <c r="F957" s="918">
        <f>Clothing!O81</f>
        <v>1</v>
      </c>
      <c r="G957" s="918">
        <f>Clothing!P81</f>
        <v>1</v>
      </c>
      <c r="H957" s="918">
        <f>Clothing!Q81</f>
        <v>2</v>
      </c>
      <c r="I957" s="918">
        <f>Clothing!R81</f>
        <v>2</v>
      </c>
      <c r="J957" s="918">
        <f>Clothing!S81</f>
        <v>2</v>
      </c>
      <c r="K957" s="293">
        <f t="shared" ref="K957:K1020" si="15">IF( OR( ISBLANK(F957),ISBLANK(G957), ISBLANK(H957), ISBLANK(I957), ISBLANK(J957) ), "", 1.5*SQRT(   EXP(2.21*(F957-1)) + EXP(2.21*(G957-1)) + EXP(2.21*(H957-1)) + EXP(2.21*(I957-1)) + EXP(2.21*J957)   )/100*2.45 )</f>
        <v>0.37356464144298934</v>
      </c>
    </row>
    <row r="958" spans="1:11">
      <c r="A958" s="918" t="s">
        <v>2043</v>
      </c>
      <c r="B958" s="918">
        <f>Clothing!B82</f>
        <v>2019</v>
      </c>
      <c r="C958" s="918" t="str">
        <f>Clothing!C82</f>
        <v>RUBBER</v>
      </c>
      <c r="D958" s="918">
        <f>Clothing!L82</f>
        <v>2.4290178281881847</v>
      </c>
      <c r="E958" s="920" t="s">
        <v>2045</v>
      </c>
      <c r="F958" s="918">
        <f>Clothing!O82</f>
        <v>1</v>
      </c>
      <c r="G958" s="918">
        <f>Clothing!P82</f>
        <v>1</v>
      </c>
      <c r="H958" s="918">
        <f>Clothing!Q82</f>
        <v>2</v>
      </c>
      <c r="I958" s="918">
        <f>Clothing!R82</f>
        <v>2</v>
      </c>
      <c r="J958" s="918">
        <f>Clothing!S82</f>
        <v>2</v>
      </c>
      <c r="K958" s="293">
        <f t="shared" si="15"/>
        <v>0.37356464144298934</v>
      </c>
    </row>
    <row r="959" spans="1:11">
      <c r="A959" s="918" t="s">
        <v>2043</v>
      </c>
      <c r="B959" s="918">
        <f>Clothing!B83</f>
        <v>2020</v>
      </c>
      <c r="C959" s="918" t="str">
        <f>Clothing!C83</f>
        <v>Acryl</v>
      </c>
      <c r="D959" s="918">
        <f>Clothing!L83</f>
        <v>0.70716061845999134</v>
      </c>
      <c r="E959" s="920" t="s">
        <v>2045</v>
      </c>
      <c r="F959" s="918">
        <f>Clothing!O83</f>
        <v>1</v>
      </c>
      <c r="G959" s="918">
        <f>Clothing!P83</f>
        <v>1</v>
      </c>
      <c r="H959" s="918">
        <f>Clothing!Q83</f>
        <v>2</v>
      </c>
      <c r="I959" s="918">
        <f>Clothing!R83</f>
        <v>2</v>
      </c>
      <c r="J959" s="918">
        <f>Clothing!S83</f>
        <v>2</v>
      </c>
      <c r="K959" s="293">
        <f t="shared" si="15"/>
        <v>0.37356464144298934</v>
      </c>
    </row>
    <row r="960" spans="1:11">
      <c r="A960" s="918" t="s">
        <v>2043</v>
      </c>
      <c r="B960" s="918">
        <f>Clothing!B84</f>
        <v>2020</v>
      </c>
      <c r="C960" s="918" t="str">
        <f>Clothing!C84</f>
        <v>OTHER</v>
      </c>
      <c r="D960" s="918">
        <f>Clothing!L84</f>
        <v>0.94470338939972975</v>
      </c>
      <c r="E960" s="920" t="s">
        <v>2045</v>
      </c>
      <c r="F960" s="918">
        <f>Clothing!O84</f>
        <v>1</v>
      </c>
      <c r="G960" s="918">
        <f>Clothing!P84</f>
        <v>1</v>
      </c>
      <c r="H960" s="918">
        <f>Clothing!Q84</f>
        <v>2</v>
      </c>
      <c r="I960" s="918">
        <f>Clothing!R84</f>
        <v>2</v>
      </c>
      <c r="J960" s="918">
        <f>Clothing!S84</f>
        <v>2</v>
      </c>
      <c r="K960" s="293">
        <f t="shared" si="15"/>
        <v>0.37356464144298934</v>
      </c>
    </row>
    <row r="961" spans="1:11">
      <c r="A961" s="918" t="s">
        <v>2043</v>
      </c>
      <c r="B961" s="918">
        <f>Clothing!B85</f>
        <v>2020</v>
      </c>
      <c r="C961" s="918" t="str">
        <f>Clothing!C85</f>
        <v>PA</v>
      </c>
      <c r="D961" s="918">
        <f>Clothing!L85</f>
        <v>1.9658588799092431</v>
      </c>
      <c r="E961" s="920" t="s">
        <v>2045</v>
      </c>
      <c r="F961" s="918">
        <f>Clothing!O85</f>
        <v>1</v>
      </c>
      <c r="G961" s="918">
        <f>Clothing!P85</f>
        <v>1</v>
      </c>
      <c r="H961" s="918">
        <f>Clothing!Q85</f>
        <v>2</v>
      </c>
      <c r="I961" s="918">
        <f>Clothing!R85</f>
        <v>2</v>
      </c>
      <c r="J961" s="918">
        <f>Clothing!S85</f>
        <v>2</v>
      </c>
      <c r="K961" s="293">
        <f t="shared" si="15"/>
        <v>0.37356464144298934</v>
      </c>
    </row>
    <row r="962" spans="1:11">
      <c r="A962" s="918" t="s">
        <v>2043</v>
      </c>
      <c r="B962" s="918">
        <f>Clothing!B86</f>
        <v>2020</v>
      </c>
      <c r="C962" s="918" t="str">
        <f>Clothing!C86</f>
        <v>PET</v>
      </c>
      <c r="D962" s="918">
        <f>Clothing!L86</f>
        <v>6.2559434759694854</v>
      </c>
      <c r="E962" s="920" t="s">
        <v>2045</v>
      </c>
      <c r="F962" s="918">
        <f>Clothing!O86</f>
        <v>1</v>
      </c>
      <c r="G962" s="918">
        <f>Clothing!P86</f>
        <v>1</v>
      </c>
      <c r="H962" s="918">
        <f>Clothing!Q86</f>
        <v>2</v>
      </c>
      <c r="I962" s="918">
        <f>Clothing!R86</f>
        <v>2</v>
      </c>
      <c r="J962" s="918">
        <f>Clothing!S86</f>
        <v>2</v>
      </c>
      <c r="K962" s="293">
        <f t="shared" si="15"/>
        <v>0.37356464144298934</v>
      </c>
    </row>
    <row r="963" spans="1:11">
      <c r="A963" s="918" t="s">
        <v>2043</v>
      </c>
      <c r="B963" s="918">
        <f>Clothing!B87</f>
        <v>2020</v>
      </c>
      <c r="C963" s="918" t="str">
        <f>Clothing!C87</f>
        <v>PUR</v>
      </c>
      <c r="D963" s="918">
        <f>Clothing!L87</f>
        <v>2.1001091364703393</v>
      </c>
      <c r="E963" s="920" t="s">
        <v>2045</v>
      </c>
      <c r="F963" s="918">
        <f>Clothing!O87</f>
        <v>1</v>
      </c>
      <c r="G963" s="918">
        <f>Clothing!P87</f>
        <v>1</v>
      </c>
      <c r="H963" s="918">
        <f>Clothing!Q87</f>
        <v>2</v>
      </c>
      <c r="I963" s="918">
        <f>Clothing!R87</f>
        <v>2</v>
      </c>
      <c r="J963" s="918">
        <f>Clothing!S87</f>
        <v>2</v>
      </c>
      <c r="K963" s="293">
        <f t="shared" si="15"/>
        <v>0.37356464144298934</v>
      </c>
    </row>
    <row r="964" spans="1:11">
      <c r="A964" s="918" t="s">
        <v>2043</v>
      </c>
      <c r="B964" s="918">
        <f>Clothing!B88</f>
        <v>2020</v>
      </c>
      <c r="C964" s="918" t="str">
        <f>Clothing!C88</f>
        <v>PVC</v>
      </c>
      <c r="D964" s="918">
        <f>Clothing!L88</f>
        <v>1.247661171107582</v>
      </c>
      <c r="E964" s="920" t="s">
        <v>2045</v>
      </c>
      <c r="F964" s="918">
        <f>Clothing!O88</f>
        <v>1</v>
      </c>
      <c r="G964" s="918">
        <f>Clothing!P88</f>
        <v>1</v>
      </c>
      <c r="H964" s="918">
        <f>Clothing!Q88</f>
        <v>2</v>
      </c>
      <c r="I964" s="918">
        <f>Clothing!R88</f>
        <v>2</v>
      </c>
      <c r="J964" s="918">
        <f>Clothing!S88</f>
        <v>2</v>
      </c>
      <c r="K964" s="293">
        <f t="shared" si="15"/>
        <v>0.37356464144298934</v>
      </c>
    </row>
    <row r="965" spans="1:11">
      <c r="A965" s="918" t="s">
        <v>2043</v>
      </c>
      <c r="B965" s="918">
        <f>Clothing!B89</f>
        <v>2020</v>
      </c>
      <c r="C965" s="918" t="str">
        <f>Clothing!C89</f>
        <v>RUBBER</v>
      </c>
      <c r="D965" s="918">
        <f>Clothing!L89</f>
        <v>1.3933495404155303</v>
      </c>
      <c r="E965" s="920" t="s">
        <v>2045</v>
      </c>
      <c r="F965" s="918">
        <f>Clothing!O89</f>
        <v>1</v>
      </c>
      <c r="G965" s="918">
        <f>Clothing!P89</f>
        <v>1</v>
      </c>
      <c r="H965" s="918">
        <f>Clothing!Q89</f>
        <v>2</v>
      </c>
      <c r="I965" s="918">
        <f>Clothing!R89</f>
        <v>2</v>
      </c>
      <c r="J965" s="918">
        <f>Clothing!S89</f>
        <v>2</v>
      </c>
      <c r="K965" s="293">
        <f t="shared" si="15"/>
        <v>0.37356464144298934</v>
      </c>
    </row>
    <row r="966" spans="1:11">
      <c r="A966" s="918" t="s">
        <v>2043</v>
      </c>
      <c r="B966" s="918">
        <f>Clothing!B90</f>
        <v>2021</v>
      </c>
      <c r="C966" s="918" t="str">
        <f>Clothing!C90</f>
        <v>Acryl</v>
      </c>
      <c r="D966" s="918">
        <f>Clothing!L90</f>
        <v>0.80078134582106841</v>
      </c>
      <c r="E966" s="920" t="s">
        <v>2045</v>
      </c>
      <c r="F966" s="918">
        <f>Clothing!O90</f>
        <v>1</v>
      </c>
      <c r="G966" s="918">
        <f>Clothing!P90</f>
        <v>1</v>
      </c>
      <c r="H966" s="918">
        <f>Clothing!Q90</f>
        <v>2</v>
      </c>
      <c r="I966" s="918">
        <f>Clothing!R90</f>
        <v>2</v>
      </c>
      <c r="J966" s="918">
        <f>Clothing!S90</f>
        <v>2</v>
      </c>
      <c r="K966" s="293">
        <f t="shared" si="15"/>
        <v>0.37356464144298934</v>
      </c>
    </row>
    <row r="967" spans="1:11">
      <c r="A967" s="918" t="s">
        <v>2043</v>
      </c>
      <c r="B967" s="918">
        <f>Clothing!B91</f>
        <v>2021</v>
      </c>
      <c r="C967" s="918" t="str">
        <f>Clothing!C91</f>
        <v>OTHER</v>
      </c>
      <c r="D967" s="918">
        <f>Clothing!L91</f>
        <v>0.95023507483032121</v>
      </c>
      <c r="E967" s="920" t="s">
        <v>2045</v>
      </c>
      <c r="F967" s="918">
        <f>Clothing!O91</f>
        <v>1</v>
      </c>
      <c r="G967" s="918">
        <f>Clothing!P91</f>
        <v>1</v>
      </c>
      <c r="H967" s="918">
        <f>Clothing!Q91</f>
        <v>2</v>
      </c>
      <c r="I967" s="918">
        <f>Clothing!R91</f>
        <v>2</v>
      </c>
      <c r="J967" s="918">
        <f>Clothing!S91</f>
        <v>2</v>
      </c>
      <c r="K967" s="293">
        <f t="shared" si="15"/>
        <v>0.37356464144298934</v>
      </c>
    </row>
    <row r="968" spans="1:11">
      <c r="A968" s="918" t="s">
        <v>2043</v>
      </c>
      <c r="B968" s="918">
        <f>Clothing!B92</f>
        <v>2021</v>
      </c>
      <c r="C968" s="918" t="str">
        <f>Clothing!C92</f>
        <v>PA</v>
      </c>
      <c r="D968" s="918">
        <f>Clothing!L92</f>
        <v>1.8292857486421539</v>
      </c>
      <c r="E968" s="920" t="s">
        <v>2045</v>
      </c>
      <c r="F968" s="918">
        <f>Clothing!O92</f>
        <v>1</v>
      </c>
      <c r="G968" s="918">
        <f>Clothing!P92</f>
        <v>1</v>
      </c>
      <c r="H968" s="918">
        <f>Clothing!Q92</f>
        <v>2</v>
      </c>
      <c r="I968" s="918">
        <f>Clothing!R92</f>
        <v>2</v>
      </c>
      <c r="J968" s="918">
        <f>Clothing!S92</f>
        <v>2</v>
      </c>
      <c r="K968" s="293">
        <f t="shared" si="15"/>
        <v>0.37356464144298934</v>
      </c>
    </row>
    <row r="969" spans="1:11">
      <c r="A969" s="918" t="s">
        <v>2043</v>
      </c>
      <c r="B969" s="918">
        <f>Clothing!B93</f>
        <v>2021</v>
      </c>
      <c r="C969" s="918" t="str">
        <f>Clothing!C93</f>
        <v>PET</v>
      </c>
      <c r="D969" s="918">
        <f>Clothing!L93</f>
        <v>6.8653454595747911</v>
      </c>
      <c r="E969" s="920" t="s">
        <v>2045</v>
      </c>
      <c r="F969" s="918">
        <f>Clothing!O93</f>
        <v>1</v>
      </c>
      <c r="G969" s="918">
        <f>Clothing!P93</f>
        <v>1</v>
      </c>
      <c r="H969" s="918">
        <f>Clothing!Q93</f>
        <v>2</v>
      </c>
      <c r="I969" s="918">
        <f>Clothing!R93</f>
        <v>2</v>
      </c>
      <c r="J969" s="918">
        <f>Clothing!S93</f>
        <v>2</v>
      </c>
      <c r="K969" s="293">
        <f t="shared" si="15"/>
        <v>0.37356464144298934</v>
      </c>
    </row>
    <row r="970" spans="1:11">
      <c r="A970" s="918" t="s">
        <v>2043</v>
      </c>
      <c r="B970" s="918">
        <f>Clothing!B94</f>
        <v>2021</v>
      </c>
      <c r="C970" s="918" t="str">
        <f>Clothing!C94</f>
        <v>PUR</v>
      </c>
      <c r="D970" s="918">
        <f>Clothing!L94</f>
        <v>2.6515291842163471</v>
      </c>
      <c r="E970" s="920" t="s">
        <v>2045</v>
      </c>
      <c r="F970" s="918">
        <f>Clothing!O94</f>
        <v>1</v>
      </c>
      <c r="G970" s="918">
        <f>Clothing!P94</f>
        <v>1</v>
      </c>
      <c r="H970" s="918">
        <f>Clothing!Q94</f>
        <v>2</v>
      </c>
      <c r="I970" s="918">
        <f>Clothing!R94</f>
        <v>2</v>
      </c>
      <c r="J970" s="918">
        <f>Clothing!S94</f>
        <v>2</v>
      </c>
      <c r="K970" s="293">
        <f t="shared" si="15"/>
        <v>0.37356464144298934</v>
      </c>
    </row>
    <row r="971" spans="1:11">
      <c r="A971" s="918" t="s">
        <v>2043</v>
      </c>
      <c r="B971" s="918">
        <f>Clothing!B95</f>
        <v>2021</v>
      </c>
      <c r="C971" s="918" t="str">
        <f>Clothing!C95</f>
        <v>PVC</v>
      </c>
      <c r="D971" s="918">
        <f>Clothing!L95</f>
        <v>1.5796947620191366</v>
      </c>
      <c r="E971" s="920" t="s">
        <v>2045</v>
      </c>
      <c r="F971" s="918">
        <f>Clothing!O95</f>
        <v>1</v>
      </c>
      <c r="G971" s="918">
        <f>Clothing!P95</f>
        <v>1</v>
      </c>
      <c r="H971" s="918">
        <f>Clothing!Q95</f>
        <v>2</v>
      </c>
      <c r="I971" s="918">
        <f>Clothing!R95</f>
        <v>2</v>
      </c>
      <c r="J971" s="918">
        <f>Clothing!S95</f>
        <v>2</v>
      </c>
      <c r="K971" s="293">
        <f t="shared" si="15"/>
        <v>0.37356464144298934</v>
      </c>
    </row>
    <row r="972" spans="1:11">
      <c r="A972" s="918" t="s">
        <v>2043</v>
      </c>
      <c r="B972" s="918">
        <f>Clothing!B96</f>
        <v>2021</v>
      </c>
      <c r="C972" s="918" t="str">
        <f>Clothing!C96</f>
        <v>RUBBER</v>
      </c>
      <c r="D972" s="918">
        <f>Clothing!L96</f>
        <v>1.7943480187693477</v>
      </c>
      <c r="E972" s="920" t="s">
        <v>2045</v>
      </c>
      <c r="F972" s="918">
        <f>Clothing!O96</f>
        <v>1</v>
      </c>
      <c r="G972" s="918">
        <f>Clothing!P96</f>
        <v>1</v>
      </c>
      <c r="H972" s="918">
        <f>Clothing!Q96</f>
        <v>2</v>
      </c>
      <c r="I972" s="918">
        <f>Clothing!R96</f>
        <v>2</v>
      </c>
      <c r="J972" s="918">
        <f>Clothing!S96</f>
        <v>2</v>
      </c>
      <c r="K972" s="293">
        <f t="shared" si="15"/>
        <v>0.37356464144298934</v>
      </c>
    </row>
    <row r="973" spans="1:11">
      <c r="A973" s="918" t="s">
        <v>2043</v>
      </c>
      <c r="B973" s="918">
        <f>Clothing!B97</f>
        <v>2022</v>
      </c>
      <c r="C973" s="918" t="str">
        <f>Clothing!C97</f>
        <v>Acryl</v>
      </c>
      <c r="D973" s="918">
        <f>Clothing!L97</f>
        <v>1.2109271717809948</v>
      </c>
      <c r="E973" s="920" t="s">
        <v>2045</v>
      </c>
      <c r="F973" s="918">
        <f>Clothing!O97</f>
        <v>1</v>
      </c>
      <c r="G973" s="918">
        <f>Clothing!P97</f>
        <v>1</v>
      </c>
      <c r="H973" s="918">
        <f>Clothing!Q97</f>
        <v>2</v>
      </c>
      <c r="I973" s="918">
        <f>Clothing!R97</f>
        <v>2</v>
      </c>
      <c r="J973" s="918">
        <f>Clothing!S97</f>
        <v>2</v>
      </c>
      <c r="K973" s="293">
        <f t="shared" si="15"/>
        <v>0.37356464144298934</v>
      </c>
    </row>
    <row r="974" spans="1:11">
      <c r="A974" s="918" t="s">
        <v>2043</v>
      </c>
      <c r="B974" s="918">
        <f>Clothing!B98</f>
        <v>2022</v>
      </c>
      <c r="C974" s="918" t="str">
        <f>Clothing!C98</f>
        <v>OTHER</v>
      </c>
      <c r="D974" s="918">
        <f>Clothing!L98</f>
        <v>1.9635037289101975</v>
      </c>
      <c r="E974" s="920" t="s">
        <v>2045</v>
      </c>
      <c r="F974" s="918">
        <f>Clothing!O98</f>
        <v>1</v>
      </c>
      <c r="G974" s="918">
        <f>Clothing!P98</f>
        <v>1</v>
      </c>
      <c r="H974" s="918">
        <f>Clothing!Q98</f>
        <v>2</v>
      </c>
      <c r="I974" s="918">
        <f>Clothing!R98</f>
        <v>2</v>
      </c>
      <c r="J974" s="918">
        <f>Clothing!S98</f>
        <v>2</v>
      </c>
      <c r="K974" s="293">
        <f t="shared" si="15"/>
        <v>0.37356464144298934</v>
      </c>
    </row>
    <row r="975" spans="1:11">
      <c r="A975" s="918" t="s">
        <v>2043</v>
      </c>
      <c r="B975" s="918">
        <f>Clothing!B99</f>
        <v>2022</v>
      </c>
      <c r="C975" s="918" t="str">
        <f>Clothing!C99</f>
        <v>PA</v>
      </c>
      <c r="D975" s="918">
        <f>Clothing!L99</f>
        <v>3.1698663371973361</v>
      </c>
      <c r="E975" s="920" t="s">
        <v>2045</v>
      </c>
      <c r="F975" s="918">
        <f>Clothing!O99</f>
        <v>1</v>
      </c>
      <c r="G975" s="918">
        <f>Clothing!P99</f>
        <v>1</v>
      </c>
      <c r="H975" s="918">
        <f>Clothing!Q99</f>
        <v>2</v>
      </c>
      <c r="I975" s="918">
        <f>Clothing!R99</f>
        <v>2</v>
      </c>
      <c r="J975" s="918">
        <f>Clothing!S99</f>
        <v>2</v>
      </c>
      <c r="K975" s="293">
        <f t="shared" si="15"/>
        <v>0.37356464144298934</v>
      </c>
    </row>
    <row r="976" spans="1:11">
      <c r="A976" s="918" t="s">
        <v>2043</v>
      </c>
      <c r="B976" s="918">
        <f>Clothing!B100</f>
        <v>2022</v>
      </c>
      <c r="C976" s="918" t="str">
        <f>Clothing!C100</f>
        <v>PET</v>
      </c>
      <c r="D976" s="918">
        <f>Clothing!L100</f>
        <v>11.173910318708753</v>
      </c>
      <c r="E976" s="920" t="s">
        <v>2045</v>
      </c>
      <c r="F976" s="918">
        <f>Clothing!O100</f>
        <v>1</v>
      </c>
      <c r="G976" s="918">
        <f>Clothing!P100</f>
        <v>1</v>
      </c>
      <c r="H976" s="918">
        <f>Clothing!Q100</f>
        <v>2</v>
      </c>
      <c r="I976" s="918">
        <f>Clothing!R100</f>
        <v>2</v>
      </c>
      <c r="J976" s="918">
        <f>Clothing!S100</f>
        <v>2</v>
      </c>
      <c r="K976" s="293">
        <f t="shared" si="15"/>
        <v>0.37356464144298934</v>
      </c>
    </row>
    <row r="977" spans="1:11">
      <c r="A977" s="918" t="s">
        <v>2043</v>
      </c>
      <c r="B977" s="918">
        <f>Clothing!B101</f>
        <v>2022</v>
      </c>
      <c r="C977" s="918" t="str">
        <f>Clothing!C101</f>
        <v>PUR</v>
      </c>
      <c r="D977" s="918">
        <f>Clothing!L101</f>
        <v>2.7225837497541812</v>
      </c>
      <c r="E977" s="920" t="s">
        <v>2045</v>
      </c>
      <c r="F977" s="918">
        <f>Clothing!O101</f>
        <v>1</v>
      </c>
      <c r="G977" s="918">
        <f>Clothing!P101</f>
        <v>1</v>
      </c>
      <c r="H977" s="918">
        <f>Clothing!Q101</f>
        <v>2</v>
      </c>
      <c r="I977" s="918">
        <f>Clothing!R101</f>
        <v>2</v>
      </c>
      <c r="J977" s="918">
        <f>Clothing!S101</f>
        <v>2</v>
      </c>
      <c r="K977" s="293">
        <f t="shared" si="15"/>
        <v>0.37356464144298934</v>
      </c>
    </row>
    <row r="978" spans="1:11">
      <c r="A978" s="918" t="s">
        <v>2043</v>
      </c>
      <c r="B978" s="918">
        <f>Clothing!B102</f>
        <v>2022</v>
      </c>
      <c r="C978" s="918" t="str">
        <f>Clothing!C102</f>
        <v>PVC</v>
      </c>
      <c r="D978" s="918">
        <f>Clothing!L102</f>
        <v>1.6640759988526244</v>
      </c>
      <c r="E978" s="920" t="s">
        <v>2045</v>
      </c>
      <c r="F978" s="918">
        <f>Clothing!O102</f>
        <v>1</v>
      </c>
      <c r="G978" s="918">
        <f>Clothing!P102</f>
        <v>1</v>
      </c>
      <c r="H978" s="918">
        <f>Clothing!Q102</f>
        <v>2</v>
      </c>
      <c r="I978" s="918">
        <f>Clothing!R102</f>
        <v>2</v>
      </c>
      <c r="J978" s="918">
        <f>Clothing!S102</f>
        <v>2</v>
      </c>
      <c r="K978" s="293">
        <f t="shared" si="15"/>
        <v>0.37356464144298934</v>
      </c>
    </row>
    <row r="979" spans="1:11">
      <c r="A979" s="918" t="s">
        <v>2043</v>
      </c>
      <c r="B979" s="918">
        <f>Clothing!B103</f>
        <v>2022</v>
      </c>
      <c r="C979" s="918" t="str">
        <f>Clothing!C103</f>
        <v>RUBBER</v>
      </c>
      <c r="D979" s="918">
        <f>Clothing!L103</f>
        <v>2.2474734762978867</v>
      </c>
      <c r="E979" s="920" t="s">
        <v>2045</v>
      </c>
      <c r="F979" s="918">
        <f>Clothing!O103</f>
        <v>1</v>
      </c>
      <c r="G979" s="918">
        <f>Clothing!P103</f>
        <v>1</v>
      </c>
      <c r="H979" s="918">
        <f>Clothing!Q103</f>
        <v>2</v>
      </c>
      <c r="I979" s="918">
        <f>Clothing!R103</f>
        <v>2</v>
      </c>
      <c r="J979" s="918">
        <f>Clothing!S103</f>
        <v>2</v>
      </c>
      <c r="K979" s="293">
        <f t="shared" si="15"/>
        <v>0.37356464144298934</v>
      </c>
    </row>
    <row r="980" spans="1:11">
      <c r="A980" s="918" t="s">
        <v>2046</v>
      </c>
      <c r="B980" s="918">
        <f>Clothing!B20</f>
        <v>2011</v>
      </c>
      <c r="C980" s="918" t="str">
        <f>Clothing!C20</f>
        <v>Acryl</v>
      </c>
      <c r="D980" s="918">
        <f>Clothing!M20</f>
        <v>8.0971786218140984</v>
      </c>
      <c r="E980" s="920" t="s">
        <v>2044</v>
      </c>
      <c r="F980" s="918">
        <f>Clothing!O20</f>
        <v>1</v>
      </c>
      <c r="G980" s="918">
        <f>Clothing!P20</f>
        <v>1</v>
      </c>
      <c r="H980" s="918">
        <f>Clothing!Q20</f>
        <v>2</v>
      </c>
      <c r="I980" s="918">
        <f>Clothing!R20</f>
        <v>2</v>
      </c>
      <c r="J980" s="918">
        <f>Clothing!S20</f>
        <v>2</v>
      </c>
      <c r="K980" s="293">
        <f t="shared" si="15"/>
        <v>0.37356464144298934</v>
      </c>
    </row>
    <row r="981" spans="1:11">
      <c r="A981" s="918" t="s">
        <v>2046</v>
      </c>
      <c r="B981" s="918">
        <f>Clothing!B21</f>
        <v>2011</v>
      </c>
      <c r="C981" s="918" t="str">
        <f>Clothing!C21</f>
        <v>OTHER</v>
      </c>
      <c r="D981" s="918">
        <f>Clothing!M21</f>
        <v>10.67793727163426</v>
      </c>
      <c r="E981" s="920" t="s">
        <v>2044</v>
      </c>
      <c r="F981" s="918">
        <f>Clothing!O21</f>
        <v>1</v>
      </c>
      <c r="G981" s="918">
        <f>Clothing!P21</f>
        <v>1</v>
      </c>
      <c r="H981" s="918">
        <f>Clothing!Q21</f>
        <v>2</v>
      </c>
      <c r="I981" s="918">
        <f>Clothing!R21</f>
        <v>2</v>
      </c>
      <c r="J981" s="918">
        <f>Clothing!S21</f>
        <v>2</v>
      </c>
      <c r="K981" s="293">
        <f t="shared" si="15"/>
        <v>0.37356464144298934</v>
      </c>
    </row>
    <row r="982" spans="1:11">
      <c r="A982" s="918" t="s">
        <v>2046</v>
      </c>
      <c r="B982" s="918">
        <f>Clothing!B22</f>
        <v>2011</v>
      </c>
      <c r="C982" s="918" t="str">
        <f>Clothing!C22</f>
        <v>PA</v>
      </c>
      <c r="D982" s="918">
        <f>Clothing!M22</f>
        <v>19.004506227203162</v>
      </c>
      <c r="E982" s="920" t="s">
        <v>2044</v>
      </c>
      <c r="F982" s="918">
        <f>Clothing!O22</f>
        <v>1</v>
      </c>
      <c r="G982" s="918">
        <f>Clothing!P22</f>
        <v>1</v>
      </c>
      <c r="H982" s="918">
        <f>Clothing!Q22</f>
        <v>2</v>
      </c>
      <c r="I982" s="918">
        <f>Clothing!R22</f>
        <v>2</v>
      </c>
      <c r="J982" s="918">
        <f>Clothing!S22</f>
        <v>2</v>
      </c>
      <c r="K982" s="293">
        <f t="shared" si="15"/>
        <v>0.37356464144298934</v>
      </c>
    </row>
    <row r="983" spans="1:11">
      <c r="A983" s="918" t="s">
        <v>2046</v>
      </c>
      <c r="B983" s="918">
        <f>Clothing!B23</f>
        <v>2011</v>
      </c>
      <c r="C983" s="918" t="str">
        <f>Clothing!C23</f>
        <v>PET</v>
      </c>
      <c r="D983" s="918">
        <f>Clothing!M23</f>
        <v>87.497967056018595</v>
      </c>
      <c r="E983" s="920" t="s">
        <v>2044</v>
      </c>
      <c r="F983" s="918">
        <f>Clothing!O23</f>
        <v>1</v>
      </c>
      <c r="G983" s="918">
        <f>Clothing!P23</f>
        <v>1</v>
      </c>
      <c r="H983" s="918">
        <f>Clothing!Q23</f>
        <v>2</v>
      </c>
      <c r="I983" s="918">
        <f>Clothing!R23</f>
        <v>2</v>
      </c>
      <c r="J983" s="918">
        <f>Clothing!S23</f>
        <v>2</v>
      </c>
      <c r="K983" s="293">
        <f t="shared" si="15"/>
        <v>0.37356464144298934</v>
      </c>
    </row>
    <row r="984" spans="1:11">
      <c r="A984" s="918" t="s">
        <v>2046</v>
      </c>
      <c r="B984" s="918">
        <f>Clothing!B24</f>
        <v>2011</v>
      </c>
      <c r="C984" s="918" t="str">
        <f>Clothing!C24</f>
        <v>PUR</v>
      </c>
      <c r="D984" s="918">
        <f>Clothing!M24</f>
        <v>6.5098815105167631</v>
      </c>
      <c r="E984" s="920" t="s">
        <v>2044</v>
      </c>
      <c r="F984" s="918">
        <f>Clothing!O24</f>
        <v>1</v>
      </c>
      <c r="G984" s="918">
        <f>Clothing!P24</f>
        <v>1</v>
      </c>
      <c r="H984" s="918">
        <f>Clothing!Q24</f>
        <v>2</v>
      </c>
      <c r="I984" s="918">
        <f>Clothing!R24</f>
        <v>2</v>
      </c>
      <c r="J984" s="918">
        <f>Clothing!S24</f>
        <v>2</v>
      </c>
      <c r="K984" s="293">
        <f t="shared" si="15"/>
        <v>0.37356464144298934</v>
      </c>
    </row>
    <row r="985" spans="1:11">
      <c r="A985" s="918" t="s">
        <v>2046</v>
      </c>
      <c r="B985" s="918">
        <f>Clothing!B25</f>
        <v>2011</v>
      </c>
      <c r="C985" s="918" t="str">
        <f>Clothing!C25</f>
        <v>PVC</v>
      </c>
      <c r="D985" s="918">
        <f>Clothing!M25</f>
        <v>4.2273729381913476</v>
      </c>
      <c r="E985" s="920" t="s">
        <v>2044</v>
      </c>
      <c r="F985" s="918">
        <f>Clothing!O25</f>
        <v>1</v>
      </c>
      <c r="G985" s="918">
        <f>Clothing!P25</f>
        <v>1</v>
      </c>
      <c r="H985" s="918">
        <f>Clothing!Q25</f>
        <v>2</v>
      </c>
      <c r="I985" s="918">
        <f>Clothing!R25</f>
        <v>2</v>
      </c>
      <c r="J985" s="918">
        <f>Clothing!S25</f>
        <v>2</v>
      </c>
      <c r="K985" s="293">
        <f t="shared" si="15"/>
        <v>0.37356464144298934</v>
      </c>
    </row>
    <row r="986" spans="1:11">
      <c r="A986" s="918" t="s">
        <v>2046</v>
      </c>
      <c r="B986" s="918">
        <f>Clothing!B26</f>
        <v>2011</v>
      </c>
      <c r="C986" s="918" t="str">
        <f>Clothing!C26</f>
        <v>RUBBER</v>
      </c>
      <c r="D986" s="918">
        <f>Clothing!M26</f>
        <v>9.4365910657326459</v>
      </c>
      <c r="E986" s="920" t="s">
        <v>2044</v>
      </c>
      <c r="F986" s="918">
        <f>Clothing!O26</f>
        <v>1</v>
      </c>
      <c r="G986" s="918">
        <f>Clothing!P26</f>
        <v>1</v>
      </c>
      <c r="H986" s="918">
        <f>Clothing!Q26</f>
        <v>2</v>
      </c>
      <c r="I986" s="918">
        <f>Clothing!R26</f>
        <v>2</v>
      </c>
      <c r="J986" s="918">
        <f>Clothing!S26</f>
        <v>2</v>
      </c>
      <c r="K986" s="293">
        <f t="shared" si="15"/>
        <v>0.37356464144298934</v>
      </c>
    </row>
    <row r="987" spans="1:11">
      <c r="A987" s="918" t="s">
        <v>2046</v>
      </c>
      <c r="B987" s="918">
        <f>Clothing!B27</f>
        <v>2012</v>
      </c>
      <c r="C987" s="918" t="str">
        <f>Clothing!C27</f>
        <v>Acryl</v>
      </c>
      <c r="D987" s="918">
        <f>Clothing!M27</f>
        <v>6.6662778815436852</v>
      </c>
      <c r="E987" s="920" t="s">
        <v>2044</v>
      </c>
      <c r="F987" s="918">
        <f>Clothing!O27</f>
        <v>1</v>
      </c>
      <c r="G987" s="918">
        <f>Clothing!P27</f>
        <v>1</v>
      </c>
      <c r="H987" s="918">
        <f>Clothing!Q27</f>
        <v>2</v>
      </c>
      <c r="I987" s="918">
        <f>Clothing!R27</f>
        <v>2</v>
      </c>
      <c r="J987" s="918">
        <f>Clothing!S27</f>
        <v>2</v>
      </c>
      <c r="K987" s="293">
        <f t="shared" si="15"/>
        <v>0.37356464144298934</v>
      </c>
    </row>
    <row r="988" spans="1:11">
      <c r="A988" s="918" t="s">
        <v>2046</v>
      </c>
      <c r="B988" s="918">
        <f>Clothing!B28</f>
        <v>2012</v>
      </c>
      <c r="C988" s="918" t="str">
        <f>Clothing!C28</f>
        <v>OTHER</v>
      </c>
      <c r="D988" s="918">
        <f>Clothing!M28</f>
        <v>7.9583892442353079</v>
      </c>
      <c r="E988" s="920" t="s">
        <v>2044</v>
      </c>
      <c r="F988" s="918">
        <f>Clothing!O28</f>
        <v>1</v>
      </c>
      <c r="G988" s="918">
        <f>Clothing!P28</f>
        <v>1</v>
      </c>
      <c r="H988" s="918">
        <f>Clothing!Q28</f>
        <v>2</v>
      </c>
      <c r="I988" s="918">
        <f>Clothing!R28</f>
        <v>2</v>
      </c>
      <c r="J988" s="918">
        <f>Clothing!S28</f>
        <v>2</v>
      </c>
      <c r="K988" s="293">
        <f t="shared" si="15"/>
        <v>0.37356464144298934</v>
      </c>
    </row>
    <row r="989" spans="1:11">
      <c r="A989" s="918" t="s">
        <v>2046</v>
      </c>
      <c r="B989" s="918">
        <f>Clothing!B29</f>
        <v>2012</v>
      </c>
      <c r="C989" s="918" t="str">
        <f>Clothing!C29</f>
        <v>PA</v>
      </c>
      <c r="D989" s="918">
        <f>Clothing!M29</f>
        <v>14.238529677937962</v>
      </c>
      <c r="E989" s="920" t="s">
        <v>2044</v>
      </c>
      <c r="F989" s="918">
        <f>Clothing!O29</f>
        <v>1</v>
      </c>
      <c r="G989" s="918">
        <f>Clothing!P29</f>
        <v>1</v>
      </c>
      <c r="H989" s="918">
        <f>Clothing!Q29</f>
        <v>2</v>
      </c>
      <c r="I989" s="918">
        <f>Clothing!R29</f>
        <v>2</v>
      </c>
      <c r="J989" s="918">
        <f>Clothing!S29</f>
        <v>2</v>
      </c>
      <c r="K989" s="293">
        <f t="shared" si="15"/>
        <v>0.37356464144298934</v>
      </c>
    </row>
    <row r="990" spans="1:11">
      <c r="A990" s="918" t="s">
        <v>2046</v>
      </c>
      <c r="B990" s="918">
        <f>Clothing!B30</f>
        <v>2012</v>
      </c>
      <c r="C990" s="918" t="str">
        <f>Clothing!C30</f>
        <v>PET</v>
      </c>
      <c r="D990" s="918">
        <f>Clothing!M30</f>
        <v>81.10459188503647</v>
      </c>
      <c r="E990" s="920" t="s">
        <v>2044</v>
      </c>
      <c r="F990" s="918">
        <f>Clothing!O30</f>
        <v>1</v>
      </c>
      <c r="G990" s="918">
        <f>Clothing!P30</f>
        <v>1</v>
      </c>
      <c r="H990" s="918">
        <f>Clothing!Q30</f>
        <v>2</v>
      </c>
      <c r="I990" s="918">
        <f>Clothing!R30</f>
        <v>2</v>
      </c>
      <c r="J990" s="918">
        <f>Clothing!S30</f>
        <v>2</v>
      </c>
      <c r="K990" s="293">
        <f t="shared" si="15"/>
        <v>0.37356464144298934</v>
      </c>
    </row>
    <row r="991" spans="1:11">
      <c r="A991" s="918" t="s">
        <v>2046</v>
      </c>
      <c r="B991" s="918">
        <f>Clothing!B31</f>
        <v>2012</v>
      </c>
      <c r="C991" s="918" t="str">
        <f>Clothing!C31</f>
        <v>PUR</v>
      </c>
      <c r="D991" s="918">
        <f>Clothing!M31</f>
        <v>5.5714724683243739</v>
      </c>
      <c r="E991" s="920" t="s">
        <v>2044</v>
      </c>
      <c r="F991" s="918">
        <f>Clothing!O31</f>
        <v>1</v>
      </c>
      <c r="G991" s="918">
        <f>Clothing!P31</f>
        <v>1</v>
      </c>
      <c r="H991" s="918">
        <f>Clothing!Q31</f>
        <v>2</v>
      </c>
      <c r="I991" s="918">
        <f>Clothing!R31</f>
        <v>2</v>
      </c>
      <c r="J991" s="918">
        <f>Clothing!S31</f>
        <v>2</v>
      </c>
      <c r="K991" s="293">
        <f t="shared" si="15"/>
        <v>0.37356464144298934</v>
      </c>
    </row>
    <row r="992" spans="1:11">
      <c r="A992" s="918" t="s">
        <v>2046</v>
      </c>
      <c r="B992" s="918">
        <f>Clothing!B32</f>
        <v>2012</v>
      </c>
      <c r="C992" s="918" t="str">
        <f>Clothing!C32</f>
        <v>PVC</v>
      </c>
      <c r="D992" s="918">
        <f>Clothing!M32</f>
        <v>3.578973032395397</v>
      </c>
      <c r="E992" s="920" t="s">
        <v>2044</v>
      </c>
      <c r="F992" s="918">
        <f>Clothing!O32</f>
        <v>1</v>
      </c>
      <c r="G992" s="918">
        <f>Clothing!P32</f>
        <v>1</v>
      </c>
      <c r="H992" s="918">
        <f>Clothing!Q32</f>
        <v>2</v>
      </c>
      <c r="I992" s="918">
        <f>Clothing!R32</f>
        <v>2</v>
      </c>
      <c r="J992" s="918">
        <f>Clothing!S32</f>
        <v>2</v>
      </c>
      <c r="K992" s="293">
        <f t="shared" si="15"/>
        <v>0.37356464144298934</v>
      </c>
    </row>
    <row r="993" spans="1:11">
      <c r="A993" s="918" t="s">
        <v>2046</v>
      </c>
      <c r="B993" s="918">
        <f>Clothing!B33</f>
        <v>2012</v>
      </c>
      <c r="C993" s="918" t="str">
        <f>Clothing!C33</f>
        <v>RUBBER</v>
      </c>
      <c r="D993" s="918">
        <f>Clothing!M33</f>
        <v>7.5338368689740687</v>
      </c>
      <c r="E993" s="920" t="s">
        <v>2044</v>
      </c>
      <c r="F993" s="918">
        <f>Clothing!O33</f>
        <v>1</v>
      </c>
      <c r="G993" s="918">
        <f>Clothing!P33</f>
        <v>1</v>
      </c>
      <c r="H993" s="918">
        <f>Clothing!Q33</f>
        <v>2</v>
      </c>
      <c r="I993" s="918">
        <f>Clothing!R33</f>
        <v>2</v>
      </c>
      <c r="J993" s="918">
        <f>Clothing!S33</f>
        <v>2</v>
      </c>
      <c r="K993" s="293">
        <f t="shared" si="15"/>
        <v>0.37356464144298934</v>
      </c>
    </row>
    <row r="994" spans="1:11">
      <c r="A994" s="918" t="s">
        <v>2046</v>
      </c>
      <c r="B994" s="918">
        <f>Clothing!B34</f>
        <v>2013</v>
      </c>
      <c r="C994" s="918" t="str">
        <f>Clothing!C34</f>
        <v>Acryl</v>
      </c>
      <c r="D994" s="918">
        <f>Clothing!M34</f>
        <v>7.1681837929167882</v>
      </c>
      <c r="E994" s="920" t="s">
        <v>2044</v>
      </c>
      <c r="F994" s="918">
        <f>Clothing!O34</f>
        <v>1</v>
      </c>
      <c r="G994" s="918">
        <f>Clothing!P34</f>
        <v>1</v>
      </c>
      <c r="H994" s="918">
        <f>Clothing!Q34</f>
        <v>2</v>
      </c>
      <c r="I994" s="918">
        <f>Clothing!R34</f>
        <v>2</v>
      </c>
      <c r="J994" s="918">
        <f>Clothing!S34</f>
        <v>2</v>
      </c>
      <c r="K994" s="293">
        <f t="shared" si="15"/>
        <v>0.37356464144298934</v>
      </c>
    </row>
    <row r="995" spans="1:11">
      <c r="A995" s="918" t="s">
        <v>2046</v>
      </c>
      <c r="B995" s="918">
        <f>Clothing!B35</f>
        <v>2013</v>
      </c>
      <c r="C995" s="918" t="str">
        <f>Clothing!C35</f>
        <v>OTHER</v>
      </c>
      <c r="D995" s="918">
        <f>Clothing!M35</f>
        <v>10.088094767039719</v>
      </c>
      <c r="E995" s="920" t="s">
        <v>2044</v>
      </c>
      <c r="F995" s="918">
        <f>Clothing!O35</f>
        <v>1</v>
      </c>
      <c r="G995" s="918">
        <f>Clothing!P35</f>
        <v>1</v>
      </c>
      <c r="H995" s="918">
        <f>Clothing!Q35</f>
        <v>2</v>
      </c>
      <c r="I995" s="918">
        <f>Clothing!R35</f>
        <v>2</v>
      </c>
      <c r="J995" s="918">
        <f>Clothing!S35</f>
        <v>2</v>
      </c>
      <c r="K995" s="293">
        <f t="shared" si="15"/>
        <v>0.37356464144298934</v>
      </c>
    </row>
    <row r="996" spans="1:11">
      <c r="A996" s="918" t="s">
        <v>2046</v>
      </c>
      <c r="B996" s="918">
        <f>Clothing!B36</f>
        <v>2013</v>
      </c>
      <c r="C996" s="918" t="str">
        <f>Clothing!C36</f>
        <v>PA</v>
      </c>
      <c r="D996" s="918">
        <f>Clothing!M36</f>
        <v>15.859928214337062</v>
      </c>
      <c r="E996" s="920" t="s">
        <v>2044</v>
      </c>
      <c r="F996" s="918">
        <f>Clothing!O36</f>
        <v>1</v>
      </c>
      <c r="G996" s="918">
        <f>Clothing!P36</f>
        <v>1</v>
      </c>
      <c r="H996" s="918">
        <f>Clothing!Q36</f>
        <v>2</v>
      </c>
      <c r="I996" s="918">
        <f>Clothing!R36</f>
        <v>2</v>
      </c>
      <c r="J996" s="918">
        <f>Clothing!S36</f>
        <v>2</v>
      </c>
      <c r="K996" s="293">
        <f t="shared" si="15"/>
        <v>0.37356464144298934</v>
      </c>
    </row>
    <row r="997" spans="1:11">
      <c r="A997" s="918" t="s">
        <v>2046</v>
      </c>
      <c r="B997" s="918">
        <f>Clothing!B37</f>
        <v>2013</v>
      </c>
      <c r="C997" s="918" t="str">
        <f>Clothing!C37</f>
        <v>PET</v>
      </c>
      <c r="D997" s="918">
        <f>Clothing!M37</f>
        <v>90.993858042626286</v>
      </c>
      <c r="E997" s="920" t="s">
        <v>2044</v>
      </c>
      <c r="F997" s="918">
        <f>Clothing!O37</f>
        <v>1</v>
      </c>
      <c r="G997" s="918">
        <f>Clothing!P37</f>
        <v>1</v>
      </c>
      <c r="H997" s="918">
        <f>Clothing!Q37</f>
        <v>2</v>
      </c>
      <c r="I997" s="918">
        <f>Clothing!R37</f>
        <v>2</v>
      </c>
      <c r="J997" s="918">
        <f>Clothing!S37</f>
        <v>2</v>
      </c>
      <c r="K997" s="293">
        <f t="shared" si="15"/>
        <v>0.37356464144298934</v>
      </c>
    </row>
    <row r="998" spans="1:11">
      <c r="A998" s="918" t="s">
        <v>2046</v>
      </c>
      <c r="B998" s="918">
        <f>Clothing!B38</f>
        <v>2013</v>
      </c>
      <c r="C998" s="918" t="str">
        <f>Clothing!C38</f>
        <v>PUR</v>
      </c>
      <c r="D998" s="918">
        <f>Clothing!M38</f>
        <v>5.8005302602028657</v>
      </c>
      <c r="E998" s="920" t="s">
        <v>2044</v>
      </c>
      <c r="F998" s="918">
        <f>Clothing!O38</f>
        <v>1</v>
      </c>
      <c r="G998" s="918">
        <f>Clothing!P38</f>
        <v>1</v>
      </c>
      <c r="H998" s="918">
        <f>Clothing!Q38</f>
        <v>2</v>
      </c>
      <c r="I998" s="918">
        <f>Clothing!R38</f>
        <v>2</v>
      </c>
      <c r="J998" s="918">
        <f>Clothing!S38</f>
        <v>2</v>
      </c>
      <c r="K998" s="293">
        <f t="shared" si="15"/>
        <v>0.37356464144298934</v>
      </c>
    </row>
    <row r="999" spans="1:11">
      <c r="A999" s="918" t="s">
        <v>2046</v>
      </c>
      <c r="B999" s="918">
        <f>Clothing!B39</f>
        <v>2013</v>
      </c>
      <c r="C999" s="918" t="str">
        <f>Clothing!C39</f>
        <v>PVC</v>
      </c>
      <c r="D999" s="918">
        <f>Clothing!M39</f>
        <v>3.7874725784155165</v>
      </c>
      <c r="E999" s="920" t="s">
        <v>2044</v>
      </c>
      <c r="F999" s="918">
        <f>Clothing!O39</f>
        <v>1</v>
      </c>
      <c r="G999" s="918">
        <f>Clothing!P39</f>
        <v>1</v>
      </c>
      <c r="H999" s="918">
        <f>Clothing!Q39</f>
        <v>2</v>
      </c>
      <c r="I999" s="918">
        <f>Clothing!R39</f>
        <v>2</v>
      </c>
      <c r="J999" s="918">
        <f>Clothing!S39</f>
        <v>2</v>
      </c>
      <c r="K999" s="293">
        <f t="shared" si="15"/>
        <v>0.37356464144298934</v>
      </c>
    </row>
    <row r="1000" spans="1:11">
      <c r="A1000" s="918" t="s">
        <v>2046</v>
      </c>
      <c r="B1000" s="918">
        <f>Clothing!B40</f>
        <v>2013</v>
      </c>
      <c r="C1000" s="918" t="str">
        <f>Clothing!C40</f>
        <v>RUBBER</v>
      </c>
      <c r="D1000" s="918">
        <f>Clothing!M40</f>
        <v>8.7750319938789705</v>
      </c>
      <c r="E1000" s="920" t="s">
        <v>2044</v>
      </c>
      <c r="F1000" s="918">
        <f>Clothing!O40</f>
        <v>1</v>
      </c>
      <c r="G1000" s="918">
        <f>Clothing!P40</f>
        <v>1</v>
      </c>
      <c r="H1000" s="918">
        <f>Clothing!Q40</f>
        <v>2</v>
      </c>
      <c r="I1000" s="918">
        <f>Clothing!R40</f>
        <v>2</v>
      </c>
      <c r="J1000" s="918">
        <f>Clothing!S40</f>
        <v>2</v>
      </c>
      <c r="K1000" s="293">
        <f t="shared" si="15"/>
        <v>0.37356464144298934</v>
      </c>
    </row>
    <row r="1001" spans="1:11">
      <c r="A1001" s="918" t="s">
        <v>2046</v>
      </c>
      <c r="B1001" s="918">
        <f>Clothing!B41</f>
        <v>2014</v>
      </c>
      <c r="C1001" s="918" t="str">
        <f>Clothing!C41</f>
        <v>Acryl</v>
      </c>
      <c r="D1001" s="918">
        <f>Clothing!M41</f>
        <v>8.0284961730181141</v>
      </c>
      <c r="E1001" s="920" t="s">
        <v>2044</v>
      </c>
      <c r="F1001" s="918">
        <f>Clothing!O41</f>
        <v>1</v>
      </c>
      <c r="G1001" s="918">
        <f>Clothing!P41</f>
        <v>1</v>
      </c>
      <c r="H1001" s="918">
        <f>Clothing!Q41</f>
        <v>2</v>
      </c>
      <c r="I1001" s="918">
        <f>Clothing!R41</f>
        <v>2</v>
      </c>
      <c r="J1001" s="918">
        <f>Clothing!S41</f>
        <v>2</v>
      </c>
      <c r="K1001" s="293">
        <f t="shared" si="15"/>
        <v>0.37356464144298934</v>
      </c>
    </row>
    <row r="1002" spans="1:11">
      <c r="A1002" s="918" t="s">
        <v>2046</v>
      </c>
      <c r="B1002" s="918">
        <f>Clothing!B42</f>
        <v>2014</v>
      </c>
      <c r="C1002" s="918" t="str">
        <f>Clothing!C42</f>
        <v>OTHER</v>
      </c>
      <c r="D1002" s="918">
        <f>Clothing!M42</f>
        <v>12.342726294419705</v>
      </c>
      <c r="E1002" s="920" t="s">
        <v>2044</v>
      </c>
      <c r="F1002" s="918">
        <f>Clothing!O42</f>
        <v>1</v>
      </c>
      <c r="G1002" s="918">
        <f>Clothing!P42</f>
        <v>1</v>
      </c>
      <c r="H1002" s="918">
        <f>Clothing!Q42</f>
        <v>2</v>
      </c>
      <c r="I1002" s="918">
        <f>Clothing!R42</f>
        <v>2</v>
      </c>
      <c r="J1002" s="918">
        <f>Clothing!S42</f>
        <v>2</v>
      </c>
      <c r="K1002" s="293">
        <f t="shared" si="15"/>
        <v>0.37356464144298934</v>
      </c>
    </row>
    <row r="1003" spans="1:11">
      <c r="A1003" s="918" t="s">
        <v>2046</v>
      </c>
      <c r="B1003" s="918">
        <f>Clothing!B43</f>
        <v>2014</v>
      </c>
      <c r="C1003" s="918" t="str">
        <f>Clothing!C43</f>
        <v>PA</v>
      </c>
      <c r="D1003" s="918">
        <f>Clothing!M43</f>
        <v>18.667814658248528</v>
      </c>
      <c r="E1003" s="920" t="s">
        <v>2044</v>
      </c>
      <c r="F1003" s="918">
        <f>Clothing!O43</f>
        <v>1</v>
      </c>
      <c r="G1003" s="918">
        <f>Clothing!P43</f>
        <v>1</v>
      </c>
      <c r="H1003" s="918">
        <f>Clothing!Q43</f>
        <v>2</v>
      </c>
      <c r="I1003" s="918">
        <f>Clothing!R43</f>
        <v>2</v>
      </c>
      <c r="J1003" s="918">
        <f>Clothing!S43</f>
        <v>2</v>
      </c>
      <c r="K1003" s="293">
        <f t="shared" si="15"/>
        <v>0.37356464144298934</v>
      </c>
    </row>
    <row r="1004" spans="1:11">
      <c r="A1004" s="918" t="s">
        <v>2046</v>
      </c>
      <c r="B1004" s="918">
        <f>Clothing!B44</f>
        <v>2014</v>
      </c>
      <c r="C1004" s="918" t="str">
        <f>Clothing!C44</f>
        <v>PET</v>
      </c>
      <c r="D1004" s="918">
        <f>Clothing!M44</f>
        <v>105.10646133426668</v>
      </c>
      <c r="E1004" s="920" t="s">
        <v>2044</v>
      </c>
      <c r="F1004" s="918">
        <f>Clothing!O44</f>
        <v>1</v>
      </c>
      <c r="G1004" s="918">
        <f>Clothing!P44</f>
        <v>1</v>
      </c>
      <c r="H1004" s="918">
        <f>Clothing!Q44</f>
        <v>2</v>
      </c>
      <c r="I1004" s="918">
        <f>Clothing!R44</f>
        <v>2</v>
      </c>
      <c r="J1004" s="918">
        <f>Clothing!S44</f>
        <v>2</v>
      </c>
      <c r="K1004" s="293">
        <f t="shared" si="15"/>
        <v>0.37356464144298934</v>
      </c>
    </row>
    <row r="1005" spans="1:11">
      <c r="A1005" s="918" t="s">
        <v>2046</v>
      </c>
      <c r="B1005" s="918">
        <f>Clothing!B45</f>
        <v>2014</v>
      </c>
      <c r="C1005" s="918" t="str">
        <f>Clothing!C45</f>
        <v>PUR</v>
      </c>
      <c r="D1005" s="918">
        <f>Clothing!M45</f>
        <v>6.8613608135860948</v>
      </c>
      <c r="E1005" s="920" t="s">
        <v>2044</v>
      </c>
      <c r="F1005" s="918">
        <f>Clothing!O45</f>
        <v>1</v>
      </c>
      <c r="G1005" s="918">
        <f>Clothing!P45</f>
        <v>1</v>
      </c>
      <c r="H1005" s="918">
        <f>Clothing!Q45</f>
        <v>2</v>
      </c>
      <c r="I1005" s="918">
        <f>Clothing!R45</f>
        <v>2</v>
      </c>
      <c r="J1005" s="918">
        <f>Clothing!S45</f>
        <v>2</v>
      </c>
      <c r="K1005" s="293">
        <f t="shared" si="15"/>
        <v>0.37356464144298934</v>
      </c>
    </row>
    <row r="1006" spans="1:11">
      <c r="A1006" s="918" t="s">
        <v>2046</v>
      </c>
      <c r="B1006" s="918">
        <f>Clothing!B46</f>
        <v>2014</v>
      </c>
      <c r="C1006" s="918" t="str">
        <f>Clothing!C46</f>
        <v>PVC</v>
      </c>
      <c r="D1006" s="918">
        <f>Clothing!M46</f>
        <v>4.4767629782153566</v>
      </c>
      <c r="E1006" s="920" t="s">
        <v>2044</v>
      </c>
      <c r="F1006" s="918">
        <f>Clothing!O46</f>
        <v>1</v>
      </c>
      <c r="G1006" s="918">
        <f>Clothing!P46</f>
        <v>1</v>
      </c>
      <c r="H1006" s="918">
        <f>Clothing!Q46</f>
        <v>2</v>
      </c>
      <c r="I1006" s="918">
        <f>Clothing!R46</f>
        <v>2</v>
      </c>
      <c r="J1006" s="918">
        <f>Clothing!S46</f>
        <v>2</v>
      </c>
      <c r="K1006" s="293">
        <f t="shared" si="15"/>
        <v>0.37356464144298934</v>
      </c>
    </row>
    <row r="1007" spans="1:11">
      <c r="A1007" s="918" t="s">
        <v>2046</v>
      </c>
      <c r="B1007" s="918">
        <f>Clothing!B47</f>
        <v>2014</v>
      </c>
      <c r="C1007" s="918" t="str">
        <f>Clothing!C47</f>
        <v>RUBBER</v>
      </c>
      <c r="D1007" s="918">
        <f>Clothing!M47</f>
        <v>10.191405959964353</v>
      </c>
      <c r="E1007" s="920" t="s">
        <v>2044</v>
      </c>
      <c r="F1007" s="918">
        <f>Clothing!O47</f>
        <v>1</v>
      </c>
      <c r="G1007" s="918">
        <f>Clothing!P47</f>
        <v>1</v>
      </c>
      <c r="H1007" s="918">
        <f>Clothing!Q47</f>
        <v>2</v>
      </c>
      <c r="I1007" s="918">
        <f>Clothing!R47</f>
        <v>2</v>
      </c>
      <c r="J1007" s="918">
        <f>Clothing!S47</f>
        <v>2</v>
      </c>
      <c r="K1007" s="293">
        <f t="shared" si="15"/>
        <v>0.37356464144298934</v>
      </c>
    </row>
    <row r="1008" spans="1:11">
      <c r="A1008" s="918" t="s">
        <v>2046</v>
      </c>
      <c r="B1008" s="918">
        <f>Clothing!B48</f>
        <v>2015</v>
      </c>
      <c r="C1008" s="918" t="str">
        <f>Clothing!C48</f>
        <v>Acryl</v>
      </c>
      <c r="D1008" s="918">
        <f>Clothing!M48</f>
        <v>8.1486761220199107</v>
      </c>
      <c r="E1008" s="920" t="s">
        <v>2044</v>
      </c>
      <c r="F1008" s="918">
        <f>Clothing!O48</f>
        <v>1</v>
      </c>
      <c r="G1008" s="918">
        <f>Clothing!P48</f>
        <v>1</v>
      </c>
      <c r="H1008" s="918">
        <f>Clothing!Q48</f>
        <v>2</v>
      </c>
      <c r="I1008" s="918">
        <f>Clothing!R48</f>
        <v>2</v>
      </c>
      <c r="J1008" s="918">
        <f>Clothing!S48</f>
        <v>2</v>
      </c>
      <c r="K1008" s="293">
        <f t="shared" si="15"/>
        <v>0.37356464144298934</v>
      </c>
    </row>
    <row r="1009" spans="1:11">
      <c r="A1009" s="918" t="s">
        <v>2046</v>
      </c>
      <c r="B1009" s="918">
        <f>Clothing!B49</f>
        <v>2015</v>
      </c>
      <c r="C1009" s="918" t="str">
        <f>Clothing!C49</f>
        <v>OTHER</v>
      </c>
      <c r="D1009" s="918">
        <f>Clothing!M49</f>
        <v>11.952721747282585</v>
      </c>
      <c r="E1009" s="920" t="s">
        <v>2044</v>
      </c>
      <c r="F1009" s="918">
        <f>Clothing!O49</f>
        <v>1</v>
      </c>
      <c r="G1009" s="918">
        <f>Clothing!P49</f>
        <v>1</v>
      </c>
      <c r="H1009" s="918">
        <f>Clothing!Q49</f>
        <v>2</v>
      </c>
      <c r="I1009" s="918">
        <f>Clothing!R49</f>
        <v>2</v>
      </c>
      <c r="J1009" s="918">
        <f>Clothing!S49</f>
        <v>2</v>
      </c>
      <c r="K1009" s="293">
        <f t="shared" si="15"/>
        <v>0.37356464144298934</v>
      </c>
    </row>
    <row r="1010" spans="1:11">
      <c r="A1010" s="918" t="s">
        <v>2046</v>
      </c>
      <c r="B1010" s="918">
        <f>Clothing!B50</f>
        <v>2015</v>
      </c>
      <c r="C1010" s="918" t="str">
        <f>Clothing!C50</f>
        <v>PA</v>
      </c>
      <c r="D1010" s="918">
        <f>Clothing!M50</f>
        <v>18.006179998890094</v>
      </c>
      <c r="E1010" s="920" t="s">
        <v>2044</v>
      </c>
      <c r="F1010" s="918">
        <f>Clothing!O50</f>
        <v>1</v>
      </c>
      <c r="G1010" s="918">
        <f>Clothing!P50</f>
        <v>1</v>
      </c>
      <c r="H1010" s="918">
        <f>Clothing!Q50</f>
        <v>2</v>
      </c>
      <c r="I1010" s="918">
        <f>Clothing!R50</f>
        <v>2</v>
      </c>
      <c r="J1010" s="918">
        <f>Clothing!S50</f>
        <v>2</v>
      </c>
      <c r="K1010" s="293">
        <f t="shared" si="15"/>
        <v>0.37356464144298934</v>
      </c>
    </row>
    <row r="1011" spans="1:11">
      <c r="A1011" s="918" t="s">
        <v>2046</v>
      </c>
      <c r="B1011" s="918">
        <f>Clothing!B51</f>
        <v>2015</v>
      </c>
      <c r="C1011" s="918" t="str">
        <f>Clothing!C51</f>
        <v>PET</v>
      </c>
      <c r="D1011" s="918">
        <f>Clothing!M51</f>
        <v>102.88146584213662</v>
      </c>
      <c r="E1011" s="920" t="s">
        <v>2044</v>
      </c>
      <c r="F1011" s="918">
        <f>Clothing!O51</f>
        <v>1</v>
      </c>
      <c r="G1011" s="918">
        <f>Clothing!P51</f>
        <v>1</v>
      </c>
      <c r="H1011" s="918">
        <f>Clothing!Q51</f>
        <v>2</v>
      </c>
      <c r="I1011" s="918">
        <f>Clothing!R51</f>
        <v>2</v>
      </c>
      <c r="J1011" s="918">
        <f>Clothing!S51</f>
        <v>2</v>
      </c>
      <c r="K1011" s="293">
        <f t="shared" si="15"/>
        <v>0.37356464144298934</v>
      </c>
    </row>
    <row r="1012" spans="1:11">
      <c r="A1012" s="918" t="s">
        <v>2046</v>
      </c>
      <c r="B1012" s="918">
        <f>Clothing!B52</f>
        <v>2015</v>
      </c>
      <c r="C1012" s="918" t="str">
        <f>Clothing!C52</f>
        <v>PUR</v>
      </c>
      <c r="D1012" s="918">
        <f>Clothing!M52</f>
        <v>7.4214999900593179</v>
      </c>
      <c r="E1012" s="920" t="s">
        <v>2044</v>
      </c>
      <c r="F1012" s="918">
        <f>Clothing!O52</f>
        <v>1</v>
      </c>
      <c r="G1012" s="918">
        <f>Clothing!P52</f>
        <v>1</v>
      </c>
      <c r="H1012" s="918">
        <f>Clothing!Q52</f>
        <v>2</v>
      </c>
      <c r="I1012" s="918">
        <f>Clothing!R52</f>
        <v>2</v>
      </c>
      <c r="J1012" s="918">
        <f>Clothing!S52</f>
        <v>2</v>
      </c>
      <c r="K1012" s="293">
        <f t="shared" si="15"/>
        <v>0.37356464144298934</v>
      </c>
    </row>
    <row r="1013" spans="1:11">
      <c r="A1013" s="918" t="s">
        <v>2046</v>
      </c>
      <c r="B1013" s="918">
        <f>Clothing!B53</f>
        <v>2015</v>
      </c>
      <c r="C1013" s="918" t="str">
        <f>Clothing!C53</f>
        <v>PVC</v>
      </c>
      <c r="D1013" s="918">
        <f>Clothing!M53</f>
        <v>4.8384839023484529</v>
      </c>
      <c r="E1013" s="920" t="s">
        <v>2044</v>
      </c>
      <c r="F1013" s="918">
        <f>Clothing!O53</f>
        <v>1</v>
      </c>
      <c r="G1013" s="918">
        <f>Clothing!P53</f>
        <v>1</v>
      </c>
      <c r="H1013" s="918">
        <f>Clothing!Q53</f>
        <v>2</v>
      </c>
      <c r="I1013" s="918">
        <f>Clothing!R53</f>
        <v>2</v>
      </c>
      <c r="J1013" s="918">
        <f>Clothing!S53</f>
        <v>2</v>
      </c>
      <c r="K1013" s="293">
        <f t="shared" si="15"/>
        <v>0.37356464144298934</v>
      </c>
    </row>
    <row r="1014" spans="1:11">
      <c r="A1014" s="918" t="s">
        <v>2046</v>
      </c>
      <c r="B1014" s="918">
        <f>Clothing!B54</f>
        <v>2015</v>
      </c>
      <c r="C1014" s="918" t="str">
        <f>Clothing!C54</f>
        <v>RUBBER</v>
      </c>
      <c r="D1014" s="918">
        <f>Clothing!M54</f>
        <v>11.134685749802991</v>
      </c>
      <c r="E1014" s="920" t="s">
        <v>2044</v>
      </c>
      <c r="F1014" s="918">
        <f>Clothing!O54</f>
        <v>1</v>
      </c>
      <c r="G1014" s="918">
        <f>Clothing!P54</f>
        <v>1</v>
      </c>
      <c r="H1014" s="918">
        <f>Clothing!Q54</f>
        <v>2</v>
      </c>
      <c r="I1014" s="918">
        <f>Clothing!R54</f>
        <v>2</v>
      </c>
      <c r="J1014" s="918">
        <f>Clothing!S54</f>
        <v>2</v>
      </c>
      <c r="K1014" s="293">
        <f t="shared" si="15"/>
        <v>0.37356464144298934</v>
      </c>
    </row>
    <row r="1015" spans="1:11">
      <c r="A1015" s="918" t="s">
        <v>2046</v>
      </c>
      <c r="B1015" s="918">
        <f>Clothing!B55</f>
        <v>2016</v>
      </c>
      <c r="C1015" s="918" t="str">
        <f>Clothing!C55</f>
        <v>Acryl</v>
      </c>
      <c r="D1015" s="918">
        <f>Clothing!M55</f>
        <v>8.4094244635517441</v>
      </c>
      <c r="E1015" s="920" t="s">
        <v>2044</v>
      </c>
      <c r="F1015" s="918">
        <f>Clothing!O55</f>
        <v>1</v>
      </c>
      <c r="G1015" s="918">
        <f>Clothing!P55</f>
        <v>1</v>
      </c>
      <c r="H1015" s="918">
        <f>Clothing!Q55</f>
        <v>2</v>
      </c>
      <c r="I1015" s="918">
        <f>Clothing!R55</f>
        <v>2</v>
      </c>
      <c r="J1015" s="918">
        <f>Clothing!S55</f>
        <v>2</v>
      </c>
      <c r="K1015" s="293">
        <f t="shared" si="15"/>
        <v>0.37356464144298934</v>
      </c>
    </row>
    <row r="1016" spans="1:11">
      <c r="A1016" s="918" t="s">
        <v>2046</v>
      </c>
      <c r="B1016" s="918">
        <f>Clothing!B56</f>
        <v>2016</v>
      </c>
      <c r="C1016" s="918" t="str">
        <f>Clothing!C56</f>
        <v>OTHER</v>
      </c>
      <c r="D1016" s="918">
        <f>Clothing!M56</f>
        <v>12.485833931548353</v>
      </c>
      <c r="E1016" s="920" t="s">
        <v>2044</v>
      </c>
      <c r="F1016" s="918">
        <f>Clothing!O56</f>
        <v>1</v>
      </c>
      <c r="G1016" s="918">
        <f>Clothing!P56</f>
        <v>1</v>
      </c>
      <c r="H1016" s="918">
        <f>Clothing!Q56</f>
        <v>2</v>
      </c>
      <c r="I1016" s="918">
        <f>Clothing!R56</f>
        <v>2</v>
      </c>
      <c r="J1016" s="918">
        <f>Clothing!S56</f>
        <v>2</v>
      </c>
      <c r="K1016" s="293">
        <f t="shared" si="15"/>
        <v>0.37356464144298934</v>
      </c>
    </row>
    <row r="1017" spans="1:11">
      <c r="A1017" s="918" t="s">
        <v>2046</v>
      </c>
      <c r="B1017" s="918">
        <f>Clothing!B57</f>
        <v>2016</v>
      </c>
      <c r="C1017" s="918" t="str">
        <f>Clothing!C57</f>
        <v>PA</v>
      </c>
      <c r="D1017" s="918">
        <f>Clothing!M57</f>
        <v>19.84777054070446</v>
      </c>
      <c r="E1017" s="920" t="s">
        <v>2044</v>
      </c>
      <c r="F1017" s="918">
        <f>Clothing!O57</f>
        <v>1</v>
      </c>
      <c r="G1017" s="918">
        <f>Clothing!P57</f>
        <v>1</v>
      </c>
      <c r="H1017" s="918">
        <f>Clothing!Q57</f>
        <v>2</v>
      </c>
      <c r="I1017" s="918">
        <f>Clothing!R57</f>
        <v>2</v>
      </c>
      <c r="J1017" s="918">
        <f>Clothing!S57</f>
        <v>2</v>
      </c>
      <c r="K1017" s="293">
        <f t="shared" si="15"/>
        <v>0.37356464144298934</v>
      </c>
    </row>
    <row r="1018" spans="1:11">
      <c r="A1018" s="918" t="s">
        <v>2046</v>
      </c>
      <c r="B1018" s="918">
        <f>Clothing!B58</f>
        <v>2016</v>
      </c>
      <c r="C1018" s="918" t="str">
        <f>Clothing!C58</f>
        <v>PET</v>
      </c>
      <c r="D1018" s="918">
        <f>Clothing!M58</f>
        <v>110.16416300050552</v>
      </c>
      <c r="E1018" s="920" t="s">
        <v>2044</v>
      </c>
      <c r="F1018" s="918">
        <f>Clothing!O58</f>
        <v>1</v>
      </c>
      <c r="G1018" s="918">
        <f>Clothing!P58</f>
        <v>1</v>
      </c>
      <c r="H1018" s="918">
        <f>Clothing!Q58</f>
        <v>2</v>
      </c>
      <c r="I1018" s="918">
        <f>Clothing!R58</f>
        <v>2</v>
      </c>
      <c r="J1018" s="918">
        <f>Clothing!S58</f>
        <v>2</v>
      </c>
      <c r="K1018" s="293">
        <f t="shared" si="15"/>
        <v>0.37356464144298934</v>
      </c>
    </row>
    <row r="1019" spans="1:11">
      <c r="A1019" s="918" t="s">
        <v>2046</v>
      </c>
      <c r="B1019" s="918">
        <f>Clothing!B59</f>
        <v>2016</v>
      </c>
      <c r="C1019" s="918" t="str">
        <f>Clothing!C59</f>
        <v>PUR</v>
      </c>
      <c r="D1019" s="918">
        <f>Clothing!M59</f>
        <v>7.5337332812757429</v>
      </c>
      <c r="E1019" s="920" t="s">
        <v>2044</v>
      </c>
      <c r="F1019" s="918">
        <f>Clothing!O59</f>
        <v>1</v>
      </c>
      <c r="G1019" s="918">
        <f>Clothing!P59</f>
        <v>1</v>
      </c>
      <c r="H1019" s="918">
        <f>Clothing!Q59</f>
        <v>2</v>
      </c>
      <c r="I1019" s="918">
        <f>Clothing!R59</f>
        <v>2</v>
      </c>
      <c r="J1019" s="918">
        <f>Clothing!S59</f>
        <v>2</v>
      </c>
      <c r="K1019" s="293">
        <f t="shared" si="15"/>
        <v>0.37356464144298934</v>
      </c>
    </row>
    <row r="1020" spans="1:11">
      <c r="A1020" s="918" t="s">
        <v>2046</v>
      </c>
      <c r="B1020" s="918">
        <f>Clothing!B60</f>
        <v>2016</v>
      </c>
      <c r="C1020" s="918" t="str">
        <f>Clothing!C60</f>
        <v>PVC</v>
      </c>
      <c r="D1020" s="918">
        <f>Clothing!M60</f>
        <v>4.8659867486159998</v>
      </c>
      <c r="E1020" s="920" t="s">
        <v>2044</v>
      </c>
      <c r="F1020" s="918">
        <f>Clothing!O60</f>
        <v>1</v>
      </c>
      <c r="G1020" s="918">
        <f>Clothing!P60</f>
        <v>1</v>
      </c>
      <c r="H1020" s="918">
        <f>Clothing!Q60</f>
        <v>2</v>
      </c>
      <c r="I1020" s="918">
        <f>Clothing!R60</f>
        <v>2</v>
      </c>
      <c r="J1020" s="918">
        <f>Clothing!S60</f>
        <v>2</v>
      </c>
      <c r="K1020" s="293">
        <f t="shared" si="15"/>
        <v>0.37356464144298934</v>
      </c>
    </row>
    <row r="1021" spans="1:11">
      <c r="A1021" s="918" t="s">
        <v>2046</v>
      </c>
      <c r="B1021" s="918">
        <f>Clothing!B61</f>
        <v>2016</v>
      </c>
      <c r="C1021" s="918" t="str">
        <f>Clothing!C61</f>
        <v>RUBBER</v>
      </c>
      <c r="D1021" s="918">
        <f>Clothing!M61</f>
        <v>10.423785907762305</v>
      </c>
      <c r="E1021" s="920" t="s">
        <v>2044</v>
      </c>
      <c r="F1021" s="918">
        <f>Clothing!O61</f>
        <v>1</v>
      </c>
      <c r="G1021" s="918">
        <f>Clothing!P61</f>
        <v>1</v>
      </c>
      <c r="H1021" s="918">
        <f>Clothing!Q61</f>
        <v>2</v>
      </c>
      <c r="I1021" s="918">
        <f>Clothing!R61</f>
        <v>2</v>
      </c>
      <c r="J1021" s="918">
        <f>Clothing!S61</f>
        <v>2</v>
      </c>
      <c r="K1021" s="293">
        <f t="shared" ref="K1021:K1084" si="16">IF( OR( ISBLANK(F1021),ISBLANK(G1021), ISBLANK(H1021), ISBLANK(I1021), ISBLANK(J1021) ), "", 1.5*SQRT(   EXP(2.21*(F1021-1)) + EXP(2.21*(G1021-1)) + EXP(2.21*(H1021-1)) + EXP(2.21*(I1021-1)) + EXP(2.21*J1021)   )/100*2.45 )</f>
        <v>0.37356464144298934</v>
      </c>
    </row>
    <row r="1022" spans="1:11">
      <c r="A1022" s="918" t="s">
        <v>2046</v>
      </c>
      <c r="B1022" s="918">
        <f>Clothing!B62</f>
        <v>2017</v>
      </c>
      <c r="C1022" s="918" t="str">
        <f>Clothing!C62</f>
        <v>Acryl</v>
      </c>
      <c r="D1022" s="918">
        <f>Clothing!M62</f>
        <v>8.4464366611116972</v>
      </c>
      <c r="E1022" s="920" t="s">
        <v>2044</v>
      </c>
      <c r="F1022" s="918">
        <f>Clothing!O62</f>
        <v>1</v>
      </c>
      <c r="G1022" s="918">
        <f>Clothing!P62</f>
        <v>1</v>
      </c>
      <c r="H1022" s="918">
        <f>Clothing!Q62</f>
        <v>2</v>
      </c>
      <c r="I1022" s="918">
        <f>Clothing!R62</f>
        <v>2</v>
      </c>
      <c r="J1022" s="918">
        <f>Clothing!S62</f>
        <v>2</v>
      </c>
      <c r="K1022" s="293">
        <f t="shared" si="16"/>
        <v>0.37356464144298934</v>
      </c>
    </row>
    <row r="1023" spans="1:11">
      <c r="A1023" s="918" t="s">
        <v>2046</v>
      </c>
      <c r="B1023" s="918">
        <f>Clothing!B63</f>
        <v>2017</v>
      </c>
      <c r="C1023" s="918" t="str">
        <f>Clothing!C63</f>
        <v>OTHER</v>
      </c>
      <c r="D1023" s="918">
        <f>Clothing!M63</f>
        <v>11.349137969752906</v>
      </c>
      <c r="E1023" s="920" t="s">
        <v>2044</v>
      </c>
      <c r="F1023" s="918">
        <f>Clothing!O63</f>
        <v>1</v>
      </c>
      <c r="G1023" s="918">
        <f>Clothing!P63</f>
        <v>1</v>
      </c>
      <c r="H1023" s="918">
        <f>Clothing!Q63</f>
        <v>2</v>
      </c>
      <c r="I1023" s="918">
        <f>Clothing!R63</f>
        <v>2</v>
      </c>
      <c r="J1023" s="918">
        <f>Clothing!S63</f>
        <v>2</v>
      </c>
      <c r="K1023" s="293">
        <f t="shared" si="16"/>
        <v>0.37356464144298934</v>
      </c>
    </row>
    <row r="1024" spans="1:11">
      <c r="A1024" s="918" t="s">
        <v>2046</v>
      </c>
      <c r="B1024" s="918">
        <f>Clothing!B64</f>
        <v>2017</v>
      </c>
      <c r="C1024" s="918" t="str">
        <f>Clothing!C64</f>
        <v>PA</v>
      </c>
      <c r="D1024" s="918">
        <f>Clothing!M64</f>
        <v>18.275176441759665</v>
      </c>
      <c r="E1024" s="920" t="s">
        <v>2044</v>
      </c>
      <c r="F1024" s="918">
        <f>Clothing!O64</f>
        <v>1</v>
      </c>
      <c r="G1024" s="918">
        <f>Clothing!P64</f>
        <v>1</v>
      </c>
      <c r="H1024" s="918">
        <f>Clothing!Q64</f>
        <v>2</v>
      </c>
      <c r="I1024" s="918">
        <f>Clothing!R64</f>
        <v>2</v>
      </c>
      <c r="J1024" s="918">
        <f>Clothing!S64</f>
        <v>2</v>
      </c>
      <c r="K1024" s="293">
        <f t="shared" si="16"/>
        <v>0.37356464144298934</v>
      </c>
    </row>
    <row r="1025" spans="1:11">
      <c r="A1025" s="918" t="s">
        <v>2046</v>
      </c>
      <c r="B1025" s="918">
        <f>Clothing!B65</f>
        <v>2017</v>
      </c>
      <c r="C1025" s="918" t="str">
        <f>Clothing!C65</f>
        <v>PET</v>
      </c>
      <c r="D1025" s="918">
        <f>Clothing!M65</f>
        <v>95.706920443432793</v>
      </c>
      <c r="E1025" s="920" t="s">
        <v>2044</v>
      </c>
      <c r="F1025" s="918">
        <f>Clothing!O65</f>
        <v>1</v>
      </c>
      <c r="G1025" s="918">
        <f>Clothing!P65</f>
        <v>1</v>
      </c>
      <c r="H1025" s="918">
        <f>Clothing!Q65</f>
        <v>2</v>
      </c>
      <c r="I1025" s="918">
        <f>Clothing!R65</f>
        <v>2</v>
      </c>
      <c r="J1025" s="918">
        <f>Clothing!S65</f>
        <v>2</v>
      </c>
      <c r="K1025" s="293">
        <f t="shared" si="16"/>
        <v>0.37356464144298934</v>
      </c>
    </row>
    <row r="1026" spans="1:11">
      <c r="A1026" s="918" t="s">
        <v>2046</v>
      </c>
      <c r="B1026" s="918">
        <f>Clothing!B66</f>
        <v>2017</v>
      </c>
      <c r="C1026" s="918" t="str">
        <f>Clothing!C66</f>
        <v>PUR</v>
      </c>
      <c r="D1026" s="918">
        <f>Clothing!M66</f>
        <v>6.3956952360107158</v>
      </c>
      <c r="E1026" s="920" t="s">
        <v>2044</v>
      </c>
      <c r="F1026" s="918">
        <f>Clothing!O66</f>
        <v>1</v>
      </c>
      <c r="G1026" s="918">
        <f>Clothing!P66</f>
        <v>1</v>
      </c>
      <c r="H1026" s="918">
        <f>Clothing!Q66</f>
        <v>2</v>
      </c>
      <c r="I1026" s="918">
        <f>Clothing!R66</f>
        <v>2</v>
      </c>
      <c r="J1026" s="918">
        <f>Clothing!S66</f>
        <v>2</v>
      </c>
      <c r="K1026" s="293">
        <f t="shared" si="16"/>
        <v>0.37356464144298934</v>
      </c>
    </row>
    <row r="1027" spans="1:11">
      <c r="A1027" s="918" t="s">
        <v>2046</v>
      </c>
      <c r="B1027" s="918">
        <f>Clothing!B67</f>
        <v>2017</v>
      </c>
      <c r="C1027" s="918" t="str">
        <f>Clothing!C67</f>
        <v>PVC</v>
      </c>
      <c r="D1027" s="918">
        <f>Clothing!M67</f>
        <v>4.1543291914821792</v>
      </c>
      <c r="E1027" s="920" t="s">
        <v>2044</v>
      </c>
      <c r="F1027" s="918">
        <f>Clothing!O67</f>
        <v>1</v>
      </c>
      <c r="G1027" s="918">
        <f>Clothing!P67</f>
        <v>1</v>
      </c>
      <c r="H1027" s="918">
        <f>Clothing!Q67</f>
        <v>2</v>
      </c>
      <c r="I1027" s="918">
        <f>Clothing!R67</f>
        <v>2</v>
      </c>
      <c r="J1027" s="918">
        <f>Clothing!S67</f>
        <v>2</v>
      </c>
      <c r="K1027" s="293">
        <f t="shared" si="16"/>
        <v>0.37356464144298934</v>
      </c>
    </row>
    <row r="1028" spans="1:11">
      <c r="A1028" s="918" t="s">
        <v>2046</v>
      </c>
      <c r="B1028" s="918">
        <f>Clothing!B68</f>
        <v>2017</v>
      </c>
      <c r="C1028" s="918" t="str">
        <f>Clothing!C68</f>
        <v>RUBBER</v>
      </c>
      <c r="D1028" s="918">
        <f>Clothing!M68</f>
        <v>9.1955171897530512</v>
      </c>
      <c r="E1028" s="920" t="s">
        <v>2044</v>
      </c>
      <c r="F1028" s="918">
        <f>Clothing!O68</f>
        <v>1</v>
      </c>
      <c r="G1028" s="918">
        <f>Clothing!P68</f>
        <v>1</v>
      </c>
      <c r="H1028" s="918">
        <f>Clothing!Q68</f>
        <v>2</v>
      </c>
      <c r="I1028" s="918">
        <f>Clothing!R68</f>
        <v>2</v>
      </c>
      <c r="J1028" s="918">
        <f>Clothing!S68</f>
        <v>2</v>
      </c>
      <c r="K1028" s="293">
        <f t="shared" si="16"/>
        <v>0.37356464144298934</v>
      </c>
    </row>
    <row r="1029" spans="1:11">
      <c r="A1029" s="918" t="s">
        <v>2046</v>
      </c>
      <c r="B1029" s="918">
        <f>Clothing!B69</f>
        <v>2018</v>
      </c>
      <c r="C1029" s="918" t="str">
        <f>Clothing!C69</f>
        <v>Acryl</v>
      </c>
      <c r="D1029" s="918">
        <f>Clothing!M69</f>
        <v>9.1757064335334206</v>
      </c>
      <c r="E1029" s="920" t="s">
        <v>2044</v>
      </c>
      <c r="F1029" s="918">
        <f>Clothing!O69</f>
        <v>1</v>
      </c>
      <c r="G1029" s="918">
        <f>Clothing!P69</f>
        <v>1</v>
      </c>
      <c r="H1029" s="918">
        <f>Clothing!Q69</f>
        <v>2</v>
      </c>
      <c r="I1029" s="918">
        <f>Clothing!R69</f>
        <v>2</v>
      </c>
      <c r="J1029" s="918">
        <f>Clothing!S69</f>
        <v>2</v>
      </c>
      <c r="K1029" s="293">
        <f t="shared" si="16"/>
        <v>0.37356464144298934</v>
      </c>
    </row>
    <row r="1030" spans="1:11">
      <c r="A1030" s="918" t="s">
        <v>2046</v>
      </c>
      <c r="B1030" s="918">
        <f>Clothing!B70</f>
        <v>2018</v>
      </c>
      <c r="C1030" s="918" t="str">
        <f>Clothing!C70</f>
        <v>OTHER</v>
      </c>
      <c r="D1030" s="918">
        <f>Clothing!M70</f>
        <v>12.773490067750753</v>
      </c>
      <c r="E1030" s="920" t="s">
        <v>2044</v>
      </c>
      <c r="F1030" s="918">
        <f>Clothing!O70</f>
        <v>1</v>
      </c>
      <c r="G1030" s="918">
        <f>Clothing!P70</f>
        <v>1</v>
      </c>
      <c r="H1030" s="918">
        <f>Clothing!Q70</f>
        <v>2</v>
      </c>
      <c r="I1030" s="918">
        <f>Clothing!R70</f>
        <v>2</v>
      </c>
      <c r="J1030" s="918">
        <f>Clothing!S70</f>
        <v>2</v>
      </c>
      <c r="K1030" s="293">
        <f t="shared" si="16"/>
        <v>0.37356464144298934</v>
      </c>
    </row>
    <row r="1031" spans="1:11">
      <c r="A1031" s="918" t="s">
        <v>2046</v>
      </c>
      <c r="B1031" s="918">
        <f>Clothing!B71</f>
        <v>2018</v>
      </c>
      <c r="C1031" s="918" t="str">
        <f>Clothing!C71</f>
        <v>PA</v>
      </c>
      <c r="D1031" s="918">
        <f>Clothing!M71</f>
        <v>21.210498605187396</v>
      </c>
      <c r="E1031" s="920" t="s">
        <v>2044</v>
      </c>
      <c r="F1031" s="918">
        <f>Clothing!O71</f>
        <v>1</v>
      </c>
      <c r="G1031" s="918">
        <f>Clothing!P71</f>
        <v>1</v>
      </c>
      <c r="H1031" s="918">
        <f>Clothing!Q71</f>
        <v>2</v>
      </c>
      <c r="I1031" s="918">
        <f>Clothing!R71</f>
        <v>2</v>
      </c>
      <c r="J1031" s="918">
        <f>Clothing!S71</f>
        <v>2</v>
      </c>
      <c r="K1031" s="293">
        <f t="shared" si="16"/>
        <v>0.37356464144298934</v>
      </c>
    </row>
    <row r="1032" spans="1:11">
      <c r="A1032" s="918" t="s">
        <v>2046</v>
      </c>
      <c r="B1032" s="918">
        <f>Clothing!B72</f>
        <v>2018</v>
      </c>
      <c r="C1032" s="918" t="str">
        <f>Clothing!C72</f>
        <v>PET</v>
      </c>
      <c r="D1032" s="918">
        <f>Clothing!M72</f>
        <v>109.96385218029589</v>
      </c>
      <c r="E1032" s="920" t="s">
        <v>2044</v>
      </c>
      <c r="F1032" s="918">
        <f>Clothing!O72</f>
        <v>1</v>
      </c>
      <c r="G1032" s="918">
        <f>Clothing!P72</f>
        <v>1</v>
      </c>
      <c r="H1032" s="918">
        <f>Clothing!Q72</f>
        <v>2</v>
      </c>
      <c r="I1032" s="918">
        <f>Clothing!R72</f>
        <v>2</v>
      </c>
      <c r="J1032" s="918">
        <f>Clothing!S72</f>
        <v>2</v>
      </c>
      <c r="K1032" s="293">
        <f t="shared" si="16"/>
        <v>0.37356464144298934</v>
      </c>
    </row>
    <row r="1033" spans="1:11">
      <c r="A1033" s="918" t="s">
        <v>2046</v>
      </c>
      <c r="B1033" s="918">
        <f>Clothing!B73</f>
        <v>2018</v>
      </c>
      <c r="C1033" s="918" t="str">
        <f>Clothing!C73</f>
        <v>PUR</v>
      </c>
      <c r="D1033" s="918">
        <f>Clothing!M73</f>
        <v>7.1976662214526916</v>
      </c>
      <c r="E1033" s="920" t="s">
        <v>2044</v>
      </c>
      <c r="F1033" s="918">
        <f>Clothing!O73</f>
        <v>1</v>
      </c>
      <c r="G1033" s="918">
        <f>Clothing!P73</f>
        <v>1</v>
      </c>
      <c r="H1033" s="918">
        <f>Clothing!Q73</f>
        <v>2</v>
      </c>
      <c r="I1033" s="918">
        <f>Clothing!R73</f>
        <v>2</v>
      </c>
      <c r="J1033" s="918">
        <f>Clothing!S73</f>
        <v>2</v>
      </c>
      <c r="K1033" s="293">
        <f t="shared" si="16"/>
        <v>0.37356464144298934</v>
      </c>
    </row>
    <row r="1034" spans="1:11">
      <c r="A1034" s="918" t="s">
        <v>2046</v>
      </c>
      <c r="B1034" s="918">
        <f>Clothing!B74</f>
        <v>2018</v>
      </c>
      <c r="C1034" s="918" t="str">
        <f>Clothing!C74</f>
        <v>PVC</v>
      </c>
      <c r="D1034" s="918">
        <f>Clothing!M74</f>
        <v>4.6695417544650306</v>
      </c>
      <c r="E1034" s="920" t="s">
        <v>2044</v>
      </c>
      <c r="F1034" s="918">
        <f>Clothing!O74</f>
        <v>1</v>
      </c>
      <c r="G1034" s="918">
        <f>Clothing!P74</f>
        <v>1</v>
      </c>
      <c r="H1034" s="918">
        <f>Clothing!Q74</f>
        <v>2</v>
      </c>
      <c r="I1034" s="918">
        <f>Clothing!R74</f>
        <v>2</v>
      </c>
      <c r="J1034" s="918">
        <f>Clothing!S74</f>
        <v>2</v>
      </c>
      <c r="K1034" s="293">
        <f t="shared" si="16"/>
        <v>0.37356464144298934</v>
      </c>
    </row>
    <row r="1035" spans="1:11">
      <c r="A1035" s="918" t="s">
        <v>2046</v>
      </c>
      <c r="B1035" s="918">
        <f>Clothing!B75</f>
        <v>2018</v>
      </c>
      <c r="C1035" s="918" t="str">
        <f>Clothing!C75</f>
        <v>RUBBER</v>
      </c>
      <c r="D1035" s="918">
        <f>Clothing!M75</f>
        <v>10.233896236235465</v>
      </c>
      <c r="E1035" s="920" t="s">
        <v>2044</v>
      </c>
      <c r="F1035" s="918">
        <f>Clothing!O75</f>
        <v>1</v>
      </c>
      <c r="G1035" s="918">
        <f>Clothing!P75</f>
        <v>1</v>
      </c>
      <c r="H1035" s="918">
        <f>Clothing!Q75</f>
        <v>2</v>
      </c>
      <c r="I1035" s="918">
        <f>Clothing!R75</f>
        <v>2</v>
      </c>
      <c r="J1035" s="918">
        <f>Clothing!S75</f>
        <v>2</v>
      </c>
      <c r="K1035" s="293">
        <f t="shared" si="16"/>
        <v>0.37356464144298934</v>
      </c>
    </row>
    <row r="1036" spans="1:11">
      <c r="A1036" s="918" t="s">
        <v>2046</v>
      </c>
      <c r="B1036" s="918">
        <f>Clothing!B76</f>
        <v>2019</v>
      </c>
      <c r="C1036" s="918" t="str">
        <f>Clothing!C76</f>
        <v>Acryl</v>
      </c>
      <c r="D1036" s="918">
        <f>Clothing!M76</f>
        <v>8.0538126793746354</v>
      </c>
      <c r="E1036" s="920" t="s">
        <v>2044</v>
      </c>
      <c r="F1036" s="918">
        <f>Clothing!O76</f>
        <v>1</v>
      </c>
      <c r="G1036" s="918">
        <f>Clothing!P76</f>
        <v>1</v>
      </c>
      <c r="H1036" s="918">
        <f>Clothing!Q76</f>
        <v>2</v>
      </c>
      <c r="I1036" s="918">
        <f>Clothing!R76</f>
        <v>2</v>
      </c>
      <c r="J1036" s="918">
        <f>Clothing!S76</f>
        <v>2</v>
      </c>
      <c r="K1036" s="293">
        <f t="shared" si="16"/>
        <v>0.37356464144298934</v>
      </c>
    </row>
    <row r="1037" spans="1:11">
      <c r="A1037" s="918" t="s">
        <v>2046</v>
      </c>
      <c r="B1037" s="918">
        <f>Clothing!B77</f>
        <v>2019</v>
      </c>
      <c r="C1037" s="918" t="str">
        <f>Clothing!C77</f>
        <v>OTHER</v>
      </c>
      <c r="D1037" s="918">
        <f>Clothing!M77</f>
        <v>11.661615903675463</v>
      </c>
      <c r="E1037" s="920" t="s">
        <v>2044</v>
      </c>
      <c r="F1037" s="918">
        <f>Clothing!O77</f>
        <v>1</v>
      </c>
      <c r="G1037" s="918">
        <f>Clothing!P77</f>
        <v>1</v>
      </c>
      <c r="H1037" s="918">
        <f>Clothing!Q77</f>
        <v>2</v>
      </c>
      <c r="I1037" s="918">
        <f>Clothing!R77</f>
        <v>2</v>
      </c>
      <c r="J1037" s="918">
        <f>Clothing!S77</f>
        <v>2</v>
      </c>
      <c r="K1037" s="293">
        <f t="shared" si="16"/>
        <v>0.37356464144298934</v>
      </c>
    </row>
    <row r="1038" spans="1:11">
      <c r="A1038" s="918" t="s">
        <v>2046</v>
      </c>
      <c r="B1038" s="918">
        <f>Clothing!B78</f>
        <v>2019</v>
      </c>
      <c r="C1038" s="918" t="str">
        <f>Clothing!C78</f>
        <v>PA</v>
      </c>
      <c r="D1038" s="918">
        <f>Clothing!M78</f>
        <v>19.193328592208804</v>
      </c>
      <c r="E1038" s="920" t="s">
        <v>2044</v>
      </c>
      <c r="F1038" s="918">
        <f>Clothing!O78</f>
        <v>1</v>
      </c>
      <c r="G1038" s="918">
        <f>Clothing!P78</f>
        <v>1</v>
      </c>
      <c r="H1038" s="918">
        <f>Clothing!Q78</f>
        <v>2</v>
      </c>
      <c r="I1038" s="918">
        <f>Clothing!R78</f>
        <v>2</v>
      </c>
      <c r="J1038" s="918">
        <f>Clothing!S78</f>
        <v>2</v>
      </c>
      <c r="K1038" s="293">
        <f t="shared" si="16"/>
        <v>0.37356464144298934</v>
      </c>
    </row>
    <row r="1039" spans="1:11">
      <c r="A1039" s="918" t="s">
        <v>2046</v>
      </c>
      <c r="B1039" s="918">
        <f>Clothing!B79</f>
        <v>2019</v>
      </c>
      <c r="C1039" s="918" t="str">
        <f>Clothing!C79</f>
        <v>PET</v>
      </c>
      <c r="D1039" s="918">
        <f>Clothing!M79</f>
        <v>100.90308475864207</v>
      </c>
      <c r="E1039" s="920" t="s">
        <v>2044</v>
      </c>
      <c r="F1039" s="918">
        <f>Clothing!O79</f>
        <v>1</v>
      </c>
      <c r="G1039" s="918">
        <f>Clothing!P79</f>
        <v>1</v>
      </c>
      <c r="H1039" s="918">
        <f>Clothing!Q79</f>
        <v>2</v>
      </c>
      <c r="I1039" s="918">
        <f>Clothing!R79</f>
        <v>2</v>
      </c>
      <c r="J1039" s="918">
        <f>Clothing!S79</f>
        <v>2</v>
      </c>
      <c r="K1039" s="293">
        <f t="shared" si="16"/>
        <v>0.37356464144298934</v>
      </c>
    </row>
    <row r="1040" spans="1:11">
      <c r="A1040" s="918" t="s">
        <v>2046</v>
      </c>
      <c r="B1040" s="918">
        <f>Clothing!B80</f>
        <v>2019</v>
      </c>
      <c r="C1040" s="918" t="str">
        <f>Clothing!C80</f>
        <v>PUR</v>
      </c>
      <c r="D1040" s="918">
        <f>Clothing!M80</f>
        <v>7.2072958098741378</v>
      </c>
      <c r="E1040" s="920" t="s">
        <v>2044</v>
      </c>
      <c r="F1040" s="918">
        <f>Clothing!O80</f>
        <v>1</v>
      </c>
      <c r="G1040" s="918">
        <f>Clothing!P80</f>
        <v>1</v>
      </c>
      <c r="H1040" s="918">
        <f>Clothing!Q80</f>
        <v>2</v>
      </c>
      <c r="I1040" s="918">
        <f>Clothing!R80</f>
        <v>2</v>
      </c>
      <c r="J1040" s="918">
        <f>Clothing!S80</f>
        <v>2</v>
      </c>
      <c r="K1040" s="293">
        <f t="shared" si="16"/>
        <v>0.37356464144298934</v>
      </c>
    </row>
    <row r="1041" spans="1:11">
      <c r="A1041" s="918" t="s">
        <v>2046</v>
      </c>
      <c r="B1041" s="918">
        <f>Clothing!B81</f>
        <v>2019</v>
      </c>
      <c r="C1041" s="918" t="str">
        <f>Clothing!C81</f>
        <v>PVC</v>
      </c>
      <c r="D1041" s="918">
        <f>Clothing!M81</f>
        <v>4.6319001054792697</v>
      </c>
      <c r="E1041" s="920" t="s">
        <v>2044</v>
      </c>
      <c r="F1041" s="918">
        <f>Clothing!O81</f>
        <v>1</v>
      </c>
      <c r="G1041" s="918">
        <f>Clothing!P81</f>
        <v>1</v>
      </c>
      <c r="H1041" s="918">
        <f>Clothing!Q81</f>
        <v>2</v>
      </c>
      <c r="I1041" s="918">
        <f>Clothing!R81</f>
        <v>2</v>
      </c>
      <c r="J1041" s="918">
        <f>Clothing!S81</f>
        <v>2</v>
      </c>
      <c r="K1041" s="293">
        <f t="shared" si="16"/>
        <v>0.37356464144298934</v>
      </c>
    </row>
    <row r="1042" spans="1:11">
      <c r="A1042" s="918" t="s">
        <v>2046</v>
      </c>
      <c r="B1042" s="918">
        <f>Clothing!B82</f>
        <v>2019</v>
      </c>
      <c r="C1042" s="918" t="str">
        <f>Clothing!C82</f>
        <v>RUBBER</v>
      </c>
      <c r="D1042" s="918">
        <f>Clothing!M82</f>
        <v>9.4920099339369663</v>
      </c>
      <c r="E1042" s="920" t="s">
        <v>2044</v>
      </c>
      <c r="F1042" s="918">
        <f>Clothing!O82</f>
        <v>1</v>
      </c>
      <c r="G1042" s="918">
        <f>Clothing!P82</f>
        <v>1</v>
      </c>
      <c r="H1042" s="918">
        <f>Clothing!Q82</f>
        <v>2</v>
      </c>
      <c r="I1042" s="918">
        <f>Clothing!R82</f>
        <v>2</v>
      </c>
      <c r="J1042" s="918">
        <f>Clothing!S82</f>
        <v>2</v>
      </c>
      <c r="K1042" s="293">
        <f t="shared" si="16"/>
        <v>0.37356464144298934</v>
      </c>
    </row>
    <row r="1043" spans="1:11">
      <c r="A1043" s="918" t="s">
        <v>2046</v>
      </c>
      <c r="B1043" s="918">
        <f>Clothing!B83</f>
        <v>2020</v>
      </c>
      <c r="C1043" s="918" t="str">
        <f>Clothing!C83</f>
        <v>Acryl</v>
      </c>
      <c r="D1043" s="918">
        <f>Clothing!M83</f>
        <v>3.7521662036318162</v>
      </c>
      <c r="E1043" s="920" t="s">
        <v>2044</v>
      </c>
      <c r="F1043" s="918">
        <f>Clothing!O83</f>
        <v>1</v>
      </c>
      <c r="G1043" s="918">
        <f>Clothing!P83</f>
        <v>1</v>
      </c>
      <c r="H1043" s="918">
        <f>Clothing!Q83</f>
        <v>2</v>
      </c>
      <c r="I1043" s="918">
        <f>Clothing!R83</f>
        <v>2</v>
      </c>
      <c r="J1043" s="918">
        <f>Clothing!S83</f>
        <v>2</v>
      </c>
      <c r="K1043" s="293">
        <f t="shared" si="16"/>
        <v>0.37356464144298934</v>
      </c>
    </row>
    <row r="1044" spans="1:11">
      <c r="A1044" s="918" t="s">
        <v>2046</v>
      </c>
      <c r="B1044" s="918">
        <f>Clothing!B84</f>
        <v>2020</v>
      </c>
      <c r="C1044" s="918" t="str">
        <f>Clothing!C84</f>
        <v>OTHER</v>
      </c>
      <c r="D1044" s="918">
        <f>Clothing!M84</f>
        <v>4.6126415520983945</v>
      </c>
      <c r="E1044" s="920" t="s">
        <v>2044</v>
      </c>
      <c r="F1044" s="918">
        <f>Clothing!O84</f>
        <v>1</v>
      </c>
      <c r="G1044" s="918">
        <f>Clothing!P84</f>
        <v>1</v>
      </c>
      <c r="H1044" s="918">
        <f>Clothing!Q84</f>
        <v>2</v>
      </c>
      <c r="I1044" s="918">
        <f>Clothing!R84</f>
        <v>2</v>
      </c>
      <c r="J1044" s="918">
        <f>Clothing!S84</f>
        <v>2</v>
      </c>
      <c r="K1044" s="293">
        <f t="shared" si="16"/>
        <v>0.37356464144298934</v>
      </c>
    </row>
    <row r="1045" spans="1:11">
      <c r="A1045" s="918" t="s">
        <v>2046</v>
      </c>
      <c r="B1045" s="918">
        <f>Clothing!B85</f>
        <v>2020</v>
      </c>
      <c r="C1045" s="918" t="str">
        <f>Clothing!C85</f>
        <v>PA</v>
      </c>
      <c r="D1045" s="918">
        <f>Clothing!M85</f>
        <v>7.4280881391469924</v>
      </c>
      <c r="E1045" s="920" t="s">
        <v>2044</v>
      </c>
      <c r="F1045" s="918">
        <f>Clothing!O85</f>
        <v>1</v>
      </c>
      <c r="G1045" s="918">
        <f>Clothing!P85</f>
        <v>1</v>
      </c>
      <c r="H1045" s="918">
        <f>Clothing!Q85</f>
        <v>2</v>
      </c>
      <c r="I1045" s="918">
        <f>Clothing!R85</f>
        <v>2</v>
      </c>
      <c r="J1045" s="918">
        <f>Clothing!S85</f>
        <v>2</v>
      </c>
      <c r="K1045" s="293">
        <f t="shared" si="16"/>
        <v>0.37356464144298934</v>
      </c>
    </row>
    <row r="1046" spans="1:11">
      <c r="A1046" s="918" t="s">
        <v>2046</v>
      </c>
      <c r="B1046" s="918">
        <f>Clothing!B86</f>
        <v>2020</v>
      </c>
      <c r="C1046" s="918" t="str">
        <f>Clothing!C86</f>
        <v>PET</v>
      </c>
      <c r="D1046" s="918">
        <f>Clothing!M86</f>
        <v>38.70673923101333</v>
      </c>
      <c r="E1046" s="920" t="s">
        <v>2044</v>
      </c>
      <c r="F1046" s="918">
        <f>Clothing!O86</f>
        <v>1</v>
      </c>
      <c r="G1046" s="918">
        <f>Clothing!P86</f>
        <v>1</v>
      </c>
      <c r="H1046" s="918">
        <f>Clothing!Q86</f>
        <v>2</v>
      </c>
      <c r="I1046" s="918">
        <f>Clothing!R86</f>
        <v>2</v>
      </c>
      <c r="J1046" s="918">
        <f>Clothing!S86</f>
        <v>2</v>
      </c>
      <c r="K1046" s="293">
        <f t="shared" si="16"/>
        <v>0.37356464144298934</v>
      </c>
    </row>
    <row r="1047" spans="1:11">
      <c r="A1047" s="918" t="s">
        <v>2046</v>
      </c>
      <c r="B1047" s="918">
        <f>Clothing!B87</f>
        <v>2020</v>
      </c>
      <c r="C1047" s="918" t="str">
        <f>Clothing!C87</f>
        <v>PUR</v>
      </c>
      <c r="D1047" s="918">
        <f>Clothing!M87</f>
        <v>5.0258956967424755</v>
      </c>
      <c r="E1047" s="920" t="s">
        <v>2044</v>
      </c>
      <c r="F1047" s="918">
        <f>Clothing!O87</f>
        <v>1</v>
      </c>
      <c r="G1047" s="918">
        <f>Clothing!P87</f>
        <v>1</v>
      </c>
      <c r="H1047" s="918">
        <f>Clothing!Q87</f>
        <v>2</v>
      </c>
      <c r="I1047" s="918">
        <f>Clothing!R87</f>
        <v>2</v>
      </c>
      <c r="J1047" s="918">
        <f>Clothing!S87</f>
        <v>2</v>
      </c>
      <c r="K1047" s="293">
        <f t="shared" si="16"/>
        <v>0.37356464144298934</v>
      </c>
    </row>
    <row r="1048" spans="1:11">
      <c r="A1048" s="918" t="s">
        <v>2046</v>
      </c>
      <c r="B1048" s="918">
        <f>Clothing!B88</f>
        <v>2020</v>
      </c>
      <c r="C1048" s="918" t="str">
        <f>Clothing!C88</f>
        <v>PVC</v>
      </c>
      <c r="D1048" s="918">
        <f>Clothing!M88</f>
        <v>3.1547157621483239</v>
      </c>
      <c r="E1048" s="920" t="s">
        <v>2044</v>
      </c>
      <c r="F1048" s="918">
        <f>Clothing!O88</f>
        <v>1</v>
      </c>
      <c r="G1048" s="918">
        <f>Clothing!P88</f>
        <v>1</v>
      </c>
      <c r="H1048" s="918">
        <f>Clothing!Q88</f>
        <v>2</v>
      </c>
      <c r="I1048" s="918">
        <f>Clothing!R88</f>
        <v>2</v>
      </c>
      <c r="J1048" s="918">
        <f>Clothing!S88</f>
        <v>2</v>
      </c>
      <c r="K1048" s="293">
        <f t="shared" si="16"/>
        <v>0.37356464144298934</v>
      </c>
    </row>
    <row r="1049" spans="1:11">
      <c r="A1049" s="918" t="s">
        <v>2046</v>
      </c>
      <c r="B1049" s="918">
        <f>Clothing!B89</f>
        <v>2020</v>
      </c>
      <c r="C1049" s="918" t="str">
        <f>Clothing!C89</f>
        <v>RUBBER</v>
      </c>
      <c r="D1049" s="918">
        <f>Clothing!M89</f>
        <v>5.4691001870599729</v>
      </c>
      <c r="E1049" s="920" t="s">
        <v>2044</v>
      </c>
      <c r="F1049" s="918">
        <f>Clothing!O89</f>
        <v>1</v>
      </c>
      <c r="G1049" s="918">
        <f>Clothing!P89</f>
        <v>1</v>
      </c>
      <c r="H1049" s="918">
        <f>Clothing!Q89</f>
        <v>2</v>
      </c>
      <c r="I1049" s="918">
        <f>Clothing!R89</f>
        <v>2</v>
      </c>
      <c r="J1049" s="918">
        <f>Clothing!S89</f>
        <v>2</v>
      </c>
      <c r="K1049" s="293">
        <f t="shared" si="16"/>
        <v>0.37356464144298934</v>
      </c>
    </row>
    <row r="1050" spans="1:11">
      <c r="A1050" s="918" t="s">
        <v>2046</v>
      </c>
      <c r="B1050" s="918">
        <f>Clothing!B90</f>
        <v>2021</v>
      </c>
      <c r="C1050" s="918" t="str">
        <f>Clothing!C90</f>
        <v>Acryl</v>
      </c>
      <c r="D1050" s="918">
        <f>Clothing!M90</f>
        <v>4.5949979136100714</v>
      </c>
      <c r="E1050" s="920" t="s">
        <v>2044</v>
      </c>
      <c r="F1050" s="918">
        <f>Clothing!O90</f>
        <v>1</v>
      </c>
      <c r="G1050" s="918">
        <f>Clothing!P90</f>
        <v>1</v>
      </c>
      <c r="H1050" s="918">
        <f>Clothing!Q90</f>
        <v>2</v>
      </c>
      <c r="I1050" s="918">
        <f>Clothing!R90</f>
        <v>2</v>
      </c>
      <c r="J1050" s="918">
        <f>Clothing!S90</f>
        <v>2</v>
      </c>
      <c r="K1050" s="293">
        <f t="shared" si="16"/>
        <v>0.37356464144298934</v>
      </c>
    </row>
    <row r="1051" spans="1:11">
      <c r="A1051" s="918" t="s">
        <v>2046</v>
      </c>
      <c r="B1051" s="918">
        <f>Clothing!B91</f>
        <v>2021</v>
      </c>
      <c r="C1051" s="918" t="str">
        <f>Clothing!C91</f>
        <v>OTHER</v>
      </c>
      <c r="D1051" s="918">
        <f>Clothing!M91</f>
        <v>4.5728819799952216</v>
      </c>
      <c r="E1051" s="920" t="s">
        <v>2044</v>
      </c>
      <c r="F1051" s="918">
        <f>Clothing!O91</f>
        <v>1</v>
      </c>
      <c r="G1051" s="918">
        <f>Clothing!P91</f>
        <v>1</v>
      </c>
      <c r="H1051" s="918">
        <f>Clothing!Q91</f>
        <v>2</v>
      </c>
      <c r="I1051" s="918">
        <f>Clothing!R91</f>
        <v>2</v>
      </c>
      <c r="J1051" s="918">
        <f>Clothing!S91</f>
        <v>2</v>
      </c>
      <c r="K1051" s="293">
        <f t="shared" si="16"/>
        <v>0.37356464144298934</v>
      </c>
    </row>
    <row r="1052" spans="1:11">
      <c r="A1052" s="918" t="s">
        <v>2046</v>
      </c>
      <c r="B1052" s="918">
        <f>Clothing!B92</f>
        <v>2021</v>
      </c>
      <c r="C1052" s="918" t="str">
        <f>Clothing!C92</f>
        <v>PA</v>
      </c>
      <c r="D1052" s="918">
        <f>Clothing!M92</f>
        <v>7.5051773782918563</v>
      </c>
      <c r="E1052" s="920" t="s">
        <v>2044</v>
      </c>
      <c r="F1052" s="918">
        <f>Clothing!O92</f>
        <v>1</v>
      </c>
      <c r="G1052" s="918">
        <f>Clothing!P92</f>
        <v>1</v>
      </c>
      <c r="H1052" s="918">
        <f>Clothing!Q92</f>
        <v>2</v>
      </c>
      <c r="I1052" s="918">
        <f>Clothing!R92</f>
        <v>2</v>
      </c>
      <c r="J1052" s="918">
        <f>Clothing!S92</f>
        <v>2</v>
      </c>
      <c r="K1052" s="293">
        <f t="shared" si="16"/>
        <v>0.37356464144298934</v>
      </c>
    </row>
    <row r="1053" spans="1:11">
      <c r="A1053" s="918" t="s">
        <v>2046</v>
      </c>
      <c r="B1053" s="918">
        <f>Clothing!B93</f>
        <v>2021</v>
      </c>
      <c r="C1053" s="918" t="str">
        <f>Clothing!C93</f>
        <v>PET</v>
      </c>
      <c r="D1053" s="918">
        <f>Clothing!M93</f>
        <v>40.813211163475813</v>
      </c>
      <c r="E1053" s="920" t="s">
        <v>2044</v>
      </c>
      <c r="F1053" s="918">
        <f>Clothing!O93</f>
        <v>1</v>
      </c>
      <c r="G1053" s="918">
        <f>Clothing!P93</f>
        <v>1</v>
      </c>
      <c r="H1053" s="918">
        <f>Clothing!Q93</f>
        <v>2</v>
      </c>
      <c r="I1053" s="918">
        <f>Clothing!R93</f>
        <v>2</v>
      </c>
      <c r="J1053" s="918">
        <f>Clothing!S93</f>
        <v>2</v>
      </c>
      <c r="K1053" s="293">
        <f t="shared" si="16"/>
        <v>0.37356464144298934</v>
      </c>
    </row>
    <row r="1054" spans="1:11">
      <c r="A1054" s="918" t="s">
        <v>2046</v>
      </c>
      <c r="B1054" s="918">
        <f>Clothing!B94</f>
        <v>2021</v>
      </c>
      <c r="C1054" s="918" t="str">
        <f>Clothing!C94</f>
        <v>PUR</v>
      </c>
      <c r="D1054" s="918">
        <f>Clothing!M94</f>
        <v>4.8643447710956771</v>
      </c>
      <c r="E1054" s="920" t="s">
        <v>2044</v>
      </c>
      <c r="F1054" s="918">
        <f>Clothing!O94</f>
        <v>1</v>
      </c>
      <c r="G1054" s="918">
        <f>Clothing!P94</f>
        <v>1</v>
      </c>
      <c r="H1054" s="918">
        <f>Clothing!Q94</f>
        <v>2</v>
      </c>
      <c r="I1054" s="918">
        <f>Clothing!R94</f>
        <v>2</v>
      </c>
      <c r="J1054" s="918">
        <f>Clothing!S94</f>
        <v>2</v>
      </c>
      <c r="K1054" s="293">
        <f t="shared" si="16"/>
        <v>0.37356464144298934</v>
      </c>
    </row>
    <row r="1055" spans="1:11">
      <c r="A1055" s="918" t="s">
        <v>2046</v>
      </c>
      <c r="B1055" s="918">
        <f>Clothing!B95</f>
        <v>2021</v>
      </c>
      <c r="C1055" s="918" t="str">
        <f>Clothing!C95</f>
        <v>PVC</v>
      </c>
      <c r="D1055" s="918">
        <f>Clothing!M95</f>
        <v>3.0900292710389059</v>
      </c>
      <c r="E1055" s="920" t="s">
        <v>2044</v>
      </c>
      <c r="F1055" s="918">
        <f>Clothing!O95</f>
        <v>1</v>
      </c>
      <c r="G1055" s="918">
        <f>Clothing!P95</f>
        <v>1</v>
      </c>
      <c r="H1055" s="918">
        <f>Clothing!Q95</f>
        <v>2</v>
      </c>
      <c r="I1055" s="918">
        <f>Clothing!R95</f>
        <v>2</v>
      </c>
      <c r="J1055" s="918">
        <f>Clothing!S95</f>
        <v>2</v>
      </c>
      <c r="K1055" s="293">
        <f t="shared" si="16"/>
        <v>0.37356464144298934</v>
      </c>
    </row>
    <row r="1056" spans="1:11">
      <c r="A1056" s="918" t="s">
        <v>2046</v>
      </c>
      <c r="B1056" s="918">
        <f>Clothing!B96</f>
        <v>2021</v>
      </c>
      <c r="C1056" s="918" t="str">
        <f>Clothing!C96</f>
        <v>RUBBER</v>
      </c>
      <c r="D1056" s="918">
        <f>Clothing!M96</f>
        <v>5.9061444285523779</v>
      </c>
      <c r="E1056" s="920" t="s">
        <v>2044</v>
      </c>
      <c r="F1056" s="918">
        <f>Clothing!O96</f>
        <v>1</v>
      </c>
      <c r="G1056" s="918">
        <f>Clothing!P96</f>
        <v>1</v>
      </c>
      <c r="H1056" s="918">
        <f>Clothing!Q96</f>
        <v>2</v>
      </c>
      <c r="I1056" s="918">
        <f>Clothing!R96</f>
        <v>2</v>
      </c>
      <c r="J1056" s="918">
        <f>Clothing!S96</f>
        <v>2</v>
      </c>
      <c r="K1056" s="293">
        <f t="shared" si="16"/>
        <v>0.37356464144298934</v>
      </c>
    </row>
    <row r="1057" spans="1:11">
      <c r="A1057" s="918" t="s">
        <v>2046</v>
      </c>
      <c r="B1057" s="918">
        <f>Clothing!B97</f>
        <v>2022</v>
      </c>
      <c r="C1057" s="918" t="str">
        <f>Clothing!C97</f>
        <v>Acryl</v>
      </c>
      <c r="D1057" s="918">
        <f>Clothing!M97</f>
        <v>7.9868050362564231</v>
      </c>
      <c r="E1057" s="920" t="s">
        <v>2044</v>
      </c>
      <c r="F1057" s="918">
        <f>Clothing!O97</f>
        <v>1</v>
      </c>
      <c r="G1057" s="918">
        <f>Clothing!P97</f>
        <v>1</v>
      </c>
      <c r="H1057" s="918">
        <f>Clothing!Q97</f>
        <v>2</v>
      </c>
      <c r="I1057" s="918">
        <f>Clothing!R97</f>
        <v>2</v>
      </c>
      <c r="J1057" s="918">
        <f>Clothing!S97</f>
        <v>2</v>
      </c>
      <c r="K1057" s="293">
        <f t="shared" si="16"/>
        <v>0.37356464144298934</v>
      </c>
    </row>
    <row r="1058" spans="1:11">
      <c r="A1058" s="918" t="s">
        <v>2046</v>
      </c>
      <c r="B1058" s="918">
        <f>Clothing!B98</f>
        <v>2022</v>
      </c>
      <c r="C1058" s="918" t="str">
        <f>Clothing!C98</f>
        <v>OTHER</v>
      </c>
      <c r="D1058" s="918">
        <f>Clothing!M98</f>
        <v>10.952124338053503</v>
      </c>
      <c r="E1058" s="920" t="s">
        <v>2044</v>
      </c>
      <c r="F1058" s="918">
        <f>Clothing!O98</f>
        <v>1</v>
      </c>
      <c r="G1058" s="918">
        <f>Clothing!P98</f>
        <v>1</v>
      </c>
      <c r="H1058" s="918">
        <f>Clothing!Q98</f>
        <v>2</v>
      </c>
      <c r="I1058" s="918">
        <f>Clothing!R98</f>
        <v>2</v>
      </c>
      <c r="J1058" s="918">
        <f>Clothing!S98</f>
        <v>2</v>
      </c>
      <c r="K1058" s="293">
        <f t="shared" si="16"/>
        <v>0.37356464144298934</v>
      </c>
    </row>
    <row r="1059" spans="1:11">
      <c r="A1059" s="918" t="s">
        <v>2046</v>
      </c>
      <c r="B1059" s="918">
        <f>Clothing!B99</f>
        <v>2022</v>
      </c>
      <c r="C1059" s="918" t="str">
        <f>Clothing!C99</f>
        <v>PA</v>
      </c>
      <c r="D1059" s="918">
        <f>Clothing!M99</f>
        <v>16.398798523938595</v>
      </c>
      <c r="E1059" s="920" t="s">
        <v>2044</v>
      </c>
      <c r="F1059" s="918">
        <f>Clothing!O99</f>
        <v>1</v>
      </c>
      <c r="G1059" s="918">
        <f>Clothing!P99</f>
        <v>1</v>
      </c>
      <c r="H1059" s="918">
        <f>Clothing!Q99</f>
        <v>2</v>
      </c>
      <c r="I1059" s="918">
        <f>Clothing!R99</f>
        <v>2</v>
      </c>
      <c r="J1059" s="918">
        <f>Clothing!S99</f>
        <v>2</v>
      </c>
      <c r="K1059" s="293">
        <f t="shared" si="16"/>
        <v>0.37356464144298934</v>
      </c>
    </row>
    <row r="1060" spans="1:11">
      <c r="A1060" s="918" t="s">
        <v>2046</v>
      </c>
      <c r="B1060" s="918">
        <f>Clothing!B100</f>
        <v>2022</v>
      </c>
      <c r="C1060" s="918" t="str">
        <f>Clothing!C100</f>
        <v>PET</v>
      </c>
      <c r="D1060" s="918">
        <f>Clothing!M100</f>
        <v>83.171217644977304</v>
      </c>
      <c r="E1060" s="920" t="s">
        <v>2044</v>
      </c>
      <c r="F1060" s="918">
        <f>Clothing!O100</f>
        <v>1</v>
      </c>
      <c r="G1060" s="918">
        <f>Clothing!P100</f>
        <v>1</v>
      </c>
      <c r="H1060" s="918">
        <f>Clothing!Q100</f>
        <v>2</v>
      </c>
      <c r="I1060" s="918">
        <f>Clothing!R100</f>
        <v>2</v>
      </c>
      <c r="J1060" s="918">
        <f>Clothing!S100</f>
        <v>2</v>
      </c>
      <c r="K1060" s="293">
        <f t="shared" si="16"/>
        <v>0.37356464144298934</v>
      </c>
    </row>
    <row r="1061" spans="1:11">
      <c r="A1061" s="918" t="s">
        <v>2046</v>
      </c>
      <c r="B1061" s="918">
        <f>Clothing!B101</f>
        <v>2022</v>
      </c>
      <c r="C1061" s="918" t="str">
        <f>Clothing!C101</f>
        <v>PUR</v>
      </c>
      <c r="D1061" s="918">
        <f>Clothing!M101</f>
        <v>7.4218751215738896</v>
      </c>
      <c r="E1061" s="920" t="s">
        <v>2044</v>
      </c>
      <c r="F1061" s="918">
        <f>Clothing!O101</f>
        <v>1</v>
      </c>
      <c r="G1061" s="918">
        <f>Clothing!P101</f>
        <v>1</v>
      </c>
      <c r="H1061" s="918">
        <f>Clothing!Q101</f>
        <v>2</v>
      </c>
      <c r="I1061" s="918">
        <f>Clothing!R101</f>
        <v>2</v>
      </c>
      <c r="J1061" s="918">
        <f>Clothing!S101</f>
        <v>2</v>
      </c>
      <c r="K1061" s="293">
        <f t="shared" si="16"/>
        <v>0.37356464144298934</v>
      </c>
    </row>
    <row r="1062" spans="1:11">
      <c r="A1062" s="918" t="s">
        <v>2046</v>
      </c>
      <c r="B1062" s="918">
        <f>Clothing!B102</f>
        <v>2022</v>
      </c>
      <c r="C1062" s="918" t="str">
        <f>Clothing!C102</f>
        <v>PVC</v>
      </c>
      <c r="D1062" s="918">
        <f>Clothing!M102</f>
        <v>4.7925539049660166</v>
      </c>
      <c r="E1062" s="920" t="s">
        <v>2044</v>
      </c>
      <c r="F1062" s="918">
        <f>Clothing!O102</f>
        <v>1</v>
      </c>
      <c r="G1062" s="918">
        <f>Clothing!P102</f>
        <v>1</v>
      </c>
      <c r="H1062" s="918">
        <f>Clothing!Q102</f>
        <v>2</v>
      </c>
      <c r="I1062" s="918">
        <f>Clothing!R102</f>
        <v>2</v>
      </c>
      <c r="J1062" s="918">
        <f>Clothing!S102</f>
        <v>2</v>
      </c>
      <c r="K1062" s="293">
        <f t="shared" si="16"/>
        <v>0.37356464144298934</v>
      </c>
    </row>
    <row r="1063" spans="1:11">
      <c r="A1063" s="918" t="s">
        <v>2046</v>
      </c>
      <c r="B1063" s="918">
        <f>Clothing!B103</f>
        <v>2022</v>
      </c>
      <c r="C1063" s="918" t="str">
        <f>Clothing!C103</f>
        <v>RUBBER</v>
      </c>
      <c r="D1063" s="918">
        <f>Clothing!M103</f>
        <v>10.065696958597194</v>
      </c>
      <c r="E1063" s="920" t="s">
        <v>2044</v>
      </c>
      <c r="F1063" s="918">
        <f>Clothing!O103</f>
        <v>1</v>
      </c>
      <c r="G1063" s="918">
        <f>Clothing!P103</f>
        <v>1</v>
      </c>
      <c r="H1063" s="918">
        <f>Clothing!Q103</f>
        <v>2</v>
      </c>
      <c r="I1063" s="918">
        <f>Clothing!R103</f>
        <v>2</v>
      </c>
      <c r="J1063" s="918">
        <f>Clothing!S103</f>
        <v>2</v>
      </c>
      <c r="K1063" s="293">
        <f t="shared" si="16"/>
        <v>0.37356464144298934</v>
      </c>
    </row>
    <row r="1064" spans="1:11">
      <c r="A1064" s="918" t="s">
        <v>2046</v>
      </c>
      <c r="B1064" s="918">
        <f>Clothing!B20</f>
        <v>2011</v>
      </c>
      <c r="C1064" s="918" t="str">
        <f>Clothing!C20</f>
        <v>Acryl</v>
      </c>
      <c r="D1064" s="918">
        <f>Clothing!N20</f>
        <v>9.8965516488838983</v>
      </c>
      <c r="E1064" s="920" t="s">
        <v>2045</v>
      </c>
      <c r="F1064" s="918">
        <f>Clothing!O20</f>
        <v>1</v>
      </c>
      <c r="G1064" s="918">
        <f>Clothing!P20</f>
        <v>1</v>
      </c>
      <c r="H1064" s="918">
        <f>Clothing!Q20</f>
        <v>2</v>
      </c>
      <c r="I1064" s="918">
        <f>Clothing!R20</f>
        <v>2</v>
      </c>
      <c r="J1064" s="918">
        <f>Clothing!S20</f>
        <v>2</v>
      </c>
      <c r="K1064" s="293">
        <f t="shared" si="16"/>
        <v>0.37356464144298934</v>
      </c>
    </row>
    <row r="1065" spans="1:11">
      <c r="A1065" s="918" t="s">
        <v>2046</v>
      </c>
      <c r="B1065" s="918">
        <f>Clothing!B21</f>
        <v>2011</v>
      </c>
      <c r="C1065" s="918" t="str">
        <f>Clothing!C21</f>
        <v>OTHER</v>
      </c>
      <c r="D1065" s="918">
        <f>Clothing!N21</f>
        <v>13.05081222088632</v>
      </c>
      <c r="E1065" s="920" t="s">
        <v>2045</v>
      </c>
      <c r="F1065" s="918">
        <f>Clothing!O21</f>
        <v>1</v>
      </c>
      <c r="G1065" s="918">
        <f>Clothing!P21</f>
        <v>1</v>
      </c>
      <c r="H1065" s="918">
        <f>Clothing!Q21</f>
        <v>2</v>
      </c>
      <c r="I1065" s="918">
        <f>Clothing!R21</f>
        <v>2</v>
      </c>
      <c r="J1065" s="918">
        <f>Clothing!S21</f>
        <v>2</v>
      </c>
      <c r="K1065" s="293">
        <f t="shared" si="16"/>
        <v>0.37356464144298934</v>
      </c>
    </row>
    <row r="1066" spans="1:11">
      <c r="A1066" s="918" t="s">
        <v>2046</v>
      </c>
      <c r="B1066" s="918">
        <f>Clothing!B22</f>
        <v>2011</v>
      </c>
      <c r="C1066" s="918" t="str">
        <f>Clothing!C22</f>
        <v>PA</v>
      </c>
      <c r="D1066" s="918">
        <f>Clothing!N22</f>
        <v>23.227729833248311</v>
      </c>
      <c r="E1066" s="920" t="s">
        <v>2045</v>
      </c>
      <c r="F1066" s="918">
        <f>Clothing!O22</f>
        <v>1</v>
      </c>
      <c r="G1066" s="918">
        <f>Clothing!P22</f>
        <v>1</v>
      </c>
      <c r="H1066" s="918">
        <f>Clothing!Q22</f>
        <v>2</v>
      </c>
      <c r="I1066" s="918">
        <f>Clothing!R22</f>
        <v>2</v>
      </c>
      <c r="J1066" s="918">
        <f>Clothing!S22</f>
        <v>2</v>
      </c>
      <c r="K1066" s="293">
        <f t="shared" si="16"/>
        <v>0.37356464144298934</v>
      </c>
    </row>
    <row r="1067" spans="1:11">
      <c r="A1067" s="918" t="s">
        <v>2046</v>
      </c>
      <c r="B1067" s="918">
        <f>Clothing!B23</f>
        <v>2011</v>
      </c>
      <c r="C1067" s="918" t="str">
        <f>Clothing!C23</f>
        <v>PET</v>
      </c>
      <c r="D1067" s="918">
        <f>Clothing!N23</f>
        <v>106.94195973513385</v>
      </c>
      <c r="E1067" s="920" t="s">
        <v>2045</v>
      </c>
      <c r="F1067" s="918">
        <f>Clothing!O23</f>
        <v>1</v>
      </c>
      <c r="G1067" s="918">
        <f>Clothing!P23</f>
        <v>1</v>
      </c>
      <c r="H1067" s="918">
        <f>Clothing!Q23</f>
        <v>2</v>
      </c>
      <c r="I1067" s="918">
        <f>Clothing!R23</f>
        <v>2</v>
      </c>
      <c r="J1067" s="918">
        <f>Clothing!S23</f>
        <v>2</v>
      </c>
      <c r="K1067" s="293">
        <f t="shared" si="16"/>
        <v>0.37356464144298934</v>
      </c>
    </row>
    <row r="1068" spans="1:11">
      <c r="A1068" s="918" t="s">
        <v>2046</v>
      </c>
      <c r="B1068" s="918">
        <f>Clothing!B24</f>
        <v>2011</v>
      </c>
      <c r="C1068" s="918" t="str">
        <f>Clothing!C24</f>
        <v>PUR</v>
      </c>
      <c r="D1068" s="918">
        <f>Clothing!N24</f>
        <v>7.9565218461871554</v>
      </c>
      <c r="E1068" s="920" t="s">
        <v>2045</v>
      </c>
      <c r="F1068" s="918">
        <f>Clothing!O24</f>
        <v>1</v>
      </c>
      <c r="G1068" s="918">
        <f>Clothing!P24</f>
        <v>1</v>
      </c>
      <c r="H1068" s="918">
        <f>Clothing!Q24</f>
        <v>2</v>
      </c>
      <c r="I1068" s="918">
        <f>Clothing!R24</f>
        <v>2</v>
      </c>
      <c r="J1068" s="918">
        <f>Clothing!S24</f>
        <v>2</v>
      </c>
      <c r="K1068" s="293">
        <f t="shared" si="16"/>
        <v>0.37356464144298934</v>
      </c>
    </row>
    <row r="1069" spans="1:11">
      <c r="A1069" s="918" t="s">
        <v>2046</v>
      </c>
      <c r="B1069" s="918">
        <f>Clothing!B25</f>
        <v>2011</v>
      </c>
      <c r="C1069" s="918" t="str">
        <f>Clothing!C25</f>
        <v>PVC</v>
      </c>
      <c r="D1069" s="918">
        <f>Clothing!N25</f>
        <v>5.1667891466783145</v>
      </c>
      <c r="E1069" s="920" t="s">
        <v>2045</v>
      </c>
      <c r="F1069" s="918">
        <f>Clothing!O25</f>
        <v>1</v>
      </c>
      <c r="G1069" s="918">
        <f>Clothing!P25</f>
        <v>1</v>
      </c>
      <c r="H1069" s="918">
        <f>Clothing!Q25</f>
        <v>2</v>
      </c>
      <c r="I1069" s="918">
        <f>Clothing!R25</f>
        <v>2</v>
      </c>
      <c r="J1069" s="918">
        <f>Clothing!S25</f>
        <v>2</v>
      </c>
      <c r="K1069" s="293">
        <f t="shared" si="16"/>
        <v>0.37356464144298934</v>
      </c>
    </row>
    <row r="1070" spans="1:11">
      <c r="A1070" s="918" t="s">
        <v>2046</v>
      </c>
      <c r="B1070" s="918">
        <f>Clothing!B26</f>
        <v>2011</v>
      </c>
      <c r="C1070" s="918" t="str">
        <f>Clothing!C26</f>
        <v>RUBBER</v>
      </c>
      <c r="D1070" s="918">
        <f>Clothing!N26</f>
        <v>11.533611302562123</v>
      </c>
      <c r="E1070" s="920" t="s">
        <v>2045</v>
      </c>
      <c r="F1070" s="918">
        <f>Clothing!O26</f>
        <v>1</v>
      </c>
      <c r="G1070" s="918">
        <f>Clothing!P26</f>
        <v>1</v>
      </c>
      <c r="H1070" s="918">
        <f>Clothing!Q26</f>
        <v>2</v>
      </c>
      <c r="I1070" s="918">
        <f>Clothing!R26</f>
        <v>2</v>
      </c>
      <c r="J1070" s="918">
        <f>Clothing!S26</f>
        <v>2</v>
      </c>
      <c r="K1070" s="293">
        <f t="shared" si="16"/>
        <v>0.37356464144298934</v>
      </c>
    </row>
    <row r="1071" spans="1:11">
      <c r="A1071" s="918" t="s">
        <v>2046</v>
      </c>
      <c r="B1071" s="918">
        <f>Clothing!B27</f>
        <v>2012</v>
      </c>
      <c r="C1071" s="918" t="str">
        <f>Clothing!C27</f>
        <v>Acryl</v>
      </c>
      <c r="D1071" s="918">
        <f>Clothing!N27</f>
        <v>8.1476729663311716</v>
      </c>
      <c r="E1071" s="920" t="s">
        <v>2045</v>
      </c>
      <c r="F1071" s="918">
        <f>Clothing!O27</f>
        <v>1</v>
      </c>
      <c r="G1071" s="918">
        <f>Clothing!P27</f>
        <v>1</v>
      </c>
      <c r="H1071" s="918">
        <f>Clothing!Q27</f>
        <v>2</v>
      </c>
      <c r="I1071" s="918">
        <f>Clothing!R27</f>
        <v>2</v>
      </c>
      <c r="J1071" s="918">
        <f>Clothing!S27</f>
        <v>2</v>
      </c>
      <c r="K1071" s="293">
        <f t="shared" si="16"/>
        <v>0.37356464144298934</v>
      </c>
    </row>
    <row r="1072" spans="1:11">
      <c r="A1072" s="918" t="s">
        <v>2046</v>
      </c>
      <c r="B1072" s="918">
        <f>Clothing!B28</f>
        <v>2012</v>
      </c>
      <c r="C1072" s="918" t="str">
        <f>Clothing!C28</f>
        <v>OTHER</v>
      </c>
      <c r="D1072" s="918">
        <f>Clothing!N28</f>
        <v>9.7269201873987097</v>
      </c>
      <c r="E1072" s="920" t="s">
        <v>2045</v>
      </c>
      <c r="F1072" s="918">
        <f>Clothing!O28</f>
        <v>1</v>
      </c>
      <c r="G1072" s="918">
        <f>Clothing!P28</f>
        <v>1</v>
      </c>
      <c r="H1072" s="918">
        <f>Clothing!Q28</f>
        <v>2</v>
      </c>
      <c r="I1072" s="918">
        <f>Clothing!R28</f>
        <v>2</v>
      </c>
      <c r="J1072" s="918">
        <f>Clothing!S28</f>
        <v>2</v>
      </c>
      <c r="K1072" s="293">
        <f t="shared" si="16"/>
        <v>0.37356464144298934</v>
      </c>
    </row>
    <row r="1073" spans="1:11">
      <c r="A1073" s="918" t="s">
        <v>2046</v>
      </c>
      <c r="B1073" s="918">
        <f>Clothing!B29</f>
        <v>2012</v>
      </c>
      <c r="C1073" s="918" t="str">
        <f>Clothing!C29</f>
        <v>PA</v>
      </c>
      <c r="D1073" s="918">
        <f>Clothing!N29</f>
        <v>17.402647384146398</v>
      </c>
      <c r="E1073" s="920" t="s">
        <v>2045</v>
      </c>
      <c r="F1073" s="918">
        <f>Clothing!O29</f>
        <v>1</v>
      </c>
      <c r="G1073" s="918">
        <f>Clothing!P29</f>
        <v>1</v>
      </c>
      <c r="H1073" s="918">
        <f>Clothing!Q29</f>
        <v>2</v>
      </c>
      <c r="I1073" s="918">
        <f>Clothing!R29</f>
        <v>2</v>
      </c>
      <c r="J1073" s="918">
        <f>Clothing!S29</f>
        <v>2</v>
      </c>
      <c r="K1073" s="293">
        <f t="shared" si="16"/>
        <v>0.37356464144298934</v>
      </c>
    </row>
    <row r="1074" spans="1:11">
      <c r="A1074" s="918" t="s">
        <v>2046</v>
      </c>
      <c r="B1074" s="918">
        <f>Clothing!B30</f>
        <v>2012</v>
      </c>
      <c r="C1074" s="918" t="str">
        <f>Clothing!C30</f>
        <v>PET</v>
      </c>
      <c r="D1074" s="918">
        <f>Clothing!N30</f>
        <v>99.127834526155681</v>
      </c>
      <c r="E1074" s="920" t="s">
        <v>2045</v>
      </c>
      <c r="F1074" s="918">
        <f>Clothing!O30</f>
        <v>1</v>
      </c>
      <c r="G1074" s="918">
        <f>Clothing!P30</f>
        <v>1</v>
      </c>
      <c r="H1074" s="918">
        <f>Clothing!Q30</f>
        <v>2</v>
      </c>
      <c r="I1074" s="918">
        <f>Clothing!R30</f>
        <v>2</v>
      </c>
      <c r="J1074" s="918">
        <f>Clothing!S30</f>
        <v>2</v>
      </c>
      <c r="K1074" s="293">
        <f t="shared" si="16"/>
        <v>0.37356464144298934</v>
      </c>
    </row>
    <row r="1075" spans="1:11">
      <c r="A1075" s="918" t="s">
        <v>2046</v>
      </c>
      <c r="B1075" s="918">
        <f>Clothing!B31</f>
        <v>2012</v>
      </c>
      <c r="C1075" s="918" t="str">
        <f>Clothing!C31</f>
        <v>PUR</v>
      </c>
      <c r="D1075" s="918">
        <f>Clothing!N31</f>
        <v>6.8095774612853468</v>
      </c>
      <c r="E1075" s="920" t="s">
        <v>2045</v>
      </c>
      <c r="F1075" s="918">
        <f>Clothing!O31</f>
        <v>1</v>
      </c>
      <c r="G1075" s="918">
        <f>Clothing!P31</f>
        <v>1</v>
      </c>
      <c r="H1075" s="918">
        <f>Clothing!Q31</f>
        <v>2</v>
      </c>
      <c r="I1075" s="918">
        <f>Clothing!R31</f>
        <v>2</v>
      </c>
      <c r="J1075" s="918">
        <f>Clothing!S31</f>
        <v>2</v>
      </c>
      <c r="K1075" s="293">
        <f t="shared" si="16"/>
        <v>0.37356464144298934</v>
      </c>
    </row>
    <row r="1076" spans="1:11">
      <c r="A1076" s="918" t="s">
        <v>2046</v>
      </c>
      <c r="B1076" s="918">
        <f>Clothing!B32</f>
        <v>2012</v>
      </c>
      <c r="C1076" s="918" t="str">
        <f>Clothing!C32</f>
        <v>PVC</v>
      </c>
      <c r="D1076" s="918">
        <f>Clothing!N32</f>
        <v>4.3743003729277072</v>
      </c>
      <c r="E1076" s="920" t="s">
        <v>2045</v>
      </c>
      <c r="F1076" s="918">
        <f>Clothing!O32</f>
        <v>1</v>
      </c>
      <c r="G1076" s="918">
        <f>Clothing!P32</f>
        <v>1</v>
      </c>
      <c r="H1076" s="918">
        <f>Clothing!Q32</f>
        <v>2</v>
      </c>
      <c r="I1076" s="918">
        <f>Clothing!R32</f>
        <v>2</v>
      </c>
      <c r="J1076" s="918">
        <f>Clothing!S32</f>
        <v>2</v>
      </c>
      <c r="K1076" s="293">
        <f t="shared" si="16"/>
        <v>0.37356464144298934</v>
      </c>
    </row>
    <row r="1077" spans="1:11">
      <c r="A1077" s="918" t="s">
        <v>2046</v>
      </c>
      <c r="B1077" s="918">
        <f>Clothing!B33</f>
        <v>2012</v>
      </c>
      <c r="C1077" s="918" t="str">
        <f>Clothing!C33</f>
        <v>RUBBER</v>
      </c>
      <c r="D1077" s="918">
        <f>Clothing!N33</f>
        <v>9.2080228398571951</v>
      </c>
      <c r="E1077" s="920" t="s">
        <v>2045</v>
      </c>
      <c r="F1077" s="918">
        <f>Clothing!O33</f>
        <v>1</v>
      </c>
      <c r="G1077" s="918">
        <f>Clothing!P33</f>
        <v>1</v>
      </c>
      <c r="H1077" s="918">
        <f>Clothing!Q33</f>
        <v>2</v>
      </c>
      <c r="I1077" s="918">
        <f>Clothing!R33</f>
        <v>2</v>
      </c>
      <c r="J1077" s="918">
        <f>Clothing!S33</f>
        <v>2</v>
      </c>
      <c r="K1077" s="293">
        <f t="shared" si="16"/>
        <v>0.37356464144298934</v>
      </c>
    </row>
    <row r="1078" spans="1:11">
      <c r="A1078" s="918" t="s">
        <v>2046</v>
      </c>
      <c r="B1078" s="918">
        <f>Clothing!B34</f>
        <v>2013</v>
      </c>
      <c r="C1078" s="918" t="str">
        <f>Clothing!C34</f>
        <v>Acryl</v>
      </c>
      <c r="D1078" s="918">
        <f>Clothing!N34</f>
        <v>8.761113524676075</v>
      </c>
      <c r="E1078" s="920" t="s">
        <v>2045</v>
      </c>
      <c r="F1078" s="918">
        <f>Clothing!O34</f>
        <v>1</v>
      </c>
      <c r="G1078" s="918">
        <f>Clothing!P34</f>
        <v>1</v>
      </c>
      <c r="H1078" s="918">
        <f>Clothing!Q34</f>
        <v>2</v>
      </c>
      <c r="I1078" s="918">
        <f>Clothing!R34</f>
        <v>2</v>
      </c>
      <c r="J1078" s="918">
        <f>Clothing!S34</f>
        <v>2</v>
      </c>
      <c r="K1078" s="293">
        <f t="shared" si="16"/>
        <v>0.37356464144298934</v>
      </c>
    </row>
    <row r="1079" spans="1:11">
      <c r="A1079" s="918" t="s">
        <v>2046</v>
      </c>
      <c r="B1079" s="918">
        <f>Clothing!B35</f>
        <v>2013</v>
      </c>
      <c r="C1079" s="918" t="str">
        <f>Clothing!C35</f>
        <v>OTHER</v>
      </c>
      <c r="D1079" s="918">
        <f>Clothing!N35</f>
        <v>12.329893604159658</v>
      </c>
      <c r="E1079" s="920" t="s">
        <v>2045</v>
      </c>
      <c r="F1079" s="918">
        <f>Clothing!O35</f>
        <v>1</v>
      </c>
      <c r="G1079" s="918">
        <f>Clothing!P35</f>
        <v>1</v>
      </c>
      <c r="H1079" s="918">
        <f>Clothing!Q35</f>
        <v>2</v>
      </c>
      <c r="I1079" s="918">
        <f>Clothing!R35</f>
        <v>2</v>
      </c>
      <c r="J1079" s="918">
        <f>Clothing!S35</f>
        <v>2</v>
      </c>
      <c r="K1079" s="293">
        <f t="shared" si="16"/>
        <v>0.37356464144298934</v>
      </c>
    </row>
    <row r="1080" spans="1:11">
      <c r="A1080" s="918" t="s">
        <v>2046</v>
      </c>
      <c r="B1080" s="918">
        <f>Clothing!B36</f>
        <v>2013</v>
      </c>
      <c r="C1080" s="918" t="str">
        <f>Clothing!C36</f>
        <v>PA</v>
      </c>
      <c r="D1080" s="918">
        <f>Clothing!N36</f>
        <v>19.384356706411964</v>
      </c>
      <c r="E1080" s="920" t="s">
        <v>2045</v>
      </c>
      <c r="F1080" s="918">
        <f>Clothing!O36</f>
        <v>1</v>
      </c>
      <c r="G1080" s="918">
        <f>Clothing!P36</f>
        <v>1</v>
      </c>
      <c r="H1080" s="918">
        <f>Clothing!Q36</f>
        <v>2</v>
      </c>
      <c r="I1080" s="918">
        <f>Clothing!R36</f>
        <v>2</v>
      </c>
      <c r="J1080" s="918">
        <f>Clothing!S36</f>
        <v>2</v>
      </c>
      <c r="K1080" s="293">
        <f t="shared" si="16"/>
        <v>0.37356464144298934</v>
      </c>
    </row>
    <row r="1081" spans="1:11">
      <c r="A1081" s="918" t="s">
        <v>2046</v>
      </c>
      <c r="B1081" s="918">
        <f>Clothing!B37</f>
        <v>2013</v>
      </c>
      <c r="C1081" s="918" t="str">
        <f>Clothing!C37</f>
        <v>PET</v>
      </c>
      <c r="D1081" s="918">
        <f>Clothing!N37</f>
        <v>111.21471538543213</v>
      </c>
      <c r="E1081" s="920" t="s">
        <v>2045</v>
      </c>
      <c r="F1081" s="918">
        <f>Clothing!O37</f>
        <v>1</v>
      </c>
      <c r="G1081" s="918">
        <f>Clothing!P37</f>
        <v>1</v>
      </c>
      <c r="H1081" s="918">
        <f>Clothing!Q37</f>
        <v>2</v>
      </c>
      <c r="I1081" s="918">
        <f>Clothing!R37</f>
        <v>2</v>
      </c>
      <c r="J1081" s="918">
        <f>Clothing!S37</f>
        <v>2</v>
      </c>
      <c r="K1081" s="293">
        <f t="shared" si="16"/>
        <v>0.37356464144298934</v>
      </c>
    </row>
    <row r="1082" spans="1:11">
      <c r="A1082" s="918" t="s">
        <v>2046</v>
      </c>
      <c r="B1082" s="918">
        <f>Clothing!B38</f>
        <v>2013</v>
      </c>
      <c r="C1082" s="918" t="str">
        <f>Clothing!C38</f>
        <v>PUR</v>
      </c>
      <c r="D1082" s="918">
        <f>Clothing!N38</f>
        <v>7.0895369846923915</v>
      </c>
      <c r="E1082" s="920" t="s">
        <v>2045</v>
      </c>
      <c r="F1082" s="918">
        <f>Clothing!O38</f>
        <v>1</v>
      </c>
      <c r="G1082" s="918">
        <f>Clothing!P38</f>
        <v>1</v>
      </c>
      <c r="H1082" s="918">
        <f>Clothing!Q38</f>
        <v>2</v>
      </c>
      <c r="I1082" s="918">
        <f>Clothing!R38</f>
        <v>2</v>
      </c>
      <c r="J1082" s="918">
        <f>Clothing!S38</f>
        <v>2</v>
      </c>
      <c r="K1082" s="293">
        <f t="shared" si="16"/>
        <v>0.37356464144298934</v>
      </c>
    </row>
    <row r="1083" spans="1:11">
      <c r="A1083" s="918" t="s">
        <v>2046</v>
      </c>
      <c r="B1083" s="918">
        <f>Clothing!B39</f>
        <v>2013</v>
      </c>
      <c r="C1083" s="918" t="str">
        <f>Clothing!C39</f>
        <v>PVC</v>
      </c>
      <c r="D1083" s="918">
        <f>Clothing!N39</f>
        <v>4.6291331513967426</v>
      </c>
      <c r="E1083" s="920" t="s">
        <v>2045</v>
      </c>
      <c r="F1083" s="918">
        <f>Clothing!O39</f>
        <v>1</v>
      </c>
      <c r="G1083" s="918">
        <f>Clothing!P39</f>
        <v>1</v>
      </c>
      <c r="H1083" s="918">
        <f>Clothing!Q39</f>
        <v>2</v>
      </c>
      <c r="I1083" s="918">
        <f>Clothing!R39</f>
        <v>2</v>
      </c>
      <c r="J1083" s="918">
        <f>Clothing!S39</f>
        <v>2</v>
      </c>
      <c r="K1083" s="293">
        <f t="shared" si="16"/>
        <v>0.37356464144298934</v>
      </c>
    </row>
    <row r="1084" spans="1:11">
      <c r="A1084" s="918" t="s">
        <v>2046</v>
      </c>
      <c r="B1084" s="918">
        <f>Clothing!B40</f>
        <v>2013</v>
      </c>
      <c r="C1084" s="918" t="str">
        <f>Clothing!C40</f>
        <v>RUBBER</v>
      </c>
      <c r="D1084" s="918">
        <f>Clothing!N40</f>
        <v>10.725039103629854</v>
      </c>
      <c r="E1084" s="920" t="s">
        <v>2045</v>
      </c>
      <c r="F1084" s="918">
        <f>Clothing!O40</f>
        <v>1</v>
      </c>
      <c r="G1084" s="918">
        <f>Clothing!P40</f>
        <v>1</v>
      </c>
      <c r="H1084" s="918">
        <f>Clothing!Q40</f>
        <v>2</v>
      </c>
      <c r="I1084" s="918">
        <f>Clothing!R40</f>
        <v>2</v>
      </c>
      <c r="J1084" s="918">
        <f>Clothing!S40</f>
        <v>2</v>
      </c>
      <c r="K1084" s="293">
        <f t="shared" si="16"/>
        <v>0.37356464144298934</v>
      </c>
    </row>
    <row r="1085" spans="1:11">
      <c r="A1085" s="918" t="s">
        <v>2046</v>
      </c>
      <c r="B1085" s="918">
        <f>Clothing!B41</f>
        <v>2014</v>
      </c>
      <c r="C1085" s="918" t="str">
        <f>Clothing!C41</f>
        <v>Acryl</v>
      </c>
      <c r="D1085" s="918">
        <f>Clothing!N41</f>
        <v>9.8126064336888064</v>
      </c>
      <c r="E1085" s="920" t="s">
        <v>2045</v>
      </c>
      <c r="F1085" s="918">
        <f>Clothing!O41</f>
        <v>1</v>
      </c>
      <c r="G1085" s="918">
        <f>Clothing!P41</f>
        <v>1</v>
      </c>
      <c r="H1085" s="918">
        <f>Clothing!Q41</f>
        <v>2</v>
      </c>
      <c r="I1085" s="918">
        <f>Clothing!R41</f>
        <v>2</v>
      </c>
      <c r="J1085" s="918">
        <f>Clothing!S41</f>
        <v>2</v>
      </c>
      <c r="K1085" s="293">
        <f t="shared" ref="K1085:K1147" si="17">IF( OR( ISBLANK(F1085),ISBLANK(G1085), ISBLANK(H1085), ISBLANK(I1085), ISBLANK(J1085) ), "", 1.5*SQRT(   EXP(2.21*(F1085-1)) + EXP(2.21*(G1085-1)) + EXP(2.21*(H1085-1)) + EXP(2.21*(I1085-1)) + EXP(2.21*J1085)   )/100*2.45 )</f>
        <v>0.37356464144298934</v>
      </c>
    </row>
    <row r="1086" spans="1:11">
      <c r="A1086" s="918" t="s">
        <v>2046</v>
      </c>
      <c r="B1086" s="918">
        <f>Clothing!B42</f>
        <v>2014</v>
      </c>
      <c r="C1086" s="918" t="str">
        <f>Clothing!C42</f>
        <v>OTHER</v>
      </c>
      <c r="D1086" s="918">
        <f>Clothing!N42</f>
        <v>15.085554359846308</v>
      </c>
      <c r="E1086" s="920" t="s">
        <v>2045</v>
      </c>
      <c r="F1086" s="918">
        <f>Clothing!O42</f>
        <v>1</v>
      </c>
      <c r="G1086" s="918">
        <f>Clothing!P42</f>
        <v>1</v>
      </c>
      <c r="H1086" s="918">
        <f>Clothing!Q42</f>
        <v>2</v>
      </c>
      <c r="I1086" s="918">
        <f>Clothing!R42</f>
        <v>2</v>
      </c>
      <c r="J1086" s="918">
        <f>Clothing!S42</f>
        <v>2</v>
      </c>
      <c r="K1086" s="293">
        <f t="shared" si="17"/>
        <v>0.37356464144298934</v>
      </c>
    </row>
    <row r="1087" spans="1:11">
      <c r="A1087" s="918" t="s">
        <v>2046</v>
      </c>
      <c r="B1087" s="918">
        <f>Clothing!B43</f>
        <v>2014</v>
      </c>
      <c r="C1087" s="918" t="str">
        <f>Clothing!C43</f>
        <v>PA</v>
      </c>
      <c r="D1087" s="918">
        <f>Clothing!N43</f>
        <v>22.81621791563709</v>
      </c>
      <c r="E1087" s="920" t="s">
        <v>2045</v>
      </c>
      <c r="F1087" s="918">
        <f>Clothing!O43</f>
        <v>1</v>
      </c>
      <c r="G1087" s="918">
        <f>Clothing!P43</f>
        <v>1</v>
      </c>
      <c r="H1087" s="918">
        <f>Clothing!Q43</f>
        <v>2</v>
      </c>
      <c r="I1087" s="918">
        <f>Clothing!R43</f>
        <v>2</v>
      </c>
      <c r="J1087" s="918">
        <f>Clothing!S43</f>
        <v>2</v>
      </c>
      <c r="K1087" s="293">
        <f t="shared" si="17"/>
        <v>0.37356464144298934</v>
      </c>
    </row>
    <row r="1088" spans="1:11">
      <c r="A1088" s="918" t="s">
        <v>2046</v>
      </c>
      <c r="B1088" s="918">
        <f>Clothing!B44</f>
        <v>2014</v>
      </c>
      <c r="C1088" s="918" t="str">
        <f>Clothing!C44</f>
        <v>PET</v>
      </c>
      <c r="D1088" s="918">
        <f>Clothing!N44</f>
        <v>128.46345274188153</v>
      </c>
      <c r="E1088" s="920" t="s">
        <v>2045</v>
      </c>
      <c r="F1088" s="918">
        <f>Clothing!O44</f>
        <v>1</v>
      </c>
      <c r="G1088" s="918">
        <f>Clothing!P44</f>
        <v>1</v>
      </c>
      <c r="H1088" s="918">
        <f>Clothing!Q44</f>
        <v>2</v>
      </c>
      <c r="I1088" s="918">
        <f>Clothing!R44</f>
        <v>2</v>
      </c>
      <c r="J1088" s="918">
        <f>Clothing!S44</f>
        <v>2</v>
      </c>
      <c r="K1088" s="293">
        <f t="shared" si="17"/>
        <v>0.37356464144298934</v>
      </c>
    </row>
    <row r="1089" spans="1:11">
      <c r="A1089" s="918" t="s">
        <v>2046</v>
      </c>
      <c r="B1089" s="918">
        <f>Clothing!B45</f>
        <v>2014</v>
      </c>
      <c r="C1089" s="918" t="str">
        <f>Clothing!C45</f>
        <v>PUR</v>
      </c>
      <c r="D1089" s="918">
        <f>Clothing!N45</f>
        <v>8.3861076610496728</v>
      </c>
      <c r="E1089" s="920" t="s">
        <v>2045</v>
      </c>
      <c r="F1089" s="918">
        <f>Clothing!O45</f>
        <v>1</v>
      </c>
      <c r="G1089" s="918">
        <f>Clothing!P45</f>
        <v>1</v>
      </c>
      <c r="H1089" s="918">
        <f>Clothing!Q45</f>
        <v>2</v>
      </c>
      <c r="I1089" s="918">
        <f>Clothing!R45</f>
        <v>2</v>
      </c>
      <c r="J1089" s="918">
        <f>Clothing!S45</f>
        <v>2</v>
      </c>
      <c r="K1089" s="293">
        <f t="shared" si="17"/>
        <v>0.37356464144298934</v>
      </c>
    </row>
    <row r="1090" spans="1:11">
      <c r="A1090" s="918" t="s">
        <v>2046</v>
      </c>
      <c r="B1090" s="918">
        <f>Clothing!B46</f>
        <v>2014</v>
      </c>
      <c r="C1090" s="918" t="str">
        <f>Clothing!C46</f>
        <v>PVC</v>
      </c>
      <c r="D1090" s="918">
        <f>Clothing!N46</f>
        <v>5.4715991955965473</v>
      </c>
      <c r="E1090" s="920" t="s">
        <v>2045</v>
      </c>
      <c r="F1090" s="918">
        <f>Clothing!O46</f>
        <v>1</v>
      </c>
      <c r="G1090" s="918">
        <f>Clothing!P46</f>
        <v>1</v>
      </c>
      <c r="H1090" s="918">
        <f>Clothing!Q46</f>
        <v>2</v>
      </c>
      <c r="I1090" s="918">
        <f>Clothing!R46</f>
        <v>2</v>
      </c>
      <c r="J1090" s="918">
        <f>Clothing!S46</f>
        <v>2</v>
      </c>
      <c r="K1090" s="293">
        <f t="shared" si="17"/>
        <v>0.37356464144298934</v>
      </c>
    </row>
    <row r="1091" spans="1:11">
      <c r="A1091" s="918" t="s">
        <v>2046</v>
      </c>
      <c r="B1091" s="918">
        <f>Clothing!B47</f>
        <v>2014</v>
      </c>
      <c r="C1091" s="918" t="str">
        <f>Clothing!C47</f>
        <v>RUBBER</v>
      </c>
      <c r="D1091" s="918">
        <f>Clothing!N47</f>
        <v>12.456162839956432</v>
      </c>
      <c r="E1091" s="920" t="s">
        <v>2045</v>
      </c>
      <c r="F1091" s="918">
        <f>Clothing!O47</f>
        <v>1</v>
      </c>
      <c r="G1091" s="918">
        <f>Clothing!P47</f>
        <v>1</v>
      </c>
      <c r="H1091" s="918">
        <f>Clothing!Q47</f>
        <v>2</v>
      </c>
      <c r="I1091" s="918">
        <f>Clothing!R47</f>
        <v>2</v>
      </c>
      <c r="J1091" s="918">
        <f>Clothing!S47</f>
        <v>2</v>
      </c>
      <c r="K1091" s="293">
        <f t="shared" si="17"/>
        <v>0.37356464144298934</v>
      </c>
    </row>
    <row r="1092" spans="1:11">
      <c r="A1092" s="918" t="s">
        <v>2046</v>
      </c>
      <c r="B1092" s="918">
        <f>Clothing!B48</f>
        <v>2015</v>
      </c>
      <c r="C1092" s="918" t="str">
        <f>Clothing!C48</f>
        <v>Acryl</v>
      </c>
      <c r="D1092" s="918">
        <f>Clothing!N48</f>
        <v>9.9594930380243358</v>
      </c>
      <c r="E1092" s="920" t="s">
        <v>2045</v>
      </c>
      <c r="F1092" s="918">
        <f>Clothing!O48</f>
        <v>1</v>
      </c>
      <c r="G1092" s="918">
        <f>Clothing!P48</f>
        <v>1</v>
      </c>
      <c r="H1092" s="918">
        <f>Clothing!Q48</f>
        <v>2</v>
      </c>
      <c r="I1092" s="918">
        <f>Clothing!R48</f>
        <v>2</v>
      </c>
      <c r="J1092" s="918">
        <f>Clothing!S48</f>
        <v>2</v>
      </c>
      <c r="K1092" s="293">
        <f t="shared" si="17"/>
        <v>0.37356464144298934</v>
      </c>
    </row>
    <row r="1093" spans="1:11">
      <c r="A1093" s="918" t="s">
        <v>2046</v>
      </c>
      <c r="B1093" s="918">
        <f>Clothing!B49</f>
        <v>2015</v>
      </c>
      <c r="C1093" s="918" t="str">
        <f>Clothing!C49</f>
        <v>OTHER</v>
      </c>
      <c r="D1093" s="918">
        <f>Clothing!N49</f>
        <v>14.608882135567603</v>
      </c>
      <c r="E1093" s="920" t="s">
        <v>2045</v>
      </c>
      <c r="F1093" s="918">
        <f>Clothing!O49</f>
        <v>1</v>
      </c>
      <c r="G1093" s="918">
        <f>Clothing!P49</f>
        <v>1</v>
      </c>
      <c r="H1093" s="918">
        <f>Clothing!Q49</f>
        <v>2</v>
      </c>
      <c r="I1093" s="918">
        <f>Clothing!R49</f>
        <v>2</v>
      </c>
      <c r="J1093" s="918">
        <f>Clothing!S49</f>
        <v>2</v>
      </c>
      <c r="K1093" s="293">
        <f t="shared" si="17"/>
        <v>0.37356464144298934</v>
      </c>
    </row>
    <row r="1094" spans="1:11">
      <c r="A1094" s="918" t="s">
        <v>2046</v>
      </c>
      <c r="B1094" s="918">
        <f>Clothing!B50</f>
        <v>2015</v>
      </c>
      <c r="C1094" s="918" t="str">
        <f>Clothing!C50</f>
        <v>PA</v>
      </c>
      <c r="D1094" s="918">
        <f>Clothing!N50</f>
        <v>22.00755333197678</v>
      </c>
      <c r="E1094" s="920" t="s">
        <v>2045</v>
      </c>
      <c r="F1094" s="918">
        <f>Clothing!O50</f>
        <v>1</v>
      </c>
      <c r="G1094" s="918">
        <f>Clothing!P50</f>
        <v>1</v>
      </c>
      <c r="H1094" s="918">
        <f>Clothing!Q50</f>
        <v>2</v>
      </c>
      <c r="I1094" s="918">
        <f>Clothing!R50</f>
        <v>2</v>
      </c>
      <c r="J1094" s="918">
        <f>Clothing!S50</f>
        <v>2</v>
      </c>
      <c r="K1094" s="293">
        <f t="shared" si="17"/>
        <v>0.37356464144298934</v>
      </c>
    </row>
    <row r="1095" spans="1:11">
      <c r="A1095" s="918" t="s">
        <v>2046</v>
      </c>
      <c r="B1095" s="918">
        <f>Clothing!B51</f>
        <v>2015</v>
      </c>
      <c r="C1095" s="918" t="str">
        <f>Clothing!C51</f>
        <v>PET</v>
      </c>
      <c r="D1095" s="918">
        <f>Clothing!N51</f>
        <v>125.74401380705586</v>
      </c>
      <c r="E1095" s="920" t="s">
        <v>2045</v>
      </c>
      <c r="F1095" s="918">
        <f>Clothing!O51</f>
        <v>1</v>
      </c>
      <c r="G1095" s="918">
        <f>Clothing!P51</f>
        <v>1</v>
      </c>
      <c r="H1095" s="918">
        <f>Clothing!Q51</f>
        <v>2</v>
      </c>
      <c r="I1095" s="918">
        <f>Clothing!R51</f>
        <v>2</v>
      </c>
      <c r="J1095" s="918">
        <f>Clothing!S51</f>
        <v>2</v>
      </c>
      <c r="K1095" s="293">
        <f t="shared" si="17"/>
        <v>0.37356464144298934</v>
      </c>
    </row>
    <row r="1096" spans="1:11">
      <c r="A1096" s="918" t="s">
        <v>2046</v>
      </c>
      <c r="B1096" s="918">
        <f>Clothing!B52</f>
        <v>2015</v>
      </c>
      <c r="C1096" s="918" t="str">
        <f>Clothing!C52</f>
        <v>PUR</v>
      </c>
      <c r="D1096" s="918">
        <f>Clothing!N52</f>
        <v>9.0707222100724998</v>
      </c>
      <c r="E1096" s="920" t="s">
        <v>2045</v>
      </c>
      <c r="F1096" s="918">
        <f>Clothing!O52</f>
        <v>1</v>
      </c>
      <c r="G1096" s="918">
        <f>Clothing!P52</f>
        <v>1</v>
      </c>
      <c r="H1096" s="918">
        <f>Clothing!Q52</f>
        <v>2</v>
      </c>
      <c r="I1096" s="918">
        <f>Clothing!R52</f>
        <v>2</v>
      </c>
      <c r="J1096" s="918">
        <f>Clothing!S52</f>
        <v>2</v>
      </c>
      <c r="K1096" s="293">
        <f t="shared" si="17"/>
        <v>0.37356464144298934</v>
      </c>
    </row>
    <row r="1097" spans="1:11">
      <c r="A1097" s="918" t="s">
        <v>2046</v>
      </c>
      <c r="B1097" s="918">
        <f>Clothing!B53</f>
        <v>2015</v>
      </c>
      <c r="C1097" s="918" t="str">
        <f>Clothing!C53</f>
        <v>PVC</v>
      </c>
      <c r="D1097" s="918">
        <f>Clothing!N53</f>
        <v>5.9137025473147764</v>
      </c>
      <c r="E1097" s="920" t="s">
        <v>2045</v>
      </c>
      <c r="F1097" s="918">
        <f>Clothing!O53</f>
        <v>1</v>
      </c>
      <c r="G1097" s="918">
        <f>Clothing!P53</f>
        <v>1</v>
      </c>
      <c r="H1097" s="918">
        <f>Clothing!Q53</f>
        <v>2</v>
      </c>
      <c r="I1097" s="918">
        <f>Clothing!R53</f>
        <v>2</v>
      </c>
      <c r="J1097" s="918">
        <f>Clothing!S53</f>
        <v>2</v>
      </c>
      <c r="K1097" s="293">
        <f t="shared" si="17"/>
        <v>0.37356464144298934</v>
      </c>
    </row>
    <row r="1098" spans="1:11">
      <c r="A1098" s="918" t="s">
        <v>2046</v>
      </c>
      <c r="B1098" s="918">
        <f>Clothing!B54</f>
        <v>2015</v>
      </c>
      <c r="C1098" s="918" t="str">
        <f>Clothing!C54</f>
        <v>RUBBER</v>
      </c>
      <c r="D1098" s="918">
        <f>Clothing!N54</f>
        <v>13.609060360870322</v>
      </c>
      <c r="E1098" s="920" t="s">
        <v>2045</v>
      </c>
      <c r="F1098" s="918">
        <f>Clothing!O54</f>
        <v>1</v>
      </c>
      <c r="G1098" s="918">
        <f>Clothing!P54</f>
        <v>1</v>
      </c>
      <c r="H1098" s="918">
        <f>Clothing!Q54</f>
        <v>2</v>
      </c>
      <c r="I1098" s="918">
        <f>Clothing!R54</f>
        <v>2</v>
      </c>
      <c r="J1098" s="918">
        <f>Clothing!S54</f>
        <v>2</v>
      </c>
      <c r="K1098" s="293">
        <f t="shared" si="17"/>
        <v>0.37356464144298934</v>
      </c>
    </row>
    <row r="1099" spans="1:11">
      <c r="A1099" s="918" t="s">
        <v>2046</v>
      </c>
      <c r="B1099" s="918">
        <f>Clothing!B55</f>
        <v>2016</v>
      </c>
      <c r="C1099" s="918" t="str">
        <f>Clothing!C55</f>
        <v>Acryl</v>
      </c>
      <c r="D1099" s="918">
        <f>Clothing!N55</f>
        <v>10.278185455452132</v>
      </c>
      <c r="E1099" s="920" t="s">
        <v>2045</v>
      </c>
      <c r="F1099" s="918">
        <f>Clothing!O55</f>
        <v>1</v>
      </c>
      <c r="G1099" s="918">
        <f>Clothing!P55</f>
        <v>1</v>
      </c>
      <c r="H1099" s="918">
        <f>Clothing!Q55</f>
        <v>2</v>
      </c>
      <c r="I1099" s="918">
        <f>Clothing!R55</f>
        <v>2</v>
      </c>
      <c r="J1099" s="918">
        <f>Clothing!S55</f>
        <v>2</v>
      </c>
      <c r="K1099" s="293">
        <f t="shared" si="17"/>
        <v>0.37356464144298934</v>
      </c>
    </row>
    <row r="1100" spans="1:11">
      <c r="A1100" s="918" t="s">
        <v>2046</v>
      </c>
      <c r="B1100" s="918">
        <f>Clothing!B56</f>
        <v>2016</v>
      </c>
      <c r="C1100" s="918" t="str">
        <f>Clothing!C56</f>
        <v>OTHER</v>
      </c>
      <c r="D1100" s="918">
        <f>Clothing!N56</f>
        <v>15.260463694114653</v>
      </c>
      <c r="E1100" s="920" t="s">
        <v>2045</v>
      </c>
      <c r="F1100" s="918">
        <f>Clothing!O56</f>
        <v>1</v>
      </c>
      <c r="G1100" s="918">
        <f>Clothing!P56</f>
        <v>1</v>
      </c>
      <c r="H1100" s="918">
        <f>Clothing!Q56</f>
        <v>2</v>
      </c>
      <c r="I1100" s="918">
        <f>Clothing!R56</f>
        <v>2</v>
      </c>
      <c r="J1100" s="918">
        <f>Clothing!S56</f>
        <v>2</v>
      </c>
      <c r="K1100" s="293">
        <f t="shared" si="17"/>
        <v>0.37356464144298934</v>
      </c>
    </row>
    <row r="1101" spans="1:11">
      <c r="A1101" s="918" t="s">
        <v>2046</v>
      </c>
      <c r="B1101" s="918">
        <f>Clothing!B57</f>
        <v>2016</v>
      </c>
      <c r="C1101" s="918" t="str">
        <f>Clothing!C57</f>
        <v>PA</v>
      </c>
      <c r="D1101" s="918">
        <f>Clothing!N57</f>
        <v>24.258386216416564</v>
      </c>
      <c r="E1101" s="920" t="s">
        <v>2045</v>
      </c>
      <c r="F1101" s="918">
        <f>Clothing!O57</f>
        <v>1</v>
      </c>
      <c r="G1101" s="918">
        <f>Clothing!P57</f>
        <v>1</v>
      </c>
      <c r="H1101" s="918">
        <f>Clothing!Q57</f>
        <v>2</v>
      </c>
      <c r="I1101" s="918">
        <f>Clothing!R57</f>
        <v>2</v>
      </c>
      <c r="J1101" s="918">
        <f>Clothing!S57</f>
        <v>2</v>
      </c>
      <c r="K1101" s="293">
        <f t="shared" si="17"/>
        <v>0.37356464144298934</v>
      </c>
    </row>
    <row r="1102" spans="1:11">
      <c r="A1102" s="918" t="s">
        <v>2046</v>
      </c>
      <c r="B1102" s="918">
        <f>Clothing!B58</f>
        <v>2016</v>
      </c>
      <c r="C1102" s="918" t="str">
        <f>Clothing!C58</f>
        <v>PET</v>
      </c>
      <c r="D1102" s="918">
        <f>Clothing!N58</f>
        <v>134.645088111729</v>
      </c>
      <c r="E1102" s="920" t="s">
        <v>2045</v>
      </c>
      <c r="F1102" s="918">
        <f>Clothing!O58</f>
        <v>1</v>
      </c>
      <c r="G1102" s="918">
        <f>Clothing!P58</f>
        <v>1</v>
      </c>
      <c r="H1102" s="918">
        <f>Clothing!Q58</f>
        <v>2</v>
      </c>
      <c r="I1102" s="918">
        <f>Clothing!R58</f>
        <v>2</v>
      </c>
      <c r="J1102" s="918">
        <f>Clothing!S58</f>
        <v>2</v>
      </c>
      <c r="K1102" s="293">
        <f t="shared" si="17"/>
        <v>0.37356464144298934</v>
      </c>
    </row>
    <row r="1103" spans="1:11">
      <c r="A1103" s="918" t="s">
        <v>2046</v>
      </c>
      <c r="B1103" s="918">
        <f>Clothing!B59</f>
        <v>2016</v>
      </c>
      <c r="C1103" s="918" t="str">
        <f>Clothing!C59</f>
        <v>PUR</v>
      </c>
      <c r="D1103" s="918">
        <f>Clothing!N59</f>
        <v>9.2078962326703522</v>
      </c>
      <c r="E1103" s="920" t="s">
        <v>2045</v>
      </c>
      <c r="F1103" s="918">
        <f>Clothing!O59</f>
        <v>1</v>
      </c>
      <c r="G1103" s="918">
        <f>Clothing!P59</f>
        <v>1</v>
      </c>
      <c r="H1103" s="918">
        <f>Clothing!Q59</f>
        <v>2</v>
      </c>
      <c r="I1103" s="918">
        <f>Clothing!R59</f>
        <v>2</v>
      </c>
      <c r="J1103" s="918">
        <f>Clothing!S59</f>
        <v>2</v>
      </c>
      <c r="K1103" s="293">
        <f t="shared" si="17"/>
        <v>0.37356464144298934</v>
      </c>
    </row>
    <row r="1104" spans="1:11">
      <c r="A1104" s="918" t="s">
        <v>2046</v>
      </c>
      <c r="B1104" s="918">
        <f>Clothing!B60</f>
        <v>2016</v>
      </c>
      <c r="C1104" s="918" t="str">
        <f>Clothing!C60</f>
        <v>PVC</v>
      </c>
      <c r="D1104" s="918">
        <f>Clothing!N60</f>
        <v>5.9473171371973335</v>
      </c>
      <c r="E1104" s="920" t="s">
        <v>2045</v>
      </c>
      <c r="F1104" s="918">
        <f>Clothing!O60</f>
        <v>1</v>
      </c>
      <c r="G1104" s="918">
        <f>Clothing!P60</f>
        <v>1</v>
      </c>
      <c r="H1104" s="918">
        <f>Clothing!Q60</f>
        <v>2</v>
      </c>
      <c r="I1104" s="918">
        <f>Clothing!R60</f>
        <v>2</v>
      </c>
      <c r="J1104" s="918">
        <f>Clothing!S60</f>
        <v>2</v>
      </c>
      <c r="K1104" s="293">
        <f t="shared" si="17"/>
        <v>0.37356464144298934</v>
      </c>
    </row>
    <row r="1105" spans="1:11">
      <c r="A1105" s="918" t="s">
        <v>2046</v>
      </c>
      <c r="B1105" s="918">
        <f>Clothing!B61</f>
        <v>2016</v>
      </c>
      <c r="C1105" s="918" t="str">
        <f>Clothing!C61</f>
        <v>RUBBER</v>
      </c>
      <c r="D1105" s="918">
        <f>Clothing!N61</f>
        <v>12.740182776153928</v>
      </c>
      <c r="E1105" s="920" t="s">
        <v>2045</v>
      </c>
      <c r="F1105" s="918">
        <f>Clothing!O61</f>
        <v>1</v>
      </c>
      <c r="G1105" s="918">
        <f>Clothing!P61</f>
        <v>1</v>
      </c>
      <c r="H1105" s="918">
        <f>Clothing!Q61</f>
        <v>2</v>
      </c>
      <c r="I1105" s="918">
        <f>Clothing!R61</f>
        <v>2</v>
      </c>
      <c r="J1105" s="918">
        <f>Clothing!S61</f>
        <v>2</v>
      </c>
      <c r="K1105" s="293">
        <f t="shared" si="17"/>
        <v>0.37356464144298934</v>
      </c>
    </row>
    <row r="1106" spans="1:11">
      <c r="A1106" s="918" t="s">
        <v>2046</v>
      </c>
      <c r="B1106" s="918">
        <f>Clothing!B62</f>
        <v>2017</v>
      </c>
      <c r="C1106" s="918" t="str">
        <f>Clothing!C62</f>
        <v>Acryl</v>
      </c>
      <c r="D1106" s="918">
        <f>Clothing!N62</f>
        <v>10.323422585803186</v>
      </c>
      <c r="E1106" s="920" t="s">
        <v>2045</v>
      </c>
      <c r="F1106" s="918">
        <f>Clothing!O62</f>
        <v>1</v>
      </c>
      <c r="G1106" s="918">
        <f>Clothing!P62</f>
        <v>1</v>
      </c>
      <c r="H1106" s="918">
        <f>Clothing!Q62</f>
        <v>2</v>
      </c>
      <c r="I1106" s="918">
        <f>Clothing!R62</f>
        <v>2</v>
      </c>
      <c r="J1106" s="918">
        <f>Clothing!S62</f>
        <v>2</v>
      </c>
      <c r="K1106" s="293">
        <f t="shared" si="17"/>
        <v>0.37356464144298934</v>
      </c>
    </row>
    <row r="1107" spans="1:11">
      <c r="A1107" s="918" t="s">
        <v>2046</v>
      </c>
      <c r="B1107" s="918">
        <f>Clothing!B63</f>
        <v>2017</v>
      </c>
      <c r="C1107" s="918" t="str">
        <f>Clothing!C63</f>
        <v>OTHER</v>
      </c>
      <c r="D1107" s="918">
        <f>Clothing!N63</f>
        <v>13.871168629697996</v>
      </c>
      <c r="E1107" s="920" t="s">
        <v>2045</v>
      </c>
      <c r="F1107" s="918">
        <f>Clothing!O63</f>
        <v>1</v>
      </c>
      <c r="G1107" s="918">
        <f>Clothing!P63</f>
        <v>1</v>
      </c>
      <c r="H1107" s="918">
        <f>Clothing!Q63</f>
        <v>2</v>
      </c>
      <c r="I1107" s="918">
        <f>Clothing!R63</f>
        <v>2</v>
      </c>
      <c r="J1107" s="918">
        <f>Clothing!S63</f>
        <v>2</v>
      </c>
      <c r="K1107" s="293">
        <f t="shared" si="17"/>
        <v>0.37356464144298934</v>
      </c>
    </row>
    <row r="1108" spans="1:11">
      <c r="A1108" s="918" t="s">
        <v>2046</v>
      </c>
      <c r="B1108" s="918">
        <f>Clothing!B64</f>
        <v>2017</v>
      </c>
      <c r="C1108" s="918" t="str">
        <f>Clothing!C64</f>
        <v>PA</v>
      </c>
      <c r="D1108" s="918">
        <f>Clothing!N64</f>
        <v>22.336326762150705</v>
      </c>
      <c r="E1108" s="920" t="s">
        <v>2045</v>
      </c>
      <c r="F1108" s="918">
        <f>Clothing!O64</f>
        <v>1</v>
      </c>
      <c r="G1108" s="918">
        <f>Clothing!P64</f>
        <v>1</v>
      </c>
      <c r="H1108" s="918">
        <f>Clothing!Q64</f>
        <v>2</v>
      </c>
      <c r="I1108" s="918">
        <f>Clothing!R64</f>
        <v>2</v>
      </c>
      <c r="J1108" s="918">
        <f>Clothing!S64</f>
        <v>2</v>
      </c>
      <c r="K1108" s="293">
        <f t="shared" si="17"/>
        <v>0.37356464144298934</v>
      </c>
    </row>
    <row r="1109" spans="1:11">
      <c r="A1109" s="918" t="s">
        <v>2046</v>
      </c>
      <c r="B1109" s="918">
        <f>Clothing!B65</f>
        <v>2017</v>
      </c>
      <c r="C1109" s="918" t="str">
        <f>Clothing!C65</f>
        <v>PET</v>
      </c>
      <c r="D1109" s="918">
        <f>Clothing!N65</f>
        <v>116.97512498641785</v>
      </c>
      <c r="E1109" s="920" t="s">
        <v>2045</v>
      </c>
      <c r="F1109" s="918">
        <f>Clothing!O65</f>
        <v>1</v>
      </c>
      <c r="G1109" s="918">
        <f>Clothing!P65</f>
        <v>1</v>
      </c>
      <c r="H1109" s="918">
        <f>Clothing!Q65</f>
        <v>2</v>
      </c>
      <c r="I1109" s="918">
        <f>Clothing!R65</f>
        <v>2</v>
      </c>
      <c r="J1109" s="918">
        <f>Clothing!S65</f>
        <v>2</v>
      </c>
      <c r="K1109" s="293">
        <f t="shared" si="17"/>
        <v>0.37356464144298934</v>
      </c>
    </row>
    <row r="1110" spans="1:11">
      <c r="A1110" s="918" t="s">
        <v>2046</v>
      </c>
      <c r="B1110" s="918">
        <f>Clothing!B66</f>
        <v>2017</v>
      </c>
      <c r="C1110" s="918" t="str">
        <f>Clothing!C66</f>
        <v>PUR</v>
      </c>
      <c r="D1110" s="918">
        <f>Clothing!N66</f>
        <v>7.8169608440130975</v>
      </c>
      <c r="E1110" s="920" t="s">
        <v>2045</v>
      </c>
      <c r="F1110" s="918">
        <f>Clothing!O66</f>
        <v>1</v>
      </c>
      <c r="G1110" s="918">
        <f>Clothing!P66</f>
        <v>1</v>
      </c>
      <c r="H1110" s="918">
        <f>Clothing!Q66</f>
        <v>2</v>
      </c>
      <c r="I1110" s="918">
        <f>Clothing!R66</f>
        <v>2</v>
      </c>
      <c r="J1110" s="918">
        <f>Clothing!S66</f>
        <v>2</v>
      </c>
      <c r="K1110" s="293">
        <f t="shared" si="17"/>
        <v>0.37356464144298934</v>
      </c>
    </row>
    <row r="1111" spans="1:11">
      <c r="A1111" s="918" t="s">
        <v>2046</v>
      </c>
      <c r="B1111" s="918">
        <f>Clothing!B67</f>
        <v>2017</v>
      </c>
      <c r="C1111" s="918" t="str">
        <f>Clothing!C67</f>
        <v>PVC</v>
      </c>
      <c r="D1111" s="918">
        <f>Clothing!N67</f>
        <v>5.0775134562559971</v>
      </c>
      <c r="E1111" s="920" t="s">
        <v>2045</v>
      </c>
      <c r="F1111" s="918">
        <f>Clothing!O67</f>
        <v>1</v>
      </c>
      <c r="G1111" s="918">
        <f>Clothing!P67</f>
        <v>1</v>
      </c>
      <c r="H1111" s="918">
        <f>Clothing!Q67</f>
        <v>2</v>
      </c>
      <c r="I1111" s="918">
        <f>Clothing!R67</f>
        <v>2</v>
      </c>
      <c r="J1111" s="918">
        <f>Clothing!S67</f>
        <v>2</v>
      </c>
      <c r="K1111" s="293">
        <f t="shared" si="17"/>
        <v>0.37356464144298934</v>
      </c>
    </row>
    <row r="1112" spans="1:11">
      <c r="A1112" s="918" t="s">
        <v>2046</v>
      </c>
      <c r="B1112" s="918">
        <f>Clothing!B68</f>
        <v>2017</v>
      </c>
      <c r="C1112" s="918" t="str">
        <f>Clothing!C68</f>
        <v>RUBBER</v>
      </c>
      <c r="D1112" s="918">
        <f>Clothing!N68</f>
        <v>11.238965454142619</v>
      </c>
      <c r="E1112" s="920" t="s">
        <v>2045</v>
      </c>
      <c r="F1112" s="918">
        <f>Clothing!O68</f>
        <v>1</v>
      </c>
      <c r="G1112" s="918">
        <f>Clothing!P68</f>
        <v>1</v>
      </c>
      <c r="H1112" s="918">
        <f>Clothing!Q68</f>
        <v>2</v>
      </c>
      <c r="I1112" s="918">
        <f>Clothing!R68</f>
        <v>2</v>
      </c>
      <c r="J1112" s="918">
        <f>Clothing!S68</f>
        <v>2</v>
      </c>
      <c r="K1112" s="293">
        <f t="shared" si="17"/>
        <v>0.37356464144298934</v>
      </c>
    </row>
    <row r="1113" spans="1:11">
      <c r="A1113" s="918" t="s">
        <v>2046</v>
      </c>
      <c r="B1113" s="918">
        <f>Clothing!B69</f>
        <v>2018</v>
      </c>
      <c r="C1113" s="918" t="str">
        <f>Clothing!C69</f>
        <v>Acryl</v>
      </c>
      <c r="D1113" s="918">
        <f>Clothing!N69</f>
        <v>11.214752307651958</v>
      </c>
      <c r="E1113" s="920" t="s">
        <v>2045</v>
      </c>
      <c r="F1113" s="918">
        <f>Clothing!O69</f>
        <v>1</v>
      </c>
      <c r="G1113" s="918">
        <f>Clothing!P69</f>
        <v>1</v>
      </c>
      <c r="H1113" s="918">
        <f>Clothing!Q69</f>
        <v>2</v>
      </c>
      <c r="I1113" s="918">
        <f>Clothing!R69</f>
        <v>2</v>
      </c>
      <c r="J1113" s="918">
        <f>Clothing!S69</f>
        <v>2</v>
      </c>
      <c r="K1113" s="293">
        <f t="shared" si="17"/>
        <v>0.37356464144298934</v>
      </c>
    </row>
    <row r="1114" spans="1:11">
      <c r="A1114" s="918" t="s">
        <v>2046</v>
      </c>
      <c r="B1114" s="918">
        <f>Clothing!B70</f>
        <v>2018</v>
      </c>
      <c r="C1114" s="918" t="str">
        <f>Clothing!C70</f>
        <v>OTHER</v>
      </c>
      <c r="D1114" s="918">
        <f>Clothing!N70</f>
        <v>15.612043416139811</v>
      </c>
      <c r="E1114" s="920" t="s">
        <v>2045</v>
      </c>
      <c r="F1114" s="918">
        <f>Clothing!O70</f>
        <v>1</v>
      </c>
      <c r="G1114" s="918">
        <f>Clothing!P70</f>
        <v>1</v>
      </c>
      <c r="H1114" s="918">
        <f>Clothing!Q70</f>
        <v>2</v>
      </c>
      <c r="I1114" s="918">
        <f>Clothing!R70</f>
        <v>2</v>
      </c>
      <c r="J1114" s="918">
        <f>Clothing!S70</f>
        <v>2</v>
      </c>
      <c r="K1114" s="293">
        <f t="shared" si="17"/>
        <v>0.37356464144298934</v>
      </c>
    </row>
    <row r="1115" spans="1:11">
      <c r="A1115" s="918" t="s">
        <v>2046</v>
      </c>
      <c r="B1115" s="918">
        <f>Clothing!B71</f>
        <v>2018</v>
      </c>
      <c r="C1115" s="918" t="str">
        <f>Clothing!C71</f>
        <v>PA</v>
      </c>
      <c r="D1115" s="918">
        <f>Clothing!N71</f>
        <v>25.923942739673485</v>
      </c>
      <c r="E1115" s="920" t="s">
        <v>2045</v>
      </c>
      <c r="F1115" s="918">
        <f>Clothing!O71</f>
        <v>1</v>
      </c>
      <c r="G1115" s="918">
        <f>Clothing!P71</f>
        <v>1</v>
      </c>
      <c r="H1115" s="918">
        <f>Clothing!Q71</f>
        <v>2</v>
      </c>
      <c r="I1115" s="918">
        <f>Clothing!R71</f>
        <v>2</v>
      </c>
      <c r="J1115" s="918">
        <f>Clothing!S71</f>
        <v>2</v>
      </c>
      <c r="K1115" s="293">
        <f t="shared" si="17"/>
        <v>0.37356464144298934</v>
      </c>
    </row>
    <row r="1116" spans="1:11">
      <c r="A1116" s="918" t="s">
        <v>2046</v>
      </c>
      <c r="B1116" s="918">
        <f>Clothing!B72</f>
        <v>2018</v>
      </c>
      <c r="C1116" s="918" t="str">
        <f>Clothing!C72</f>
        <v>PET</v>
      </c>
      <c r="D1116" s="918">
        <f>Clothing!N72</f>
        <v>134.40026377591721</v>
      </c>
      <c r="E1116" s="920" t="s">
        <v>2045</v>
      </c>
      <c r="F1116" s="918">
        <f>Clothing!O72</f>
        <v>1</v>
      </c>
      <c r="G1116" s="918">
        <f>Clothing!P72</f>
        <v>1</v>
      </c>
      <c r="H1116" s="918">
        <f>Clothing!Q72</f>
        <v>2</v>
      </c>
      <c r="I1116" s="918">
        <f>Clothing!R72</f>
        <v>2</v>
      </c>
      <c r="J1116" s="918">
        <f>Clothing!S72</f>
        <v>2</v>
      </c>
      <c r="K1116" s="293">
        <f t="shared" si="17"/>
        <v>0.37356464144298934</v>
      </c>
    </row>
    <row r="1117" spans="1:11">
      <c r="A1117" s="918" t="s">
        <v>2046</v>
      </c>
      <c r="B1117" s="918">
        <f>Clothing!B73</f>
        <v>2018</v>
      </c>
      <c r="C1117" s="918" t="str">
        <f>Clothing!C73</f>
        <v>PUR</v>
      </c>
      <c r="D1117" s="918">
        <f>Clothing!N73</f>
        <v>8.7971476039977343</v>
      </c>
      <c r="E1117" s="920" t="s">
        <v>2045</v>
      </c>
      <c r="F1117" s="918">
        <f>Clothing!O73</f>
        <v>1</v>
      </c>
      <c r="G1117" s="918">
        <f>Clothing!P73</f>
        <v>1</v>
      </c>
      <c r="H1117" s="918">
        <f>Clothing!Q73</f>
        <v>2</v>
      </c>
      <c r="I1117" s="918">
        <f>Clothing!R73</f>
        <v>2</v>
      </c>
      <c r="J1117" s="918">
        <f>Clothing!S73</f>
        <v>2</v>
      </c>
      <c r="K1117" s="293">
        <f t="shared" si="17"/>
        <v>0.37356464144298934</v>
      </c>
    </row>
    <row r="1118" spans="1:11">
      <c r="A1118" s="918" t="s">
        <v>2046</v>
      </c>
      <c r="B1118" s="918">
        <f>Clothing!B74</f>
        <v>2018</v>
      </c>
      <c r="C1118" s="918" t="str">
        <f>Clothing!C74</f>
        <v>PVC</v>
      </c>
      <c r="D1118" s="918">
        <f>Clothing!N74</f>
        <v>5.7072176999017046</v>
      </c>
      <c r="E1118" s="920" t="s">
        <v>2045</v>
      </c>
      <c r="F1118" s="918">
        <f>Clothing!O74</f>
        <v>1</v>
      </c>
      <c r="G1118" s="918">
        <f>Clothing!P74</f>
        <v>1</v>
      </c>
      <c r="H1118" s="918">
        <f>Clothing!Q74</f>
        <v>2</v>
      </c>
      <c r="I1118" s="918">
        <f>Clothing!R74</f>
        <v>2</v>
      </c>
      <c r="J1118" s="918">
        <f>Clothing!S74</f>
        <v>2</v>
      </c>
      <c r="K1118" s="293">
        <f t="shared" si="17"/>
        <v>0.37356464144298934</v>
      </c>
    </row>
    <row r="1119" spans="1:11">
      <c r="A1119" s="918" t="s">
        <v>2046</v>
      </c>
      <c r="B1119" s="918">
        <f>Clothing!B75</f>
        <v>2018</v>
      </c>
      <c r="C1119" s="918" t="str">
        <f>Clothing!C75</f>
        <v>RUBBER</v>
      </c>
      <c r="D1119" s="918">
        <f>Clothing!N75</f>
        <v>12.508095399843345</v>
      </c>
      <c r="E1119" s="920" t="s">
        <v>2045</v>
      </c>
      <c r="F1119" s="918">
        <f>Clothing!O75</f>
        <v>1</v>
      </c>
      <c r="G1119" s="918">
        <f>Clothing!P75</f>
        <v>1</v>
      </c>
      <c r="H1119" s="918">
        <f>Clothing!Q75</f>
        <v>2</v>
      </c>
      <c r="I1119" s="918">
        <f>Clothing!R75</f>
        <v>2</v>
      </c>
      <c r="J1119" s="918">
        <f>Clothing!S75</f>
        <v>2</v>
      </c>
      <c r="K1119" s="293">
        <f t="shared" si="17"/>
        <v>0.37356464144298934</v>
      </c>
    </row>
    <row r="1120" spans="1:11">
      <c r="A1120" s="918" t="s">
        <v>2046</v>
      </c>
      <c r="B1120" s="918">
        <f>Clothing!B76</f>
        <v>2019</v>
      </c>
      <c r="C1120" s="918" t="str">
        <f>Clothing!C76</f>
        <v>Acryl</v>
      </c>
      <c r="D1120" s="918">
        <f>Clothing!N76</f>
        <v>9.8435488303467764</v>
      </c>
      <c r="E1120" s="920" t="s">
        <v>2045</v>
      </c>
      <c r="F1120" s="918">
        <f>Clothing!O76</f>
        <v>1</v>
      </c>
      <c r="G1120" s="918">
        <f>Clothing!P76</f>
        <v>1</v>
      </c>
      <c r="H1120" s="918">
        <f>Clothing!Q76</f>
        <v>2</v>
      </c>
      <c r="I1120" s="918">
        <f>Clothing!R76</f>
        <v>2</v>
      </c>
      <c r="J1120" s="918">
        <f>Clothing!S76</f>
        <v>2</v>
      </c>
      <c r="K1120" s="293">
        <f t="shared" si="17"/>
        <v>0.37356464144298934</v>
      </c>
    </row>
    <row r="1121" spans="1:11">
      <c r="A1121" s="918" t="s">
        <v>2046</v>
      </c>
      <c r="B1121" s="918">
        <f>Clothing!B77</f>
        <v>2019</v>
      </c>
      <c r="C1121" s="918" t="str">
        <f>Clothing!C77</f>
        <v>OTHER</v>
      </c>
      <c r="D1121" s="918">
        <f>Clothing!N77</f>
        <v>14.253086104492233</v>
      </c>
      <c r="E1121" s="920" t="s">
        <v>2045</v>
      </c>
      <c r="F1121" s="918">
        <f>Clothing!O77</f>
        <v>1</v>
      </c>
      <c r="G1121" s="918">
        <f>Clothing!P77</f>
        <v>1</v>
      </c>
      <c r="H1121" s="918">
        <f>Clothing!Q77</f>
        <v>2</v>
      </c>
      <c r="I1121" s="918">
        <f>Clothing!R77</f>
        <v>2</v>
      </c>
      <c r="J1121" s="918">
        <f>Clothing!S77</f>
        <v>2</v>
      </c>
      <c r="K1121" s="293">
        <f t="shared" si="17"/>
        <v>0.37356464144298934</v>
      </c>
    </row>
    <row r="1122" spans="1:11">
      <c r="A1122" s="918" t="s">
        <v>2046</v>
      </c>
      <c r="B1122" s="918">
        <f>Clothing!B78</f>
        <v>2019</v>
      </c>
      <c r="C1122" s="918" t="str">
        <f>Clothing!C78</f>
        <v>PA</v>
      </c>
      <c r="D1122" s="918">
        <f>Clothing!N78</f>
        <v>23.458512723810763</v>
      </c>
      <c r="E1122" s="920" t="s">
        <v>2045</v>
      </c>
      <c r="F1122" s="918">
        <f>Clothing!O78</f>
        <v>1</v>
      </c>
      <c r="G1122" s="918">
        <f>Clothing!P78</f>
        <v>1</v>
      </c>
      <c r="H1122" s="918">
        <f>Clothing!Q78</f>
        <v>2</v>
      </c>
      <c r="I1122" s="918">
        <f>Clothing!R78</f>
        <v>2</v>
      </c>
      <c r="J1122" s="918">
        <f>Clothing!S78</f>
        <v>2</v>
      </c>
      <c r="K1122" s="293">
        <f t="shared" si="17"/>
        <v>0.37356464144298934</v>
      </c>
    </row>
    <row r="1123" spans="1:11">
      <c r="A1123" s="918" t="s">
        <v>2046</v>
      </c>
      <c r="B1123" s="918">
        <f>Clothing!B79</f>
        <v>2019</v>
      </c>
      <c r="C1123" s="918" t="str">
        <f>Clothing!C79</f>
        <v>PET</v>
      </c>
      <c r="D1123" s="918">
        <f>Clothing!N79</f>
        <v>123.32599248278476</v>
      </c>
      <c r="E1123" s="920" t="s">
        <v>2045</v>
      </c>
      <c r="F1123" s="918">
        <f>Clothing!O79</f>
        <v>1</v>
      </c>
      <c r="G1123" s="918">
        <f>Clothing!P79</f>
        <v>1</v>
      </c>
      <c r="H1123" s="918">
        <f>Clothing!Q79</f>
        <v>2</v>
      </c>
      <c r="I1123" s="918">
        <f>Clothing!R79</f>
        <v>2</v>
      </c>
      <c r="J1123" s="918">
        <f>Clothing!S79</f>
        <v>2</v>
      </c>
      <c r="K1123" s="293">
        <f t="shared" si="17"/>
        <v>0.37356464144298934</v>
      </c>
    </row>
    <row r="1124" spans="1:11">
      <c r="A1124" s="918" t="s">
        <v>2046</v>
      </c>
      <c r="B1124" s="918">
        <f>Clothing!B80</f>
        <v>2019</v>
      </c>
      <c r="C1124" s="918" t="str">
        <f>Clothing!C80</f>
        <v>PUR</v>
      </c>
      <c r="D1124" s="918">
        <f>Clothing!N80</f>
        <v>8.8089171009572809</v>
      </c>
      <c r="E1124" s="920" t="s">
        <v>2045</v>
      </c>
      <c r="F1124" s="918">
        <f>Clothing!O80</f>
        <v>1</v>
      </c>
      <c r="G1124" s="918">
        <f>Clothing!P80</f>
        <v>1</v>
      </c>
      <c r="H1124" s="918">
        <f>Clothing!Q80</f>
        <v>2</v>
      </c>
      <c r="I1124" s="918">
        <f>Clothing!R80</f>
        <v>2</v>
      </c>
      <c r="J1124" s="918">
        <f>Clothing!S80</f>
        <v>2</v>
      </c>
      <c r="K1124" s="293">
        <f t="shared" si="17"/>
        <v>0.37356464144298934</v>
      </c>
    </row>
    <row r="1125" spans="1:11">
      <c r="A1125" s="918" t="s">
        <v>2046</v>
      </c>
      <c r="B1125" s="918">
        <f>Clothing!B81</f>
        <v>2019</v>
      </c>
      <c r="C1125" s="918" t="str">
        <f>Clothing!C81</f>
        <v>PVC</v>
      </c>
      <c r="D1125" s="918">
        <f>Clothing!N81</f>
        <v>5.6612112400302186</v>
      </c>
      <c r="E1125" s="920" t="s">
        <v>2045</v>
      </c>
      <c r="F1125" s="918">
        <f>Clothing!O81</f>
        <v>1</v>
      </c>
      <c r="G1125" s="918">
        <f>Clothing!P81</f>
        <v>1</v>
      </c>
      <c r="H1125" s="918">
        <f>Clothing!Q81</f>
        <v>2</v>
      </c>
      <c r="I1125" s="918">
        <f>Clothing!R81</f>
        <v>2</v>
      </c>
      <c r="J1125" s="918">
        <f>Clothing!S81</f>
        <v>2</v>
      </c>
      <c r="K1125" s="293">
        <f t="shared" si="17"/>
        <v>0.37356464144298934</v>
      </c>
    </row>
    <row r="1126" spans="1:11">
      <c r="A1126" s="918" t="s">
        <v>2046</v>
      </c>
      <c r="B1126" s="918">
        <f>Clothing!B82</f>
        <v>2019</v>
      </c>
      <c r="C1126" s="918" t="str">
        <f>Clothing!C82</f>
        <v>RUBBER</v>
      </c>
      <c r="D1126" s="918">
        <f>Clothing!N82</f>
        <v>11.601345474811849</v>
      </c>
      <c r="E1126" s="920" t="s">
        <v>2045</v>
      </c>
      <c r="F1126" s="918">
        <f>Clothing!O82</f>
        <v>1</v>
      </c>
      <c r="G1126" s="918">
        <f>Clothing!P82</f>
        <v>1</v>
      </c>
      <c r="H1126" s="918">
        <f>Clothing!Q82</f>
        <v>2</v>
      </c>
      <c r="I1126" s="918">
        <f>Clothing!R82</f>
        <v>2</v>
      </c>
      <c r="J1126" s="918">
        <f>Clothing!S82</f>
        <v>2</v>
      </c>
      <c r="K1126" s="293">
        <f t="shared" si="17"/>
        <v>0.37356464144298934</v>
      </c>
    </row>
    <row r="1127" spans="1:11">
      <c r="A1127" s="918" t="s">
        <v>2046</v>
      </c>
      <c r="B1127" s="918">
        <f>Clothing!B83</f>
        <v>2020</v>
      </c>
      <c r="C1127" s="918" t="str">
        <f>Clothing!C83</f>
        <v>Acryl</v>
      </c>
      <c r="D1127" s="918">
        <f>Clothing!N83</f>
        <v>4.5859809155499978</v>
      </c>
      <c r="E1127" s="920" t="s">
        <v>2045</v>
      </c>
      <c r="F1127" s="918">
        <f>Clothing!O83</f>
        <v>1</v>
      </c>
      <c r="G1127" s="918">
        <f>Clothing!P83</f>
        <v>1</v>
      </c>
      <c r="H1127" s="918">
        <f>Clothing!Q83</f>
        <v>2</v>
      </c>
      <c r="I1127" s="918">
        <f>Clothing!R83</f>
        <v>2</v>
      </c>
      <c r="J1127" s="918">
        <f>Clothing!S83</f>
        <v>2</v>
      </c>
      <c r="K1127" s="293">
        <f t="shared" si="17"/>
        <v>0.37356464144298934</v>
      </c>
    </row>
    <row r="1128" spans="1:11">
      <c r="A1128" s="918" t="s">
        <v>2046</v>
      </c>
      <c r="B1128" s="918">
        <f>Clothing!B84</f>
        <v>2020</v>
      </c>
      <c r="C1128" s="918" t="str">
        <f>Clothing!C84</f>
        <v>OTHER</v>
      </c>
      <c r="D1128" s="918">
        <f>Clothing!N84</f>
        <v>5.6376730081202604</v>
      </c>
      <c r="E1128" s="920" t="s">
        <v>2045</v>
      </c>
      <c r="F1128" s="918">
        <f>Clothing!O84</f>
        <v>1</v>
      </c>
      <c r="G1128" s="918">
        <f>Clothing!P84</f>
        <v>1</v>
      </c>
      <c r="H1128" s="918">
        <f>Clothing!Q84</f>
        <v>2</v>
      </c>
      <c r="I1128" s="918">
        <f>Clothing!R84</f>
        <v>2</v>
      </c>
      <c r="J1128" s="918">
        <f>Clothing!S84</f>
        <v>2</v>
      </c>
      <c r="K1128" s="293">
        <f t="shared" si="17"/>
        <v>0.37356464144298934</v>
      </c>
    </row>
    <row r="1129" spans="1:11">
      <c r="A1129" s="918" t="s">
        <v>2046</v>
      </c>
      <c r="B1129" s="918">
        <f>Clothing!B85</f>
        <v>2020</v>
      </c>
      <c r="C1129" s="918" t="str">
        <f>Clothing!C85</f>
        <v>PA</v>
      </c>
      <c r="D1129" s="918">
        <f>Clothing!N85</f>
        <v>9.0787743922907698</v>
      </c>
      <c r="E1129" s="920" t="s">
        <v>2045</v>
      </c>
      <c r="F1129" s="918">
        <f>Clothing!O85</f>
        <v>1</v>
      </c>
      <c r="G1129" s="918">
        <f>Clothing!P85</f>
        <v>1</v>
      </c>
      <c r="H1129" s="918">
        <f>Clothing!Q85</f>
        <v>2</v>
      </c>
      <c r="I1129" s="918">
        <f>Clothing!R85</f>
        <v>2</v>
      </c>
      <c r="J1129" s="918">
        <f>Clothing!S85</f>
        <v>2</v>
      </c>
      <c r="K1129" s="293">
        <f t="shared" si="17"/>
        <v>0.37356464144298934</v>
      </c>
    </row>
    <row r="1130" spans="1:11">
      <c r="A1130" s="918" t="s">
        <v>2046</v>
      </c>
      <c r="B1130" s="918">
        <f>Clothing!B86</f>
        <v>2020</v>
      </c>
      <c r="C1130" s="918" t="str">
        <f>Clothing!C86</f>
        <v>PET</v>
      </c>
      <c r="D1130" s="918">
        <f>Clothing!N86</f>
        <v>47.308236837905184</v>
      </c>
      <c r="E1130" s="920" t="s">
        <v>2045</v>
      </c>
      <c r="F1130" s="918">
        <f>Clothing!O86</f>
        <v>1</v>
      </c>
      <c r="G1130" s="918">
        <f>Clothing!P86</f>
        <v>1</v>
      </c>
      <c r="H1130" s="918">
        <f>Clothing!Q86</f>
        <v>2</v>
      </c>
      <c r="I1130" s="918">
        <f>Clothing!R86</f>
        <v>2</v>
      </c>
      <c r="J1130" s="918">
        <f>Clothing!S86</f>
        <v>2</v>
      </c>
      <c r="K1130" s="293">
        <f t="shared" si="17"/>
        <v>0.37356464144298934</v>
      </c>
    </row>
    <row r="1131" spans="1:11">
      <c r="A1131" s="918" t="s">
        <v>2046</v>
      </c>
      <c r="B1131" s="918">
        <f>Clothing!B87</f>
        <v>2020</v>
      </c>
      <c r="C1131" s="918" t="str">
        <f>Clothing!C87</f>
        <v>PUR</v>
      </c>
      <c r="D1131" s="918">
        <f>Clothing!N87</f>
        <v>6.1427614071296928</v>
      </c>
      <c r="E1131" s="920" t="s">
        <v>2045</v>
      </c>
      <c r="F1131" s="918">
        <f>Clothing!O87</f>
        <v>1</v>
      </c>
      <c r="G1131" s="918">
        <f>Clothing!P87</f>
        <v>1</v>
      </c>
      <c r="H1131" s="918">
        <f>Clothing!Q87</f>
        <v>2</v>
      </c>
      <c r="I1131" s="918">
        <f>Clothing!R87</f>
        <v>2</v>
      </c>
      <c r="J1131" s="918">
        <f>Clothing!S87</f>
        <v>2</v>
      </c>
      <c r="K1131" s="293">
        <f t="shared" si="17"/>
        <v>0.37356464144298934</v>
      </c>
    </row>
    <row r="1132" spans="1:11">
      <c r="A1132" s="918" t="s">
        <v>2046</v>
      </c>
      <c r="B1132" s="918">
        <f>Clothing!B88</f>
        <v>2020</v>
      </c>
      <c r="C1132" s="918" t="str">
        <f>Clothing!C88</f>
        <v>PVC</v>
      </c>
      <c r="D1132" s="918">
        <f>Clothing!N88</f>
        <v>3.855763709292396</v>
      </c>
      <c r="E1132" s="920" t="s">
        <v>2045</v>
      </c>
      <c r="F1132" s="918">
        <f>Clothing!O88</f>
        <v>1</v>
      </c>
      <c r="G1132" s="918">
        <f>Clothing!P88</f>
        <v>1</v>
      </c>
      <c r="H1132" s="918">
        <f>Clothing!Q88</f>
        <v>2</v>
      </c>
      <c r="I1132" s="918">
        <f>Clothing!R88</f>
        <v>2</v>
      </c>
      <c r="J1132" s="918">
        <f>Clothing!S88</f>
        <v>2</v>
      </c>
      <c r="K1132" s="293">
        <f t="shared" si="17"/>
        <v>0.37356464144298934</v>
      </c>
    </row>
    <row r="1133" spans="1:11">
      <c r="A1133" s="918" t="s">
        <v>2046</v>
      </c>
      <c r="B1133" s="918">
        <f>Clothing!B89</f>
        <v>2020</v>
      </c>
      <c r="C1133" s="918" t="str">
        <f>Clothing!C89</f>
        <v>RUBBER</v>
      </c>
      <c r="D1133" s="918">
        <f>Clothing!N89</f>
        <v>6.6844557841844114</v>
      </c>
      <c r="E1133" s="920" t="s">
        <v>2045</v>
      </c>
      <c r="F1133" s="918">
        <f>Clothing!O89</f>
        <v>1</v>
      </c>
      <c r="G1133" s="918">
        <f>Clothing!P89</f>
        <v>1</v>
      </c>
      <c r="H1133" s="918">
        <f>Clothing!Q89</f>
        <v>2</v>
      </c>
      <c r="I1133" s="918">
        <f>Clothing!R89</f>
        <v>2</v>
      </c>
      <c r="J1133" s="918">
        <f>Clothing!S89</f>
        <v>2</v>
      </c>
      <c r="K1133" s="293">
        <f t="shared" si="17"/>
        <v>0.37356464144298934</v>
      </c>
    </row>
    <row r="1134" spans="1:11">
      <c r="A1134" s="918" t="s">
        <v>2046</v>
      </c>
      <c r="B1134" s="918">
        <f>Clothing!B90</f>
        <v>2021</v>
      </c>
      <c r="C1134" s="918" t="str">
        <f>Clothing!C90</f>
        <v>Acryl</v>
      </c>
      <c r="D1134" s="918">
        <f>Clothing!N90</f>
        <v>5.6161085610789758</v>
      </c>
      <c r="E1134" s="920" t="s">
        <v>2045</v>
      </c>
      <c r="F1134" s="918">
        <f>Clothing!O90</f>
        <v>1</v>
      </c>
      <c r="G1134" s="918">
        <f>Clothing!P90</f>
        <v>1</v>
      </c>
      <c r="H1134" s="918">
        <f>Clothing!Q90</f>
        <v>2</v>
      </c>
      <c r="I1134" s="918">
        <f>Clothing!R90</f>
        <v>2</v>
      </c>
      <c r="J1134" s="918">
        <f>Clothing!S90</f>
        <v>2</v>
      </c>
      <c r="K1134" s="293">
        <f t="shared" si="17"/>
        <v>0.37356464144298934</v>
      </c>
    </row>
    <row r="1135" spans="1:11">
      <c r="A1135" s="918" t="s">
        <v>2046</v>
      </c>
      <c r="B1135" s="918">
        <f>Clothing!B91</f>
        <v>2021</v>
      </c>
      <c r="C1135" s="918" t="str">
        <f>Clothing!C91</f>
        <v>OTHER</v>
      </c>
      <c r="D1135" s="918">
        <f>Clothing!N91</f>
        <v>5.5890779755497162</v>
      </c>
      <c r="E1135" s="920" t="s">
        <v>2045</v>
      </c>
      <c r="F1135" s="918">
        <f>Clothing!O91</f>
        <v>1</v>
      </c>
      <c r="G1135" s="918">
        <f>Clothing!P91</f>
        <v>1</v>
      </c>
      <c r="H1135" s="918">
        <f>Clothing!Q91</f>
        <v>2</v>
      </c>
      <c r="I1135" s="918">
        <f>Clothing!R91</f>
        <v>2</v>
      </c>
      <c r="J1135" s="918">
        <f>Clothing!S91</f>
        <v>2</v>
      </c>
      <c r="K1135" s="293">
        <f t="shared" si="17"/>
        <v>0.37356464144298934</v>
      </c>
    </row>
    <row r="1136" spans="1:11">
      <c r="A1136" s="918" t="s">
        <v>2046</v>
      </c>
      <c r="B1136" s="918">
        <f>Clothing!B92</f>
        <v>2021</v>
      </c>
      <c r="C1136" s="918" t="str">
        <f>Clothing!C92</f>
        <v>PA</v>
      </c>
      <c r="D1136" s="918">
        <f>Clothing!N92</f>
        <v>9.1729945734678253</v>
      </c>
      <c r="E1136" s="920" t="s">
        <v>2045</v>
      </c>
      <c r="F1136" s="918">
        <f>Clothing!O92</f>
        <v>1</v>
      </c>
      <c r="G1136" s="918">
        <f>Clothing!P92</f>
        <v>1</v>
      </c>
      <c r="H1136" s="918">
        <f>Clothing!Q92</f>
        <v>2</v>
      </c>
      <c r="I1136" s="918">
        <f>Clothing!R92</f>
        <v>2</v>
      </c>
      <c r="J1136" s="918">
        <f>Clothing!S92</f>
        <v>2</v>
      </c>
      <c r="K1136" s="293">
        <f t="shared" si="17"/>
        <v>0.37356464144298934</v>
      </c>
    </row>
    <row r="1137" spans="1:11">
      <c r="A1137" s="918" t="s">
        <v>2046</v>
      </c>
      <c r="B1137" s="918">
        <f>Clothing!B93</f>
        <v>2021</v>
      </c>
      <c r="C1137" s="918" t="str">
        <f>Clothing!C93</f>
        <v>PET</v>
      </c>
      <c r="D1137" s="918">
        <f>Clothing!N93</f>
        <v>49.882813644248223</v>
      </c>
      <c r="E1137" s="920" t="s">
        <v>2045</v>
      </c>
      <c r="F1137" s="918">
        <f>Clothing!O93</f>
        <v>1</v>
      </c>
      <c r="G1137" s="918">
        <f>Clothing!P93</f>
        <v>1</v>
      </c>
      <c r="H1137" s="918">
        <f>Clothing!Q93</f>
        <v>2</v>
      </c>
      <c r="I1137" s="918">
        <f>Clothing!R93</f>
        <v>2</v>
      </c>
      <c r="J1137" s="918">
        <f>Clothing!S93</f>
        <v>2</v>
      </c>
      <c r="K1137" s="293">
        <f t="shared" si="17"/>
        <v>0.37356464144298934</v>
      </c>
    </row>
    <row r="1138" spans="1:11">
      <c r="A1138" s="918" t="s">
        <v>2046</v>
      </c>
      <c r="B1138" s="918">
        <f>Clothing!B94</f>
        <v>2021</v>
      </c>
      <c r="C1138" s="918" t="str">
        <f>Clothing!C94</f>
        <v>PUR</v>
      </c>
      <c r="D1138" s="918">
        <f>Clothing!N94</f>
        <v>5.9453102757836058</v>
      </c>
      <c r="E1138" s="920" t="s">
        <v>2045</v>
      </c>
      <c r="F1138" s="918">
        <f>Clothing!O94</f>
        <v>1</v>
      </c>
      <c r="G1138" s="918">
        <f>Clothing!P94</f>
        <v>1</v>
      </c>
      <c r="H1138" s="918">
        <f>Clothing!Q94</f>
        <v>2</v>
      </c>
      <c r="I1138" s="918">
        <f>Clothing!R94</f>
        <v>2</v>
      </c>
      <c r="J1138" s="918">
        <f>Clothing!S94</f>
        <v>2</v>
      </c>
      <c r="K1138" s="293">
        <f t="shared" si="17"/>
        <v>0.37356464144298934</v>
      </c>
    </row>
    <row r="1139" spans="1:11">
      <c r="A1139" s="918" t="s">
        <v>2046</v>
      </c>
      <c r="B1139" s="918">
        <f>Clothing!B95</f>
        <v>2021</v>
      </c>
      <c r="C1139" s="918" t="str">
        <f>Clothing!C95</f>
        <v>PVC</v>
      </c>
      <c r="D1139" s="918">
        <f>Clothing!N95</f>
        <v>3.776702442380885</v>
      </c>
      <c r="E1139" s="920" t="s">
        <v>2045</v>
      </c>
      <c r="F1139" s="918">
        <f>Clothing!O95</f>
        <v>1</v>
      </c>
      <c r="G1139" s="918">
        <f>Clothing!P95</f>
        <v>1</v>
      </c>
      <c r="H1139" s="918">
        <f>Clothing!Q95</f>
        <v>2</v>
      </c>
      <c r="I1139" s="918">
        <f>Clothing!R95</f>
        <v>2</v>
      </c>
      <c r="J1139" s="918">
        <f>Clothing!S95</f>
        <v>2</v>
      </c>
      <c r="K1139" s="293">
        <f t="shared" si="17"/>
        <v>0.37356464144298934</v>
      </c>
    </row>
    <row r="1140" spans="1:11">
      <c r="A1140" s="918" t="s">
        <v>2046</v>
      </c>
      <c r="B1140" s="918">
        <f>Clothing!B96</f>
        <v>2021</v>
      </c>
      <c r="C1140" s="918" t="str">
        <f>Clothing!C96</f>
        <v>RUBBER</v>
      </c>
      <c r="D1140" s="918">
        <f>Clothing!N96</f>
        <v>7.2186209682306846</v>
      </c>
      <c r="E1140" s="920" t="s">
        <v>2045</v>
      </c>
      <c r="F1140" s="918">
        <f>Clothing!O96</f>
        <v>1</v>
      </c>
      <c r="G1140" s="918">
        <f>Clothing!P96</f>
        <v>1</v>
      </c>
      <c r="H1140" s="918">
        <f>Clothing!Q96</f>
        <v>2</v>
      </c>
      <c r="I1140" s="918">
        <f>Clothing!R96</f>
        <v>2</v>
      </c>
      <c r="J1140" s="918">
        <f>Clothing!S96</f>
        <v>2</v>
      </c>
      <c r="K1140" s="293">
        <f t="shared" si="17"/>
        <v>0.37356464144298934</v>
      </c>
    </row>
    <row r="1141" spans="1:11">
      <c r="A1141" s="918" t="s">
        <v>2046</v>
      </c>
      <c r="B1141" s="918">
        <f>Clothing!B97</f>
        <v>2022</v>
      </c>
      <c r="C1141" s="918" t="str">
        <f>Clothing!C97</f>
        <v>Acryl</v>
      </c>
      <c r="D1141" s="918">
        <f>Clothing!N97</f>
        <v>9.7616505998689629</v>
      </c>
      <c r="E1141" s="920" t="s">
        <v>2045</v>
      </c>
      <c r="F1141" s="918">
        <f>Clothing!O97</f>
        <v>1</v>
      </c>
      <c r="G1141" s="918">
        <f>Clothing!P97</f>
        <v>1</v>
      </c>
      <c r="H1141" s="918">
        <f>Clothing!Q97</f>
        <v>2</v>
      </c>
      <c r="I1141" s="918">
        <f>Clothing!R97</f>
        <v>2</v>
      </c>
      <c r="J1141" s="918">
        <f>Clothing!S97</f>
        <v>2</v>
      </c>
      <c r="K1141" s="293">
        <f t="shared" si="17"/>
        <v>0.37356464144298934</v>
      </c>
    </row>
    <row r="1142" spans="1:11">
      <c r="A1142" s="918" t="s">
        <v>2046</v>
      </c>
      <c r="B1142" s="918">
        <f>Clothing!B98</f>
        <v>2022</v>
      </c>
      <c r="C1142" s="918" t="str">
        <f>Clothing!C98</f>
        <v>OTHER</v>
      </c>
      <c r="D1142" s="918">
        <f>Clothing!N98</f>
        <v>13.385929746509838</v>
      </c>
      <c r="E1142" s="920" t="s">
        <v>2045</v>
      </c>
      <c r="F1142" s="918">
        <f>Clothing!O98</f>
        <v>1</v>
      </c>
      <c r="G1142" s="918">
        <f>Clothing!P98</f>
        <v>1</v>
      </c>
      <c r="H1142" s="918">
        <f>Clothing!Q98</f>
        <v>2</v>
      </c>
      <c r="I1142" s="918">
        <f>Clothing!R98</f>
        <v>2</v>
      </c>
      <c r="J1142" s="918">
        <f>Clothing!S98</f>
        <v>2</v>
      </c>
      <c r="K1142" s="293">
        <f t="shared" si="17"/>
        <v>0.37356464144298934</v>
      </c>
    </row>
    <row r="1143" spans="1:11">
      <c r="A1143" s="918" t="s">
        <v>2046</v>
      </c>
      <c r="B1143" s="918">
        <f>Clothing!B99</f>
        <v>2022</v>
      </c>
      <c r="C1143" s="918" t="str">
        <f>Clothing!C99</f>
        <v>PA</v>
      </c>
      <c r="D1143" s="918">
        <f>Clothing!N99</f>
        <v>20.042975973702728</v>
      </c>
      <c r="E1143" s="920" t="s">
        <v>2045</v>
      </c>
      <c r="F1143" s="918">
        <f>Clothing!O99</f>
        <v>1</v>
      </c>
      <c r="G1143" s="918">
        <f>Clothing!P99</f>
        <v>1</v>
      </c>
      <c r="H1143" s="918">
        <f>Clothing!Q99</f>
        <v>2</v>
      </c>
      <c r="I1143" s="918">
        <f>Clothing!R99</f>
        <v>2</v>
      </c>
      <c r="J1143" s="918">
        <f>Clothing!S99</f>
        <v>2</v>
      </c>
      <c r="K1143" s="293">
        <f t="shared" si="17"/>
        <v>0.37356464144298934</v>
      </c>
    </row>
    <row r="1144" spans="1:11">
      <c r="A1144" s="918" t="s">
        <v>2046</v>
      </c>
      <c r="B1144" s="918">
        <f>Clothing!B100</f>
        <v>2022</v>
      </c>
      <c r="C1144" s="918" t="str">
        <f>Clothing!C100</f>
        <v>PET</v>
      </c>
      <c r="D1144" s="918">
        <f>Clothing!N100</f>
        <v>101.65371045497226</v>
      </c>
      <c r="E1144" s="920" t="s">
        <v>2045</v>
      </c>
      <c r="F1144" s="918">
        <f>Clothing!O100</f>
        <v>1</v>
      </c>
      <c r="G1144" s="918">
        <f>Clothing!P100</f>
        <v>1</v>
      </c>
      <c r="H1144" s="918">
        <f>Clothing!Q100</f>
        <v>2</v>
      </c>
      <c r="I1144" s="918">
        <f>Clothing!R100</f>
        <v>2</v>
      </c>
      <c r="J1144" s="918">
        <f>Clothing!S100</f>
        <v>2</v>
      </c>
      <c r="K1144" s="293">
        <f t="shared" si="17"/>
        <v>0.37356464144298934</v>
      </c>
    </row>
    <row r="1145" spans="1:11">
      <c r="A1145" s="918" t="s">
        <v>2046</v>
      </c>
      <c r="B1145" s="918">
        <f>Clothing!B101</f>
        <v>2022</v>
      </c>
      <c r="C1145" s="918" t="str">
        <f>Clothing!C101</f>
        <v>PUR</v>
      </c>
      <c r="D1145" s="918">
        <f>Clothing!N101</f>
        <v>9.0711807041458652</v>
      </c>
      <c r="E1145" s="920" t="s">
        <v>2045</v>
      </c>
      <c r="F1145" s="918">
        <f>Clothing!O101</f>
        <v>1</v>
      </c>
      <c r="G1145" s="918">
        <f>Clothing!P101</f>
        <v>1</v>
      </c>
      <c r="H1145" s="918">
        <f>Clothing!Q101</f>
        <v>2</v>
      </c>
      <c r="I1145" s="918">
        <f>Clothing!R101</f>
        <v>2</v>
      </c>
      <c r="J1145" s="918">
        <f>Clothing!S101</f>
        <v>2</v>
      </c>
      <c r="K1145" s="293">
        <f t="shared" si="17"/>
        <v>0.37356464144298934</v>
      </c>
    </row>
    <row r="1146" spans="1:11">
      <c r="A1146" s="918" t="s">
        <v>2046</v>
      </c>
      <c r="B1146" s="918">
        <f>Clothing!B102</f>
        <v>2022</v>
      </c>
      <c r="C1146" s="918" t="str">
        <f>Clothing!C102</f>
        <v>PVC</v>
      </c>
      <c r="D1146" s="918">
        <f>Clothing!N102</f>
        <v>5.8575658838473545</v>
      </c>
      <c r="E1146" s="920" t="s">
        <v>2045</v>
      </c>
      <c r="F1146" s="918">
        <f>Clothing!O102</f>
        <v>1</v>
      </c>
      <c r="G1146" s="918">
        <f>Clothing!P102</f>
        <v>1</v>
      </c>
      <c r="H1146" s="918">
        <f>Clothing!Q102</f>
        <v>2</v>
      </c>
      <c r="I1146" s="918">
        <f>Clothing!R102</f>
        <v>2</v>
      </c>
      <c r="J1146" s="918">
        <f>Clothing!S102</f>
        <v>2</v>
      </c>
      <c r="K1146" s="293">
        <f t="shared" si="17"/>
        <v>0.37356464144298934</v>
      </c>
    </row>
    <row r="1147" spans="1:11">
      <c r="A1147" s="918" t="s">
        <v>2046</v>
      </c>
      <c r="B1147" s="918">
        <f>Clothing!B103</f>
        <v>2022</v>
      </c>
      <c r="C1147" s="918" t="str">
        <f>Clothing!C103</f>
        <v>RUBBER</v>
      </c>
      <c r="D1147" s="918">
        <f>Clothing!N103</f>
        <v>12.302518504952127</v>
      </c>
      <c r="E1147" s="920" t="s">
        <v>2045</v>
      </c>
      <c r="F1147" s="918">
        <f>Clothing!O103</f>
        <v>1</v>
      </c>
      <c r="G1147" s="918">
        <f>Clothing!P103</f>
        <v>1</v>
      </c>
      <c r="H1147" s="918">
        <f>Clothing!Q103</f>
        <v>2</v>
      </c>
      <c r="I1147" s="918">
        <f>Clothing!R103</f>
        <v>2</v>
      </c>
      <c r="J1147" s="918">
        <f>Clothing!S103</f>
        <v>2</v>
      </c>
      <c r="K1147" s="293">
        <f t="shared" si="17"/>
        <v>0.37356464144298934</v>
      </c>
    </row>
    <row r="1148" spans="1:11">
      <c r="A1148" s="7"/>
      <c r="B1148" s="6"/>
      <c r="C1148" s="7"/>
      <c r="D1148" s="6"/>
      <c r="E1148" s="373"/>
    </row>
    <row r="1149" spans="1:11">
      <c r="A1149" s="7"/>
      <c r="B1149" s="6"/>
      <c r="C1149" s="7"/>
      <c r="D1149" s="6"/>
      <c r="E1149" s="373"/>
    </row>
    <row r="1150" spans="1:11">
      <c r="A1150" s="7"/>
      <c r="B1150" s="6"/>
      <c r="C1150" s="7"/>
      <c r="D1150" s="6"/>
      <c r="E1150" s="373"/>
    </row>
    <row r="1151" spans="1:11">
      <c r="A1151" s="7"/>
      <c r="B1151" s="6"/>
      <c r="C1151" s="7"/>
      <c r="D1151" s="6"/>
      <c r="E1151" s="373"/>
    </row>
    <row r="1152" spans="1:11">
      <c r="A1152" s="7"/>
      <c r="B1152" s="6"/>
      <c r="C1152" s="7"/>
      <c r="D1152" s="6"/>
      <c r="E1152" s="373"/>
    </row>
    <row r="1153" spans="1:5">
      <c r="A1153" s="7"/>
      <c r="B1153" s="6"/>
      <c r="C1153" s="7"/>
      <c r="D1153" s="6"/>
      <c r="E1153" s="373"/>
    </row>
    <row r="1154" spans="1:5">
      <c r="A1154" s="7"/>
      <c r="B1154" s="6"/>
      <c r="C1154" s="7"/>
      <c r="D1154" s="6"/>
      <c r="E1154" s="373"/>
    </row>
    <row r="1155" spans="1:5">
      <c r="A1155" s="7"/>
      <c r="B1155" s="6"/>
      <c r="C1155" s="7"/>
      <c r="D1155" s="6"/>
      <c r="E1155" s="373"/>
    </row>
    <row r="1156" spans="1:5">
      <c r="A1156" s="7"/>
      <c r="B1156" s="6"/>
      <c r="C1156" s="7"/>
      <c r="D1156" s="6"/>
      <c r="E1156" s="373"/>
    </row>
  </sheetData>
  <autoFilter ref="A1:L1147" xr:uid="{DFD55F35-1BE8-491D-A5D1-66586526783F}"/>
  <phoneticPr fontId="22" type="noConversion"/>
  <conditionalFormatting sqref="D1">
    <cfRule type="cellIs" dxfId="182" priority="38" operator="greaterThan">
      <formula>0</formula>
    </cfRule>
    <cfRule type="cellIs" dxfId="181" priority="39" operator="equal">
      <formula>0</formula>
    </cfRule>
  </conditionalFormatting>
  <conditionalFormatting sqref="D812:D1048576">
    <cfRule type="cellIs" dxfId="180" priority="3" operator="greaterThan">
      <formula>0</formula>
    </cfRule>
    <cfRule type="cellIs" dxfId="179" priority="4" operator="equal">
      <formula>0</formula>
    </cfRule>
  </conditionalFormatting>
  <conditionalFormatting sqref="F2:J2">
    <cfRule type="dataBar" priority="108">
      <dataBar>
        <cfvo type="min"/>
        <cfvo type="num" val="4"/>
        <color rgb="FFFFC000"/>
      </dataBar>
      <extLst>
        <ext xmlns:x14="http://schemas.microsoft.com/office/spreadsheetml/2009/9/main" uri="{B025F937-C7B1-47D3-B67F-A62EFF666E3E}">
          <x14:id>{CD730401-8902-4D03-822C-05794E09E6C3}</x14:id>
        </ext>
      </extLst>
    </cfRule>
  </conditionalFormatting>
  <conditionalFormatting sqref="F10:J21">
    <cfRule type="dataBar" priority="8085">
      <dataBar>
        <cfvo type="min"/>
        <cfvo type="num" val="4"/>
        <color rgb="FFFFC000"/>
      </dataBar>
      <extLst>
        <ext xmlns:x14="http://schemas.microsoft.com/office/spreadsheetml/2009/9/main" uri="{B025F937-C7B1-47D3-B67F-A62EFF666E3E}">
          <x14:id>{373FBC6C-9ABE-469B-A09A-F9D659EDEBAD}</x14:id>
        </ext>
      </extLst>
    </cfRule>
  </conditionalFormatting>
  <conditionalFormatting sqref="F22:J73">
    <cfRule type="dataBar" priority="7206">
      <dataBar>
        <cfvo type="min"/>
        <cfvo type="num" val="4"/>
        <color rgb="FFFFC000"/>
      </dataBar>
      <extLst>
        <ext xmlns:x14="http://schemas.microsoft.com/office/spreadsheetml/2009/9/main" uri="{B025F937-C7B1-47D3-B67F-A62EFF666E3E}">
          <x14:id>{A7D252E5-B8F2-41AD-B07F-1F308CA5F21E}</x14:id>
        </ext>
      </extLst>
    </cfRule>
  </conditionalFormatting>
  <conditionalFormatting sqref="F74:J81 F3:J9">
    <cfRule type="dataBar" priority="3807">
      <dataBar>
        <cfvo type="min"/>
        <cfvo type="num" val="4"/>
        <color rgb="FFFFC000"/>
      </dataBar>
      <extLst>
        <ext xmlns:x14="http://schemas.microsoft.com/office/spreadsheetml/2009/9/main" uri="{B025F937-C7B1-47D3-B67F-A62EFF666E3E}">
          <x14:id>{7A243A7B-BB4E-4A10-B6FE-A08AD24404BB}</x14:id>
        </ext>
      </extLst>
    </cfRule>
  </conditionalFormatting>
  <conditionalFormatting sqref="F82:J101">
    <cfRule type="dataBar" priority="15">
      <dataBar>
        <cfvo type="min"/>
        <cfvo type="num" val="4"/>
        <color rgb="FFFFC000"/>
      </dataBar>
      <extLst>
        <ext xmlns:x14="http://schemas.microsoft.com/office/spreadsheetml/2009/9/main" uri="{B025F937-C7B1-47D3-B67F-A62EFF666E3E}">
          <x14:id>{583E9E55-5882-441F-A54E-71FD12E7BE9F}</x14:id>
        </ext>
      </extLst>
    </cfRule>
  </conditionalFormatting>
  <conditionalFormatting sqref="F82:J109">
    <cfRule type="cellIs" dxfId="178" priority="11" stopIfTrue="1" operator="notBetween">
      <formula>1</formula>
      <formula>4</formula>
    </cfRule>
  </conditionalFormatting>
  <conditionalFormatting sqref="F102:J109">
    <cfRule type="dataBar" priority="12">
      <dataBar>
        <cfvo type="min"/>
        <cfvo type="num" val="4"/>
        <color rgb="FFFFC000"/>
      </dataBar>
      <extLst>
        <ext xmlns:x14="http://schemas.microsoft.com/office/spreadsheetml/2009/9/main" uri="{B025F937-C7B1-47D3-B67F-A62EFF666E3E}">
          <x14:id>{E74C1F7C-0664-4503-8E0D-4379C8D3C8BB}</x14:id>
        </ext>
      </extLst>
    </cfRule>
  </conditionalFormatting>
  <conditionalFormatting sqref="F110:J460">
    <cfRule type="dataBar" priority="9">
      <dataBar>
        <cfvo type="min"/>
        <cfvo type="num" val="4"/>
        <color rgb="FFFFC000"/>
      </dataBar>
      <extLst>
        <ext xmlns:x14="http://schemas.microsoft.com/office/spreadsheetml/2009/9/main" uri="{B025F937-C7B1-47D3-B67F-A62EFF666E3E}">
          <x14:id>{7C9416CB-1198-4041-A290-6CB6DE342E1F}</x14:id>
        </ext>
      </extLst>
    </cfRule>
  </conditionalFormatting>
  <conditionalFormatting sqref="F461:J811">
    <cfRule type="dataBar" priority="6">
      <dataBar>
        <cfvo type="min"/>
        <cfvo type="num" val="4"/>
        <color rgb="FFFFC000"/>
      </dataBar>
      <extLst>
        <ext xmlns:x14="http://schemas.microsoft.com/office/spreadsheetml/2009/9/main" uri="{B025F937-C7B1-47D3-B67F-A62EFF666E3E}">
          <x14:id>{F249D597-EF36-456A-85A0-7911B7560335}</x14:id>
        </ext>
      </extLst>
    </cfRule>
  </conditionalFormatting>
  <conditionalFormatting sqref="F812:J812">
    <cfRule type="containsBlanks" dxfId="177" priority="1">
      <formula>LEN(TRIM(F812))=0</formula>
    </cfRule>
    <cfRule type="dataBar" priority="2">
      <dataBar>
        <cfvo type="min"/>
        <cfvo type="num" val="4"/>
        <color rgb="FFFFC000"/>
      </dataBar>
      <extLst>
        <ext xmlns:x14="http://schemas.microsoft.com/office/spreadsheetml/2009/9/main" uri="{B025F937-C7B1-47D3-B67F-A62EFF666E3E}">
          <x14:id>{A993CA9D-F400-4210-9A53-862DC336DB85}</x14:id>
        </ext>
      </extLst>
    </cfRule>
  </conditionalFormatting>
  <conditionalFormatting sqref="F2:K811 K796:K1147">
    <cfRule type="containsBlanks" dxfId="176" priority="5">
      <formula>LEN(TRIM(F2))=0</formula>
    </cfRule>
  </conditionalFormatting>
  <conditionalFormatting sqref="K22:K73">
    <cfRule type="dataBar" priority="7208">
      <dataBar>
        <cfvo type="min"/>
        <cfvo type="max"/>
        <color rgb="FF3FCDFF"/>
      </dataBar>
      <extLst>
        <ext xmlns:x14="http://schemas.microsoft.com/office/spreadsheetml/2009/9/main" uri="{B025F937-C7B1-47D3-B67F-A62EFF666E3E}">
          <x14:id>{FE7DBF0D-941C-4038-BE7B-F34D3059124E}</x14:id>
        </ext>
      </extLst>
    </cfRule>
  </conditionalFormatting>
  <conditionalFormatting sqref="K74:K81 K2:K9">
    <cfRule type="dataBar" priority="3810">
      <dataBar>
        <cfvo type="min"/>
        <cfvo type="max"/>
        <color rgb="FF3FCDFF"/>
      </dataBar>
      <extLst>
        <ext xmlns:x14="http://schemas.microsoft.com/office/spreadsheetml/2009/9/main" uri="{B025F937-C7B1-47D3-B67F-A62EFF666E3E}">
          <x14:id>{1C3EE34C-34B6-4D04-9474-1D4325C46CC9}</x14:id>
        </ext>
      </extLst>
    </cfRule>
  </conditionalFormatting>
  <conditionalFormatting sqref="K82:K109 K10:K21">
    <cfRule type="dataBar" priority="26">
      <dataBar>
        <cfvo type="min"/>
        <cfvo type="max"/>
        <color rgb="FF3FCDFF"/>
      </dataBar>
      <extLst>
        <ext xmlns:x14="http://schemas.microsoft.com/office/spreadsheetml/2009/9/main" uri="{B025F937-C7B1-47D3-B67F-A62EFF666E3E}">
          <x14:id>{C09D56A9-B46C-45CA-B496-ED5644F389C8}</x14:id>
        </ext>
      </extLst>
    </cfRule>
  </conditionalFormatting>
  <conditionalFormatting sqref="K110:K1147">
    <cfRule type="dataBar" priority="8">
      <dataBar>
        <cfvo type="min"/>
        <cfvo type="max"/>
        <color rgb="FF3FCDFF"/>
      </dataBar>
      <extLst>
        <ext xmlns:x14="http://schemas.microsoft.com/office/spreadsheetml/2009/9/main" uri="{B025F937-C7B1-47D3-B67F-A62EFF666E3E}">
          <x14:id>{E9D6D587-DDCF-4145-8CFF-891B53F1666F}</x14:id>
        </ext>
      </extLst>
    </cfRule>
  </conditionalFormatting>
  <hyperlinks>
    <hyperlink ref="E22:E73" r:id="rId1" display="https://ec.europa.eu/eurostat/databrowser/view/DS-056120__custom_5851448/default/table" xr:uid="{76E39BD6-0473-4CD6-8605-BBDABD25D3E2}"/>
    <hyperlink ref="E812" r:id="rId2" xr:uid="{73A5BA69-8977-4552-9FC5-4E08CA76F202}"/>
    <hyperlink ref="E813:E895" r:id="rId3" display="https://ec.europa.eu/eurostat/databrowser/view/DS-056120__custom_15192557/default/table?lang=en - Low estimate" xr:uid="{3626CA35-F7BC-4CD8-B533-18ED816287E8}"/>
    <hyperlink ref="E896" r:id="rId4" xr:uid="{8103C7D0-3AC5-4EA8-8931-5D5FC89F2B3B}"/>
    <hyperlink ref="E897" r:id="rId5" xr:uid="{F54B5008-BE0B-45D4-9CD0-6BCE9497D0A1}"/>
    <hyperlink ref="E898" r:id="rId6" xr:uid="{7DFD9BF4-C93F-4453-A4BB-340EFAFF508D}"/>
    <hyperlink ref="E899" r:id="rId7" xr:uid="{60788790-F74D-4BEF-A02C-01C51F7B6286}"/>
    <hyperlink ref="E900" r:id="rId8" xr:uid="{0877E031-E8EC-4A84-ACFE-CAB9268FC487}"/>
    <hyperlink ref="E901" r:id="rId9" xr:uid="{62744053-2624-43B9-9CBB-B248FDC13D44}"/>
    <hyperlink ref="E902" r:id="rId10" xr:uid="{D1CB0F05-FF18-4D46-955B-C030132CF4C2}"/>
    <hyperlink ref="E903" r:id="rId11" xr:uid="{4D9CEA75-0F6A-4711-88E2-40466A7D911C}"/>
    <hyperlink ref="E904" r:id="rId12" xr:uid="{724F2B47-E8EE-4B2C-A523-EDFED097207A}"/>
    <hyperlink ref="E905" r:id="rId13" xr:uid="{A6D3095B-03BB-43E3-B750-58CEA81EBD9D}"/>
    <hyperlink ref="E906" r:id="rId14" xr:uid="{EFDC8E06-5FA1-4651-8CD5-B9D1B365BAE8}"/>
    <hyperlink ref="E907" r:id="rId15" xr:uid="{D06738D1-A51C-4551-A0D6-149A0EDD178B}"/>
    <hyperlink ref="E908" r:id="rId16" xr:uid="{99CF3C05-D7F1-4D95-8263-F859A034222F}"/>
    <hyperlink ref="E909" r:id="rId17" xr:uid="{346B4E86-9FE4-4ECC-B831-2BAFB8599CC9}"/>
    <hyperlink ref="E910" r:id="rId18" xr:uid="{53244DC6-FFB6-479C-8694-372F0956F54C}"/>
    <hyperlink ref="E911" r:id="rId19" xr:uid="{C61F388A-D270-4381-BB9F-2978293E23A0}"/>
    <hyperlink ref="E912" r:id="rId20" xr:uid="{04873A3D-09C7-4A5C-8DEE-7DD07A92F546}"/>
    <hyperlink ref="E913" r:id="rId21" xr:uid="{B06AAFE2-942C-4419-910F-F1DAD2293A5F}"/>
    <hyperlink ref="E914" r:id="rId22" xr:uid="{FF1E823F-B74B-49F3-A118-240162F393E2}"/>
    <hyperlink ref="E915" r:id="rId23" xr:uid="{2D4C3BFE-0ABB-4275-BBF9-BE74BF614842}"/>
    <hyperlink ref="E916" r:id="rId24" xr:uid="{7F6E02F8-E097-4097-979B-D007658C9035}"/>
    <hyperlink ref="E917" r:id="rId25" xr:uid="{E43C20D5-F443-490E-94F7-44BBA8E023A8}"/>
    <hyperlink ref="E918" r:id="rId26" xr:uid="{9A08D332-8096-4E24-BEDD-6FEAC74020D9}"/>
    <hyperlink ref="E919" r:id="rId27" xr:uid="{52EDBC21-9597-4750-BE38-F4CE90DD7C68}"/>
    <hyperlink ref="E920" r:id="rId28" xr:uid="{7B755B01-AA34-4B52-B084-5EE072FB5E55}"/>
    <hyperlink ref="E921" r:id="rId29" xr:uid="{6DC26488-AC2B-4E86-AD55-F96D4662133B}"/>
    <hyperlink ref="E922" r:id="rId30" xr:uid="{B888CFAA-82DB-44F9-A472-81CF77384981}"/>
    <hyperlink ref="E923" r:id="rId31" xr:uid="{51415E83-3889-4561-83BA-3B13604A10F7}"/>
    <hyperlink ref="E924" r:id="rId32" xr:uid="{30D24D38-6136-4AF6-B213-F95AC1D04630}"/>
    <hyperlink ref="E925" r:id="rId33" xr:uid="{663A4EA5-9EEF-4DFD-8326-5292466C93E1}"/>
    <hyperlink ref="E926" r:id="rId34" xr:uid="{7782AB71-AE91-409B-8396-E11A03B0AE2A}"/>
    <hyperlink ref="E927" r:id="rId35" xr:uid="{7EE9FC09-8C7A-48E9-A687-4F9D709EC306}"/>
    <hyperlink ref="E928" r:id="rId36" xr:uid="{69C6819E-B70B-4A02-A427-5ED0F66E7D1B}"/>
    <hyperlink ref="E929" r:id="rId37" xr:uid="{5CDADE4E-E8E8-42EC-A803-169EF0160F72}"/>
    <hyperlink ref="E930" r:id="rId38" xr:uid="{B15377F0-C2A0-47B7-A802-A266AB81E7BB}"/>
    <hyperlink ref="E931" r:id="rId39" xr:uid="{64CA41D5-EAC5-4189-8F46-6A72C1EB377F}"/>
    <hyperlink ref="E932" r:id="rId40" xr:uid="{7935BBF5-192D-41E4-9580-5228F3F0AA7F}"/>
    <hyperlink ref="E933" r:id="rId41" xr:uid="{5819863D-F7DF-4E03-9CB5-BECC72BF0A0B}"/>
    <hyperlink ref="E934" r:id="rId42" xr:uid="{06D1B782-E9A1-4AB1-AD30-412D7502DF24}"/>
    <hyperlink ref="E935" r:id="rId43" xr:uid="{12196046-5908-41E4-A427-AB2A50C9400A}"/>
    <hyperlink ref="E936" r:id="rId44" xr:uid="{D473F001-0634-43E6-969F-1C560299DCB4}"/>
    <hyperlink ref="E937" r:id="rId45" xr:uid="{CCF84148-0B91-4251-97F9-E131878ED008}"/>
    <hyperlink ref="E938" r:id="rId46" xr:uid="{5DDE27A2-313F-4011-A582-C922E316FEF2}"/>
    <hyperlink ref="E939" r:id="rId47" xr:uid="{5CEDB5F4-4570-496A-83C8-F7778306BC9B}"/>
    <hyperlink ref="E940" r:id="rId48" xr:uid="{FC196DCF-6617-4646-ABA8-36C68A7FC98E}"/>
    <hyperlink ref="E941" r:id="rId49" xr:uid="{2FB14B0F-08E8-4196-A27D-FA9600B45813}"/>
    <hyperlink ref="E942" r:id="rId50" xr:uid="{E305AE44-6FA3-4055-8114-2B023F20DC45}"/>
    <hyperlink ref="E943" r:id="rId51" xr:uid="{8FC8EA15-70B2-48C5-9F63-F8E0F0FDBCBE}"/>
    <hyperlink ref="E944" r:id="rId52" xr:uid="{BB0C5B3A-A21C-4107-8216-B5CA4797E4FE}"/>
    <hyperlink ref="E945" r:id="rId53" xr:uid="{458866A0-CA40-4C88-A34A-3F2300626CFE}"/>
    <hyperlink ref="E946" r:id="rId54" xr:uid="{64981438-66B9-43B6-A93F-38C73DB1DC42}"/>
    <hyperlink ref="E947" r:id="rId55" xr:uid="{42FCE82B-243A-40C1-930E-4A2FC9474E51}"/>
    <hyperlink ref="E948" r:id="rId56" xr:uid="{D134DAF0-F464-4029-8F8F-CADC6174F136}"/>
    <hyperlink ref="E949" r:id="rId57" xr:uid="{2CF0BBBD-6895-4831-A487-B4F6ECF68D98}"/>
    <hyperlink ref="E950" r:id="rId58" xr:uid="{5A75149E-2E3B-4DC8-9878-F61BF354438C}"/>
    <hyperlink ref="E951" r:id="rId59" xr:uid="{9A34C2C6-889D-40E6-9700-1E468FAB86EA}"/>
    <hyperlink ref="E952" r:id="rId60" xr:uid="{FD2F95F7-ECA0-4DB1-8720-39FE7C02927B}"/>
    <hyperlink ref="E953" r:id="rId61" xr:uid="{DDF15CB0-A227-4869-8331-F60B79A98634}"/>
    <hyperlink ref="E954" r:id="rId62" xr:uid="{3E7BC117-4610-463F-A549-C52DCF9CCBC3}"/>
    <hyperlink ref="E955" r:id="rId63" xr:uid="{6ED25C76-B93A-4066-8BC2-E7A79EE6A16C}"/>
    <hyperlink ref="E956" r:id="rId64" xr:uid="{8E2E0356-82E9-4C47-BB6B-2A2037A3036C}"/>
    <hyperlink ref="E957" r:id="rId65" xr:uid="{67143C77-F7EC-4050-99FA-E10203A954D9}"/>
    <hyperlink ref="E958" r:id="rId66" xr:uid="{4559C502-8B9A-439E-B489-2E8709CF3529}"/>
    <hyperlink ref="E959" r:id="rId67" xr:uid="{E2DE69EA-4615-409E-B393-161BBDB182D6}"/>
    <hyperlink ref="E960" r:id="rId68" xr:uid="{C0FBC5B0-36E5-4902-BB75-BB4BE732F024}"/>
    <hyperlink ref="E961" r:id="rId69" xr:uid="{4F806B49-4212-4F40-A880-91DFF67911CF}"/>
    <hyperlink ref="E962" r:id="rId70" xr:uid="{3655BEA6-D1AA-4EE0-9C8F-8C8CD428009B}"/>
    <hyperlink ref="E963" r:id="rId71" xr:uid="{4CF71F50-E661-492F-AA28-A20F2E2B9CE2}"/>
    <hyperlink ref="E964" r:id="rId72" xr:uid="{227858E4-6716-487B-81F6-B5D408B820FD}"/>
    <hyperlink ref="E965" r:id="rId73" xr:uid="{DBD99FA7-627A-4DD8-9453-5017FB694FCF}"/>
    <hyperlink ref="E966" r:id="rId74" xr:uid="{697A5491-60EF-4BF9-9E30-2F169C1A7314}"/>
    <hyperlink ref="E967" r:id="rId75" xr:uid="{C837941C-54DB-41F4-9159-31660FD2D564}"/>
    <hyperlink ref="E968" r:id="rId76" xr:uid="{7DAB4E9E-CE7E-497B-91A0-E07754A6BADE}"/>
    <hyperlink ref="E969" r:id="rId77" xr:uid="{42A7EEC9-FFA5-4005-ADD5-BB94A67FCF20}"/>
    <hyperlink ref="E970" r:id="rId78" xr:uid="{5984BDBC-702B-4D20-86A4-5FE935B54695}"/>
    <hyperlink ref="E971" r:id="rId79" xr:uid="{7D224C79-3C94-4C92-BB8F-24F8D8D41888}"/>
    <hyperlink ref="E972" r:id="rId80" xr:uid="{B0B4428F-4FC1-49B7-85B6-DE92F349F818}"/>
    <hyperlink ref="E973" r:id="rId81" xr:uid="{D4301EE5-A2B8-41B4-9D9B-97FD76407349}"/>
    <hyperlink ref="E974" r:id="rId82" xr:uid="{D777A1A5-8831-421E-B7E3-A054ADF43E88}"/>
    <hyperlink ref="E975" r:id="rId83" xr:uid="{9D7CF7C6-A053-472E-8193-7B0C03410592}"/>
    <hyperlink ref="E976" r:id="rId84" xr:uid="{D0B59701-A2F6-4AFC-AA8C-652C691864E8}"/>
    <hyperlink ref="E977" r:id="rId85" xr:uid="{3B7B70C5-3A5D-4FA4-B6D1-4CF0BF66051B}"/>
    <hyperlink ref="E978" r:id="rId86" xr:uid="{517EEBAF-9EAA-4D1B-9A9C-F124B2B39248}"/>
    <hyperlink ref="E979" r:id="rId87" xr:uid="{CF6F58AC-03CD-49A6-B5D9-723DC13C13EB}"/>
    <hyperlink ref="E980" r:id="rId88" xr:uid="{C4606A8A-9C94-46ED-B707-DD49F5379F74}"/>
    <hyperlink ref="E981" r:id="rId89" xr:uid="{6BDC99D5-8D70-489D-A0FD-21D0DF5BEF7F}"/>
    <hyperlink ref="E982" r:id="rId90" xr:uid="{373EE183-63D5-4133-BD2B-9FDCF0F304B9}"/>
    <hyperlink ref="E983" r:id="rId91" xr:uid="{FE6E8D0A-9503-4741-89E3-019070D359A5}"/>
    <hyperlink ref="E984" r:id="rId92" xr:uid="{EBBCE407-CBBE-445A-8D8A-251976925D65}"/>
    <hyperlink ref="E985" r:id="rId93" xr:uid="{4768E3C0-1855-4420-A2D2-D27DB8B2D274}"/>
    <hyperlink ref="E986" r:id="rId94" xr:uid="{AF8E98CA-3C05-4227-8E5A-12C04D9D1520}"/>
    <hyperlink ref="E987" r:id="rId95" xr:uid="{938F7BEC-7BC1-4901-A061-54D0302037F4}"/>
    <hyperlink ref="E988" r:id="rId96" xr:uid="{2AEA0C17-201A-4E1F-9932-CA28C382A5E9}"/>
    <hyperlink ref="E989" r:id="rId97" xr:uid="{D7A6FAED-3506-4789-A646-F668E2B8E8B3}"/>
    <hyperlink ref="E990" r:id="rId98" xr:uid="{239064E4-CFEE-41C8-92CB-AB7980E2594B}"/>
    <hyperlink ref="E991" r:id="rId99" xr:uid="{12FD9BA0-A2BE-4D5F-9D0F-BE8F9ACCEC2B}"/>
    <hyperlink ref="E992" r:id="rId100" xr:uid="{E5C4F687-7316-4EB2-8357-A9E391FFDB15}"/>
    <hyperlink ref="E993" r:id="rId101" xr:uid="{85880D50-7FCD-48B5-8C72-93275BD33FD6}"/>
    <hyperlink ref="E994" r:id="rId102" xr:uid="{8689E714-1A5F-4A1A-8A5B-96542C97F0C2}"/>
    <hyperlink ref="E995" r:id="rId103" xr:uid="{879E8CCA-92BC-46FE-98D3-6F740AC31296}"/>
    <hyperlink ref="E996" r:id="rId104" xr:uid="{449DB8BA-F581-41B6-BD0D-9792411D95AD}"/>
    <hyperlink ref="E997" r:id="rId105" xr:uid="{AA5B1B36-6954-421E-9BEF-2DCEB19F738E}"/>
    <hyperlink ref="E998" r:id="rId106" xr:uid="{4187D467-0A4E-42F3-9299-92B4AFABBD7F}"/>
    <hyperlink ref="E999" r:id="rId107" xr:uid="{E68713AB-06AF-404D-880A-D59ED35B3A6A}"/>
    <hyperlink ref="E1000" r:id="rId108" xr:uid="{8CA4211E-9078-42A0-9531-3398D361C14D}"/>
    <hyperlink ref="E1001" r:id="rId109" xr:uid="{909F977B-79D9-4C5E-8B2D-3E6DD27D3047}"/>
    <hyperlink ref="E1002" r:id="rId110" xr:uid="{5B72221C-81EC-4A83-8D0D-E527BD0BDA91}"/>
    <hyperlink ref="E1003" r:id="rId111" xr:uid="{D3E1AFFC-9C69-4EF6-A185-4D939CC9868C}"/>
    <hyperlink ref="E1004" r:id="rId112" xr:uid="{DE130321-6348-4449-8E67-4B1DF9CA331F}"/>
    <hyperlink ref="E1005" r:id="rId113" xr:uid="{6BC8882D-15C7-40A0-971C-AADEE472B568}"/>
    <hyperlink ref="E1006" r:id="rId114" xr:uid="{B2EB0142-2E85-4E5F-9C44-C0307EF686F7}"/>
    <hyperlink ref="E1007" r:id="rId115" xr:uid="{814BD2D8-88D3-4638-9341-75183600CBD8}"/>
    <hyperlink ref="E1008" r:id="rId116" xr:uid="{DFE8E880-966F-49BD-A05C-9C86D0DB3F90}"/>
    <hyperlink ref="E1009" r:id="rId117" xr:uid="{E7552CC4-0AA3-4257-B4F9-3593FEF873C7}"/>
    <hyperlink ref="E1010" r:id="rId118" xr:uid="{9452223A-3486-43BC-BF3D-BFFB5F75879A}"/>
    <hyperlink ref="E1011" r:id="rId119" xr:uid="{E3F4549D-B63F-46C3-8BD5-8983773C9500}"/>
    <hyperlink ref="E1012" r:id="rId120" xr:uid="{6D1C2CAA-1E19-4593-9C39-DA28F57D03FA}"/>
    <hyperlink ref="E1013" r:id="rId121" xr:uid="{25F9F676-08C8-46EC-87EC-FF08C2D37DB4}"/>
    <hyperlink ref="E1014" r:id="rId122" xr:uid="{85FB2C2C-B029-40A3-BED5-84709BB2EA17}"/>
    <hyperlink ref="E1015" r:id="rId123" xr:uid="{29CE81C4-7357-4BE2-B6B1-B59BC0F6DD49}"/>
    <hyperlink ref="E1016" r:id="rId124" xr:uid="{FFFC5FB9-82B4-42F0-9248-B901B84AAC00}"/>
    <hyperlink ref="E1017" r:id="rId125" xr:uid="{AB4663E4-FEC2-4699-B628-53CB7A215B63}"/>
    <hyperlink ref="E1018" r:id="rId126" xr:uid="{3A3ED3DD-50B1-49D7-9F89-725C7154B4BB}"/>
    <hyperlink ref="E1019" r:id="rId127" xr:uid="{0A573962-CED9-46E9-832C-A62BF5885ED9}"/>
    <hyperlink ref="E1020" r:id="rId128" xr:uid="{492D2917-6661-430A-B2B6-3520ACE99123}"/>
    <hyperlink ref="E1021" r:id="rId129" xr:uid="{12CD5A06-3A58-48C1-B870-C84E345879CE}"/>
    <hyperlink ref="E1022" r:id="rId130" xr:uid="{A060C888-D59B-48A4-A8F8-2A463F68FB30}"/>
    <hyperlink ref="E1023" r:id="rId131" xr:uid="{48244DEA-2197-4414-A515-FED56F78781A}"/>
    <hyperlink ref="E1024" r:id="rId132" xr:uid="{35F0812E-1307-49AB-8839-D768AA2BB7E4}"/>
    <hyperlink ref="E1025" r:id="rId133" xr:uid="{6D393FFE-129B-4B20-8CC3-CF5BEE4F70C5}"/>
    <hyperlink ref="E1026" r:id="rId134" xr:uid="{EBE83187-F15F-4631-BC5C-E55D277A7216}"/>
    <hyperlink ref="E1027" r:id="rId135" xr:uid="{378F9ED8-4711-48F3-9E86-5E717F4153D1}"/>
    <hyperlink ref="E1028" r:id="rId136" xr:uid="{F1B52474-4805-4B35-8F86-1A1C64447282}"/>
    <hyperlink ref="E1029" r:id="rId137" xr:uid="{7F834B10-78C4-4D9F-BB97-F6A5367FF8F2}"/>
    <hyperlink ref="E1030" r:id="rId138" xr:uid="{93B378B9-AC84-40FA-8628-7834AD464CBD}"/>
    <hyperlink ref="E1031" r:id="rId139" xr:uid="{6252E27B-6D07-4457-BA52-1A46A29DB216}"/>
    <hyperlink ref="E1032" r:id="rId140" xr:uid="{4B5388C8-745D-4E48-AB08-EEB011E55710}"/>
    <hyperlink ref="E1033" r:id="rId141" xr:uid="{174EB63E-79E3-4939-AC92-1844979E721A}"/>
    <hyperlink ref="E1034" r:id="rId142" xr:uid="{B67EA316-7831-4473-BE97-195CAF5BF394}"/>
    <hyperlink ref="E1035" r:id="rId143" xr:uid="{B5FB9959-474F-4A58-9049-53286B99096D}"/>
    <hyperlink ref="E1036" r:id="rId144" xr:uid="{D79178F3-A95F-4C6C-A035-3F63AB0C117B}"/>
    <hyperlink ref="E1037" r:id="rId145" xr:uid="{42C4B343-D1B8-472D-8515-443D6C4F9EC0}"/>
    <hyperlink ref="E1038" r:id="rId146" xr:uid="{C7B1D34B-8728-4434-8B8A-40CDA024B08F}"/>
    <hyperlink ref="E1039" r:id="rId147" xr:uid="{6F2A7C5B-0BE6-48CA-9F4D-1F876A44B709}"/>
    <hyperlink ref="E1040" r:id="rId148" xr:uid="{52CF23FD-ED43-4002-A6A9-BE7B7485B473}"/>
    <hyperlink ref="E1041" r:id="rId149" xr:uid="{80DB37B1-40AA-4BF2-9C23-E698C149321F}"/>
    <hyperlink ref="E1042" r:id="rId150" xr:uid="{026A3D79-9B69-4BF5-B9FF-6376BFBFDD43}"/>
    <hyperlink ref="E1043" r:id="rId151" xr:uid="{969F54A8-14EE-4696-963E-B7E930148644}"/>
    <hyperlink ref="E1044" r:id="rId152" xr:uid="{723E4DD2-4B41-4AF8-8022-192DDBE51B2E}"/>
    <hyperlink ref="E1045" r:id="rId153" xr:uid="{F120E17A-BB09-499F-A85E-B3D454F1B040}"/>
    <hyperlink ref="E1046" r:id="rId154" xr:uid="{444D349D-72C8-4D05-9F42-6CD71297D36F}"/>
    <hyperlink ref="E1047" r:id="rId155" xr:uid="{7C8346BE-BD7C-4237-87E1-36C1FB5ABE06}"/>
    <hyperlink ref="E1048" r:id="rId156" xr:uid="{392B4DDB-2E66-4E26-B2CA-C2FA15F9F487}"/>
    <hyperlink ref="E1049" r:id="rId157" xr:uid="{D50BA12D-749A-4440-8ECF-325AFBA08177}"/>
    <hyperlink ref="E1050" r:id="rId158" xr:uid="{9222D2A4-7E79-4AB8-9A3F-8D85722F9F34}"/>
    <hyperlink ref="E1051" r:id="rId159" xr:uid="{78FC222B-E31B-4A47-AE3C-E5CD5DACB4EA}"/>
    <hyperlink ref="E1052" r:id="rId160" xr:uid="{33803EAA-9DDA-4CCF-8FA3-F53A0898595E}"/>
    <hyperlink ref="E1053" r:id="rId161" xr:uid="{9F6A7E9F-ACA6-4E60-A0F0-56145E27004E}"/>
    <hyperlink ref="E1054" r:id="rId162" xr:uid="{0461AD52-0941-4C30-B635-084CAC455EF5}"/>
    <hyperlink ref="E1055" r:id="rId163" xr:uid="{58C07ED1-C084-44E4-AF06-8F366EB6B0B3}"/>
    <hyperlink ref="E1056" r:id="rId164" xr:uid="{1CF1F211-F389-4CA5-9008-C7F33764EE4D}"/>
    <hyperlink ref="E1057" r:id="rId165" xr:uid="{79DC2631-090D-48F4-986F-6AA9C3C4984E}"/>
    <hyperlink ref="E1058" r:id="rId166" xr:uid="{8A40EE6B-4FA6-4273-BF6F-DBDB9E9DBC1B}"/>
    <hyperlink ref="E1059" r:id="rId167" xr:uid="{6EB870AF-405A-40BF-977C-689071836F32}"/>
    <hyperlink ref="E1060" r:id="rId168" xr:uid="{65A92CCD-18D5-419C-8E65-923E039F4146}"/>
    <hyperlink ref="E1061" r:id="rId169" xr:uid="{89299111-410C-40D2-8376-0C026F2FDBB9}"/>
    <hyperlink ref="E1062" r:id="rId170" xr:uid="{70E5B5C9-CC7B-4E49-B8D1-4DB7FD277790}"/>
    <hyperlink ref="E1063" r:id="rId171" xr:uid="{7A4C5AEC-8671-4CC3-8445-C5BE32F3834A}"/>
    <hyperlink ref="E1064" r:id="rId172" xr:uid="{22847765-1582-4BC8-A8F7-2EBB64795672}"/>
    <hyperlink ref="E1065" r:id="rId173" xr:uid="{BD2049EE-7544-44DB-8DD5-75B3386B2E72}"/>
    <hyperlink ref="E1066" r:id="rId174" xr:uid="{23AE3091-8EC0-474C-A355-3D0CA4BAD9B8}"/>
    <hyperlink ref="E1067" r:id="rId175" xr:uid="{15BE4837-8F9E-4D71-97B8-4E8CC260B37D}"/>
    <hyperlink ref="E1068" r:id="rId176" xr:uid="{70FB2D12-2F06-4CE3-91D8-EAD8D8BAC4C0}"/>
    <hyperlink ref="E1069" r:id="rId177" xr:uid="{0A2EB5B9-F09F-474C-A339-92EA90E36ED1}"/>
    <hyperlink ref="E1070" r:id="rId178" xr:uid="{FE08B5DB-B24D-4EF2-908F-7978E5C4EA42}"/>
    <hyperlink ref="E1071" r:id="rId179" xr:uid="{2C7EBD74-6AF9-4A45-8E17-C5B87033698E}"/>
    <hyperlink ref="E1072" r:id="rId180" xr:uid="{91067F27-B8CC-4663-AD13-FC26B0AAD99C}"/>
    <hyperlink ref="E1073" r:id="rId181" xr:uid="{B7FECBF0-E1A3-449F-A733-2CD8A96503AA}"/>
    <hyperlink ref="E1074" r:id="rId182" xr:uid="{FED98696-4269-42D8-BCC3-7537AC574A5E}"/>
    <hyperlink ref="E1075" r:id="rId183" xr:uid="{844B7985-4E09-436E-A6DF-324B670A232D}"/>
    <hyperlink ref="E1076" r:id="rId184" xr:uid="{3965C53C-0D9E-4467-A2E3-6BD0C53E1AAD}"/>
    <hyperlink ref="E1077" r:id="rId185" xr:uid="{19C2A027-0175-4524-B2C3-BD5600C8E0E1}"/>
    <hyperlink ref="E1078" r:id="rId186" xr:uid="{5830E51E-0CEB-4093-969D-3B19DFA92C2E}"/>
    <hyperlink ref="E1079" r:id="rId187" xr:uid="{60FEB6AE-A2D3-4F10-ABE1-CA2D8D493ED4}"/>
    <hyperlink ref="E1080" r:id="rId188" xr:uid="{A0291C75-0F41-4861-8F05-FF4E6DD37387}"/>
    <hyperlink ref="E1081" r:id="rId189" xr:uid="{C3C9DB14-B6AC-4849-BEDA-E05918C4EAAF}"/>
    <hyperlink ref="E1082" r:id="rId190" xr:uid="{AB8B12D1-0204-45A3-93E6-6778ED95B3D6}"/>
    <hyperlink ref="E1083" r:id="rId191" xr:uid="{3EDD46F1-CF6C-4895-9578-CF0E4BA92CA8}"/>
    <hyperlink ref="E1084" r:id="rId192" xr:uid="{C94FA246-FC27-4C7E-B5B3-E46557B2235C}"/>
    <hyperlink ref="E1085" r:id="rId193" xr:uid="{FB1CEAB3-B3D1-48DD-B661-E666C2E288D3}"/>
    <hyperlink ref="E1086" r:id="rId194" xr:uid="{CB988832-6481-4873-921E-4F59FB379629}"/>
    <hyperlink ref="E1087" r:id="rId195" xr:uid="{C069B140-BAA7-4A54-BD81-0E86909E0852}"/>
    <hyperlink ref="E1088" r:id="rId196" xr:uid="{C08823C4-9A90-4275-997E-A0082499CD73}"/>
    <hyperlink ref="E1089" r:id="rId197" xr:uid="{498FD93B-9293-4286-BB49-02388744196E}"/>
    <hyperlink ref="E1090" r:id="rId198" xr:uid="{27ED4DF0-D887-4AD0-A210-76A95DECD424}"/>
    <hyperlink ref="E1091" r:id="rId199" xr:uid="{060AD166-8B81-452E-98AC-3C967641EF74}"/>
    <hyperlink ref="E1092" r:id="rId200" xr:uid="{E53F27E5-78B7-4C52-A5EE-499DCD11DEE6}"/>
    <hyperlink ref="E1093" r:id="rId201" xr:uid="{CDAA0015-00C2-47AD-95B0-E577F53F5B0C}"/>
    <hyperlink ref="E1094" r:id="rId202" xr:uid="{32A04C1F-C82A-492C-A205-BBA09FAD379E}"/>
    <hyperlink ref="E1095" r:id="rId203" xr:uid="{7259B621-0D0A-48E4-B7E4-0C8EDEABB1EB}"/>
    <hyperlink ref="E1096" r:id="rId204" xr:uid="{ABD3485C-A6D5-4A9A-8706-9DAF7F076262}"/>
    <hyperlink ref="E1097" r:id="rId205" xr:uid="{F960B009-B45F-4E50-BBA3-6F5EC96B5326}"/>
    <hyperlink ref="E1098" r:id="rId206" xr:uid="{886D8F32-B82B-42B5-B82D-D5965B6933E7}"/>
    <hyperlink ref="E1099" r:id="rId207" xr:uid="{641CA028-F1CE-43B2-857A-9D69FE53A98D}"/>
    <hyperlink ref="E1100" r:id="rId208" xr:uid="{DC2F20B3-829E-45F3-8F6C-094944EF6E27}"/>
    <hyperlink ref="E1101" r:id="rId209" xr:uid="{331305CB-24EB-4FE7-AC59-3AE68FC2F0DE}"/>
    <hyperlink ref="E1102" r:id="rId210" xr:uid="{8A543C9B-EF3F-42A3-95BF-445D60C407B2}"/>
    <hyperlink ref="E1103" r:id="rId211" xr:uid="{65663B4F-F2FA-435D-BD9A-6BE1E9159384}"/>
    <hyperlink ref="E1104" r:id="rId212" xr:uid="{8A38B29D-F07F-4298-8A9D-24EA5E9727A3}"/>
    <hyperlink ref="E1105" r:id="rId213" xr:uid="{C3B8CC2F-86BF-4E03-B7A2-C1598F6700E0}"/>
    <hyperlink ref="E1106" r:id="rId214" xr:uid="{2A2D2FED-6FF3-4697-8E1B-37B4081F1607}"/>
    <hyperlink ref="E1107" r:id="rId215" xr:uid="{426D5F95-3970-4C8B-90DD-DCE2E7EB8460}"/>
    <hyperlink ref="E1108" r:id="rId216" xr:uid="{23D5B2A2-A89C-4B95-942D-361E89FF3D2F}"/>
    <hyperlink ref="E1109" r:id="rId217" xr:uid="{0F8AE25E-A66D-4322-81DE-2E323B09AA3B}"/>
    <hyperlink ref="E1110" r:id="rId218" xr:uid="{9AB30074-3050-4379-BDCE-8C920E02865C}"/>
    <hyperlink ref="E1111" r:id="rId219" xr:uid="{E408564D-A62C-4F68-B8FA-804A52A2C08C}"/>
    <hyperlink ref="E1112" r:id="rId220" xr:uid="{5258F41D-BC3C-4137-864A-4BDCC3CF7627}"/>
    <hyperlink ref="E1113" r:id="rId221" xr:uid="{55545B65-493D-447D-A040-280D43C052CE}"/>
    <hyperlink ref="E1114" r:id="rId222" xr:uid="{E0AA7A2B-0ADE-4AF3-B764-26FF2F1E6B1D}"/>
    <hyperlink ref="E1115" r:id="rId223" xr:uid="{645CF853-F77B-41E1-9BB0-9403FAF1A99C}"/>
    <hyperlink ref="E1116" r:id="rId224" xr:uid="{5E67432B-705E-42FB-AE54-C12AAB64064F}"/>
    <hyperlink ref="E1117" r:id="rId225" xr:uid="{422E79C9-61D0-49F0-84FC-06E04E183D49}"/>
    <hyperlink ref="E1118" r:id="rId226" xr:uid="{68ED90CE-507D-449B-9FBF-9BE8DDB73B37}"/>
    <hyperlink ref="E1119" r:id="rId227" xr:uid="{9B58F5B7-83D2-48D9-990A-EADD741757B0}"/>
    <hyperlink ref="E1120" r:id="rId228" xr:uid="{35503C10-7217-46BE-A194-6BDBA6B562B0}"/>
    <hyperlink ref="E1121" r:id="rId229" xr:uid="{3E6A996E-49F6-465D-915B-6D75127AA6C7}"/>
    <hyperlink ref="E1122" r:id="rId230" xr:uid="{DDA0F86D-D956-48BE-A12D-5F11DEDEB120}"/>
    <hyperlink ref="E1123" r:id="rId231" xr:uid="{63810CC2-63E8-4CAB-964F-202359F7EDA5}"/>
    <hyperlink ref="E1124" r:id="rId232" xr:uid="{3AA398FC-0090-464E-9A59-E0E74269C7C0}"/>
    <hyperlink ref="E1125" r:id="rId233" xr:uid="{188E9DDB-CC64-4E71-B95F-FA1918997569}"/>
    <hyperlink ref="E1126" r:id="rId234" xr:uid="{C7D769A7-BF4A-410E-9994-B7297A70DE51}"/>
    <hyperlink ref="E1127" r:id="rId235" xr:uid="{2D0CF6B4-E6CF-4A31-8480-B94210F409D3}"/>
    <hyperlink ref="E1128" r:id="rId236" xr:uid="{95C80E76-34A3-47EA-A053-4E583AA58939}"/>
    <hyperlink ref="E1129" r:id="rId237" xr:uid="{F4E41884-ACA9-47CE-B1E6-A9D2FC7F41BE}"/>
    <hyperlink ref="E1130" r:id="rId238" xr:uid="{8EECDBDB-3240-43F4-B22E-BC77E8B42F06}"/>
    <hyperlink ref="E1131" r:id="rId239" xr:uid="{D8C6591A-4AF8-4D28-8022-AD52AE140A2F}"/>
    <hyperlink ref="E1132" r:id="rId240" xr:uid="{B0BD7951-7048-45A7-948F-270C5005C61A}"/>
    <hyperlink ref="E1133" r:id="rId241" xr:uid="{62C53ACB-B00B-45D0-82DB-1B311767F5E3}"/>
    <hyperlink ref="E1134" r:id="rId242" xr:uid="{7CE23F81-CDD3-4464-B5FD-572CD1DCEF13}"/>
    <hyperlink ref="E1135" r:id="rId243" xr:uid="{769D649F-531C-4DEC-B332-D7FF3579248F}"/>
    <hyperlink ref="E1136" r:id="rId244" xr:uid="{CE06C215-B9E1-44D5-9C85-8DC089440572}"/>
    <hyperlink ref="E1137" r:id="rId245" xr:uid="{0DC505ED-302E-44BA-8CF2-93723CFAA7F8}"/>
    <hyperlink ref="E1138" r:id="rId246" xr:uid="{C235FCD7-1EA4-49D0-BC41-39D540F54366}"/>
    <hyperlink ref="E1139" r:id="rId247" xr:uid="{52F87352-9200-4BEC-B8D8-2A5823308F7B}"/>
    <hyperlink ref="E1140" r:id="rId248" xr:uid="{E48CC75E-77E7-41B1-86AD-BFAF66054965}"/>
    <hyperlink ref="E1141" r:id="rId249" xr:uid="{C8E57458-D7D2-4349-BD97-06494C09981E}"/>
    <hyperlink ref="E1142" r:id="rId250" xr:uid="{9753179C-664A-4975-BCF7-6D4AFB3B8FAD}"/>
    <hyperlink ref="E1143" r:id="rId251" xr:uid="{9F6DE9BB-4C5A-4C5D-9D54-25F96501BBF5}"/>
    <hyperlink ref="E1144" r:id="rId252" xr:uid="{36183531-2406-4F2A-97AF-59544E5CD160}"/>
    <hyperlink ref="E1145" r:id="rId253" xr:uid="{8F8AAB51-FDDB-40A7-A676-62613D2A630D}"/>
    <hyperlink ref="E1146" r:id="rId254" xr:uid="{B8169C0D-5E5F-4EC7-A0F8-94AED0EC194D}"/>
    <hyperlink ref="E1147" r:id="rId255" xr:uid="{A579E4F9-E039-4977-AA1D-683E1A2B9C23}"/>
  </hyperlinks>
  <pageMargins left="0.7" right="0.7" top="0.75" bottom="0.75" header="0.3" footer="0.3"/>
  <pageSetup paperSize="9" orientation="portrait" r:id="rId256"/>
  <extLst>
    <ext xmlns:x14="http://schemas.microsoft.com/office/spreadsheetml/2009/9/main" uri="{78C0D931-6437-407d-A8EE-F0AAD7539E65}">
      <x14:conditionalFormattings>
        <x14:conditionalFormatting xmlns:xm="http://schemas.microsoft.com/office/excel/2006/main">
          <x14:cfRule type="dataBar" id="{CD730401-8902-4D03-822C-05794E09E6C3}">
            <x14:dataBar minLength="0" maxLength="100" gradient="0">
              <x14:cfvo type="autoMin"/>
              <x14:cfvo type="num">
                <xm:f>4</xm:f>
              </x14:cfvo>
              <x14:negativeFillColor rgb="FFFF0000"/>
              <x14:axisColor rgb="FF000000"/>
            </x14:dataBar>
          </x14:cfRule>
          <xm:sqref>F2:J2</xm:sqref>
        </x14:conditionalFormatting>
        <x14:conditionalFormatting xmlns:xm="http://schemas.microsoft.com/office/excel/2006/main">
          <x14:cfRule type="dataBar" id="{373FBC6C-9ABE-469B-A09A-F9D659EDEBAD}">
            <x14:dataBar minLength="0" maxLength="100" gradient="0">
              <x14:cfvo type="autoMin"/>
              <x14:cfvo type="num">
                <xm:f>4</xm:f>
              </x14:cfvo>
              <x14:negativeFillColor rgb="FFFF0000"/>
              <x14:axisColor rgb="FF000000"/>
            </x14:dataBar>
          </x14:cfRule>
          <xm:sqref>F10:J21</xm:sqref>
        </x14:conditionalFormatting>
        <x14:conditionalFormatting xmlns:xm="http://schemas.microsoft.com/office/excel/2006/main">
          <x14:cfRule type="dataBar" id="{A7D252E5-B8F2-41AD-B07F-1F308CA5F21E}">
            <x14:dataBar minLength="0" maxLength="100" gradient="0">
              <x14:cfvo type="autoMin"/>
              <x14:cfvo type="num">
                <xm:f>4</xm:f>
              </x14:cfvo>
              <x14:negativeFillColor rgb="FFFF0000"/>
              <x14:axisColor rgb="FF000000"/>
            </x14:dataBar>
          </x14:cfRule>
          <xm:sqref>F22:J73</xm:sqref>
        </x14:conditionalFormatting>
        <x14:conditionalFormatting xmlns:xm="http://schemas.microsoft.com/office/excel/2006/main">
          <x14:cfRule type="dataBar" id="{7A243A7B-BB4E-4A10-B6FE-A08AD24404BB}">
            <x14:dataBar minLength="0" maxLength="100" gradient="0">
              <x14:cfvo type="autoMin"/>
              <x14:cfvo type="num">
                <xm:f>4</xm:f>
              </x14:cfvo>
              <x14:negativeFillColor rgb="FFFF0000"/>
              <x14:axisColor rgb="FF000000"/>
            </x14:dataBar>
          </x14:cfRule>
          <xm:sqref>F74:J81 F3:J9</xm:sqref>
        </x14:conditionalFormatting>
        <x14:conditionalFormatting xmlns:xm="http://schemas.microsoft.com/office/excel/2006/main">
          <x14:cfRule type="dataBar" id="{583E9E55-5882-441F-A54E-71FD12E7BE9F}">
            <x14:dataBar minLength="0" maxLength="100" gradient="0">
              <x14:cfvo type="autoMin"/>
              <x14:cfvo type="num">
                <xm:f>4</xm:f>
              </x14:cfvo>
              <x14:negativeFillColor rgb="FFFF0000"/>
              <x14:axisColor rgb="FF000000"/>
            </x14:dataBar>
          </x14:cfRule>
          <xm:sqref>F82:J101</xm:sqref>
        </x14:conditionalFormatting>
        <x14:conditionalFormatting xmlns:xm="http://schemas.microsoft.com/office/excel/2006/main">
          <x14:cfRule type="dataBar" id="{E74C1F7C-0664-4503-8E0D-4379C8D3C8BB}">
            <x14:dataBar minLength="0" maxLength="100" gradient="0">
              <x14:cfvo type="autoMin"/>
              <x14:cfvo type="num">
                <xm:f>4</xm:f>
              </x14:cfvo>
              <x14:negativeFillColor rgb="FFFF0000"/>
              <x14:axisColor rgb="FF000000"/>
            </x14:dataBar>
          </x14:cfRule>
          <xm:sqref>F102:J109</xm:sqref>
        </x14:conditionalFormatting>
        <x14:conditionalFormatting xmlns:xm="http://schemas.microsoft.com/office/excel/2006/main">
          <x14:cfRule type="dataBar" id="{7C9416CB-1198-4041-A290-6CB6DE342E1F}">
            <x14:dataBar minLength="0" maxLength="100" gradient="0">
              <x14:cfvo type="autoMin"/>
              <x14:cfvo type="num">
                <xm:f>4</xm:f>
              </x14:cfvo>
              <x14:negativeFillColor rgb="FFFF0000"/>
              <x14:axisColor rgb="FF000000"/>
            </x14:dataBar>
          </x14:cfRule>
          <xm:sqref>F110:J460</xm:sqref>
        </x14:conditionalFormatting>
        <x14:conditionalFormatting xmlns:xm="http://schemas.microsoft.com/office/excel/2006/main">
          <x14:cfRule type="dataBar" id="{F249D597-EF36-456A-85A0-7911B7560335}">
            <x14:dataBar minLength="0" maxLength="100" gradient="0">
              <x14:cfvo type="autoMin"/>
              <x14:cfvo type="num">
                <xm:f>4</xm:f>
              </x14:cfvo>
              <x14:negativeFillColor rgb="FFFF0000"/>
              <x14:axisColor rgb="FF000000"/>
            </x14:dataBar>
          </x14:cfRule>
          <xm:sqref>F461:J811</xm:sqref>
        </x14:conditionalFormatting>
        <x14:conditionalFormatting xmlns:xm="http://schemas.microsoft.com/office/excel/2006/main">
          <x14:cfRule type="dataBar" id="{A993CA9D-F400-4210-9A53-862DC336DB85}">
            <x14:dataBar minLength="0" maxLength="100" gradient="0">
              <x14:cfvo type="autoMin"/>
              <x14:cfvo type="num">
                <xm:f>4</xm:f>
              </x14:cfvo>
              <x14:negativeFillColor rgb="FFFF0000"/>
              <x14:axisColor rgb="FF000000"/>
            </x14:dataBar>
          </x14:cfRule>
          <xm:sqref>F812:J812</xm:sqref>
        </x14:conditionalFormatting>
        <x14:conditionalFormatting xmlns:xm="http://schemas.microsoft.com/office/excel/2006/main">
          <x14:cfRule type="dataBar" id="{FE7DBF0D-941C-4038-BE7B-F34D3059124E}">
            <x14:dataBar minLength="0" maxLength="100" gradient="0">
              <x14:cfvo type="autoMin"/>
              <x14:cfvo type="autoMax"/>
              <x14:negativeFillColor rgb="FFFF0000"/>
              <x14:axisColor rgb="FF000000"/>
            </x14:dataBar>
          </x14:cfRule>
          <xm:sqref>K22:K73</xm:sqref>
        </x14:conditionalFormatting>
        <x14:conditionalFormatting xmlns:xm="http://schemas.microsoft.com/office/excel/2006/main">
          <x14:cfRule type="dataBar" id="{1C3EE34C-34B6-4D04-9474-1D4325C46CC9}">
            <x14:dataBar minLength="0" maxLength="100" gradient="0">
              <x14:cfvo type="autoMin"/>
              <x14:cfvo type="autoMax"/>
              <x14:negativeFillColor rgb="FFFF0000"/>
              <x14:axisColor rgb="FF000000"/>
            </x14:dataBar>
          </x14:cfRule>
          <xm:sqref>K74:K81 K2:K9</xm:sqref>
        </x14:conditionalFormatting>
        <x14:conditionalFormatting xmlns:xm="http://schemas.microsoft.com/office/excel/2006/main">
          <x14:cfRule type="dataBar" id="{C09D56A9-B46C-45CA-B496-ED5644F389C8}">
            <x14:dataBar minLength="0" maxLength="100" gradient="0">
              <x14:cfvo type="autoMin"/>
              <x14:cfvo type="autoMax"/>
              <x14:negativeFillColor rgb="FFFF0000"/>
              <x14:axisColor rgb="FF000000"/>
            </x14:dataBar>
          </x14:cfRule>
          <xm:sqref>K82:K109 K10:K21</xm:sqref>
        </x14:conditionalFormatting>
        <x14:conditionalFormatting xmlns:xm="http://schemas.microsoft.com/office/excel/2006/main">
          <x14:cfRule type="dataBar" id="{E9D6D587-DDCF-4145-8CFF-891B53F1666F}">
            <x14:dataBar minLength="0" maxLength="100" gradient="0">
              <x14:cfvo type="autoMin"/>
              <x14:cfvo type="autoMax"/>
              <x14:negativeFillColor rgb="FFFF0000"/>
              <x14:axisColor rgb="FF000000"/>
            </x14:dataBar>
          </x14:cfRule>
          <xm:sqref>K110:K1147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31CE-E6BF-4F52-9FA7-52F353BEC4BE}">
  <sheetPr>
    <tabColor rgb="FFFFC000"/>
  </sheetPr>
  <dimension ref="A1:L930"/>
  <sheetViews>
    <sheetView zoomScale="90" zoomScaleNormal="90" workbookViewId="0">
      <pane ySplit="1" topLeftCell="A774" activePane="bottomLeft" state="frozen"/>
      <selection pane="bottomLeft" activeCell="C769" sqref="C769"/>
    </sheetView>
  </sheetViews>
  <sheetFormatPr defaultColWidth="9.28515625" defaultRowHeight="15"/>
  <cols>
    <col min="1" max="1" width="40.7109375" style="26" customWidth="1"/>
    <col min="2" max="3" width="15.7109375" style="26" customWidth="1"/>
    <col min="4" max="4" width="27.28515625" style="64" customWidth="1"/>
    <col min="5" max="5" width="99.42578125" style="7" customWidth="1"/>
    <col min="6" max="11" width="10.7109375" style="7" customWidth="1"/>
    <col min="12" max="12" width="79.5703125" style="31" customWidth="1"/>
    <col min="13" max="16384" width="9.28515625" style="7"/>
  </cols>
  <sheetData>
    <row r="1" spans="1:12" s="26" customFormat="1" ht="30" customHeight="1" thickBot="1">
      <c r="A1" s="65" t="s">
        <v>100</v>
      </c>
      <c r="B1" s="65" t="s">
        <v>101</v>
      </c>
      <c r="C1" s="108" t="s">
        <v>102</v>
      </c>
      <c r="D1" s="828" t="s">
        <v>103</v>
      </c>
      <c r="E1" s="108" t="s">
        <v>104</v>
      </c>
      <c r="F1" s="111" t="s">
        <v>105</v>
      </c>
      <c r="G1" s="112" t="s">
        <v>65</v>
      </c>
      <c r="H1" s="112" t="s">
        <v>67</v>
      </c>
      <c r="I1" s="112" t="s">
        <v>73</v>
      </c>
      <c r="J1" s="113" t="s">
        <v>79</v>
      </c>
      <c r="K1" s="428" t="s">
        <v>106</v>
      </c>
      <c r="L1" s="49" t="s">
        <v>123</v>
      </c>
    </row>
    <row r="2" spans="1:12">
      <c r="A2" s="151" t="str">
        <f>Agriculture!A10</f>
        <v>Agriculture</v>
      </c>
      <c r="B2" s="234">
        <f>Agriculture!C10</f>
        <v>2018</v>
      </c>
      <c r="C2" s="39" t="str">
        <f>Agriculture!D10</f>
        <v>PS</v>
      </c>
      <c r="D2" s="54">
        <f>Agriculture!E10</f>
        <v>3.9507478925049049</v>
      </c>
      <c r="E2" s="39" t="str">
        <f>Agriculture!F10</f>
        <v xml:space="preserve">Combined from TNO Sieger Henke and Statistics - APE Europe [WWW Document], n.d. URL https://web.archive.org/web/20230930160250/https://apeeurope.eu/statistics/ (accessed 3.27.24). </v>
      </c>
      <c r="F2" s="28">
        <v>1</v>
      </c>
      <c r="G2" s="11">
        <v>2</v>
      </c>
      <c r="H2" s="11">
        <v>2</v>
      </c>
      <c r="I2" s="11">
        <v>1</v>
      </c>
      <c r="J2" s="11">
        <v>2</v>
      </c>
      <c r="K2" s="159">
        <f t="shared" ref="K2:K56" si="0">IF( OR( ISBLANK(F2),ISBLANK(G2), ISBLANK(H2), ISBLANK(I2), ISBLANK(J2) ), "", 1.5*SQRT(   EXP(2.21*(F2-1)) + EXP(2.21*(G2-1)) + EXP(2.21*(H2-1)) + EXP(2.21*(I2-1)) + EXP(2.21*J2)   )/100*2.45 )</f>
        <v>0.37356464144298934</v>
      </c>
      <c r="L2" s="351"/>
    </row>
    <row r="3" spans="1:12">
      <c r="A3" s="152" t="str">
        <f>Agriculture!A11</f>
        <v>Agriculture</v>
      </c>
      <c r="B3" s="235">
        <f>Agriculture!C11</f>
        <v>2018</v>
      </c>
      <c r="C3" s="40" t="str">
        <f>Agriculture!D11</f>
        <v>PP</v>
      </c>
      <c r="D3" s="55">
        <f>Agriculture!E11</f>
        <v>3.9660876131077227</v>
      </c>
      <c r="E3" s="40" t="str">
        <f>Agriculture!F11</f>
        <v xml:space="preserve">Combined from TNO Sieger Henke and Statistics - APE Europe [WWW Document], n.d. URL https://web.archive.org/web/20230930160250/https://apeeurope.eu/statistics/ (accessed 3.27.24). </v>
      </c>
      <c r="F3" s="29">
        <v>1</v>
      </c>
      <c r="G3" s="9">
        <v>2</v>
      </c>
      <c r="H3" s="9">
        <v>2</v>
      </c>
      <c r="I3" s="9">
        <v>1</v>
      </c>
      <c r="J3" s="9">
        <v>2</v>
      </c>
      <c r="K3" s="160">
        <f t="shared" si="0"/>
        <v>0.37356464144298934</v>
      </c>
      <c r="L3" s="63"/>
    </row>
    <row r="4" spans="1:12">
      <c r="A4" s="152" t="str">
        <f>Agriculture!A15</f>
        <v>Agriculture</v>
      </c>
      <c r="B4" s="235">
        <f>Agriculture!C15</f>
        <v>2019</v>
      </c>
      <c r="C4" s="40" t="str">
        <f>Agriculture!D15</f>
        <v>PS</v>
      </c>
      <c r="D4" s="55">
        <f>Agriculture!E15</f>
        <v>3.9660876131077227</v>
      </c>
      <c r="E4" s="40" t="str">
        <f>Agriculture!F15</f>
        <v xml:space="preserve">Combined from TNO Sieger Henke and Statistics - APE Europe [WWW Document], n.d. URL https://web.archive.org/web/20230930160250/https://apeeurope.eu/statistics/ (accessed 3.27.24). </v>
      </c>
      <c r="F4" s="29">
        <v>1</v>
      </c>
      <c r="G4" s="9">
        <v>2</v>
      </c>
      <c r="H4" s="9">
        <v>2</v>
      </c>
      <c r="I4" s="9">
        <v>1</v>
      </c>
      <c r="J4" s="9">
        <v>2</v>
      </c>
      <c r="K4" s="160">
        <f t="shared" si="0"/>
        <v>0.37356464144298934</v>
      </c>
      <c r="L4" s="63"/>
    </row>
    <row r="5" spans="1:12">
      <c r="A5" s="152" t="str">
        <f>Agriculture!A16</f>
        <v>Agriculture</v>
      </c>
      <c r="B5" s="235">
        <f>Agriculture!C16</f>
        <v>2019</v>
      </c>
      <c r="C5" s="40" t="str">
        <f>Agriculture!D16</f>
        <v>PP</v>
      </c>
      <c r="D5" s="55">
        <f>Agriculture!E16</f>
        <v>3.9660876131077227</v>
      </c>
      <c r="E5" s="40" t="str">
        <f>Agriculture!F16</f>
        <v xml:space="preserve">Combined from TNO Sieger Henke and Statistics - APE Europe [WWW Document], n.d. URL https://web.archive.org/web/20230930160250/https://apeeurope.eu/statistics/ (accessed 3.27.24). </v>
      </c>
      <c r="F5" s="29">
        <v>1</v>
      </c>
      <c r="G5" s="9">
        <v>2</v>
      </c>
      <c r="H5" s="9">
        <v>2</v>
      </c>
      <c r="I5" s="9">
        <v>1</v>
      </c>
      <c r="J5" s="9">
        <v>2</v>
      </c>
      <c r="K5" s="160">
        <f t="shared" si="0"/>
        <v>0.37356464144298934</v>
      </c>
      <c r="L5" s="63"/>
    </row>
    <row r="6" spans="1:12">
      <c r="A6" s="152" t="str">
        <f>Agriculture!A13</f>
        <v>Agriculture</v>
      </c>
      <c r="B6" s="235">
        <f>Agriculture!C13</f>
        <v>2018</v>
      </c>
      <c r="C6" s="40" t="str">
        <f>Agriculture!D13</f>
        <v>HDPE</v>
      </c>
      <c r="D6" s="55">
        <f>Agriculture!E13</f>
        <v>5.6494845366498607</v>
      </c>
      <c r="E6" s="40" t="str">
        <f>Agriculture!F13</f>
        <v xml:space="preserve">Combined from TNO Sieger Henke and Statistics - APE Europe [WWW Document], n.d. URL https://web.archive.org/web/20230930160250/https://apeeurope.eu/statistics/ (accessed 3.27.24). </v>
      </c>
      <c r="F6" s="29">
        <v>1</v>
      </c>
      <c r="G6" s="9">
        <v>2</v>
      </c>
      <c r="H6" s="9">
        <v>2</v>
      </c>
      <c r="I6" s="9">
        <v>1</v>
      </c>
      <c r="J6" s="9">
        <v>2</v>
      </c>
      <c r="K6" s="160">
        <f t="shared" si="0"/>
        <v>0.37356464144298934</v>
      </c>
      <c r="L6" s="63"/>
    </row>
    <row r="7" spans="1:12">
      <c r="A7" s="152" t="str">
        <f>Agriculture!A18</f>
        <v>Agriculture</v>
      </c>
      <c r="B7" s="235">
        <f>Agriculture!C18</f>
        <v>2019</v>
      </c>
      <c r="C7" s="40" t="str">
        <f>Agriculture!D18</f>
        <v>HDPE</v>
      </c>
      <c r="D7" s="55">
        <f>Agriculture!E18</f>
        <v>5.6714200072746905</v>
      </c>
      <c r="E7" s="40" t="str">
        <f>Agriculture!F18</f>
        <v xml:space="preserve">Combined from TNO Sieger Henke and Statistics - APE Europe [WWW Document], n.d. URL https://web.archive.org/web/20230930160250/https://apeeurope.eu/statistics/ (accessed 3.27.24). </v>
      </c>
      <c r="F7" s="29">
        <v>1</v>
      </c>
      <c r="G7" s="9">
        <v>2</v>
      </c>
      <c r="H7" s="9">
        <v>2</v>
      </c>
      <c r="I7" s="9">
        <v>1</v>
      </c>
      <c r="J7" s="9">
        <v>2</v>
      </c>
      <c r="K7" s="160">
        <f t="shared" si="0"/>
        <v>0.37356464144298934</v>
      </c>
      <c r="L7" s="63"/>
    </row>
    <row r="8" spans="1:12">
      <c r="A8" s="152" t="str">
        <f>Agriculture!A9</f>
        <v>Agriculture</v>
      </c>
      <c r="B8" s="235">
        <f>Agriculture!C9</f>
        <v>2018</v>
      </c>
      <c r="C8" s="40" t="str">
        <f>Agriculture!D9</f>
        <v>PVC</v>
      </c>
      <c r="D8" s="55">
        <f>Agriculture!E9</f>
        <v>56.385014842085823</v>
      </c>
      <c r="E8" s="40" t="str">
        <f>Agriculture!F9</f>
        <v xml:space="preserve">Combined from TNO Sieger Henke and Statistics - APE Europe [WWW Document], n.d. URL https://web.archive.org/web/20230930160250/https://apeeurope.eu/statistics/ (accessed 3.27.24). </v>
      </c>
      <c r="F8" s="29">
        <v>1</v>
      </c>
      <c r="G8" s="9">
        <v>2</v>
      </c>
      <c r="H8" s="9">
        <v>2</v>
      </c>
      <c r="I8" s="9">
        <v>1</v>
      </c>
      <c r="J8" s="9">
        <v>2</v>
      </c>
      <c r="K8" s="160">
        <f t="shared" si="0"/>
        <v>0.37356464144298934</v>
      </c>
      <c r="L8" s="63"/>
    </row>
    <row r="9" spans="1:12">
      <c r="A9" s="152" t="str">
        <f>Agriculture!A14</f>
        <v>Agriculture</v>
      </c>
      <c r="B9" s="235">
        <f>Agriculture!C14</f>
        <v>2019</v>
      </c>
      <c r="C9" s="40" t="str">
        <f>Agriculture!D14</f>
        <v>PVC</v>
      </c>
      <c r="D9" s="55">
        <f>Agriculture!E14</f>
        <v>56.60394310513805</v>
      </c>
      <c r="E9" s="40" t="str">
        <f>Agriculture!F14</f>
        <v xml:space="preserve">Combined from TNO Sieger Henke and Statistics - APE Europe [WWW Document], n.d. URL https://web.archive.org/web/20230930160250/https://apeeurope.eu/statistics/ (accessed 3.27.24). </v>
      </c>
      <c r="F9" s="29">
        <v>1</v>
      </c>
      <c r="G9" s="9">
        <v>2</v>
      </c>
      <c r="H9" s="9">
        <v>2</v>
      </c>
      <c r="I9" s="9">
        <v>1</v>
      </c>
      <c r="J9" s="9">
        <v>2</v>
      </c>
      <c r="K9" s="160">
        <f t="shared" si="0"/>
        <v>0.37356464144298934</v>
      </c>
      <c r="L9" s="63"/>
    </row>
    <row r="10" spans="1:12">
      <c r="A10" s="152" t="str">
        <f>Agriculture!A12</f>
        <v>Agriculture</v>
      </c>
      <c r="B10" s="235">
        <f>Agriculture!C12</f>
        <v>2018</v>
      </c>
      <c r="C10" s="40" t="str">
        <f>Agriculture!D12</f>
        <v>LDPE</v>
      </c>
      <c r="D10" s="55">
        <f>Agriculture!E12</f>
        <v>622.8710048492452</v>
      </c>
      <c r="E10" s="40" t="str">
        <f>Agriculture!F12</f>
        <v xml:space="preserve">Combined from TNO Sieger Henke and Statistics - APE Europe [WWW Document], n.d. URL https://web.archive.org/web/20230930160250/https://apeeurope.eu/statistics/ (accessed 3.27.24). </v>
      </c>
      <c r="F10" s="29">
        <v>1</v>
      </c>
      <c r="G10" s="9">
        <v>2</v>
      </c>
      <c r="H10" s="9">
        <v>2</v>
      </c>
      <c r="I10" s="9">
        <v>1</v>
      </c>
      <c r="J10" s="9">
        <v>2</v>
      </c>
      <c r="K10" s="160">
        <f t="shared" si="0"/>
        <v>0.37356464144298934</v>
      </c>
      <c r="L10" s="63"/>
    </row>
    <row r="11" spans="1:12" ht="15.75" thickBot="1">
      <c r="A11" s="153" t="str">
        <f>Agriculture!A17</f>
        <v>Agriculture</v>
      </c>
      <c r="B11" s="236">
        <f>Agriculture!C17</f>
        <v>2019</v>
      </c>
      <c r="C11" s="41" t="str">
        <f>Agriculture!D17</f>
        <v>LDPE</v>
      </c>
      <c r="D11" s="56">
        <f>Agriculture!E17</f>
        <v>625.28945002619776</v>
      </c>
      <c r="E11" s="41" t="str">
        <f>Agriculture!F17</f>
        <v xml:space="preserve">Combined from TNO Sieger Henke and Statistics - APE Europe [WWW Document], n.d. URL https://web.archive.org/web/20230930160250/https://apeeurope.eu/statistics/ (accessed 3.27.24). </v>
      </c>
      <c r="F11" s="30">
        <v>1</v>
      </c>
      <c r="G11" s="12">
        <v>2</v>
      </c>
      <c r="H11" s="12">
        <v>2</v>
      </c>
      <c r="I11" s="12">
        <v>1</v>
      </c>
      <c r="J11" s="12">
        <v>2</v>
      </c>
      <c r="K11" s="161">
        <f t="shared" si="0"/>
        <v>0.37356464144298934</v>
      </c>
      <c r="L11" s="62"/>
    </row>
    <row r="12" spans="1:12">
      <c r="A12" s="151" t="s">
        <v>109</v>
      </c>
      <c r="B12" s="822">
        <v>2015</v>
      </c>
      <c r="C12" s="658" t="s">
        <v>94</v>
      </c>
      <c r="D12" s="822">
        <v>400</v>
      </c>
      <c r="E12" s="658" t="s">
        <v>126</v>
      </c>
      <c r="F12" s="28">
        <v>1</v>
      </c>
      <c r="G12" s="11">
        <v>1</v>
      </c>
      <c r="H12" s="11">
        <v>1</v>
      </c>
      <c r="I12" s="11">
        <v>2</v>
      </c>
      <c r="J12" s="11">
        <v>2</v>
      </c>
      <c r="K12" s="159">
        <f t="shared" si="0"/>
        <v>0.35859414261160716</v>
      </c>
      <c r="L12" s="51" t="s">
        <v>111</v>
      </c>
    </row>
    <row r="13" spans="1:12">
      <c r="A13" s="152" t="s">
        <v>109</v>
      </c>
      <c r="B13" s="59">
        <v>2013</v>
      </c>
      <c r="C13" s="344" t="s">
        <v>94</v>
      </c>
      <c r="D13" s="59">
        <v>468</v>
      </c>
      <c r="E13" s="344" t="s">
        <v>126</v>
      </c>
      <c r="F13" s="29">
        <v>1</v>
      </c>
      <c r="G13" s="9">
        <v>1</v>
      </c>
      <c r="H13" s="9">
        <v>1</v>
      </c>
      <c r="I13" s="9">
        <v>2</v>
      </c>
      <c r="J13" s="9">
        <v>2</v>
      </c>
      <c r="K13" s="160">
        <f t="shared" si="0"/>
        <v>0.35859414261160716</v>
      </c>
      <c r="L13" s="52" t="s">
        <v>111</v>
      </c>
    </row>
    <row r="14" spans="1:12">
      <c r="A14" s="152" t="s">
        <v>109</v>
      </c>
      <c r="B14" s="59">
        <v>2016</v>
      </c>
      <c r="C14" s="344" t="s">
        <v>94</v>
      </c>
      <c r="D14" s="59">
        <v>551</v>
      </c>
      <c r="E14" s="344" t="s">
        <v>126</v>
      </c>
      <c r="F14" s="29">
        <v>1</v>
      </c>
      <c r="G14" s="9">
        <v>1</v>
      </c>
      <c r="H14" s="9">
        <v>1</v>
      </c>
      <c r="I14" s="9">
        <v>2</v>
      </c>
      <c r="J14" s="9">
        <v>2</v>
      </c>
      <c r="K14" s="160">
        <f t="shared" si="0"/>
        <v>0.35859414261160716</v>
      </c>
      <c r="L14" s="52" t="s">
        <v>111</v>
      </c>
    </row>
    <row r="15" spans="1:12">
      <c r="A15" s="152" t="s">
        <v>109</v>
      </c>
      <c r="B15" s="59">
        <v>2003</v>
      </c>
      <c r="C15" s="344" t="s">
        <v>94</v>
      </c>
      <c r="D15" s="59">
        <v>613</v>
      </c>
      <c r="E15" s="344" t="s">
        <v>126</v>
      </c>
      <c r="F15" s="29">
        <v>1</v>
      </c>
      <c r="G15" s="9">
        <v>1</v>
      </c>
      <c r="H15" s="9">
        <v>1</v>
      </c>
      <c r="I15" s="9">
        <v>2</v>
      </c>
      <c r="J15" s="9">
        <v>2</v>
      </c>
      <c r="K15" s="160">
        <f t="shared" si="0"/>
        <v>0.35859414261160716</v>
      </c>
      <c r="L15" s="52" t="s">
        <v>111</v>
      </c>
    </row>
    <row r="16" spans="1:12">
      <c r="A16" s="152" t="s">
        <v>109</v>
      </c>
      <c r="B16" s="59">
        <v>2012</v>
      </c>
      <c r="C16" s="344" t="s">
        <v>94</v>
      </c>
      <c r="D16" s="59">
        <v>624</v>
      </c>
      <c r="E16" s="344" t="s">
        <v>126</v>
      </c>
      <c r="F16" s="29">
        <v>1</v>
      </c>
      <c r="G16" s="9">
        <v>1</v>
      </c>
      <c r="H16" s="9">
        <v>1</v>
      </c>
      <c r="I16" s="9">
        <v>2</v>
      </c>
      <c r="J16" s="9">
        <v>2</v>
      </c>
      <c r="K16" s="160">
        <f t="shared" si="0"/>
        <v>0.35859414261160716</v>
      </c>
      <c r="L16" s="52" t="s">
        <v>111</v>
      </c>
    </row>
    <row r="17" spans="1:12">
      <c r="A17" s="152" t="s">
        <v>109</v>
      </c>
      <c r="B17" s="59">
        <v>2020</v>
      </c>
      <c r="C17" s="344" t="s">
        <v>94</v>
      </c>
      <c r="D17" s="59">
        <v>661</v>
      </c>
      <c r="E17" s="344" t="s">
        <v>126</v>
      </c>
      <c r="F17" s="29">
        <v>1</v>
      </c>
      <c r="G17" s="9">
        <v>1</v>
      </c>
      <c r="H17" s="9">
        <v>1</v>
      </c>
      <c r="I17" s="9">
        <v>2</v>
      </c>
      <c r="J17" s="9">
        <v>2</v>
      </c>
      <c r="K17" s="160">
        <f t="shared" si="0"/>
        <v>0.35859414261160716</v>
      </c>
      <c r="L17" s="52" t="s">
        <v>111</v>
      </c>
    </row>
    <row r="18" spans="1:12">
      <c r="A18" s="152" t="s">
        <v>109</v>
      </c>
      <c r="B18" s="59">
        <v>2017</v>
      </c>
      <c r="C18" s="344" t="s">
        <v>94</v>
      </c>
      <c r="D18" s="59">
        <v>683</v>
      </c>
      <c r="E18" s="344" t="s">
        <v>126</v>
      </c>
      <c r="F18" s="29">
        <v>1</v>
      </c>
      <c r="G18" s="9">
        <v>1</v>
      </c>
      <c r="H18" s="9">
        <v>1</v>
      </c>
      <c r="I18" s="9">
        <v>2</v>
      </c>
      <c r="J18" s="9">
        <v>2</v>
      </c>
      <c r="K18" s="160">
        <f t="shared" si="0"/>
        <v>0.35859414261160716</v>
      </c>
      <c r="L18" s="52" t="s">
        <v>111</v>
      </c>
    </row>
    <row r="19" spans="1:12">
      <c r="A19" s="152" t="s">
        <v>109</v>
      </c>
      <c r="B19" s="59">
        <v>2018</v>
      </c>
      <c r="C19" s="344" t="s">
        <v>94</v>
      </c>
      <c r="D19" s="59">
        <v>683</v>
      </c>
      <c r="E19" s="344" t="s">
        <v>126</v>
      </c>
      <c r="F19" s="29">
        <v>1</v>
      </c>
      <c r="G19" s="9">
        <v>1</v>
      </c>
      <c r="H19" s="9">
        <v>1</v>
      </c>
      <c r="I19" s="9">
        <v>2</v>
      </c>
      <c r="J19" s="9">
        <v>2</v>
      </c>
      <c r="K19" s="160">
        <f t="shared" si="0"/>
        <v>0.35859414261160716</v>
      </c>
      <c r="L19" s="52" t="s">
        <v>111</v>
      </c>
    </row>
    <row r="20" spans="1:12">
      <c r="A20" s="152" t="s">
        <v>109</v>
      </c>
      <c r="B20" s="59">
        <v>2019</v>
      </c>
      <c r="C20" s="344" t="s">
        <v>94</v>
      </c>
      <c r="D20" s="59">
        <v>683</v>
      </c>
      <c r="E20" s="344" t="s">
        <v>126</v>
      </c>
      <c r="F20" s="29">
        <v>1</v>
      </c>
      <c r="G20" s="9">
        <v>1</v>
      </c>
      <c r="H20" s="9">
        <v>1</v>
      </c>
      <c r="I20" s="9">
        <v>2</v>
      </c>
      <c r="J20" s="9">
        <v>2</v>
      </c>
      <c r="K20" s="160">
        <f t="shared" si="0"/>
        <v>0.35859414261160716</v>
      </c>
      <c r="L20" s="52" t="s">
        <v>111</v>
      </c>
    </row>
    <row r="21" spans="1:12">
      <c r="A21" s="152" t="s">
        <v>109</v>
      </c>
      <c r="B21" s="59">
        <v>2010</v>
      </c>
      <c r="C21" s="344" t="s">
        <v>94</v>
      </c>
      <c r="D21" s="59">
        <v>691</v>
      </c>
      <c r="E21" s="344" t="s">
        <v>126</v>
      </c>
      <c r="F21" s="29">
        <v>1</v>
      </c>
      <c r="G21" s="9">
        <v>1</v>
      </c>
      <c r="H21" s="9">
        <v>1</v>
      </c>
      <c r="I21" s="9">
        <v>2</v>
      </c>
      <c r="J21" s="9">
        <v>2</v>
      </c>
      <c r="K21" s="160">
        <f t="shared" si="0"/>
        <v>0.35859414261160716</v>
      </c>
      <c r="L21" s="52" t="s">
        <v>111</v>
      </c>
    </row>
    <row r="22" spans="1:12">
      <c r="A22" s="152" t="s">
        <v>109</v>
      </c>
      <c r="B22" s="59">
        <v>2009</v>
      </c>
      <c r="C22" s="344" t="s">
        <v>94</v>
      </c>
      <c r="D22" s="59">
        <v>698</v>
      </c>
      <c r="E22" s="344" t="s">
        <v>126</v>
      </c>
      <c r="F22" s="29">
        <v>1</v>
      </c>
      <c r="G22" s="9">
        <v>1</v>
      </c>
      <c r="H22" s="9">
        <v>1</v>
      </c>
      <c r="I22" s="9">
        <v>2</v>
      </c>
      <c r="J22" s="9">
        <v>2</v>
      </c>
      <c r="K22" s="160">
        <f t="shared" si="0"/>
        <v>0.35859414261160716</v>
      </c>
      <c r="L22" s="52" t="s">
        <v>111</v>
      </c>
    </row>
    <row r="23" spans="1:12">
      <c r="A23" s="152" t="s">
        <v>109</v>
      </c>
      <c r="B23" s="59">
        <v>2005</v>
      </c>
      <c r="C23" s="344" t="s">
        <v>94</v>
      </c>
      <c r="D23" s="59">
        <v>702</v>
      </c>
      <c r="E23" s="344" t="s">
        <v>126</v>
      </c>
      <c r="F23" s="29">
        <v>1</v>
      </c>
      <c r="G23" s="9">
        <v>1</v>
      </c>
      <c r="H23" s="9">
        <v>1</v>
      </c>
      <c r="I23" s="9">
        <v>2</v>
      </c>
      <c r="J23" s="9">
        <v>2</v>
      </c>
      <c r="K23" s="160">
        <f t="shared" si="0"/>
        <v>0.35859414261160716</v>
      </c>
      <c r="L23" s="52" t="s">
        <v>111</v>
      </c>
    </row>
    <row r="24" spans="1:12">
      <c r="A24" s="152" t="s">
        <v>109</v>
      </c>
      <c r="B24" s="59">
        <v>2021</v>
      </c>
      <c r="C24" s="344" t="s">
        <v>94</v>
      </c>
      <c r="D24" s="59">
        <v>710</v>
      </c>
      <c r="E24" s="344" t="s">
        <v>126</v>
      </c>
      <c r="F24" s="29">
        <v>1</v>
      </c>
      <c r="G24" s="9">
        <v>1</v>
      </c>
      <c r="H24" s="9">
        <v>1</v>
      </c>
      <c r="I24" s="9">
        <v>2</v>
      </c>
      <c r="J24" s="9">
        <v>2</v>
      </c>
      <c r="K24" s="160">
        <f t="shared" si="0"/>
        <v>0.35859414261160716</v>
      </c>
      <c r="L24" s="52" t="s">
        <v>111</v>
      </c>
    </row>
    <row r="25" spans="1:12">
      <c r="A25" s="152" t="s">
        <v>109</v>
      </c>
      <c r="B25" s="59">
        <v>2004</v>
      </c>
      <c r="C25" s="344" t="s">
        <v>94</v>
      </c>
      <c r="D25" s="59">
        <v>724</v>
      </c>
      <c r="E25" s="344" t="s">
        <v>126</v>
      </c>
      <c r="F25" s="29">
        <v>1</v>
      </c>
      <c r="G25" s="9">
        <v>1</v>
      </c>
      <c r="H25" s="9">
        <v>1</v>
      </c>
      <c r="I25" s="9">
        <v>2</v>
      </c>
      <c r="J25" s="9">
        <v>2</v>
      </c>
      <c r="K25" s="160">
        <f t="shared" si="0"/>
        <v>0.35859414261160716</v>
      </c>
      <c r="L25" s="52" t="s">
        <v>111</v>
      </c>
    </row>
    <row r="26" spans="1:12">
      <c r="A26" s="152" t="s">
        <v>109</v>
      </c>
      <c r="B26" s="59">
        <v>2006</v>
      </c>
      <c r="C26" s="344" t="s">
        <v>94</v>
      </c>
      <c r="D26" s="59">
        <v>736</v>
      </c>
      <c r="E26" s="344" t="s">
        <v>126</v>
      </c>
      <c r="F26" s="29">
        <v>1</v>
      </c>
      <c r="G26" s="9">
        <v>1</v>
      </c>
      <c r="H26" s="9">
        <v>1</v>
      </c>
      <c r="I26" s="9">
        <v>2</v>
      </c>
      <c r="J26" s="9">
        <v>2</v>
      </c>
      <c r="K26" s="160">
        <f t="shared" si="0"/>
        <v>0.35859414261160716</v>
      </c>
      <c r="L26" s="52" t="s">
        <v>111</v>
      </c>
    </row>
    <row r="27" spans="1:12">
      <c r="A27" s="152" t="s">
        <v>109</v>
      </c>
      <c r="B27" s="59">
        <v>2014</v>
      </c>
      <c r="C27" s="344" t="s">
        <v>94</v>
      </c>
      <c r="D27" s="59">
        <v>737</v>
      </c>
      <c r="E27" s="344" t="s">
        <v>126</v>
      </c>
      <c r="F27" s="29">
        <v>1</v>
      </c>
      <c r="G27" s="9">
        <v>1</v>
      </c>
      <c r="H27" s="9">
        <v>1</v>
      </c>
      <c r="I27" s="9">
        <v>2</v>
      </c>
      <c r="J27" s="9">
        <v>2</v>
      </c>
      <c r="K27" s="160">
        <f t="shared" si="0"/>
        <v>0.35859414261160716</v>
      </c>
      <c r="L27" s="52" t="s">
        <v>111</v>
      </c>
    </row>
    <row r="28" spans="1:12">
      <c r="A28" s="152" t="s">
        <v>109</v>
      </c>
      <c r="B28" s="59">
        <v>2011</v>
      </c>
      <c r="C28" s="344" t="s">
        <v>94</v>
      </c>
      <c r="D28" s="59">
        <v>790</v>
      </c>
      <c r="E28" s="344" t="s">
        <v>126</v>
      </c>
      <c r="F28" s="29">
        <v>1</v>
      </c>
      <c r="G28" s="9">
        <v>1</v>
      </c>
      <c r="H28" s="9">
        <v>1</v>
      </c>
      <c r="I28" s="9">
        <v>2</v>
      </c>
      <c r="J28" s="9">
        <v>2</v>
      </c>
      <c r="K28" s="160">
        <f t="shared" si="0"/>
        <v>0.35859414261160716</v>
      </c>
      <c r="L28" s="52" t="s">
        <v>111</v>
      </c>
    </row>
    <row r="29" spans="1:12">
      <c r="A29" s="152" t="s">
        <v>109</v>
      </c>
      <c r="B29" s="59">
        <v>2013</v>
      </c>
      <c r="C29" s="344" t="s">
        <v>96</v>
      </c>
      <c r="D29" s="59">
        <v>837</v>
      </c>
      <c r="E29" s="344" t="s">
        <v>126</v>
      </c>
      <c r="F29" s="29">
        <v>1</v>
      </c>
      <c r="G29" s="9">
        <v>1</v>
      </c>
      <c r="H29" s="9">
        <v>1</v>
      </c>
      <c r="I29" s="9">
        <v>2</v>
      </c>
      <c r="J29" s="9">
        <v>2</v>
      </c>
      <c r="K29" s="160">
        <f t="shared" si="0"/>
        <v>0.35859414261160716</v>
      </c>
      <c r="L29" s="52" t="s">
        <v>111</v>
      </c>
    </row>
    <row r="30" spans="1:12">
      <c r="A30" s="152" t="s">
        <v>109</v>
      </c>
      <c r="B30" s="59">
        <v>2008</v>
      </c>
      <c r="C30" s="344" t="s">
        <v>94</v>
      </c>
      <c r="D30" s="59">
        <v>860</v>
      </c>
      <c r="E30" s="344" t="s">
        <v>126</v>
      </c>
      <c r="F30" s="29">
        <v>1</v>
      </c>
      <c r="G30" s="9">
        <v>1</v>
      </c>
      <c r="H30" s="9">
        <v>1</v>
      </c>
      <c r="I30" s="9">
        <v>2</v>
      </c>
      <c r="J30" s="9">
        <v>2</v>
      </c>
      <c r="K30" s="160">
        <f t="shared" si="0"/>
        <v>0.35859414261160716</v>
      </c>
      <c r="L30" s="52" t="s">
        <v>111</v>
      </c>
    </row>
    <row r="31" spans="1:12">
      <c r="A31" s="152" t="s">
        <v>109</v>
      </c>
      <c r="B31" s="59">
        <v>2012</v>
      </c>
      <c r="C31" s="344" t="s">
        <v>96</v>
      </c>
      <c r="D31" s="59">
        <v>894</v>
      </c>
      <c r="E31" s="344" t="s">
        <v>126</v>
      </c>
      <c r="F31" s="29">
        <v>1</v>
      </c>
      <c r="G31" s="9">
        <v>1</v>
      </c>
      <c r="H31" s="9">
        <v>1</v>
      </c>
      <c r="I31" s="9">
        <v>2</v>
      </c>
      <c r="J31" s="9">
        <v>2</v>
      </c>
      <c r="K31" s="160">
        <f t="shared" si="0"/>
        <v>0.35859414261160716</v>
      </c>
      <c r="L31" s="52" t="s">
        <v>111</v>
      </c>
    </row>
    <row r="32" spans="1:12">
      <c r="A32" s="152" t="s">
        <v>109</v>
      </c>
      <c r="B32" s="59">
        <v>2007</v>
      </c>
      <c r="C32" s="344" t="s">
        <v>94</v>
      </c>
      <c r="D32" s="59">
        <v>969</v>
      </c>
      <c r="E32" s="344" t="s">
        <v>126</v>
      </c>
      <c r="F32" s="29">
        <v>1</v>
      </c>
      <c r="G32" s="9">
        <v>1</v>
      </c>
      <c r="H32" s="9">
        <v>1</v>
      </c>
      <c r="I32" s="9">
        <v>2</v>
      </c>
      <c r="J32" s="9">
        <v>2</v>
      </c>
      <c r="K32" s="160">
        <f t="shared" si="0"/>
        <v>0.35859414261160716</v>
      </c>
      <c r="L32" s="52" t="s">
        <v>111</v>
      </c>
    </row>
    <row r="33" spans="1:12">
      <c r="A33" s="152" t="s">
        <v>109</v>
      </c>
      <c r="B33" s="59">
        <v>2015</v>
      </c>
      <c r="C33" s="344" t="s">
        <v>96</v>
      </c>
      <c r="D33" s="59">
        <v>973</v>
      </c>
      <c r="E33" s="344" t="s">
        <v>126</v>
      </c>
      <c r="F33" s="29">
        <v>1</v>
      </c>
      <c r="G33" s="9">
        <v>1</v>
      </c>
      <c r="H33" s="9">
        <v>1</v>
      </c>
      <c r="I33" s="9">
        <v>2</v>
      </c>
      <c r="J33" s="9">
        <v>2</v>
      </c>
      <c r="K33" s="160">
        <f t="shared" si="0"/>
        <v>0.35859414261160716</v>
      </c>
      <c r="L33" s="52" t="s">
        <v>111</v>
      </c>
    </row>
    <row r="34" spans="1:12">
      <c r="A34" s="152" t="s">
        <v>109</v>
      </c>
      <c r="B34" s="59">
        <v>2014</v>
      </c>
      <c r="C34" s="344" t="s">
        <v>96</v>
      </c>
      <c r="D34" s="59">
        <v>1092</v>
      </c>
      <c r="E34" s="344" t="s">
        <v>126</v>
      </c>
      <c r="F34" s="29">
        <v>1</v>
      </c>
      <c r="G34" s="9">
        <v>1</v>
      </c>
      <c r="H34" s="9">
        <v>1</v>
      </c>
      <c r="I34" s="9">
        <v>2</v>
      </c>
      <c r="J34" s="9">
        <v>2</v>
      </c>
      <c r="K34" s="160">
        <f t="shared" si="0"/>
        <v>0.35859414261160716</v>
      </c>
      <c r="L34" s="52" t="s">
        <v>111</v>
      </c>
    </row>
    <row r="35" spans="1:12">
      <c r="A35" s="152" t="s">
        <v>109</v>
      </c>
      <c r="B35" s="59">
        <v>2020</v>
      </c>
      <c r="C35" s="344" t="s">
        <v>96</v>
      </c>
      <c r="D35" s="59">
        <v>1130</v>
      </c>
      <c r="E35" s="344" t="s">
        <v>126</v>
      </c>
      <c r="F35" s="29">
        <v>1</v>
      </c>
      <c r="G35" s="9">
        <v>1</v>
      </c>
      <c r="H35" s="9">
        <v>1</v>
      </c>
      <c r="I35" s="9">
        <v>2</v>
      </c>
      <c r="J35" s="9">
        <v>2</v>
      </c>
      <c r="K35" s="160">
        <f t="shared" si="0"/>
        <v>0.35859414261160716</v>
      </c>
      <c r="L35" s="52" t="s">
        <v>111</v>
      </c>
    </row>
    <row r="36" spans="1:12">
      <c r="A36" s="152" t="s">
        <v>109</v>
      </c>
      <c r="B36" s="59">
        <v>2006</v>
      </c>
      <c r="C36" s="344" t="s">
        <v>96</v>
      </c>
      <c r="D36" s="59">
        <v>1135</v>
      </c>
      <c r="E36" s="344" t="s">
        <v>126</v>
      </c>
      <c r="F36" s="29">
        <v>1</v>
      </c>
      <c r="G36" s="9">
        <v>1</v>
      </c>
      <c r="H36" s="9">
        <v>1</v>
      </c>
      <c r="I36" s="9">
        <v>2</v>
      </c>
      <c r="J36" s="9">
        <v>2</v>
      </c>
      <c r="K36" s="160">
        <f t="shared" si="0"/>
        <v>0.35859414261160716</v>
      </c>
      <c r="L36" s="52" t="s">
        <v>111</v>
      </c>
    </row>
    <row r="37" spans="1:12">
      <c r="A37" s="152" t="s">
        <v>109</v>
      </c>
      <c r="B37" s="59">
        <v>2004</v>
      </c>
      <c r="C37" s="344" t="s">
        <v>96</v>
      </c>
      <c r="D37" s="59">
        <v>1138</v>
      </c>
      <c r="E37" s="344" t="s">
        <v>126</v>
      </c>
      <c r="F37" s="29">
        <v>1</v>
      </c>
      <c r="G37" s="9">
        <v>1</v>
      </c>
      <c r="H37" s="9">
        <v>1</v>
      </c>
      <c r="I37" s="9">
        <v>2</v>
      </c>
      <c r="J37" s="9">
        <v>2</v>
      </c>
      <c r="K37" s="160">
        <f t="shared" si="0"/>
        <v>0.35859414261160716</v>
      </c>
      <c r="L37" s="52" t="s">
        <v>111</v>
      </c>
    </row>
    <row r="38" spans="1:12">
      <c r="A38" s="152" t="s">
        <v>109</v>
      </c>
      <c r="B38" s="59">
        <v>2016</v>
      </c>
      <c r="C38" s="344" t="s">
        <v>96</v>
      </c>
      <c r="D38" s="59">
        <v>1139</v>
      </c>
      <c r="E38" s="344" t="s">
        <v>126</v>
      </c>
      <c r="F38" s="29">
        <v>1</v>
      </c>
      <c r="G38" s="9">
        <v>1</v>
      </c>
      <c r="H38" s="9">
        <v>1</v>
      </c>
      <c r="I38" s="9">
        <v>2</v>
      </c>
      <c r="J38" s="9">
        <v>2</v>
      </c>
      <c r="K38" s="160">
        <f t="shared" si="0"/>
        <v>0.35859414261160716</v>
      </c>
      <c r="L38" s="52" t="s">
        <v>111</v>
      </c>
    </row>
    <row r="39" spans="1:12">
      <c r="A39" s="152" t="s">
        <v>109</v>
      </c>
      <c r="B39" s="59">
        <v>2005</v>
      </c>
      <c r="C39" s="344" t="s">
        <v>89</v>
      </c>
      <c r="D39" s="59">
        <v>1178</v>
      </c>
      <c r="E39" s="344" t="s">
        <v>126</v>
      </c>
      <c r="F39" s="29">
        <v>1</v>
      </c>
      <c r="G39" s="9">
        <v>1</v>
      </c>
      <c r="H39" s="9">
        <v>1</v>
      </c>
      <c r="I39" s="9">
        <v>2</v>
      </c>
      <c r="J39" s="9">
        <v>2</v>
      </c>
      <c r="K39" s="160">
        <f t="shared" si="0"/>
        <v>0.35859414261160716</v>
      </c>
      <c r="L39" s="52" t="s">
        <v>111</v>
      </c>
    </row>
    <row r="40" spans="1:12">
      <c r="A40" s="152" t="s">
        <v>109</v>
      </c>
      <c r="B40" s="59">
        <v>2005</v>
      </c>
      <c r="C40" s="344" t="s">
        <v>96</v>
      </c>
      <c r="D40" s="59">
        <v>1194</v>
      </c>
      <c r="E40" s="344" t="s">
        <v>126</v>
      </c>
      <c r="F40" s="29">
        <v>1</v>
      </c>
      <c r="G40" s="9">
        <v>1</v>
      </c>
      <c r="H40" s="9">
        <v>1</v>
      </c>
      <c r="I40" s="9">
        <v>2</v>
      </c>
      <c r="J40" s="9">
        <v>2</v>
      </c>
      <c r="K40" s="160">
        <f t="shared" si="0"/>
        <v>0.35859414261160716</v>
      </c>
      <c r="L40" s="52" t="s">
        <v>111</v>
      </c>
    </row>
    <row r="41" spans="1:12">
      <c r="A41" s="152" t="s">
        <v>109</v>
      </c>
      <c r="B41" s="59">
        <v>2017</v>
      </c>
      <c r="C41" s="344" t="s">
        <v>96</v>
      </c>
      <c r="D41" s="59">
        <v>1203</v>
      </c>
      <c r="E41" s="344" t="s">
        <v>126</v>
      </c>
      <c r="F41" s="29">
        <v>1</v>
      </c>
      <c r="G41" s="9">
        <v>1</v>
      </c>
      <c r="H41" s="9">
        <v>1</v>
      </c>
      <c r="I41" s="9">
        <v>2</v>
      </c>
      <c r="J41" s="9">
        <v>2</v>
      </c>
      <c r="K41" s="160">
        <f t="shared" si="0"/>
        <v>0.35859414261160716</v>
      </c>
      <c r="L41" s="52" t="s">
        <v>111</v>
      </c>
    </row>
    <row r="42" spans="1:12">
      <c r="A42" s="152" t="s">
        <v>109</v>
      </c>
      <c r="B42" s="59">
        <v>2018</v>
      </c>
      <c r="C42" s="344" t="s">
        <v>96</v>
      </c>
      <c r="D42" s="59">
        <v>1203</v>
      </c>
      <c r="E42" s="344" t="s">
        <v>126</v>
      </c>
      <c r="F42" s="29">
        <v>1</v>
      </c>
      <c r="G42" s="9">
        <v>1</v>
      </c>
      <c r="H42" s="9">
        <v>1</v>
      </c>
      <c r="I42" s="9">
        <v>2</v>
      </c>
      <c r="J42" s="9">
        <v>2</v>
      </c>
      <c r="K42" s="160">
        <f t="shared" si="0"/>
        <v>0.35859414261160716</v>
      </c>
      <c r="L42" s="52" t="s">
        <v>111</v>
      </c>
    </row>
    <row r="43" spans="1:12">
      <c r="A43" s="152" t="s">
        <v>109</v>
      </c>
      <c r="B43" s="59">
        <v>2019</v>
      </c>
      <c r="C43" s="344" t="s">
        <v>96</v>
      </c>
      <c r="D43" s="59">
        <v>1203</v>
      </c>
      <c r="E43" s="344" t="s">
        <v>126</v>
      </c>
      <c r="F43" s="29">
        <v>1</v>
      </c>
      <c r="G43" s="9">
        <v>1</v>
      </c>
      <c r="H43" s="9">
        <v>1</v>
      </c>
      <c r="I43" s="9">
        <v>2</v>
      </c>
      <c r="J43" s="9">
        <v>2</v>
      </c>
      <c r="K43" s="160">
        <f t="shared" si="0"/>
        <v>0.35859414261160716</v>
      </c>
      <c r="L43" s="52" t="s">
        <v>111</v>
      </c>
    </row>
    <row r="44" spans="1:12">
      <c r="A44" s="152" t="s">
        <v>109</v>
      </c>
      <c r="B44" s="59">
        <v>2006</v>
      </c>
      <c r="C44" s="344" t="s">
        <v>89</v>
      </c>
      <c r="D44" s="59">
        <v>1225</v>
      </c>
      <c r="E44" s="344" t="s">
        <v>126</v>
      </c>
      <c r="F44" s="29">
        <v>1</v>
      </c>
      <c r="G44" s="9">
        <v>1</v>
      </c>
      <c r="H44" s="9">
        <v>1</v>
      </c>
      <c r="I44" s="9">
        <v>2</v>
      </c>
      <c r="J44" s="9">
        <v>2</v>
      </c>
      <c r="K44" s="160">
        <f t="shared" si="0"/>
        <v>0.35859414261160716</v>
      </c>
      <c r="L44" s="52" t="s">
        <v>111</v>
      </c>
    </row>
    <row r="45" spans="1:12">
      <c r="A45" s="152" t="s">
        <v>109</v>
      </c>
      <c r="B45" s="59">
        <v>2010</v>
      </c>
      <c r="C45" s="344" t="s">
        <v>96</v>
      </c>
      <c r="D45" s="59">
        <v>1317</v>
      </c>
      <c r="E45" s="344" t="s">
        <v>126</v>
      </c>
      <c r="F45" s="29">
        <v>1</v>
      </c>
      <c r="G45" s="9">
        <v>1</v>
      </c>
      <c r="H45" s="9">
        <v>1</v>
      </c>
      <c r="I45" s="9">
        <v>2</v>
      </c>
      <c r="J45" s="9">
        <v>2</v>
      </c>
      <c r="K45" s="160">
        <f t="shared" si="0"/>
        <v>0.35859414261160716</v>
      </c>
      <c r="L45" s="52" t="s">
        <v>111</v>
      </c>
    </row>
    <row r="46" spans="1:12">
      <c r="A46" s="152" t="s">
        <v>109</v>
      </c>
      <c r="B46" s="59">
        <v>2021</v>
      </c>
      <c r="C46" s="344" t="s">
        <v>96</v>
      </c>
      <c r="D46" s="59">
        <v>1323</v>
      </c>
      <c r="E46" s="344" t="s">
        <v>126</v>
      </c>
      <c r="F46" s="29">
        <v>1</v>
      </c>
      <c r="G46" s="9">
        <v>1</v>
      </c>
      <c r="H46" s="9">
        <v>1</v>
      </c>
      <c r="I46" s="9">
        <v>2</v>
      </c>
      <c r="J46" s="9">
        <v>2</v>
      </c>
      <c r="K46" s="160">
        <f t="shared" si="0"/>
        <v>0.35859414261160716</v>
      </c>
      <c r="L46" s="52" t="s">
        <v>111</v>
      </c>
    </row>
    <row r="47" spans="1:12">
      <c r="A47" s="152" t="s">
        <v>109</v>
      </c>
      <c r="B47" s="59">
        <v>2003</v>
      </c>
      <c r="C47" s="344" t="s">
        <v>96</v>
      </c>
      <c r="D47" s="59">
        <v>1330</v>
      </c>
      <c r="E47" s="344" t="s">
        <v>126</v>
      </c>
      <c r="F47" s="29">
        <v>1</v>
      </c>
      <c r="G47" s="9">
        <v>1</v>
      </c>
      <c r="H47" s="9">
        <v>1</v>
      </c>
      <c r="I47" s="9">
        <v>2</v>
      </c>
      <c r="J47" s="9">
        <v>2</v>
      </c>
      <c r="K47" s="160">
        <f t="shared" si="0"/>
        <v>0.35859414261160716</v>
      </c>
      <c r="L47" s="52" t="s">
        <v>111</v>
      </c>
    </row>
    <row r="48" spans="1:12">
      <c r="A48" s="152" t="s">
        <v>109</v>
      </c>
      <c r="B48" s="59">
        <v>2004</v>
      </c>
      <c r="C48" s="344" t="s">
        <v>89</v>
      </c>
      <c r="D48" s="59">
        <v>1334</v>
      </c>
      <c r="E48" s="344" t="s">
        <v>126</v>
      </c>
      <c r="F48" s="29">
        <v>1</v>
      </c>
      <c r="G48" s="9">
        <v>1</v>
      </c>
      <c r="H48" s="9">
        <v>1</v>
      </c>
      <c r="I48" s="9">
        <v>2</v>
      </c>
      <c r="J48" s="9">
        <v>2</v>
      </c>
      <c r="K48" s="160">
        <f t="shared" si="0"/>
        <v>0.35859414261160716</v>
      </c>
      <c r="L48" s="52" t="s">
        <v>111</v>
      </c>
    </row>
    <row r="49" spans="1:12">
      <c r="A49" s="152" t="s">
        <v>109</v>
      </c>
      <c r="B49" s="59">
        <v>2009</v>
      </c>
      <c r="C49" s="344" t="s">
        <v>96</v>
      </c>
      <c r="D49" s="59">
        <v>1344</v>
      </c>
      <c r="E49" s="344" t="s">
        <v>126</v>
      </c>
      <c r="F49" s="29">
        <v>1</v>
      </c>
      <c r="G49" s="9">
        <v>1</v>
      </c>
      <c r="H49" s="9">
        <v>1</v>
      </c>
      <c r="I49" s="9">
        <v>2</v>
      </c>
      <c r="J49" s="9">
        <v>2</v>
      </c>
      <c r="K49" s="160">
        <f t="shared" si="0"/>
        <v>0.35859414261160716</v>
      </c>
      <c r="L49" s="52" t="s">
        <v>111</v>
      </c>
    </row>
    <row r="50" spans="1:12">
      <c r="A50" s="152" t="s">
        <v>109</v>
      </c>
      <c r="B50" s="59">
        <v>2008</v>
      </c>
      <c r="C50" s="344" t="s">
        <v>96</v>
      </c>
      <c r="D50" s="59">
        <v>1425</v>
      </c>
      <c r="E50" s="344" t="s">
        <v>126</v>
      </c>
      <c r="F50" s="29">
        <v>1</v>
      </c>
      <c r="G50" s="9">
        <v>1</v>
      </c>
      <c r="H50" s="9">
        <v>1</v>
      </c>
      <c r="I50" s="9">
        <v>2</v>
      </c>
      <c r="J50" s="9">
        <v>2</v>
      </c>
      <c r="K50" s="160">
        <f t="shared" si="0"/>
        <v>0.35859414261160716</v>
      </c>
      <c r="L50" s="52" t="s">
        <v>111</v>
      </c>
    </row>
    <row r="51" spans="1:12">
      <c r="A51" s="152" t="s">
        <v>109</v>
      </c>
      <c r="B51" s="59">
        <v>2007</v>
      </c>
      <c r="C51" s="344" t="s">
        <v>96</v>
      </c>
      <c r="D51" s="59">
        <v>1461</v>
      </c>
      <c r="E51" s="344" t="s">
        <v>126</v>
      </c>
      <c r="F51" s="29">
        <v>1</v>
      </c>
      <c r="G51" s="9">
        <v>1</v>
      </c>
      <c r="H51" s="9">
        <v>1</v>
      </c>
      <c r="I51" s="9">
        <v>2</v>
      </c>
      <c r="J51" s="9">
        <v>2</v>
      </c>
      <c r="K51" s="160">
        <f t="shared" si="0"/>
        <v>0.35859414261160716</v>
      </c>
      <c r="L51" s="52" t="s">
        <v>111</v>
      </c>
    </row>
    <row r="52" spans="1:12">
      <c r="A52" s="152" t="s">
        <v>109</v>
      </c>
      <c r="B52" s="59">
        <v>2003</v>
      </c>
      <c r="C52" s="344" t="s">
        <v>89</v>
      </c>
      <c r="D52" s="59">
        <v>1482</v>
      </c>
      <c r="E52" s="344" t="s">
        <v>126</v>
      </c>
      <c r="F52" s="29">
        <v>1</v>
      </c>
      <c r="G52" s="9">
        <v>1</v>
      </c>
      <c r="H52" s="9">
        <v>1</v>
      </c>
      <c r="I52" s="9">
        <v>2</v>
      </c>
      <c r="J52" s="9">
        <v>2</v>
      </c>
      <c r="K52" s="160">
        <f t="shared" si="0"/>
        <v>0.35859414261160716</v>
      </c>
      <c r="L52" s="52" t="s">
        <v>111</v>
      </c>
    </row>
    <row r="53" spans="1:12">
      <c r="A53" s="152" t="s">
        <v>109</v>
      </c>
      <c r="B53" s="59">
        <v>2008</v>
      </c>
      <c r="C53" s="344" t="s">
        <v>89</v>
      </c>
      <c r="D53" s="59">
        <v>1487</v>
      </c>
      <c r="E53" s="344" t="s">
        <v>126</v>
      </c>
      <c r="F53" s="29">
        <v>1</v>
      </c>
      <c r="G53" s="9">
        <v>1</v>
      </c>
      <c r="H53" s="9">
        <v>1</v>
      </c>
      <c r="I53" s="9">
        <v>2</v>
      </c>
      <c r="J53" s="9">
        <v>2</v>
      </c>
      <c r="K53" s="160">
        <f t="shared" si="0"/>
        <v>0.35859414261160716</v>
      </c>
      <c r="L53" s="52" t="s">
        <v>111</v>
      </c>
    </row>
    <row r="54" spans="1:12">
      <c r="A54" s="152" t="s">
        <v>109</v>
      </c>
      <c r="B54" s="59">
        <v>2011</v>
      </c>
      <c r="C54" s="344" t="s">
        <v>96</v>
      </c>
      <c r="D54" s="59">
        <v>1520</v>
      </c>
      <c r="E54" s="344" t="s">
        <v>126</v>
      </c>
      <c r="F54" s="29">
        <v>1</v>
      </c>
      <c r="G54" s="9">
        <v>1</v>
      </c>
      <c r="H54" s="9">
        <v>1</v>
      </c>
      <c r="I54" s="9">
        <v>2</v>
      </c>
      <c r="J54" s="9">
        <v>2</v>
      </c>
      <c r="K54" s="160">
        <f t="shared" si="0"/>
        <v>0.35859414261160716</v>
      </c>
      <c r="L54" s="52" t="s">
        <v>111</v>
      </c>
    </row>
    <row r="55" spans="1:12">
      <c r="A55" s="152" t="s">
        <v>109</v>
      </c>
      <c r="B55" s="59">
        <v>2007</v>
      </c>
      <c r="C55" s="344" t="s">
        <v>89</v>
      </c>
      <c r="D55" s="59">
        <v>1527</v>
      </c>
      <c r="E55" s="344" t="s">
        <v>126</v>
      </c>
      <c r="F55" s="29">
        <v>1</v>
      </c>
      <c r="G55" s="9">
        <v>1</v>
      </c>
      <c r="H55" s="9">
        <v>1</v>
      </c>
      <c r="I55" s="9">
        <v>2</v>
      </c>
      <c r="J55" s="9">
        <v>2</v>
      </c>
      <c r="K55" s="160">
        <f t="shared" si="0"/>
        <v>0.35859414261160716</v>
      </c>
      <c r="L55" s="52" t="s">
        <v>111</v>
      </c>
    </row>
    <row r="56" spans="1:12">
      <c r="A56" s="152" t="s">
        <v>109</v>
      </c>
      <c r="B56" s="59">
        <v>2011</v>
      </c>
      <c r="C56" s="344" t="s">
        <v>89</v>
      </c>
      <c r="D56" s="59">
        <v>1540</v>
      </c>
      <c r="E56" s="344" t="s">
        <v>126</v>
      </c>
      <c r="F56" s="29">
        <v>1</v>
      </c>
      <c r="G56" s="9">
        <v>1</v>
      </c>
      <c r="H56" s="9">
        <v>1</v>
      </c>
      <c r="I56" s="9">
        <v>2</v>
      </c>
      <c r="J56" s="9">
        <v>2</v>
      </c>
      <c r="K56" s="160">
        <f t="shared" si="0"/>
        <v>0.35859414261160716</v>
      </c>
      <c r="L56" s="52" t="s">
        <v>111</v>
      </c>
    </row>
    <row r="57" spans="1:12">
      <c r="A57" s="152" t="s">
        <v>109</v>
      </c>
      <c r="B57" s="59">
        <v>2016</v>
      </c>
      <c r="C57" s="344" t="s">
        <v>89</v>
      </c>
      <c r="D57" s="59">
        <v>1544</v>
      </c>
      <c r="E57" s="344" t="s">
        <v>126</v>
      </c>
      <c r="F57" s="29">
        <v>1</v>
      </c>
      <c r="G57" s="9">
        <v>1</v>
      </c>
      <c r="H57" s="9">
        <v>1</v>
      </c>
      <c r="I57" s="9">
        <v>2</v>
      </c>
      <c r="J57" s="9">
        <v>2</v>
      </c>
      <c r="K57" s="160">
        <f t="shared" ref="K57:K120" si="1">IF( OR( ISBLANK(F57),ISBLANK(G57), ISBLANK(H57), ISBLANK(I57), ISBLANK(J57) ), "", 1.5*SQRT(   EXP(2.21*(F57-1)) + EXP(2.21*(G57-1)) + EXP(2.21*(H57-1)) + EXP(2.21*(I57-1)) + EXP(2.21*J57)   )/100*2.45 )</f>
        <v>0.35859414261160716</v>
      </c>
      <c r="L57" s="52" t="s">
        <v>111</v>
      </c>
    </row>
    <row r="58" spans="1:12">
      <c r="A58" s="152" t="s">
        <v>109</v>
      </c>
      <c r="B58" s="59">
        <v>2015</v>
      </c>
      <c r="C58" s="344" t="s">
        <v>88</v>
      </c>
      <c r="D58" s="59">
        <v>1554</v>
      </c>
      <c r="E58" s="344" t="s">
        <v>126</v>
      </c>
      <c r="F58" s="29">
        <v>1</v>
      </c>
      <c r="G58" s="9">
        <v>1</v>
      </c>
      <c r="H58" s="9">
        <v>1</v>
      </c>
      <c r="I58" s="9">
        <v>2</v>
      </c>
      <c r="J58" s="9">
        <v>2</v>
      </c>
      <c r="K58" s="160">
        <f t="shared" si="1"/>
        <v>0.35859414261160716</v>
      </c>
      <c r="L58" s="52" t="s">
        <v>111</v>
      </c>
    </row>
    <row r="59" spans="1:12">
      <c r="A59" s="152" t="s">
        <v>109</v>
      </c>
      <c r="B59" s="59">
        <v>2010</v>
      </c>
      <c r="C59" s="344" t="s">
        <v>88</v>
      </c>
      <c r="D59" s="59">
        <v>1567</v>
      </c>
      <c r="E59" s="344" t="s">
        <v>126</v>
      </c>
      <c r="F59" s="29">
        <v>1</v>
      </c>
      <c r="G59" s="9">
        <v>1</v>
      </c>
      <c r="H59" s="9">
        <v>1</v>
      </c>
      <c r="I59" s="9">
        <v>2</v>
      </c>
      <c r="J59" s="9">
        <v>2</v>
      </c>
      <c r="K59" s="160">
        <f t="shared" si="1"/>
        <v>0.35859414261160716</v>
      </c>
      <c r="L59" s="52" t="s">
        <v>111</v>
      </c>
    </row>
    <row r="60" spans="1:12">
      <c r="A60" s="152" t="s">
        <v>109</v>
      </c>
      <c r="B60" s="59">
        <v>2017</v>
      </c>
      <c r="C60" s="344" t="s">
        <v>89</v>
      </c>
      <c r="D60" s="59">
        <v>1611</v>
      </c>
      <c r="E60" s="344" t="s">
        <v>126</v>
      </c>
      <c r="F60" s="29">
        <v>1</v>
      </c>
      <c r="G60" s="9">
        <v>1</v>
      </c>
      <c r="H60" s="9">
        <v>1</v>
      </c>
      <c r="I60" s="9">
        <v>2</v>
      </c>
      <c r="J60" s="9">
        <v>2</v>
      </c>
      <c r="K60" s="160">
        <f t="shared" si="1"/>
        <v>0.35859414261160716</v>
      </c>
      <c r="L60" s="52" t="s">
        <v>111</v>
      </c>
    </row>
    <row r="61" spans="1:12">
      <c r="A61" s="152" t="s">
        <v>109</v>
      </c>
      <c r="B61" s="59">
        <v>2018</v>
      </c>
      <c r="C61" s="344" t="s">
        <v>89</v>
      </c>
      <c r="D61" s="59">
        <v>1611</v>
      </c>
      <c r="E61" s="344" t="s">
        <v>126</v>
      </c>
      <c r="F61" s="29">
        <v>1</v>
      </c>
      <c r="G61" s="9">
        <v>1</v>
      </c>
      <c r="H61" s="9">
        <v>1</v>
      </c>
      <c r="I61" s="9">
        <v>2</v>
      </c>
      <c r="J61" s="9">
        <v>2</v>
      </c>
      <c r="K61" s="160">
        <f t="shared" si="1"/>
        <v>0.35859414261160716</v>
      </c>
      <c r="L61" s="52" t="s">
        <v>111</v>
      </c>
    </row>
    <row r="62" spans="1:12">
      <c r="A62" s="152" t="s">
        <v>109</v>
      </c>
      <c r="B62" s="59">
        <v>2019</v>
      </c>
      <c r="C62" s="344" t="s">
        <v>89</v>
      </c>
      <c r="D62" s="59">
        <v>1611</v>
      </c>
      <c r="E62" s="344" t="s">
        <v>126</v>
      </c>
      <c r="F62" s="29">
        <v>1</v>
      </c>
      <c r="G62" s="9">
        <v>1</v>
      </c>
      <c r="H62" s="9">
        <v>1</v>
      </c>
      <c r="I62" s="9">
        <v>2</v>
      </c>
      <c r="J62" s="9">
        <v>2</v>
      </c>
      <c r="K62" s="160">
        <f t="shared" si="1"/>
        <v>0.35859414261160716</v>
      </c>
      <c r="L62" s="52" t="s">
        <v>111</v>
      </c>
    </row>
    <row r="63" spans="1:12">
      <c r="A63" s="152" t="s">
        <v>109</v>
      </c>
      <c r="B63" s="59">
        <v>2015</v>
      </c>
      <c r="C63" s="344" t="s">
        <v>89</v>
      </c>
      <c r="D63" s="59">
        <v>1624</v>
      </c>
      <c r="E63" s="344" t="s">
        <v>126</v>
      </c>
      <c r="F63" s="29">
        <v>1</v>
      </c>
      <c r="G63" s="9">
        <v>1</v>
      </c>
      <c r="H63" s="9">
        <v>1</v>
      </c>
      <c r="I63" s="9">
        <v>2</v>
      </c>
      <c r="J63" s="9">
        <v>2</v>
      </c>
      <c r="K63" s="160">
        <f t="shared" si="1"/>
        <v>0.35859414261160716</v>
      </c>
      <c r="L63" s="52" t="s">
        <v>111</v>
      </c>
    </row>
    <row r="64" spans="1:12">
      <c r="A64" s="152" t="s">
        <v>109</v>
      </c>
      <c r="B64" s="59">
        <v>2010</v>
      </c>
      <c r="C64" s="344" t="s">
        <v>89</v>
      </c>
      <c r="D64" s="59">
        <v>1634</v>
      </c>
      <c r="E64" s="344" t="s">
        <v>126</v>
      </c>
      <c r="F64" s="29">
        <v>1</v>
      </c>
      <c r="G64" s="9">
        <v>1</v>
      </c>
      <c r="H64" s="9">
        <v>1</v>
      </c>
      <c r="I64" s="9">
        <v>2</v>
      </c>
      <c r="J64" s="9">
        <v>2</v>
      </c>
      <c r="K64" s="160">
        <f t="shared" si="1"/>
        <v>0.35859414261160716</v>
      </c>
      <c r="L64" s="52" t="s">
        <v>111</v>
      </c>
    </row>
    <row r="65" spans="1:12">
      <c r="A65" s="152" t="s">
        <v>109</v>
      </c>
      <c r="B65" s="59">
        <v>2004</v>
      </c>
      <c r="C65" s="344" t="s">
        <v>88</v>
      </c>
      <c r="D65" s="59">
        <v>1637</v>
      </c>
      <c r="E65" s="344" t="s">
        <v>126</v>
      </c>
      <c r="F65" s="29">
        <v>1</v>
      </c>
      <c r="G65" s="9">
        <v>1</v>
      </c>
      <c r="H65" s="9">
        <v>1</v>
      </c>
      <c r="I65" s="9">
        <v>2</v>
      </c>
      <c r="J65" s="9">
        <v>2</v>
      </c>
      <c r="K65" s="160">
        <f t="shared" si="1"/>
        <v>0.35859414261160716</v>
      </c>
      <c r="L65" s="52" t="s">
        <v>111</v>
      </c>
    </row>
    <row r="66" spans="1:12">
      <c r="A66" s="152" t="s">
        <v>109</v>
      </c>
      <c r="B66" s="59">
        <v>2009</v>
      </c>
      <c r="C66" s="344" t="s">
        <v>89</v>
      </c>
      <c r="D66" s="59">
        <v>1646</v>
      </c>
      <c r="E66" s="344" t="s">
        <v>126</v>
      </c>
      <c r="F66" s="29">
        <v>1</v>
      </c>
      <c r="G66" s="9">
        <v>1</v>
      </c>
      <c r="H66" s="9">
        <v>1</v>
      </c>
      <c r="I66" s="9">
        <v>2</v>
      </c>
      <c r="J66" s="9">
        <v>2</v>
      </c>
      <c r="K66" s="160">
        <f t="shared" si="1"/>
        <v>0.35859414261160716</v>
      </c>
      <c r="L66" s="52" t="s">
        <v>111</v>
      </c>
    </row>
    <row r="67" spans="1:12">
      <c r="A67" s="152" t="s">
        <v>109</v>
      </c>
      <c r="B67" s="59">
        <v>2005</v>
      </c>
      <c r="C67" s="344" t="s">
        <v>88</v>
      </c>
      <c r="D67" s="59">
        <v>1714</v>
      </c>
      <c r="E67" s="344" t="s">
        <v>126</v>
      </c>
      <c r="F67" s="29">
        <v>1</v>
      </c>
      <c r="G67" s="9">
        <v>1</v>
      </c>
      <c r="H67" s="9">
        <v>1</v>
      </c>
      <c r="I67" s="9">
        <v>2</v>
      </c>
      <c r="J67" s="9">
        <v>2</v>
      </c>
      <c r="K67" s="160">
        <f t="shared" si="1"/>
        <v>0.35859414261160716</v>
      </c>
      <c r="L67" s="52" t="s">
        <v>111</v>
      </c>
    </row>
    <row r="68" spans="1:12">
      <c r="A68" s="152" t="s">
        <v>109</v>
      </c>
      <c r="B68" s="59">
        <v>2014</v>
      </c>
      <c r="C68" s="344" t="s">
        <v>88</v>
      </c>
      <c r="D68" s="59">
        <v>1721</v>
      </c>
      <c r="E68" s="344" t="s">
        <v>126</v>
      </c>
      <c r="F68" s="29">
        <v>1</v>
      </c>
      <c r="G68" s="9">
        <v>1</v>
      </c>
      <c r="H68" s="9">
        <v>1</v>
      </c>
      <c r="I68" s="9">
        <v>2</v>
      </c>
      <c r="J68" s="9">
        <v>2</v>
      </c>
      <c r="K68" s="160">
        <f t="shared" si="1"/>
        <v>0.35859414261160716</v>
      </c>
      <c r="L68" s="52" t="s">
        <v>111</v>
      </c>
    </row>
    <row r="69" spans="1:12">
      <c r="A69" s="152" t="s">
        <v>109</v>
      </c>
      <c r="B69" s="59">
        <v>2009</v>
      </c>
      <c r="C69" s="344" t="s">
        <v>88</v>
      </c>
      <c r="D69" s="59">
        <v>1738</v>
      </c>
      <c r="E69" s="344" t="s">
        <v>126</v>
      </c>
      <c r="F69" s="29">
        <v>1</v>
      </c>
      <c r="G69" s="9">
        <v>1</v>
      </c>
      <c r="H69" s="9">
        <v>1</v>
      </c>
      <c r="I69" s="9">
        <v>2</v>
      </c>
      <c r="J69" s="9">
        <v>2</v>
      </c>
      <c r="K69" s="160">
        <f t="shared" si="1"/>
        <v>0.35859414261160716</v>
      </c>
      <c r="L69" s="52" t="s">
        <v>111</v>
      </c>
    </row>
    <row r="70" spans="1:12">
      <c r="A70" s="152" t="s">
        <v>109</v>
      </c>
      <c r="B70" s="59">
        <v>2013</v>
      </c>
      <c r="C70" s="344" t="s">
        <v>88</v>
      </c>
      <c r="D70" s="59">
        <v>1752</v>
      </c>
      <c r="E70" s="344" t="s">
        <v>126</v>
      </c>
      <c r="F70" s="29">
        <v>1</v>
      </c>
      <c r="G70" s="9">
        <v>1</v>
      </c>
      <c r="H70" s="9">
        <v>1</v>
      </c>
      <c r="I70" s="9">
        <v>2</v>
      </c>
      <c r="J70" s="9">
        <v>2</v>
      </c>
      <c r="K70" s="160">
        <f t="shared" si="1"/>
        <v>0.35859414261160716</v>
      </c>
      <c r="L70" s="52" t="s">
        <v>111</v>
      </c>
    </row>
    <row r="71" spans="1:12">
      <c r="A71" s="152" t="s">
        <v>109</v>
      </c>
      <c r="B71" s="59">
        <v>2011</v>
      </c>
      <c r="C71" s="344" t="s">
        <v>88</v>
      </c>
      <c r="D71" s="59">
        <v>1771</v>
      </c>
      <c r="E71" s="344" t="s">
        <v>126</v>
      </c>
      <c r="F71" s="29">
        <v>1</v>
      </c>
      <c r="G71" s="9">
        <v>1</v>
      </c>
      <c r="H71" s="9">
        <v>1</v>
      </c>
      <c r="I71" s="9">
        <v>2</v>
      </c>
      <c r="J71" s="9">
        <v>2</v>
      </c>
      <c r="K71" s="160">
        <f t="shared" si="1"/>
        <v>0.35859414261160716</v>
      </c>
      <c r="L71" s="52" t="s">
        <v>111</v>
      </c>
    </row>
    <row r="72" spans="1:12">
      <c r="A72" s="152" t="s">
        <v>109</v>
      </c>
      <c r="B72" s="59">
        <v>2016</v>
      </c>
      <c r="C72" s="344" t="s">
        <v>88</v>
      </c>
      <c r="D72" s="59">
        <v>1781</v>
      </c>
      <c r="E72" s="344" t="s">
        <v>126</v>
      </c>
      <c r="F72" s="29">
        <v>1</v>
      </c>
      <c r="G72" s="9">
        <v>1</v>
      </c>
      <c r="H72" s="9">
        <v>1</v>
      </c>
      <c r="I72" s="9">
        <v>2</v>
      </c>
      <c r="J72" s="9">
        <v>2</v>
      </c>
      <c r="K72" s="160">
        <f t="shared" si="1"/>
        <v>0.35859414261160716</v>
      </c>
      <c r="L72" s="52" t="s">
        <v>111</v>
      </c>
    </row>
    <row r="73" spans="1:12">
      <c r="A73" s="152" t="s">
        <v>109</v>
      </c>
      <c r="B73" s="59">
        <v>2008</v>
      </c>
      <c r="C73" s="344" t="s">
        <v>88</v>
      </c>
      <c r="D73" s="59">
        <v>1783</v>
      </c>
      <c r="E73" s="344" t="s">
        <v>126</v>
      </c>
      <c r="F73" s="29">
        <v>1</v>
      </c>
      <c r="G73" s="9">
        <v>1</v>
      </c>
      <c r="H73" s="9">
        <v>1</v>
      </c>
      <c r="I73" s="9">
        <v>2</v>
      </c>
      <c r="J73" s="9">
        <v>2</v>
      </c>
      <c r="K73" s="160">
        <f t="shared" si="1"/>
        <v>0.35859414261160716</v>
      </c>
      <c r="L73" s="52" t="s">
        <v>111</v>
      </c>
    </row>
    <row r="74" spans="1:12">
      <c r="A74" s="152" t="s">
        <v>109</v>
      </c>
      <c r="B74" s="59">
        <v>2017</v>
      </c>
      <c r="C74" s="344" t="s">
        <v>88</v>
      </c>
      <c r="D74" s="59">
        <v>1814</v>
      </c>
      <c r="E74" s="344" t="s">
        <v>126</v>
      </c>
      <c r="F74" s="29">
        <v>1</v>
      </c>
      <c r="G74" s="9">
        <v>1</v>
      </c>
      <c r="H74" s="9">
        <v>1</v>
      </c>
      <c r="I74" s="9">
        <v>2</v>
      </c>
      <c r="J74" s="9">
        <v>2</v>
      </c>
      <c r="K74" s="160">
        <f t="shared" si="1"/>
        <v>0.35859414261160716</v>
      </c>
      <c r="L74" s="52" t="s">
        <v>111</v>
      </c>
    </row>
    <row r="75" spans="1:12">
      <c r="A75" s="152" t="s">
        <v>109</v>
      </c>
      <c r="B75" s="59">
        <v>2018</v>
      </c>
      <c r="C75" s="344" t="s">
        <v>88</v>
      </c>
      <c r="D75" s="59">
        <v>1814</v>
      </c>
      <c r="E75" s="344" t="s">
        <v>126</v>
      </c>
      <c r="F75" s="29">
        <v>1</v>
      </c>
      <c r="G75" s="9">
        <v>1</v>
      </c>
      <c r="H75" s="9">
        <v>1</v>
      </c>
      <c r="I75" s="9">
        <v>2</v>
      </c>
      <c r="J75" s="9">
        <v>2</v>
      </c>
      <c r="K75" s="160">
        <f t="shared" si="1"/>
        <v>0.35859414261160716</v>
      </c>
      <c r="L75" s="52" t="s">
        <v>111</v>
      </c>
    </row>
    <row r="76" spans="1:12">
      <c r="A76" s="152" t="s">
        <v>109</v>
      </c>
      <c r="B76" s="59">
        <v>2019</v>
      </c>
      <c r="C76" s="344" t="s">
        <v>88</v>
      </c>
      <c r="D76" s="59">
        <v>1814</v>
      </c>
      <c r="E76" s="344" t="s">
        <v>126</v>
      </c>
      <c r="F76" s="29">
        <v>1</v>
      </c>
      <c r="G76" s="9">
        <v>1</v>
      </c>
      <c r="H76" s="9">
        <v>1</v>
      </c>
      <c r="I76" s="9">
        <v>2</v>
      </c>
      <c r="J76" s="9">
        <v>2</v>
      </c>
      <c r="K76" s="160">
        <f t="shared" si="1"/>
        <v>0.35859414261160716</v>
      </c>
      <c r="L76" s="52" t="s">
        <v>111</v>
      </c>
    </row>
    <row r="77" spans="1:12">
      <c r="A77" s="152" t="s">
        <v>109</v>
      </c>
      <c r="B77" s="59">
        <v>2013</v>
      </c>
      <c r="C77" s="344" t="s">
        <v>95</v>
      </c>
      <c r="D77" s="59">
        <v>1837</v>
      </c>
      <c r="E77" s="344" t="s">
        <v>126</v>
      </c>
      <c r="F77" s="29">
        <v>1</v>
      </c>
      <c r="G77" s="9">
        <v>1</v>
      </c>
      <c r="H77" s="9">
        <v>1</v>
      </c>
      <c r="I77" s="9">
        <v>2</v>
      </c>
      <c r="J77" s="9">
        <v>2</v>
      </c>
      <c r="K77" s="160">
        <f t="shared" si="1"/>
        <v>0.35859414261160716</v>
      </c>
      <c r="L77" s="52" t="s">
        <v>111</v>
      </c>
    </row>
    <row r="78" spans="1:12">
      <c r="A78" s="152" t="s">
        <v>109</v>
      </c>
      <c r="B78" s="59">
        <v>2020</v>
      </c>
      <c r="C78" s="344" t="s">
        <v>89</v>
      </c>
      <c r="D78" s="59">
        <v>1855</v>
      </c>
      <c r="E78" s="344" t="s">
        <v>126</v>
      </c>
      <c r="F78" s="29">
        <v>1</v>
      </c>
      <c r="G78" s="9">
        <v>1</v>
      </c>
      <c r="H78" s="9">
        <v>1</v>
      </c>
      <c r="I78" s="9">
        <v>2</v>
      </c>
      <c r="J78" s="9">
        <v>2</v>
      </c>
      <c r="K78" s="160">
        <f t="shared" si="1"/>
        <v>0.35859414261160716</v>
      </c>
      <c r="L78" s="52" t="s">
        <v>111</v>
      </c>
    </row>
    <row r="79" spans="1:12">
      <c r="A79" s="152" t="s">
        <v>109</v>
      </c>
      <c r="B79" s="59">
        <v>2012</v>
      </c>
      <c r="C79" s="344" t="s">
        <v>88</v>
      </c>
      <c r="D79" s="59">
        <v>1864</v>
      </c>
      <c r="E79" s="344" t="s">
        <v>126</v>
      </c>
      <c r="F79" s="29">
        <v>1</v>
      </c>
      <c r="G79" s="9">
        <v>1</v>
      </c>
      <c r="H79" s="9">
        <v>1</v>
      </c>
      <c r="I79" s="9">
        <v>2</v>
      </c>
      <c r="J79" s="9">
        <v>2</v>
      </c>
      <c r="K79" s="160">
        <f t="shared" si="1"/>
        <v>0.35859414261160716</v>
      </c>
      <c r="L79" s="52" t="s">
        <v>111</v>
      </c>
    </row>
    <row r="80" spans="1:12">
      <c r="A80" s="152" t="s">
        <v>109</v>
      </c>
      <c r="B80" s="59">
        <v>2012</v>
      </c>
      <c r="C80" s="344" t="s">
        <v>89</v>
      </c>
      <c r="D80" s="59">
        <v>1872</v>
      </c>
      <c r="E80" s="344" t="s">
        <v>126</v>
      </c>
      <c r="F80" s="29">
        <v>1</v>
      </c>
      <c r="G80" s="9">
        <v>1</v>
      </c>
      <c r="H80" s="9">
        <v>1</v>
      </c>
      <c r="I80" s="9">
        <v>2</v>
      </c>
      <c r="J80" s="9">
        <v>2</v>
      </c>
      <c r="K80" s="160">
        <f t="shared" si="1"/>
        <v>0.35859414261160716</v>
      </c>
      <c r="L80" s="52" t="s">
        <v>111</v>
      </c>
    </row>
    <row r="81" spans="1:12">
      <c r="A81" s="152" t="s">
        <v>109</v>
      </c>
      <c r="B81" s="59">
        <v>2013</v>
      </c>
      <c r="C81" s="344" t="s">
        <v>89</v>
      </c>
      <c r="D81" s="59">
        <v>1875</v>
      </c>
      <c r="E81" s="344" t="s">
        <v>126</v>
      </c>
      <c r="F81" s="29">
        <v>1</v>
      </c>
      <c r="G81" s="9">
        <v>1</v>
      </c>
      <c r="H81" s="9">
        <v>1</v>
      </c>
      <c r="I81" s="9">
        <v>2</v>
      </c>
      <c r="J81" s="9">
        <v>2</v>
      </c>
      <c r="K81" s="160">
        <f t="shared" si="1"/>
        <v>0.35859414261160716</v>
      </c>
      <c r="L81" s="52" t="s">
        <v>111</v>
      </c>
    </row>
    <row r="82" spans="1:12">
      <c r="A82" s="152" t="s">
        <v>109</v>
      </c>
      <c r="B82" s="59">
        <v>2012</v>
      </c>
      <c r="C82" s="344" t="s">
        <v>95</v>
      </c>
      <c r="D82" s="59">
        <v>1900</v>
      </c>
      <c r="E82" s="344" t="s">
        <v>126</v>
      </c>
      <c r="F82" s="29">
        <v>1</v>
      </c>
      <c r="G82" s="9">
        <v>1</v>
      </c>
      <c r="H82" s="9">
        <v>1</v>
      </c>
      <c r="I82" s="9">
        <v>2</v>
      </c>
      <c r="J82" s="9">
        <v>2</v>
      </c>
      <c r="K82" s="160">
        <f t="shared" si="1"/>
        <v>0.35859414261160716</v>
      </c>
      <c r="L82" s="52" t="s">
        <v>111</v>
      </c>
    </row>
    <row r="83" spans="1:12">
      <c r="A83" s="152" t="s">
        <v>109</v>
      </c>
      <c r="B83" s="59">
        <v>2003</v>
      </c>
      <c r="C83" s="344" t="s">
        <v>88</v>
      </c>
      <c r="D83" s="59">
        <v>1922</v>
      </c>
      <c r="E83" s="344" t="s">
        <v>126</v>
      </c>
      <c r="F83" s="29">
        <v>1</v>
      </c>
      <c r="G83" s="9">
        <v>1</v>
      </c>
      <c r="H83" s="9">
        <v>1</v>
      </c>
      <c r="I83" s="9">
        <v>2</v>
      </c>
      <c r="J83" s="9">
        <v>2</v>
      </c>
      <c r="K83" s="160">
        <f t="shared" si="1"/>
        <v>0.35859414261160716</v>
      </c>
      <c r="L83" s="52" t="s">
        <v>111</v>
      </c>
    </row>
    <row r="84" spans="1:12">
      <c r="A84" s="152" t="s">
        <v>109</v>
      </c>
      <c r="B84" s="59">
        <v>2021</v>
      </c>
      <c r="C84" s="344" t="s">
        <v>89</v>
      </c>
      <c r="D84" s="59">
        <v>1923</v>
      </c>
      <c r="E84" s="344" t="s">
        <v>126</v>
      </c>
      <c r="F84" s="29">
        <v>1</v>
      </c>
      <c r="G84" s="9">
        <v>1</v>
      </c>
      <c r="H84" s="9">
        <v>1</v>
      </c>
      <c r="I84" s="9">
        <v>2</v>
      </c>
      <c r="J84" s="9">
        <v>2</v>
      </c>
      <c r="K84" s="160">
        <f t="shared" si="1"/>
        <v>0.35859414261160716</v>
      </c>
      <c r="L84" s="52" t="s">
        <v>111</v>
      </c>
    </row>
    <row r="85" spans="1:12">
      <c r="A85" s="152" t="s">
        <v>109</v>
      </c>
      <c r="B85" s="59">
        <v>2007</v>
      </c>
      <c r="C85" s="344" t="s">
        <v>88</v>
      </c>
      <c r="D85" s="59">
        <v>1934</v>
      </c>
      <c r="E85" s="344" t="s">
        <v>126</v>
      </c>
      <c r="F85" s="29">
        <v>1</v>
      </c>
      <c r="G85" s="9">
        <v>1</v>
      </c>
      <c r="H85" s="9">
        <v>1</v>
      </c>
      <c r="I85" s="9">
        <v>2</v>
      </c>
      <c r="J85" s="9">
        <v>2</v>
      </c>
      <c r="K85" s="160">
        <f t="shared" si="1"/>
        <v>0.35859414261160716</v>
      </c>
      <c r="L85" s="52" t="s">
        <v>111</v>
      </c>
    </row>
    <row r="86" spans="1:12">
      <c r="A86" s="152" t="s">
        <v>109</v>
      </c>
      <c r="B86" s="59">
        <v>2016</v>
      </c>
      <c r="C86" s="344" t="s">
        <v>97</v>
      </c>
      <c r="D86" s="59">
        <v>1965</v>
      </c>
      <c r="E86" s="344" t="s">
        <v>126</v>
      </c>
      <c r="F86" s="29">
        <v>1</v>
      </c>
      <c r="G86" s="9">
        <v>1</v>
      </c>
      <c r="H86" s="9">
        <v>1</v>
      </c>
      <c r="I86" s="9">
        <v>2</v>
      </c>
      <c r="J86" s="9">
        <v>2</v>
      </c>
      <c r="K86" s="160">
        <f t="shared" si="1"/>
        <v>0.35859414261160716</v>
      </c>
      <c r="L86" s="52" t="s">
        <v>111</v>
      </c>
    </row>
    <row r="87" spans="1:12">
      <c r="A87" s="152" t="s">
        <v>109</v>
      </c>
      <c r="B87" s="59">
        <v>2020</v>
      </c>
      <c r="C87" s="344" t="s">
        <v>88</v>
      </c>
      <c r="D87" s="59">
        <v>1995</v>
      </c>
      <c r="E87" s="344" t="s">
        <v>126</v>
      </c>
      <c r="F87" s="29">
        <v>1</v>
      </c>
      <c r="G87" s="9">
        <v>1</v>
      </c>
      <c r="H87" s="9">
        <v>1</v>
      </c>
      <c r="I87" s="9">
        <v>2</v>
      </c>
      <c r="J87" s="9">
        <v>2</v>
      </c>
      <c r="K87" s="160">
        <f t="shared" si="1"/>
        <v>0.35859414261160716</v>
      </c>
      <c r="L87" s="52" t="s">
        <v>111</v>
      </c>
    </row>
    <row r="88" spans="1:12">
      <c r="A88" s="152" t="s">
        <v>109</v>
      </c>
      <c r="B88" s="59">
        <v>2004</v>
      </c>
      <c r="C88" s="344" t="s">
        <v>95</v>
      </c>
      <c r="D88" s="59">
        <v>2007</v>
      </c>
      <c r="E88" s="344" t="s">
        <v>126</v>
      </c>
      <c r="F88" s="29">
        <v>1</v>
      </c>
      <c r="G88" s="9">
        <v>1</v>
      </c>
      <c r="H88" s="9">
        <v>1</v>
      </c>
      <c r="I88" s="9">
        <v>2</v>
      </c>
      <c r="J88" s="9">
        <v>2</v>
      </c>
      <c r="K88" s="160">
        <f t="shared" si="1"/>
        <v>0.35859414261160716</v>
      </c>
      <c r="L88" s="52" t="s">
        <v>111</v>
      </c>
    </row>
    <row r="89" spans="1:12">
      <c r="A89" s="152" t="s">
        <v>109</v>
      </c>
      <c r="B89" s="59">
        <v>2014</v>
      </c>
      <c r="C89" s="344" t="s">
        <v>89</v>
      </c>
      <c r="D89" s="59">
        <v>2023</v>
      </c>
      <c r="E89" s="344" t="s">
        <v>126</v>
      </c>
      <c r="F89" s="29">
        <v>1</v>
      </c>
      <c r="G89" s="9">
        <v>1</v>
      </c>
      <c r="H89" s="9">
        <v>1</v>
      </c>
      <c r="I89" s="9">
        <v>2</v>
      </c>
      <c r="J89" s="9">
        <v>2</v>
      </c>
      <c r="K89" s="160">
        <f t="shared" si="1"/>
        <v>0.35859414261160716</v>
      </c>
      <c r="L89" s="52" t="s">
        <v>111</v>
      </c>
    </row>
    <row r="90" spans="1:12">
      <c r="A90" s="152" t="s">
        <v>109</v>
      </c>
      <c r="B90" s="59">
        <v>2021</v>
      </c>
      <c r="C90" s="344" t="s">
        <v>88</v>
      </c>
      <c r="D90" s="59">
        <v>2057</v>
      </c>
      <c r="E90" s="344" t="s">
        <v>126</v>
      </c>
      <c r="F90" s="29">
        <v>1</v>
      </c>
      <c r="G90" s="9">
        <v>1</v>
      </c>
      <c r="H90" s="9">
        <v>1</v>
      </c>
      <c r="I90" s="9">
        <v>2</v>
      </c>
      <c r="J90" s="9">
        <v>2</v>
      </c>
      <c r="K90" s="160">
        <f t="shared" si="1"/>
        <v>0.35859414261160716</v>
      </c>
      <c r="L90" s="52" t="s">
        <v>111</v>
      </c>
    </row>
    <row r="91" spans="1:12">
      <c r="A91" s="152" t="s">
        <v>109</v>
      </c>
      <c r="B91" s="59">
        <v>2010</v>
      </c>
      <c r="C91" s="344" t="s">
        <v>93</v>
      </c>
      <c r="D91" s="59">
        <v>2100</v>
      </c>
      <c r="E91" s="344" t="s">
        <v>126</v>
      </c>
      <c r="F91" s="29">
        <v>1</v>
      </c>
      <c r="G91" s="9">
        <v>1</v>
      </c>
      <c r="H91" s="9">
        <v>1</v>
      </c>
      <c r="I91" s="9">
        <v>2</v>
      </c>
      <c r="J91" s="9">
        <v>2</v>
      </c>
      <c r="K91" s="160">
        <f t="shared" si="1"/>
        <v>0.35859414261160716</v>
      </c>
      <c r="L91" s="52" t="s">
        <v>111</v>
      </c>
    </row>
    <row r="92" spans="1:12">
      <c r="A92" s="152" t="s">
        <v>109</v>
      </c>
      <c r="B92" s="59">
        <v>2011</v>
      </c>
      <c r="C92" s="344" t="s">
        <v>93</v>
      </c>
      <c r="D92" s="59">
        <v>2100</v>
      </c>
      <c r="E92" s="344" t="s">
        <v>126</v>
      </c>
      <c r="F92" s="29">
        <v>1</v>
      </c>
      <c r="G92" s="9">
        <v>1</v>
      </c>
      <c r="H92" s="9">
        <v>1</v>
      </c>
      <c r="I92" s="9">
        <v>2</v>
      </c>
      <c r="J92" s="9">
        <v>2</v>
      </c>
      <c r="K92" s="160">
        <f t="shared" si="1"/>
        <v>0.35859414261160716</v>
      </c>
      <c r="L92" s="52" t="s">
        <v>111</v>
      </c>
    </row>
    <row r="93" spans="1:12">
      <c r="A93" s="152" t="s">
        <v>109</v>
      </c>
      <c r="B93" s="59">
        <v>2009</v>
      </c>
      <c r="C93" s="344" t="s">
        <v>95</v>
      </c>
      <c r="D93" s="59">
        <v>2127</v>
      </c>
      <c r="E93" s="344" t="s">
        <v>126</v>
      </c>
      <c r="F93" s="29">
        <v>1</v>
      </c>
      <c r="G93" s="9">
        <v>1</v>
      </c>
      <c r="H93" s="9">
        <v>1</v>
      </c>
      <c r="I93" s="9">
        <v>2</v>
      </c>
      <c r="J93" s="9">
        <v>2</v>
      </c>
      <c r="K93" s="160">
        <f t="shared" si="1"/>
        <v>0.35859414261160716</v>
      </c>
      <c r="L93" s="52" t="s">
        <v>111</v>
      </c>
    </row>
    <row r="94" spans="1:12">
      <c r="A94" s="152" t="s">
        <v>109</v>
      </c>
      <c r="B94" s="59">
        <v>2020</v>
      </c>
      <c r="C94" s="344" t="s">
        <v>95</v>
      </c>
      <c r="D94" s="59">
        <v>2139</v>
      </c>
      <c r="E94" s="344" t="s">
        <v>126</v>
      </c>
      <c r="F94" s="29">
        <v>1</v>
      </c>
      <c r="G94" s="9">
        <v>1</v>
      </c>
      <c r="H94" s="9">
        <v>1</v>
      </c>
      <c r="I94" s="9">
        <v>2</v>
      </c>
      <c r="J94" s="9">
        <v>2</v>
      </c>
      <c r="K94" s="160">
        <f t="shared" si="1"/>
        <v>0.35859414261160716</v>
      </c>
      <c r="L94" s="52" t="s">
        <v>111</v>
      </c>
    </row>
    <row r="95" spans="1:12">
      <c r="A95" s="152" t="s">
        <v>109</v>
      </c>
      <c r="B95" s="59">
        <v>2021</v>
      </c>
      <c r="C95" s="344" t="s">
        <v>95</v>
      </c>
      <c r="D95" s="59">
        <v>2149</v>
      </c>
      <c r="E95" s="344" t="s">
        <v>126</v>
      </c>
      <c r="F95" s="29">
        <v>1</v>
      </c>
      <c r="G95" s="9">
        <v>1</v>
      </c>
      <c r="H95" s="9">
        <v>1</v>
      </c>
      <c r="I95" s="9">
        <v>2</v>
      </c>
      <c r="J95" s="9">
        <v>2</v>
      </c>
      <c r="K95" s="160">
        <f t="shared" si="1"/>
        <v>0.35859414261160716</v>
      </c>
      <c r="L95" s="52" t="s">
        <v>111</v>
      </c>
    </row>
    <row r="96" spans="1:12">
      <c r="A96" s="152" t="s">
        <v>109</v>
      </c>
      <c r="B96" s="59">
        <v>2003</v>
      </c>
      <c r="C96" s="344" t="s">
        <v>95</v>
      </c>
      <c r="D96" s="59">
        <v>2162</v>
      </c>
      <c r="E96" s="344" t="s">
        <v>126</v>
      </c>
      <c r="F96" s="29">
        <v>1</v>
      </c>
      <c r="G96" s="9">
        <v>1</v>
      </c>
      <c r="H96" s="9">
        <v>1</v>
      </c>
      <c r="I96" s="9">
        <v>2</v>
      </c>
      <c r="J96" s="9">
        <v>2</v>
      </c>
      <c r="K96" s="160">
        <f t="shared" si="1"/>
        <v>0.35859414261160716</v>
      </c>
      <c r="L96" s="52" t="s">
        <v>111</v>
      </c>
    </row>
    <row r="97" spans="1:12">
      <c r="A97" s="152" t="s">
        <v>109</v>
      </c>
      <c r="B97" s="59">
        <v>2006</v>
      </c>
      <c r="C97" s="344" t="s">
        <v>88</v>
      </c>
      <c r="D97" s="59">
        <v>2239</v>
      </c>
      <c r="E97" s="344" t="s">
        <v>126</v>
      </c>
      <c r="F97" s="29">
        <v>1</v>
      </c>
      <c r="G97" s="9">
        <v>1</v>
      </c>
      <c r="H97" s="9">
        <v>1</v>
      </c>
      <c r="I97" s="9">
        <v>2</v>
      </c>
      <c r="J97" s="9">
        <v>2</v>
      </c>
      <c r="K97" s="160">
        <f t="shared" si="1"/>
        <v>0.35859414261160716</v>
      </c>
      <c r="L97" s="52" t="s">
        <v>111</v>
      </c>
    </row>
    <row r="98" spans="1:12">
      <c r="A98" s="152" t="s">
        <v>109</v>
      </c>
      <c r="B98" s="59">
        <v>2013</v>
      </c>
      <c r="C98" s="344" t="s">
        <v>97</v>
      </c>
      <c r="D98" s="59">
        <v>2280</v>
      </c>
      <c r="E98" s="344" t="s">
        <v>126</v>
      </c>
      <c r="F98" s="29">
        <v>1</v>
      </c>
      <c r="G98" s="9">
        <v>1</v>
      </c>
      <c r="H98" s="9">
        <v>1</v>
      </c>
      <c r="I98" s="9">
        <v>2</v>
      </c>
      <c r="J98" s="9">
        <v>2</v>
      </c>
      <c r="K98" s="160">
        <f t="shared" si="1"/>
        <v>0.35859414261160716</v>
      </c>
      <c r="L98" s="52" t="s">
        <v>111</v>
      </c>
    </row>
    <row r="99" spans="1:12">
      <c r="A99" s="152" t="s">
        <v>109</v>
      </c>
      <c r="B99" s="59">
        <v>2015</v>
      </c>
      <c r="C99" s="344" t="s">
        <v>97</v>
      </c>
      <c r="D99" s="59">
        <v>2282</v>
      </c>
      <c r="E99" s="344" t="s">
        <v>126</v>
      </c>
      <c r="F99" s="29">
        <v>1</v>
      </c>
      <c r="G99" s="9">
        <v>1</v>
      </c>
      <c r="H99" s="9">
        <v>1</v>
      </c>
      <c r="I99" s="9">
        <v>2</v>
      </c>
      <c r="J99" s="9">
        <v>2</v>
      </c>
      <c r="K99" s="160">
        <f t="shared" si="1"/>
        <v>0.35859414261160716</v>
      </c>
      <c r="L99" s="52" t="s">
        <v>111</v>
      </c>
    </row>
    <row r="100" spans="1:12">
      <c r="A100" s="152" t="s">
        <v>109</v>
      </c>
      <c r="B100" s="59">
        <v>2017</v>
      </c>
      <c r="C100" s="344" t="s">
        <v>95</v>
      </c>
      <c r="D100" s="59">
        <v>2283</v>
      </c>
      <c r="E100" s="344" t="s">
        <v>126</v>
      </c>
      <c r="F100" s="29">
        <v>1</v>
      </c>
      <c r="G100" s="9">
        <v>1</v>
      </c>
      <c r="H100" s="9">
        <v>1</v>
      </c>
      <c r="I100" s="9">
        <v>2</v>
      </c>
      <c r="J100" s="9">
        <v>2</v>
      </c>
      <c r="K100" s="160">
        <f t="shared" si="1"/>
        <v>0.35859414261160716</v>
      </c>
      <c r="L100" s="52" t="s">
        <v>111</v>
      </c>
    </row>
    <row r="101" spans="1:12">
      <c r="A101" s="152" t="s">
        <v>109</v>
      </c>
      <c r="B101" s="59">
        <v>2018</v>
      </c>
      <c r="C101" s="344" t="s">
        <v>95</v>
      </c>
      <c r="D101" s="59">
        <v>2283</v>
      </c>
      <c r="E101" s="344" t="s">
        <v>126</v>
      </c>
      <c r="F101" s="29">
        <v>1</v>
      </c>
      <c r="G101" s="9">
        <v>1</v>
      </c>
      <c r="H101" s="9">
        <v>1</v>
      </c>
      <c r="I101" s="9">
        <v>2</v>
      </c>
      <c r="J101" s="9">
        <v>2</v>
      </c>
      <c r="K101" s="160">
        <f t="shared" si="1"/>
        <v>0.35859414261160716</v>
      </c>
      <c r="L101" s="52" t="s">
        <v>111</v>
      </c>
    </row>
    <row r="102" spans="1:12">
      <c r="A102" s="152" t="s">
        <v>109</v>
      </c>
      <c r="B102" s="59">
        <v>2019</v>
      </c>
      <c r="C102" s="344" t="s">
        <v>95</v>
      </c>
      <c r="D102" s="59">
        <v>2283</v>
      </c>
      <c r="E102" s="344" t="s">
        <v>126</v>
      </c>
      <c r="F102" s="29">
        <v>1</v>
      </c>
      <c r="G102" s="9">
        <v>1</v>
      </c>
      <c r="H102" s="9">
        <v>1</v>
      </c>
      <c r="I102" s="9">
        <v>2</v>
      </c>
      <c r="J102" s="9">
        <v>2</v>
      </c>
      <c r="K102" s="160">
        <f t="shared" si="1"/>
        <v>0.35859414261160716</v>
      </c>
      <c r="L102" s="52" t="s">
        <v>111</v>
      </c>
    </row>
    <row r="103" spans="1:12">
      <c r="A103" s="152" t="s">
        <v>109</v>
      </c>
      <c r="B103" s="59">
        <v>2011</v>
      </c>
      <c r="C103" s="344" t="s">
        <v>95</v>
      </c>
      <c r="D103" s="59">
        <v>2300</v>
      </c>
      <c r="E103" s="344" t="s">
        <v>126</v>
      </c>
      <c r="F103" s="29">
        <v>1</v>
      </c>
      <c r="G103" s="9">
        <v>1</v>
      </c>
      <c r="H103" s="9">
        <v>1</v>
      </c>
      <c r="I103" s="9">
        <v>2</v>
      </c>
      <c r="J103" s="9">
        <v>2</v>
      </c>
      <c r="K103" s="160">
        <f t="shared" si="1"/>
        <v>0.35859414261160716</v>
      </c>
      <c r="L103" s="52" t="s">
        <v>111</v>
      </c>
    </row>
    <row r="104" spans="1:12">
      <c r="A104" s="152" t="s">
        <v>109</v>
      </c>
      <c r="B104" s="59">
        <v>2013</v>
      </c>
      <c r="C104" s="344" t="s">
        <v>93</v>
      </c>
      <c r="D104" s="59">
        <v>2327</v>
      </c>
      <c r="E104" s="344" t="s">
        <v>126</v>
      </c>
      <c r="F104" s="29">
        <v>1</v>
      </c>
      <c r="G104" s="9">
        <v>1</v>
      </c>
      <c r="H104" s="9">
        <v>1</v>
      </c>
      <c r="I104" s="9">
        <v>2</v>
      </c>
      <c r="J104" s="9">
        <v>2</v>
      </c>
      <c r="K104" s="160">
        <f t="shared" si="1"/>
        <v>0.35859414261160716</v>
      </c>
      <c r="L104" s="52" t="s">
        <v>111</v>
      </c>
    </row>
    <row r="105" spans="1:12">
      <c r="A105" s="152" t="s">
        <v>109</v>
      </c>
      <c r="B105" s="59">
        <v>2009</v>
      </c>
      <c r="C105" s="344" t="s">
        <v>93</v>
      </c>
      <c r="D105" s="59">
        <v>2344</v>
      </c>
      <c r="E105" s="344" t="s">
        <v>126</v>
      </c>
      <c r="F105" s="29">
        <v>1</v>
      </c>
      <c r="G105" s="9">
        <v>1</v>
      </c>
      <c r="H105" s="9">
        <v>1</v>
      </c>
      <c r="I105" s="9">
        <v>2</v>
      </c>
      <c r="J105" s="9">
        <v>2</v>
      </c>
      <c r="K105" s="160">
        <f t="shared" si="1"/>
        <v>0.35859414261160716</v>
      </c>
      <c r="L105" s="52" t="s">
        <v>111</v>
      </c>
    </row>
    <row r="106" spans="1:12">
      <c r="A106" s="152" t="s">
        <v>109</v>
      </c>
      <c r="B106" s="59">
        <v>2005</v>
      </c>
      <c r="C106" s="344" t="s">
        <v>95</v>
      </c>
      <c r="D106" s="59">
        <v>2366</v>
      </c>
      <c r="E106" s="344" t="s">
        <v>126</v>
      </c>
      <c r="F106" s="29">
        <v>1</v>
      </c>
      <c r="G106" s="9">
        <v>1</v>
      </c>
      <c r="H106" s="9">
        <v>1</v>
      </c>
      <c r="I106" s="9">
        <v>2</v>
      </c>
      <c r="J106" s="9">
        <v>2</v>
      </c>
      <c r="K106" s="160">
        <f t="shared" si="1"/>
        <v>0.35859414261160716</v>
      </c>
      <c r="L106" s="52" t="s">
        <v>111</v>
      </c>
    </row>
    <row r="107" spans="1:12">
      <c r="A107" s="152" t="s">
        <v>109</v>
      </c>
      <c r="B107" s="59">
        <v>2012</v>
      </c>
      <c r="C107" s="344" t="s">
        <v>91</v>
      </c>
      <c r="D107" s="59">
        <v>2381</v>
      </c>
      <c r="E107" s="344" t="s">
        <v>126</v>
      </c>
      <c r="F107" s="29">
        <v>1</v>
      </c>
      <c r="G107" s="9">
        <v>1</v>
      </c>
      <c r="H107" s="9">
        <v>1</v>
      </c>
      <c r="I107" s="9">
        <v>2</v>
      </c>
      <c r="J107" s="9">
        <v>2</v>
      </c>
      <c r="K107" s="160">
        <f t="shared" si="1"/>
        <v>0.35859414261160716</v>
      </c>
      <c r="L107" s="52" t="s">
        <v>111</v>
      </c>
    </row>
    <row r="108" spans="1:12">
      <c r="A108" s="152" t="s">
        <v>109</v>
      </c>
      <c r="B108" s="59">
        <v>2013</v>
      </c>
      <c r="C108" s="344" t="s">
        <v>91</v>
      </c>
      <c r="D108" s="59">
        <v>2397</v>
      </c>
      <c r="E108" s="344" t="s">
        <v>126</v>
      </c>
      <c r="F108" s="29">
        <v>1</v>
      </c>
      <c r="G108" s="9">
        <v>1</v>
      </c>
      <c r="H108" s="9">
        <v>1</v>
      </c>
      <c r="I108" s="9">
        <v>2</v>
      </c>
      <c r="J108" s="9">
        <v>2</v>
      </c>
      <c r="K108" s="160">
        <f t="shared" si="1"/>
        <v>0.35859414261160716</v>
      </c>
      <c r="L108" s="52" t="s">
        <v>111</v>
      </c>
    </row>
    <row r="109" spans="1:12">
      <c r="A109" s="152" t="s">
        <v>109</v>
      </c>
      <c r="B109" s="59">
        <v>2016</v>
      </c>
      <c r="C109" s="344" t="s">
        <v>95</v>
      </c>
      <c r="D109" s="59">
        <v>2397</v>
      </c>
      <c r="E109" s="344" t="s">
        <v>126</v>
      </c>
      <c r="F109" s="29">
        <v>1</v>
      </c>
      <c r="G109" s="9">
        <v>1</v>
      </c>
      <c r="H109" s="9">
        <v>1</v>
      </c>
      <c r="I109" s="9">
        <v>2</v>
      </c>
      <c r="J109" s="9">
        <v>2</v>
      </c>
      <c r="K109" s="160">
        <f t="shared" si="1"/>
        <v>0.35859414261160716</v>
      </c>
      <c r="L109" s="52" t="s">
        <v>111</v>
      </c>
    </row>
    <row r="110" spans="1:12">
      <c r="A110" s="152" t="s">
        <v>109</v>
      </c>
      <c r="B110" s="59">
        <v>2015</v>
      </c>
      <c r="C110" s="344" t="s">
        <v>93</v>
      </c>
      <c r="D110" s="59">
        <v>2400</v>
      </c>
      <c r="E110" s="344" t="s">
        <v>126</v>
      </c>
      <c r="F110" s="29">
        <v>1</v>
      </c>
      <c r="G110" s="9">
        <v>1</v>
      </c>
      <c r="H110" s="9">
        <v>1</v>
      </c>
      <c r="I110" s="9">
        <v>2</v>
      </c>
      <c r="J110" s="9">
        <v>2</v>
      </c>
      <c r="K110" s="160">
        <f t="shared" si="1"/>
        <v>0.35859414261160716</v>
      </c>
      <c r="L110" s="52" t="s">
        <v>111</v>
      </c>
    </row>
    <row r="111" spans="1:12">
      <c r="A111" s="152" t="s">
        <v>109</v>
      </c>
      <c r="B111" s="59">
        <v>2016</v>
      </c>
      <c r="C111" s="344" t="s">
        <v>93</v>
      </c>
      <c r="D111" s="59">
        <v>2400</v>
      </c>
      <c r="E111" s="344" t="s">
        <v>126</v>
      </c>
      <c r="F111" s="29">
        <v>1</v>
      </c>
      <c r="G111" s="9">
        <v>1</v>
      </c>
      <c r="H111" s="9">
        <v>1</v>
      </c>
      <c r="I111" s="9">
        <v>2</v>
      </c>
      <c r="J111" s="9">
        <v>2</v>
      </c>
      <c r="K111" s="160">
        <f t="shared" si="1"/>
        <v>0.35859414261160716</v>
      </c>
      <c r="L111" s="52" t="s">
        <v>111</v>
      </c>
    </row>
    <row r="112" spans="1:12">
      <c r="A112" s="152" t="s">
        <v>109</v>
      </c>
      <c r="B112" s="59">
        <v>2006</v>
      </c>
      <c r="C112" s="344" t="s">
        <v>95</v>
      </c>
      <c r="D112" s="59">
        <v>2440</v>
      </c>
      <c r="E112" s="344" t="s">
        <v>126</v>
      </c>
      <c r="F112" s="29">
        <v>1</v>
      </c>
      <c r="G112" s="9">
        <v>1</v>
      </c>
      <c r="H112" s="9">
        <v>1</v>
      </c>
      <c r="I112" s="9">
        <v>2</v>
      </c>
      <c r="J112" s="9">
        <v>2</v>
      </c>
      <c r="K112" s="160">
        <f t="shared" si="1"/>
        <v>0.35859414261160716</v>
      </c>
      <c r="L112" s="52" t="s">
        <v>111</v>
      </c>
    </row>
    <row r="113" spans="1:12">
      <c r="A113" s="152" t="s">
        <v>109</v>
      </c>
      <c r="B113" s="59">
        <v>2015</v>
      </c>
      <c r="C113" s="344" t="s">
        <v>95</v>
      </c>
      <c r="D113" s="59">
        <v>2444</v>
      </c>
      <c r="E113" s="344" t="s">
        <v>126</v>
      </c>
      <c r="F113" s="29">
        <v>1</v>
      </c>
      <c r="G113" s="9">
        <v>1</v>
      </c>
      <c r="H113" s="9">
        <v>1</v>
      </c>
      <c r="I113" s="9">
        <v>2</v>
      </c>
      <c r="J113" s="9">
        <v>2</v>
      </c>
      <c r="K113" s="160">
        <f t="shared" si="1"/>
        <v>0.35859414261160716</v>
      </c>
      <c r="L113" s="52" t="s">
        <v>111</v>
      </c>
    </row>
    <row r="114" spans="1:12">
      <c r="A114" s="152" t="s">
        <v>109</v>
      </c>
      <c r="B114" s="59">
        <v>2020</v>
      </c>
      <c r="C114" s="344" t="s">
        <v>97</v>
      </c>
      <c r="D114" s="59">
        <v>2463</v>
      </c>
      <c r="E114" s="344" t="s">
        <v>126</v>
      </c>
      <c r="F114" s="29">
        <v>1</v>
      </c>
      <c r="G114" s="9">
        <v>1</v>
      </c>
      <c r="H114" s="9">
        <v>1</v>
      </c>
      <c r="I114" s="9">
        <v>2</v>
      </c>
      <c r="J114" s="9">
        <v>2</v>
      </c>
      <c r="K114" s="160">
        <f t="shared" si="1"/>
        <v>0.35859414261160716</v>
      </c>
      <c r="L114" s="52" t="s">
        <v>111</v>
      </c>
    </row>
    <row r="115" spans="1:12">
      <c r="A115" s="152" t="s">
        <v>109</v>
      </c>
      <c r="B115" s="59">
        <v>2014</v>
      </c>
      <c r="C115" s="344" t="s">
        <v>95</v>
      </c>
      <c r="D115" s="59">
        <v>2491</v>
      </c>
      <c r="E115" s="344" t="s">
        <v>126</v>
      </c>
      <c r="F115" s="29">
        <v>1</v>
      </c>
      <c r="G115" s="9">
        <v>1</v>
      </c>
      <c r="H115" s="9">
        <v>1</v>
      </c>
      <c r="I115" s="9">
        <v>2</v>
      </c>
      <c r="J115" s="9">
        <v>2</v>
      </c>
      <c r="K115" s="160">
        <f t="shared" si="1"/>
        <v>0.35859414261160716</v>
      </c>
      <c r="L115" s="52" t="s">
        <v>111</v>
      </c>
    </row>
    <row r="116" spans="1:12">
      <c r="A116" s="152" t="s">
        <v>109</v>
      </c>
      <c r="B116" s="59">
        <v>2008</v>
      </c>
      <c r="C116" s="344" t="s">
        <v>95</v>
      </c>
      <c r="D116" s="59">
        <v>2497</v>
      </c>
      <c r="E116" s="344" t="s">
        <v>126</v>
      </c>
      <c r="F116" s="29">
        <v>1</v>
      </c>
      <c r="G116" s="9">
        <v>1</v>
      </c>
      <c r="H116" s="9">
        <v>1</v>
      </c>
      <c r="I116" s="9">
        <v>2</v>
      </c>
      <c r="J116" s="9">
        <v>2</v>
      </c>
      <c r="K116" s="160">
        <f t="shared" si="1"/>
        <v>0.35859414261160716</v>
      </c>
      <c r="L116" s="52" t="s">
        <v>111</v>
      </c>
    </row>
    <row r="117" spans="1:12">
      <c r="A117" s="152" t="s">
        <v>109</v>
      </c>
      <c r="B117" s="59">
        <v>2020</v>
      </c>
      <c r="C117" s="344" t="s">
        <v>91</v>
      </c>
      <c r="D117" s="59">
        <v>2519</v>
      </c>
      <c r="E117" s="344" t="s">
        <v>126</v>
      </c>
      <c r="F117" s="29">
        <v>1</v>
      </c>
      <c r="G117" s="9">
        <v>1</v>
      </c>
      <c r="H117" s="9">
        <v>1</v>
      </c>
      <c r="I117" s="9">
        <v>2</v>
      </c>
      <c r="J117" s="9">
        <v>2</v>
      </c>
      <c r="K117" s="160">
        <f t="shared" si="1"/>
        <v>0.35859414261160716</v>
      </c>
      <c r="L117" s="52" t="s">
        <v>111</v>
      </c>
    </row>
    <row r="118" spans="1:12">
      <c r="A118" s="152" t="s">
        <v>109</v>
      </c>
      <c r="B118" s="59">
        <v>2012</v>
      </c>
      <c r="C118" s="344" t="s">
        <v>97</v>
      </c>
      <c r="D118" s="59">
        <v>2542</v>
      </c>
      <c r="E118" s="344" t="s">
        <v>126</v>
      </c>
      <c r="F118" s="29">
        <v>1</v>
      </c>
      <c r="G118" s="9">
        <v>1</v>
      </c>
      <c r="H118" s="9">
        <v>1</v>
      </c>
      <c r="I118" s="9">
        <v>2</v>
      </c>
      <c r="J118" s="9">
        <v>2</v>
      </c>
      <c r="K118" s="160">
        <f t="shared" si="1"/>
        <v>0.35859414261160716</v>
      </c>
      <c r="L118" s="52" t="s">
        <v>111</v>
      </c>
    </row>
    <row r="119" spans="1:12">
      <c r="A119" s="152" t="s">
        <v>109</v>
      </c>
      <c r="B119" s="59">
        <v>2021</v>
      </c>
      <c r="C119" s="344" t="s">
        <v>97</v>
      </c>
      <c r="D119" s="59">
        <v>2546</v>
      </c>
      <c r="E119" s="344" t="s">
        <v>126</v>
      </c>
      <c r="F119" s="29">
        <v>1</v>
      </c>
      <c r="G119" s="9">
        <v>1</v>
      </c>
      <c r="H119" s="9">
        <v>1</v>
      </c>
      <c r="I119" s="9">
        <v>2</v>
      </c>
      <c r="J119" s="9">
        <v>2</v>
      </c>
      <c r="K119" s="160">
        <f t="shared" si="1"/>
        <v>0.35859414261160716</v>
      </c>
      <c r="L119" s="52" t="s">
        <v>111</v>
      </c>
    </row>
    <row r="120" spans="1:12">
      <c r="A120" s="152" t="s">
        <v>109</v>
      </c>
      <c r="B120" s="59">
        <v>2007</v>
      </c>
      <c r="C120" s="344" t="s">
        <v>93</v>
      </c>
      <c r="D120" s="59">
        <v>2550</v>
      </c>
      <c r="E120" s="344" t="s">
        <v>126</v>
      </c>
      <c r="F120" s="29">
        <v>1</v>
      </c>
      <c r="G120" s="9">
        <v>1</v>
      </c>
      <c r="H120" s="9">
        <v>1</v>
      </c>
      <c r="I120" s="9">
        <v>2</v>
      </c>
      <c r="J120" s="9">
        <v>2</v>
      </c>
      <c r="K120" s="160">
        <f t="shared" si="1"/>
        <v>0.35859414261160716</v>
      </c>
      <c r="L120" s="52" t="s">
        <v>111</v>
      </c>
    </row>
    <row r="121" spans="1:12">
      <c r="A121" s="152" t="s">
        <v>109</v>
      </c>
      <c r="B121" s="59">
        <v>2010</v>
      </c>
      <c r="C121" s="344" t="s">
        <v>95</v>
      </c>
      <c r="D121" s="59">
        <v>2566</v>
      </c>
      <c r="E121" s="344" t="s">
        <v>126</v>
      </c>
      <c r="F121" s="29">
        <v>1</v>
      </c>
      <c r="G121" s="9">
        <v>1</v>
      </c>
      <c r="H121" s="9">
        <v>1</v>
      </c>
      <c r="I121" s="9">
        <v>2</v>
      </c>
      <c r="J121" s="9">
        <v>2</v>
      </c>
      <c r="K121" s="160">
        <f t="shared" ref="K121:K184" si="2">IF( OR( ISBLANK(F121),ISBLANK(G121), ISBLANK(H121), ISBLANK(I121), ISBLANK(J121) ), "", 1.5*SQRT(   EXP(2.21*(F121-1)) + EXP(2.21*(G121-1)) + EXP(2.21*(H121-1)) + EXP(2.21*(I121-1)) + EXP(2.21*J121)   )/100*2.45 )</f>
        <v>0.35859414261160716</v>
      </c>
      <c r="L121" s="52" t="s">
        <v>111</v>
      </c>
    </row>
    <row r="122" spans="1:12">
      <c r="A122" s="152" t="s">
        <v>109</v>
      </c>
      <c r="B122" s="59">
        <v>2003</v>
      </c>
      <c r="C122" s="344" t="s">
        <v>91</v>
      </c>
      <c r="D122" s="59">
        <v>2697</v>
      </c>
      <c r="E122" s="344" t="s">
        <v>126</v>
      </c>
      <c r="F122" s="29">
        <v>1</v>
      </c>
      <c r="G122" s="9">
        <v>1</v>
      </c>
      <c r="H122" s="9">
        <v>1</v>
      </c>
      <c r="I122" s="9">
        <v>2</v>
      </c>
      <c r="J122" s="9">
        <v>2</v>
      </c>
      <c r="K122" s="160">
        <f t="shared" si="2"/>
        <v>0.35859414261160716</v>
      </c>
      <c r="L122" s="52" t="s">
        <v>111</v>
      </c>
    </row>
    <row r="123" spans="1:12">
      <c r="A123" s="152" t="s">
        <v>109</v>
      </c>
      <c r="B123" s="59">
        <v>2007</v>
      </c>
      <c r="C123" s="344" t="s">
        <v>95</v>
      </c>
      <c r="D123" s="59">
        <v>2709</v>
      </c>
      <c r="E123" s="344" t="s">
        <v>126</v>
      </c>
      <c r="F123" s="29">
        <v>1</v>
      </c>
      <c r="G123" s="9">
        <v>1</v>
      </c>
      <c r="H123" s="9">
        <v>1</v>
      </c>
      <c r="I123" s="9">
        <v>2</v>
      </c>
      <c r="J123" s="9">
        <v>2</v>
      </c>
      <c r="K123" s="160">
        <f t="shared" si="2"/>
        <v>0.35859414261160716</v>
      </c>
      <c r="L123" s="52" t="s">
        <v>111</v>
      </c>
    </row>
    <row r="124" spans="1:12">
      <c r="A124" s="152" t="s">
        <v>109</v>
      </c>
      <c r="B124" s="59">
        <v>2004</v>
      </c>
      <c r="C124" s="344" t="s">
        <v>91</v>
      </c>
      <c r="D124" s="59">
        <v>2786</v>
      </c>
      <c r="E124" s="344" t="s">
        <v>126</v>
      </c>
      <c r="F124" s="29">
        <v>1</v>
      </c>
      <c r="G124" s="9">
        <v>1</v>
      </c>
      <c r="H124" s="9">
        <v>1</v>
      </c>
      <c r="I124" s="9">
        <v>2</v>
      </c>
      <c r="J124" s="9">
        <v>2</v>
      </c>
      <c r="K124" s="160">
        <f t="shared" si="2"/>
        <v>0.35859414261160716</v>
      </c>
      <c r="L124" s="52" t="s">
        <v>111</v>
      </c>
    </row>
    <row r="125" spans="1:12">
      <c r="A125" s="152" t="s">
        <v>109</v>
      </c>
      <c r="B125" s="59">
        <v>2021</v>
      </c>
      <c r="C125" s="344" t="s">
        <v>91</v>
      </c>
      <c r="D125" s="59">
        <v>2802</v>
      </c>
      <c r="E125" s="344" t="s">
        <v>126</v>
      </c>
      <c r="F125" s="29">
        <v>1</v>
      </c>
      <c r="G125" s="9">
        <v>1</v>
      </c>
      <c r="H125" s="9">
        <v>1</v>
      </c>
      <c r="I125" s="9">
        <v>2</v>
      </c>
      <c r="J125" s="9">
        <v>2</v>
      </c>
      <c r="K125" s="160">
        <f t="shared" si="2"/>
        <v>0.35859414261160716</v>
      </c>
      <c r="L125" s="52" t="s">
        <v>111</v>
      </c>
    </row>
    <row r="126" spans="1:12">
      <c r="A126" s="152" t="s">
        <v>109</v>
      </c>
      <c r="B126" s="59">
        <v>2014</v>
      </c>
      <c r="C126" s="344" t="s">
        <v>91</v>
      </c>
      <c r="D126" s="59">
        <v>2830</v>
      </c>
      <c r="E126" s="344" t="s">
        <v>126</v>
      </c>
      <c r="F126" s="29">
        <v>1</v>
      </c>
      <c r="G126" s="9">
        <v>1</v>
      </c>
      <c r="H126" s="9">
        <v>1</v>
      </c>
      <c r="I126" s="9">
        <v>2</v>
      </c>
      <c r="J126" s="9">
        <v>2</v>
      </c>
      <c r="K126" s="160">
        <f t="shared" si="2"/>
        <v>0.35859414261160716</v>
      </c>
      <c r="L126" s="52" t="s">
        <v>111</v>
      </c>
    </row>
    <row r="127" spans="1:12">
      <c r="A127" s="152" t="s">
        <v>109</v>
      </c>
      <c r="B127" s="59">
        <v>2016</v>
      </c>
      <c r="C127" s="344" t="s">
        <v>91</v>
      </c>
      <c r="D127" s="59">
        <v>2830</v>
      </c>
      <c r="E127" s="344" t="s">
        <v>126</v>
      </c>
      <c r="F127" s="29">
        <v>1</v>
      </c>
      <c r="G127" s="9">
        <v>1</v>
      </c>
      <c r="H127" s="9">
        <v>1</v>
      </c>
      <c r="I127" s="9">
        <v>2</v>
      </c>
      <c r="J127" s="9">
        <v>2</v>
      </c>
      <c r="K127" s="160">
        <f t="shared" si="2"/>
        <v>0.35859414261160716</v>
      </c>
      <c r="L127" s="52" t="s">
        <v>111</v>
      </c>
    </row>
    <row r="128" spans="1:12">
      <c r="A128" s="152" t="s">
        <v>109</v>
      </c>
      <c r="B128" s="59">
        <v>2008</v>
      </c>
      <c r="C128" s="344" t="s">
        <v>93</v>
      </c>
      <c r="D128" s="59">
        <v>2860</v>
      </c>
      <c r="E128" s="344" t="s">
        <v>126</v>
      </c>
      <c r="F128" s="29">
        <v>1</v>
      </c>
      <c r="G128" s="9">
        <v>1</v>
      </c>
      <c r="H128" s="9">
        <v>1</v>
      </c>
      <c r="I128" s="9">
        <v>2</v>
      </c>
      <c r="J128" s="9">
        <v>2</v>
      </c>
      <c r="K128" s="160">
        <f t="shared" si="2"/>
        <v>0.35859414261160716</v>
      </c>
      <c r="L128" s="52" t="s">
        <v>111</v>
      </c>
    </row>
    <row r="129" spans="1:12">
      <c r="A129" s="152" t="s">
        <v>109</v>
      </c>
      <c r="B129" s="59">
        <v>2007</v>
      </c>
      <c r="C129" s="344" t="s">
        <v>91</v>
      </c>
      <c r="D129" s="59">
        <v>2864</v>
      </c>
      <c r="E129" s="344" t="s">
        <v>126</v>
      </c>
      <c r="F129" s="29">
        <v>1</v>
      </c>
      <c r="G129" s="9">
        <v>1</v>
      </c>
      <c r="H129" s="9">
        <v>1</v>
      </c>
      <c r="I129" s="9">
        <v>2</v>
      </c>
      <c r="J129" s="9">
        <v>2</v>
      </c>
      <c r="K129" s="160">
        <f t="shared" si="2"/>
        <v>0.35859414261160716</v>
      </c>
      <c r="L129" s="52" t="s">
        <v>111</v>
      </c>
    </row>
    <row r="130" spans="1:12">
      <c r="A130" s="152" t="s">
        <v>109</v>
      </c>
      <c r="B130" s="59">
        <v>2017</v>
      </c>
      <c r="C130" s="344" t="s">
        <v>93</v>
      </c>
      <c r="D130" s="59">
        <v>2871</v>
      </c>
      <c r="E130" s="344" t="s">
        <v>126</v>
      </c>
      <c r="F130" s="29">
        <v>1</v>
      </c>
      <c r="G130" s="9">
        <v>1</v>
      </c>
      <c r="H130" s="9">
        <v>1</v>
      </c>
      <c r="I130" s="9">
        <v>2</v>
      </c>
      <c r="J130" s="9">
        <v>2</v>
      </c>
      <c r="K130" s="160">
        <f t="shared" si="2"/>
        <v>0.35859414261160716</v>
      </c>
      <c r="L130" s="52" t="s">
        <v>111</v>
      </c>
    </row>
    <row r="131" spans="1:12">
      <c r="A131" s="152" t="s">
        <v>109</v>
      </c>
      <c r="B131" s="59">
        <v>2018</v>
      </c>
      <c r="C131" s="344" t="s">
        <v>93</v>
      </c>
      <c r="D131" s="59">
        <v>2871</v>
      </c>
      <c r="E131" s="344" t="s">
        <v>126</v>
      </c>
      <c r="F131" s="29">
        <v>1</v>
      </c>
      <c r="G131" s="9">
        <v>1</v>
      </c>
      <c r="H131" s="9">
        <v>1</v>
      </c>
      <c r="I131" s="9">
        <v>2</v>
      </c>
      <c r="J131" s="9">
        <v>2</v>
      </c>
      <c r="K131" s="160">
        <f t="shared" si="2"/>
        <v>0.35859414261160716</v>
      </c>
      <c r="L131" s="52" t="s">
        <v>111</v>
      </c>
    </row>
    <row r="132" spans="1:12">
      <c r="A132" s="152" t="s">
        <v>109</v>
      </c>
      <c r="B132" s="59">
        <v>2019</v>
      </c>
      <c r="C132" s="344" t="s">
        <v>93</v>
      </c>
      <c r="D132" s="59">
        <v>2871</v>
      </c>
      <c r="E132" s="344" t="s">
        <v>126</v>
      </c>
      <c r="F132" s="29">
        <v>1</v>
      </c>
      <c r="G132" s="9">
        <v>1</v>
      </c>
      <c r="H132" s="9">
        <v>1</v>
      </c>
      <c r="I132" s="9">
        <v>2</v>
      </c>
      <c r="J132" s="9">
        <v>2</v>
      </c>
      <c r="K132" s="160">
        <f t="shared" si="2"/>
        <v>0.35859414261160716</v>
      </c>
      <c r="L132" s="52" t="s">
        <v>111</v>
      </c>
    </row>
    <row r="133" spans="1:12">
      <c r="A133" s="152" t="s">
        <v>109</v>
      </c>
      <c r="B133" s="59">
        <v>2015</v>
      </c>
      <c r="C133" s="344" t="s">
        <v>91</v>
      </c>
      <c r="D133" s="59">
        <v>2872</v>
      </c>
      <c r="E133" s="344" t="s">
        <v>126</v>
      </c>
      <c r="F133" s="29">
        <v>1</v>
      </c>
      <c r="G133" s="9">
        <v>1</v>
      </c>
      <c r="H133" s="9">
        <v>1</v>
      </c>
      <c r="I133" s="9">
        <v>2</v>
      </c>
      <c r="J133" s="9">
        <v>2</v>
      </c>
      <c r="K133" s="160">
        <f t="shared" si="2"/>
        <v>0.35859414261160716</v>
      </c>
      <c r="L133" s="52" t="s">
        <v>111</v>
      </c>
    </row>
    <row r="134" spans="1:12">
      <c r="A134" s="152" t="s">
        <v>109</v>
      </c>
      <c r="B134" s="59">
        <v>2017</v>
      </c>
      <c r="C134" s="344" t="s">
        <v>91</v>
      </c>
      <c r="D134" s="59">
        <v>2891</v>
      </c>
      <c r="E134" s="344" t="s">
        <v>126</v>
      </c>
      <c r="F134" s="29">
        <v>1</v>
      </c>
      <c r="G134" s="9">
        <v>1</v>
      </c>
      <c r="H134" s="9">
        <v>1</v>
      </c>
      <c r="I134" s="9">
        <v>2</v>
      </c>
      <c r="J134" s="9">
        <v>2</v>
      </c>
      <c r="K134" s="160">
        <f t="shared" si="2"/>
        <v>0.35859414261160716</v>
      </c>
      <c r="L134" s="52" t="s">
        <v>111</v>
      </c>
    </row>
    <row r="135" spans="1:12">
      <c r="A135" s="152" t="s">
        <v>109</v>
      </c>
      <c r="B135" s="59">
        <v>2018</v>
      </c>
      <c r="C135" s="344" t="s">
        <v>91</v>
      </c>
      <c r="D135" s="59">
        <v>2891</v>
      </c>
      <c r="E135" s="344" t="s">
        <v>126</v>
      </c>
      <c r="F135" s="29">
        <v>1</v>
      </c>
      <c r="G135" s="9">
        <v>1</v>
      </c>
      <c r="H135" s="9">
        <v>1</v>
      </c>
      <c r="I135" s="9">
        <v>2</v>
      </c>
      <c r="J135" s="9">
        <v>2</v>
      </c>
      <c r="K135" s="160">
        <f t="shared" si="2"/>
        <v>0.35859414261160716</v>
      </c>
      <c r="L135" s="52" t="s">
        <v>111</v>
      </c>
    </row>
    <row r="136" spans="1:12">
      <c r="A136" s="152" t="s">
        <v>109</v>
      </c>
      <c r="B136" s="59">
        <v>2019</v>
      </c>
      <c r="C136" s="344" t="s">
        <v>91</v>
      </c>
      <c r="D136" s="59">
        <v>2891</v>
      </c>
      <c r="E136" s="344" t="s">
        <v>126</v>
      </c>
      <c r="F136" s="29">
        <v>1</v>
      </c>
      <c r="G136" s="9">
        <v>1</v>
      </c>
      <c r="H136" s="9">
        <v>1</v>
      </c>
      <c r="I136" s="9">
        <v>2</v>
      </c>
      <c r="J136" s="9">
        <v>2</v>
      </c>
      <c r="K136" s="160">
        <f t="shared" si="2"/>
        <v>0.35859414261160716</v>
      </c>
      <c r="L136" s="52" t="s">
        <v>111</v>
      </c>
    </row>
    <row r="137" spans="1:12">
      <c r="A137" s="152" t="s">
        <v>109</v>
      </c>
      <c r="B137" s="59">
        <v>2009</v>
      </c>
      <c r="C137" s="344" t="s">
        <v>91</v>
      </c>
      <c r="D137" s="59">
        <v>2917</v>
      </c>
      <c r="E137" s="344" t="s">
        <v>126</v>
      </c>
      <c r="F137" s="29">
        <v>1</v>
      </c>
      <c r="G137" s="9">
        <v>1</v>
      </c>
      <c r="H137" s="9">
        <v>1</v>
      </c>
      <c r="I137" s="9">
        <v>2</v>
      </c>
      <c r="J137" s="9">
        <v>2</v>
      </c>
      <c r="K137" s="160">
        <f t="shared" si="2"/>
        <v>0.35859414261160716</v>
      </c>
      <c r="L137" s="52" t="s">
        <v>111</v>
      </c>
    </row>
    <row r="138" spans="1:12">
      <c r="A138" s="152" t="s">
        <v>109</v>
      </c>
      <c r="B138" s="59">
        <v>2006</v>
      </c>
      <c r="C138" s="344" t="s">
        <v>91</v>
      </c>
      <c r="D138" s="59">
        <v>2931</v>
      </c>
      <c r="E138" s="344" t="s">
        <v>126</v>
      </c>
      <c r="F138" s="29">
        <v>1</v>
      </c>
      <c r="G138" s="9">
        <v>1</v>
      </c>
      <c r="H138" s="9">
        <v>1</v>
      </c>
      <c r="I138" s="9">
        <v>2</v>
      </c>
      <c r="J138" s="9">
        <v>2</v>
      </c>
      <c r="K138" s="160">
        <f t="shared" si="2"/>
        <v>0.35859414261160716</v>
      </c>
      <c r="L138" s="52" t="s">
        <v>111</v>
      </c>
    </row>
    <row r="139" spans="1:12">
      <c r="A139" s="152" t="s">
        <v>109</v>
      </c>
      <c r="B139" s="59">
        <v>2004</v>
      </c>
      <c r="C139" s="344" t="s">
        <v>97</v>
      </c>
      <c r="D139" s="59">
        <v>2951</v>
      </c>
      <c r="E139" s="344" t="s">
        <v>126</v>
      </c>
      <c r="F139" s="29">
        <v>1</v>
      </c>
      <c r="G139" s="9">
        <v>1</v>
      </c>
      <c r="H139" s="9">
        <v>1</v>
      </c>
      <c r="I139" s="9">
        <v>2</v>
      </c>
      <c r="J139" s="9">
        <v>2</v>
      </c>
      <c r="K139" s="160">
        <f t="shared" si="2"/>
        <v>0.35859414261160716</v>
      </c>
      <c r="L139" s="52" t="s">
        <v>111</v>
      </c>
    </row>
    <row r="140" spans="1:12">
      <c r="A140" s="152" t="s">
        <v>109</v>
      </c>
      <c r="B140" s="59">
        <v>2011</v>
      </c>
      <c r="C140" s="344" t="s">
        <v>91</v>
      </c>
      <c r="D140" s="59">
        <v>2968</v>
      </c>
      <c r="E140" s="344" t="s">
        <v>126</v>
      </c>
      <c r="F140" s="29">
        <v>1</v>
      </c>
      <c r="G140" s="9">
        <v>1</v>
      </c>
      <c r="H140" s="9">
        <v>1</v>
      </c>
      <c r="I140" s="9">
        <v>2</v>
      </c>
      <c r="J140" s="9">
        <v>2</v>
      </c>
      <c r="K140" s="160">
        <f t="shared" si="2"/>
        <v>0.35859414261160716</v>
      </c>
      <c r="L140" s="52" t="s">
        <v>111</v>
      </c>
    </row>
    <row r="141" spans="1:12">
      <c r="A141" s="152" t="s">
        <v>109</v>
      </c>
      <c r="B141" s="59">
        <v>2014</v>
      </c>
      <c r="C141" s="344" t="s">
        <v>93</v>
      </c>
      <c r="D141" s="59">
        <v>3000</v>
      </c>
      <c r="E141" s="344" t="s">
        <v>126</v>
      </c>
      <c r="F141" s="29">
        <v>1</v>
      </c>
      <c r="G141" s="9">
        <v>1</v>
      </c>
      <c r="H141" s="9">
        <v>1</v>
      </c>
      <c r="I141" s="9">
        <v>2</v>
      </c>
      <c r="J141" s="9">
        <v>2</v>
      </c>
      <c r="K141" s="160">
        <f t="shared" si="2"/>
        <v>0.35859414261160716</v>
      </c>
      <c r="L141" s="52" t="s">
        <v>111</v>
      </c>
    </row>
    <row r="142" spans="1:12">
      <c r="A142" s="152" t="s">
        <v>109</v>
      </c>
      <c r="B142" s="59">
        <v>2010</v>
      </c>
      <c r="C142" s="344" t="s">
        <v>91</v>
      </c>
      <c r="D142" s="59">
        <v>3001</v>
      </c>
      <c r="E142" s="344" t="s">
        <v>126</v>
      </c>
      <c r="F142" s="29">
        <v>1</v>
      </c>
      <c r="G142" s="9">
        <v>1</v>
      </c>
      <c r="H142" s="9">
        <v>1</v>
      </c>
      <c r="I142" s="9">
        <v>2</v>
      </c>
      <c r="J142" s="9">
        <v>2</v>
      </c>
      <c r="K142" s="160">
        <f t="shared" si="2"/>
        <v>0.35859414261160716</v>
      </c>
      <c r="L142" s="52" t="s">
        <v>111</v>
      </c>
    </row>
    <row r="143" spans="1:12">
      <c r="A143" s="152" t="s">
        <v>109</v>
      </c>
      <c r="B143" s="59">
        <v>2008</v>
      </c>
      <c r="C143" s="344" t="s">
        <v>91</v>
      </c>
      <c r="D143" s="59">
        <v>3018</v>
      </c>
      <c r="E143" s="344" t="s">
        <v>126</v>
      </c>
      <c r="F143" s="29">
        <v>1</v>
      </c>
      <c r="G143" s="9">
        <v>1</v>
      </c>
      <c r="H143" s="9">
        <v>1</v>
      </c>
      <c r="I143" s="9">
        <v>2</v>
      </c>
      <c r="J143" s="9">
        <v>2</v>
      </c>
      <c r="K143" s="160">
        <f t="shared" si="2"/>
        <v>0.35859414261160716</v>
      </c>
      <c r="L143" s="52" t="s">
        <v>111</v>
      </c>
    </row>
    <row r="144" spans="1:12">
      <c r="A144" s="152" t="s">
        <v>109</v>
      </c>
      <c r="B144" s="59">
        <v>2017</v>
      </c>
      <c r="C144" s="344" t="s">
        <v>97</v>
      </c>
      <c r="D144" s="59">
        <v>3038</v>
      </c>
      <c r="E144" s="344" t="s">
        <v>126</v>
      </c>
      <c r="F144" s="29">
        <v>1</v>
      </c>
      <c r="G144" s="9">
        <v>1</v>
      </c>
      <c r="H144" s="9">
        <v>1</v>
      </c>
      <c r="I144" s="9">
        <v>2</v>
      </c>
      <c r="J144" s="9">
        <v>2</v>
      </c>
      <c r="K144" s="160">
        <f t="shared" si="2"/>
        <v>0.35859414261160716</v>
      </c>
      <c r="L144" s="52" t="s">
        <v>111</v>
      </c>
    </row>
    <row r="145" spans="1:12">
      <c r="A145" s="152" t="s">
        <v>109</v>
      </c>
      <c r="B145" s="59">
        <v>2018</v>
      </c>
      <c r="C145" s="344" t="s">
        <v>97</v>
      </c>
      <c r="D145" s="59">
        <v>3038</v>
      </c>
      <c r="E145" s="344" t="s">
        <v>126</v>
      </c>
      <c r="F145" s="29">
        <v>1</v>
      </c>
      <c r="G145" s="9">
        <v>1</v>
      </c>
      <c r="H145" s="9">
        <v>1</v>
      </c>
      <c r="I145" s="9">
        <v>2</v>
      </c>
      <c r="J145" s="9">
        <v>2</v>
      </c>
      <c r="K145" s="160">
        <f t="shared" si="2"/>
        <v>0.35859414261160716</v>
      </c>
      <c r="L145" s="52" t="s">
        <v>111</v>
      </c>
    </row>
    <row r="146" spans="1:12">
      <c r="A146" s="152" t="s">
        <v>109</v>
      </c>
      <c r="B146" s="59">
        <v>2019</v>
      </c>
      <c r="C146" s="344" t="s">
        <v>97</v>
      </c>
      <c r="D146" s="59">
        <v>3038</v>
      </c>
      <c r="E146" s="344" t="s">
        <v>126</v>
      </c>
      <c r="F146" s="29">
        <v>1</v>
      </c>
      <c r="G146" s="9">
        <v>1</v>
      </c>
      <c r="H146" s="9">
        <v>1</v>
      </c>
      <c r="I146" s="9">
        <v>2</v>
      </c>
      <c r="J146" s="9">
        <v>2</v>
      </c>
      <c r="K146" s="160">
        <f t="shared" si="2"/>
        <v>0.35859414261160716</v>
      </c>
      <c r="L146" s="52" t="s">
        <v>111</v>
      </c>
    </row>
    <row r="147" spans="1:12">
      <c r="A147" s="152" t="s">
        <v>109</v>
      </c>
      <c r="B147" s="59">
        <v>2003</v>
      </c>
      <c r="C147" s="344" t="s">
        <v>93</v>
      </c>
      <c r="D147" s="59">
        <v>3056</v>
      </c>
      <c r="E147" s="344" t="s">
        <v>126</v>
      </c>
      <c r="F147" s="29">
        <v>1</v>
      </c>
      <c r="G147" s="9">
        <v>1</v>
      </c>
      <c r="H147" s="9">
        <v>1</v>
      </c>
      <c r="I147" s="9">
        <v>2</v>
      </c>
      <c r="J147" s="9">
        <v>2</v>
      </c>
      <c r="K147" s="160">
        <f t="shared" si="2"/>
        <v>0.35859414261160716</v>
      </c>
      <c r="L147" s="52" t="s">
        <v>111</v>
      </c>
    </row>
    <row r="148" spans="1:12">
      <c r="A148" s="152" t="s">
        <v>109</v>
      </c>
      <c r="B148" s="59">
        <v>2004</v>
      </c>
      <c r="C148" s="344" t="s">
        <v>93</v>
      </c>
      <c r="D148" s="59">
        <v>3101</v>
      </c>
      <c r="E148" s="344" t="s">
        <v>126</v>
      </c>
      <c r="F148" s="29">
        <v>1</v>
      </c>
      <c r="G148" s="9">
        <v>1</v>
      </c>
      <c r="H148" s="9">
        <v>1</v>
      </c>
      <c r="I148" s="9">
        <v>2</v>
      </c>
      <c r="J148" s="9">
        <v>2</v>
      </c>
      <c r="K148" s="160">
        <f t="shared" si="2"/>
        <v>0.35859414261160716</v>
      </c>
      <c r="L148" s="52" t="s">
        <v>111</v>
      </c>
    </row>
    <row r="149" spans="1:12">
      <c r="A149" s="152" t="s">
        <v>109</v>
      </c>
      <c r="B149" s="59">
        <v>2003</v>
      </c>
      <c r="C149" s="344" t="s">
        <v>97</v>
      </c>
      <c r="D149" s="59">
        <v>3121</v>
      </c>
      <c r="E149" s="344" t="s">
        <v>126</v>
      </c>
      <c r="F149" s="29">
        <v>1</v>
      </c>
      <c r="G149" s="9">
        <v>1</v>
      </c>
      <c r="H149" s="9">
        <v>1</v>
      </c>
      <c r="I149" s="9">
        <v>2</v>
      </c>
      <c r="J149" s="9">
        <v>2</v>
      </c>
      <c r="K149" s="160">
        <f t="shared" si="2"/>
        <v>0.35859414261160716</v>
      </c>
      <c r="L149" s="52" t="s">
        <v>111</v>
      </c>
    </row>
    <row r="150" spans="1:12">
      <c r="A150" s="152" t="s">
        <v>109</v>
      </c>
      <c r="B150" s="59">
        <v>2014</v>
      </c>
      <c r="C150" s="344" t="s">
        <v>97</v>
      </c>
      <c r="D150" s="59">
        <v>3176</v>
      </c>
      <c r="E150" s="344" t="s">
        <v>126</v>
      </c>
      <c r="F150" s="29">
        <v>1</v>
      </c>
      <c r="G150" s="9">
        <v>1</v>
      </c>
      <c r="H150" s="9">
        <v>1</v>
      </c>
      <c r="I150" s="9">
        <v>2</v>
      </c>
      <c r="J150" s="9">
        <v>2</v>
      </c>
      <c r="K150" s="160">
        <f t="shared" si="2"/>
        <v>0.35859414261160716</v>
      </c>
      <c r="L150" s="52" t="s">
        <v>111</v>
      </c>
    </row>
    <row r="151" spans="1:12">
      <c r="A151" s="152" t="s">
        <v>109</v>
      </c>
      <c r="B151" s="59">
        <v>2006</v>
      </c>
      <c r="C151" s="344" t="s">
        <v>97</v>
      </c>
      <c r="D151" s="59">
        <v>3259</v>
      </c>
      <c r="E151" s="344" t="s">
        <v>126</v>
      </c>
      <c r="F151" s="29">
        <v>1</v>
      </c>
      <c r="G151" s="9">
        <v>1</v>
      </c>
      <c r="H151" s="9">
        <v>1</v>
      </c>
      <c r="I151" s="9">
        <v>2</v>
      </c>
      <c r="J151" s="9">
        <v>2</v>
      </c>
      <c r="K151" s="160">
        <f t="shared" si="2"/>
        <v>0.35859414261160716</v>
      </c>
      <c r="L151" s="52" t="s">
        <v>111</v>
      </c>
    </row>
    <row r="152" spans="1:12">
      <c r="A152" s="152" t="s">
        <v>109</v>
      </c>
      <c r="B152" s="59">
        <v>2010</v>
      </c>
      <c r="C152" s="344" t="s">
        <v>97</v>
      </c>
      <c r="D152" s="59">
        <v>3357</v>
      </c>
      <c r="E152" s="344" t="s">
        <v>126</v>
      </c>
      <c r="F152" s="29">
        <v>1</v>
      </c>
      <c r="G152" s="9">
        <v>1</v>
      </c>
      <c r="H152" s="9">
        <v>1</v>
      </c>
      <c r="I152" s="9">
        <v>2</v>
      </c>
      <c r="J152" s="9">
        <v>2</v>
      </c>
      <c r="K152" s="160">
        <f t="shared" si="2"/>
        <v>0.35859414261160716</v>
      </c>
      <c r="L152" s="52" t="s">
        <v>111</v>
      </c>
    </row>
    <row r="153" spans="1:12">
      <c r="A153" s="152" t="s">
        <v>109</v>
      </c>
      <c r="B153" s="59">
        <v>2005</v>
      </c>
      <c r="C153" s="344" t="s">
        <v>93</v>
      </c>
      <c r="D153" s="59">
        <v>3361</v>
      </c>
      <c r="E153" s="344" t="s">
        <v>126</v>
      </c>
      <c r="F153" s="29">
        <v>1</v>
      </c>
      <c r="G153" s="9">
        <v>1</v>
      </c>
      <c r="H153" s="9">
        <v>1</v>
      </c>
      <c r="I153" s="9">
        <v>2</v>
      </c>
      <c r="J153" s="9">
        <v>2</v>
      </c>
      <c r="K153" s="160">
        <f t="shared" si="2"/>
        <v>0.35859414261160716</v>
      </c>
      <c r="L153" s="52" t="s">
        <v>111</v>
      </c>
    </row>
    <row r="154" spans="1:12">
      <c r="A154" s="152" t="s">
        <v>109</v>
      </c>
      <c r="B154" s="59">
        <v>2006</v>
      </c>
      <c r="C154" s="344" t="s">
        <v>93</v>
      </c>
      <c r="D154" s="59">
        <v>3363</v>
      </c>
      <c r="E154" s="344" t="s">
        <v>126</v>
      </c>
      <c r="F154" s="29">
        <v>1</v>
      </c>
      <c r="G154" s="9">
        <v>1</v>
      </c>
      <c r="H154" s="9">
        <v>1</v>
      </c>
      <c r="I154" s="9">
        <v>2</v>
      </c>
      <c r="J154" s="9">
        <v>2</v>
      </c>
      <c r="K154" s="160">
        <f t="shared" si="2"/>
        <v>0.35859414261160716</v>
      </c>
      <c r="L154" s="52" t="s">
        <v>111</v>
      </c>
    </row>
    <row r="155" spans="1:12">
      <c r="A155" s="152" t="s">
        <v>109</v>
      </c>
      <c r="B155" s="59">
        <v>2009</v>
      </c>
      <c r="C155" s="344" t="s">
        <v>97</v>
      </c>
      <c r="D155" s="59">
        <v>3427</v>
      </c>
      <c r="E155" s="344" t="s">
        <v>126</v>
      </c>
      <c r="F155" s="29">
        <v>1</v>
      </c>
      <c r="G155" s="9">
        <v>1</v>
      </c>
      <c r="H155" s="9">
        <v>1</v>
      </c>
      <c r="I155" s="9">
        <v>2</v>
      </c>
      <c r="J155" s="9">
        <v>2</v>
      </c>
      <c r="K155" s="160">
        <f t="shared" si="2"/>
        <v>0.35859414261160716</v>
      </c>
      <c r="L155" s="52" t="s">
        <v>111</v>
      </c>
    </row>
    <row r="156" spans="1:12">
      <c r="A156" s="152" t="s">
        <v>109</v>
      </c>
      <c r="B156" s="59">
        <v>2005</v>
      </c>
      <c r="C156" s="344" t="s">
        <v>97</v>
      </c>
      <c r="D156" s="59">
        <v>3495</v>
      </c>
      <c r="E156" s="344" t="s">
        <v>126</v>
      </c>
      <c r="F156" s="29">
        <v>1</v>
      </c>
      <c r="G156" s="9">
        <v>1</v>
      </c>
      <c r="H156" s="9">
        <v>1</v>
      </c>
      <c r="I156" s="9">
        <v>2</v>
      </c>
      <c r="J156" s="9">
        <v>2</v>
      </c>
      <c r="K156" s="160">
        <f t="shared" si="2"/>
        <v>0.35859414261160716</v>
      </c>
      <c r="L156" s="52" t="s">
        <v>111</v>
      </c>
    </row>
    <row r="157" spans="1:12">
      <c r="A157" s="152" t="s">
        <v>109</v>
      </c>
      <c r="B157" s="59">
        <v>2021</v>
      </c>
      <c r="C157" s="344" t="s">
        <v>93</v>
      </c>
      <c r="D157" s="59">
        <v>3554</v>
      </c>
      <c r="E157" s="344" t="s">
        <v>126</v>
      </c>
      <c r="F157" s="29">
        <v>1</v>
      </c>
      <c r="G157" s="9">
        <v>1</v>
      </c>
      <c r="H157" s="9">
        <v>1</v>
      </c>
      <c r="I157" s="9">
        <v>2</v>
      </c>
      <c r="J157" s="9">
        <v>2</v>
      </c>
      <c r="K157" s="160">
        <f t="shared" si="2"/>
        <v>0.35859414261160716</v>
      </c>
      <c r="L157" s="52" t="s">
        <v>111</v>
      </c>
    </row>
    <row r="158" spans="1:12">
      <c r="A158" s="152" t="s">
        <v>109</v>
      </c>
      <c r="B158" s="59">
        <v>2012</v>
      </c>
      <c r="C158" s="344" t="s">
        <v>93</v>
      </c>
      <c r="D158" s="59">
        <v>3589</v>
      </c>
      <c r="E158" s="344" t="s">
        <v>126</v>
      </c>
      <c r="F158" s="29">
        <v>1</v>
      </c>
      <c r="G158" s="9">
        <v>1</v>
      </c>
      <c r="H158" s="9">
        <v>1</v>
      </c>
      <c r="I158" s="9">
        <v>2</v>
      </c>
      <c r="J158" s="9">
        <v>2</v>
      </c>
      <c r="K158" s="160">
        <f t="shared" si="2"/>
        <v>0.35859414261160716</v>
      </c>
      <c r="L158" s="52" t="s">
        <v>111</v>
      </c>
    </row>
    <row r="159" spans="1:12">
      <c r="A159" s="152" t="s">
        <v>109</v>
      </c>
      <c r="B159" s="59">
        <v>2007</v>
      </c>
      <c r="C159" s="344" t="s">
        <v>97</v>
      </c>
      <c r="D159" s="59">
        <v>3778</v>
      </c>
      <c r="E159" s="344" t="s">
        <v>126</v>
      </c>
      <c r="F159" s="29">
        <v>1</v>
      </c>
      <c r="G159" s="9">
        <v>1</v>
      </c>
      <c r="H159" s="9">
        <v>1</v>
      </c>
      <c r="I159" s="9">
        <v>2</v>
      </c>
      <c r="J159" s="9">
        <v>2</v>
      </c>
      <c r="K159" s="160">
        <f t="shared" si="2"/>
        <v>0.35859414261160716</v>
      </c>
      <c r="L159" s="52" t="s">
        <v>111</v>
      </c>
    </row>
    <row r="160" spans="1:12">
      <c r="A160" s="152" t="s">
        <v>109</v>
      </c>
      <c r="B160" s="59">
        <v>2011</v>
      </c>
      <c r="C160" s="344" t="s">
        <v>97</v>
      </c>
      <c r="D160" s="59">
        <v>3791</v>
      </c>
      <c r="E160" s="344" t="s">
        <v>126</v>
      </c>
      <c r="F160" s="29">
        <v>1</v>
      </c>
      <c r="G160" s="9">
        <v>1</v>
      </c>
      <c r="H160" s="9">
        <v>1</v>
      </c>
      <c r="I160" s="9">
        <v>2</v>
      </c>
      <c r="J160" s="9">
        <v>2</v>
      </c>
      <c r="K160" s="160">
        <f t="shared" si="2"/>
        <v>0.35859414261160716</v>
      </c>
      <c r="L160" s="52" t="s">
        <v>111</v>
      </c>
    </row>
    <row r="161" spans="1:12">
      <c r="A161" s="152" t="s">
        <v>109</v>
      </c>
      <c r="B161" s="59">
        <v>2020</v>
      </c>
      <c r="C161" s="344" t="s">
        <v>93</v>
      </c>
      <c r="D161" s="59">
        <v>3825</v>
      </c>
      <c r="E161" s="344" t="s">
        <v>126</v>
      </c>
      <c r="F161" s="29">
        <v>1</v>
      </c>
      <c r="G161" s="9">
        <v>1</v>
      </c>
      <c r="H161" s="9">
        <v>1</v>
      </c>
      <c r="I161" s="9">
        <v>2</v>
      </c>
      <c r="J161" s="9">
        <v>2</v>
      </c>
      <c r="K161" s="160">
        <f t="shared" si="2"/>
        <v>0.35859414261160716</v>
      </c>
      <c r="L161" s="52" t="s">
        <v>111</v>
      </c>
    </row>
    <row r="162" spans="1:12">
      <c r="A162" s="152" t="s">
        <v>109</v>
      </c>
      <c r="B162" s="59">
        <v>2008</v>
      </c>
      <c r="C162" s="344" t="s">
        <v>97</v>
      </c>
      <c r="D162" s="59">
        <v>4175</v>
      </c>
      <c r="E162" s="344" t="s">
        <v>126</v>
      </c>
      <c r="F162" s="29">
        <v>1</v>
      </c>
      <c r="G162" s="9">
        <v>1</v>
      </c>
      <c r="H162" s="9">
        <v>1</v>
      </c>
      <c r="I162" s="9">
        <v>2</v>
      </c>
      <c r="J162" s="9">
        <v>2</v>
      </c>
      <c r="K162" s="160">
        <f t="shared" si="2"/>
        <v>0.35859414261160716</v>
      </c>
      <c r="L162" s="52" t="s">
        <v>111</v>
      </c>
    </row>
    <row r="163" spans="1:12">
      <c r="A163" s="152" t="s">
        <v>109</v>
      </c>
      <c r="B163" s="59">
        <v>2005</v>
      </c>
      <c r="C163" s="344" t="s">
        <v>91</v>
      </c>
      <c r="D163" s="59">
        <v>4447</v>
      </c>
      <c r="E163" s="344" t="s">
        <v>126</v>
      </c>
      <c r="F163" s="29">
        <v>1</v>
      </c>
      <c r="G163" s="9">
        <v>1</v>
      </c>
      <c r="H163" s="9">
        <v>1</v>
      </c>
      <c r="I163" s="9">
        <v>2</v>
      </c>
      <c r="J163" s="9">
        <v>2</v>
      </c>
      <c r="K163" s="160">
        <f t="shared" si="2"/>
        <v>0.35859414261160716</v>
      </c>
      <c r="L163" s="52" t="s">
        <v>111</v>
      </c>
    </row>
    <row r="164" spans="1:12">
      <c r="A164" s="152" t="s">
        <v>109</v>
      </c>
      <c r="B164" s="59">
        <v>2009</v>
      </c>
      <c r="C164" s="344" t="s">
        <v>86</v>
      </c>
      <c r="D164" s="59">
        <v>5551</v>
      </c>
      <c r="E164" s="344" t="s">
        <v>126</v>
      </c>
      <c r="F164" s="29">
        <v>1</v>
      </c>
      <c r="G164" s="9">
        <v>1</v>
      </c>
      <c r="H164" s="9">
        <v>1</v>
      </c>
      <c r="I164" s="9">
        <v>2</v>
      </c>
      <c r="J164" s="9">
        <v>2</v>
      </c>
      <c r="K164" s="160">
        <f t="shared" si="2"/>
        <v>0.35859414261160716</v>
      </c>
      <c r="L164" s="52" t="s">
        <v>111</v>
      </c>
    </row>
    <row r="165" spans="1:12">
      <c r="A165" s="152" t="s">
        <v>109</v>
      </c>
      <c r="B165" s="59">
        <v>2006</v>
      </c>
      <c r="C165" s="344" t="s">
        <v>86</v>
      </c>
      <c r="D165" s="59">
        <v>5682</v>
      </c>
      <c r="E165" s="344" t="s">
        <v>126</v>
      </c>
      <c r="F165" s="29">
        <v>1</v>
      </c>
      <c r="G165" s="9">
        <v>1</v>
      </c>
      <c r="H165" s="9">
        <v>1</v>
      </c>
      <c r="I165" s="9">
        <v>2</v>
      </c>
      <c r="J165" s="9">
        <v>2</v>
      </c>
      <c r="K165" s="160">
        <f t="shared" si="2"/>
        <v>0.35859414261160716</v>
      </c>
      <c r="L165" s="52" t="s">
        <v>111</v>
      </c>
    </row>
    <row r="166" spans="1:12">
      <c r="A166" s="152" t="s">
        <v>109</v>
      </c>
      <c r="B166" s="59">
        <v>2010</v>
      </c>
      <c r="C166" s="344" t="s">
        <v>86</v>
      </c>
      <c r="D166" s="59">
        <v>5687</v>
      </c>
      <c r="E166" s="344" t="s">
        <v>126</v>
      </c>
      <c r="F166" s="29">
        <v>1</v>
      </c>
      <c r="G166" s="9">
        <v>1</v>
      </c>
      <c r="H166" s="9">
        <v>1</v>
      </c>
      <c r="I166" s="9">
        <v>2</v>
      </c>
      <c r="J166" s="9">
        <v>2</v>
      </c>
      <c r="K166" s="160">
        <f t="shared" si="2"/>
        <v>0.35859414261160716</v>
      </c>
      <c r="L166" s="52" t="s">
        <v>111</v>
      </c>
    </row>
    <row r="167" spans="1:12">
      <c r="A167" s="152" t="s">
        <v>109</v>
      </c>
      <c r="B167" s="59">
        <v>2008</v>
      </c>
      <c r="C167" s="344" t="s">
        <v>86</v>
      </c>
      <c r="D167" s="59">
        <v>5693</v>
      </c>
      <c r="E167" s="344" t="s">
        <v>126</v>
      </c>
      <c r="F167" s="29">
        <v>1</v>
      </c>
      <c r="G167" s="9">
        <v>1</v>
      </c>
      <c r="H167" s="9">
        <v>1</v>
      </c>
      <c r="I167" s="9">
        <v>2</v>
      </c>
      <c r="J167" s="9">
        <v>2</v>
      </c>
      <c r="K167" s="160">
        <f t="shared" si="2"/>
        <v>0.35859414261160716</v>
      </c>
      <c r="L167" s="52" t="s">
        <v>111</v>
      </c>
    </row>
    <row r="168" spans="1:12">
      <c r="A168" s="152" t="s">
        <v>109</v>
      </c>
      <c r="B168" s="59">
        <v>2016</v>
      </c>
      <c r="C168" s="344" t="s">
        <v>86</v>
      </c>
      <c r="D168" s="59">
        <v>5815</v>
      </c>
      <c r="E168" s="344" t="s">
        <v>126</v>
      </c>
      <c r="F168" s="29">
        <v>1</v>
      </c>
      <c r="G168" s="9">
        <v>1</v>
      </c>
      <c r="H168" s="9">
        <v>1</v>
      </c>
      <c r="I168" s="9">
        <v>2</v>
      </c>
      <c r="J168" s="9">
        <v>2</v>
      </c>
      <c r="K168" s="160">
        <f t="shared" si="2"/>
        <v>0.35859414261160716</v>
      </c>
      <c r="L168" s="52" t="s">
        <v>111</v>
      </c>
    </row>
    <row r="169" spans="1:12">
      <c r="A169" s="152" t="s">
        <v>109</v>
      </c>
      <c r="B169" s="59">
        <v>2005</v>
      </c>
      <c r="C169" s="344" t="s">
        <v>86</v>
      </c>
      <c r="D169" s="59">
        <v>5841</v>
      </c>
      <c r="E169" s="344" t="s">
        <v>126</v>
      </c>
      <c r="F169" s="29">
        <v>1</v>
      </c>
      <c r="G169" s="9">
        <v>1</v>
      </c>
      <c r="H169" s="9">
        <v>1</v>
      </c>
      <c r="I169" s="9">
        <v>2</v>
      </c>
      <c r="J169" s="9">
        <v>2</v>
      </c>
      <c r="K169" s="160">
        <f t="shared" si="2"/>
        <v>0.35859414261160716</v>
      </c>
      <c r="L169" s="52" t="s">
        <v>111</v>
      </c>
    </row>
    <row r="170" spans="1:12">
      <c r="A170" s="152" t="s">
        <v>109</v>
      </c>
      <c r="B170" s="59">
        <v>2004</v>
      </c>
      <c r="C170" s="344" t="s">
        <v>86</v>
      </c>
      <c r="D170" s="59">
        <v>5842</v>
      </c>
      <c r="E170" s="344" t="s">
        <v>126</v>
      </c>
      <c r="F170" s="29">
        <v>1</v>
      </c>
      <c r="G170" s="9">
        <v>1</v>
      </c>
      <c r="H170" s="9">
        <v>1</v>
      </c>
      <c r="I170" s="9">
        <v>2</v>
      </c>
      <c r="J170" s="9">
        <v>2</v>
      </c>
      <c r="K170" s="160">
        <f t="shared" si="2"/>
        <v>0.35859414261160716</v>
      </c>
      <c r="L170" s="52" t="s">
        <v>111</v>
      </c>
    </row>
    <row r="171" spans="1:12">
      <c r="A171" s="152" t="s">
        <v>109</v>
      </c>
      <c r="B171" s="59">
        <v>2015</v>
      </c>
      <c r="C171" s="344" t="s">
        <v>86</v>
      </c>
      <c r="D171" s="59">
        <v>5847</v>
      </c>
      <c r="E171" s="344" t="s">
        <v>126</v>
      </c>
      <c r="F171" s="29">
        <v>1</v>
      </c>
      <c r="G171" s="9">
        <v>1</v>
      </c>
      <c r="H171" s="9">
        <v>1</v>
      </c>
      <c r="I171" s="9">
        <v>2</v>
      </c>
      <c r="J171" s="9">
        <v>2</v>
      </c>
      <c r="K171" s="160">
        <f t="shared" si="2"/>
        <v>0.35859414261160716</v>
      </c>
      <c r="L171" s="52" t="s">
        <v>111</v>
      </c>
    </row>
    <row r="172" spans="1:12">
      <c r="A172" s="152" t="s">
        <v>109</v>
      </c>
      <c r="B172" s="59">
        <v>2011</v>
      </c>
      <c r="C172" s="344" t="s">
        <v>86</v>
      </c>
      <c r="D172" s="59">
        <v>5883</v>
      </c>
      <c r="E172" s="344" t="s">
        <v>126</v>
      </c>
      <c r="F172" s="29">
        <v>1</v>
      </c>
      <c r="G172" s="9">
        <v>1</v>
      </c>
      <c r="H172" s="9">
        <v>1</v>
      </c>
      <c r="I172" s="9">
        <v>2</v>
      </c>
      <c r="J172" s="9">
        <v>2</v>
      </c>
      <c r="K172" s="160">
        <f t="shared" si="2"/>
        <v>0.35859414261160716</v>
      </c>
      <c r="L172" s="52" t="s">
        <v>111</v>
      </c>
    </row>
    <row r="173" spans="1:12">
      <c r="A173" s="152" t="s">
        <v>109</v>
      </c>
      <c r="B173" s="59">
        <v>2008</v>
      </c>
      <c r="C173" s="344" t="s">
        <v>90</v>
      </c>
      <c r="D173" s="59">
        <v>5913</v>
      </c>
      <c r="E173" s="344" t="s">
        <v>126</v>
      </c>
      <c r="F173" s="29">
        <v>1</v>
      </c>
      <c r="G173" s="9">
        <v>1</v>
      </c>
      <c r="H173" s="9">
        <v>1</v>
      </c>
      <c r="I173" s="9">
        <v>2</v>
      </c>
      <c r="J173" s="9">
        <v>2</v>
      </c>
      <c r="K173" s="160">
        <f t="shared" si="2"/>
        <v>0.35859414261160716</v>
      </c>
      <c r="L173" s="52" t="s">
        <v>111</v>
      </c>
    </row>
    <row r="174" spans="1:12">
      <c r="A174" s="152" t="s">
        <v>109</v>
      </c>
      <c r="B174" s="59">
        <v>2010</v>
      </c>
      <c r="C174" s="344" t="s">
        <v>90</v>
      </c>
      <c r="D174" s="59">
        <v>5949</v>
      </c>
      <c r="E174" s="344" t="s">
        <v>126</v>
      </c>
      <c r="F174" s="29">
        <v>1</v>
      </c>
      <c r="G174" s="9">
        <v>1</v>
      </c>
      <c r="H174" s="9">
        <v>1</v>
      </c>
      <c r="I174" s="9">
        <v>2</v>
      </c>
      <c r="J174" s="9">
        <v>2</v>
      </c>
      <c r="K174" s="160">
        <f t="shared" si="2"/>
        <v>0.35859414261160716</v>
      </c>
      <c r="L174" s="52" t="s">
        <v>111</v>
      </c>
    </row>
    <row r="175" spans="1:12">
      <c r="A175" s="152" t="s">
        <v>109</v>
      </c>
      <c r="B175" s="59">
        <v>2003</v>
      </c>
      <c r="C175" s="344" t="s">
        <v>86</v>
      </c>
      <c r="D175" s="59">
        <v>5967</v>
      </c>
      <c r="E175" s="344" t="s">
        <v>126</v>
      </c>
      <c r="F175" s="29">
        <v>1</v>
      </c>
      <c r="G175" s="9">
        <v>1</v>
      </c>
      <c r="H175" s="9">
        <v>1</v>
      </c>
      <c r="I175" s="9">
        <v>2</v>
      </c>
      <c r="J175" s="9">
        <v>2</v>
      </c>
      <c r="K175" s="160">
        <f t="shared" si="2"/>
        <v>0.35859414261160716</v>
      </c>
      <c r="L175" s="52" t="s">
        <v>111</v>
      </c>
    </row>
    <row r="176" spans="1:12">
      <c r="A176" s="152" t="s">
        <v>109</v>
      </c>
      <c r="B176" s="59">
        <v>2016</v>
      </c>
      <c r="C176" s="344" t="s">
        <v>90</v>
      </c>
      <c r="D176" s="59">
        <v>5989</v>
      </c>
      <c r="E176" s="344" t="s">
        <v>126</v>
      </c>
      <c r="F176" s="29">
        <v>1</v>
      </c>
      <c r="G176" s="9">
        <v>1</v>
      </c>
      <c r="H176" s="9">
        <v>1</v>
      </c>
      <c r="I176" s="9">
        <v>2</v>
      </c>
      <c r="J176" s="9">
        <v>2</v>
      </c>
      <c r="K176" s="160">
        <f t="shared" si="2"/>
        <v>0.35859414261160716</v>
      </c>
      <c r="L176" s="52" t="s">
        <v>111</v>
      </c>
    </row>
    <row r="177" spans="1:12">
      <c r="A177" s="152" t="s">
        <v>109</v>
      </c>
      <c r="B177" s="59">
        <v>2017</v>
      </c>
      <c r="C177" s="344" t="s">
        <v>86</v>
      </c>
      <c r="D177" s="59">
        <v>6009</v>
      </c>
      <c r="E177" s="344" t="s">
        <v>126</v>
      </c>
      <c r="F177" s="29">
        <v>1</v>
      </c>
      <c r="G177" s="9">
        <v>1</v>
      </c>
      <c r="H177" s="9">
        <v>1</v>
      </c>
      <c r="I177" s="9">
        <v>2</v>
      </c>
      <c r="J177" s="9">
        <v>2</v>
      </c>
      <c r="K177" s="160">
        <f t="shared" si="2"/>
        <v>0.35859414261160716</v>
      </c>
      <c r="L177" s="52" t="s">
        <v>111</v>
      </c>
    </row>
    <row r="178" spans="1:12">
      <c r="A178" s="152" t="s">
        <v>109</v>
      </c>
      <c r="B178" s="59">
        <v>2018</v>
      </c>
      <c r="C178" s="344" t="s">
        <v>86</v>
      </c>
      <c r="D178" s="59">
        <v>6009</v>
      </c>
      <c r="E178" s="344" t="s">
        <v>126</v>
      </c>
      <c r="F178" s="29">
        <v>1</v>
      </c>
      <c r="G178" s="9">
        <v>1</v>
      </c>
      <c r="H178" s="9">
        <v>1</v>
      </c>
      <c r="I178" s="9">
        <v>2</v>
      </c>
      <c r="J178" s="9">
        <v>2</v>
      </c>
      <c r="K178" s="160">
        <f t="shared" si="2"/>
        <v>0.35859414261160716</v>
      </c>
      <c r="L178" s="52" t="s">
        <v>111</v>
      </c>
    </row>
    <row r="179" spans="1:12">
      <c r="A179" s="152" t="s">
        <v>109</v>
      </c>
      <c r="B179" s="59">
        <v>2019</v>
      </c>
      <c r="C179" s="344" t="s">
        <v>86</v>
      </c>
      <c r="D179" s="59">
        <v>6009</v>
      </c>
      <c r="E179" s="344" t="s">
        <v>126</v>
      </c>
      <c r="F179" s="29">
        <v>1</v>
      </c>
      <c r="G179" s="9">
        <v>1</v>
      </c>
      <c r="H179" s="9">
        <v>1</v>
      </c>
      <c r="I179" s="9">
        <v>2</v>
      </c>
      <c r="J179" s="9">
        <v>2</v>
      </c>
      <c r="K179" s="160">
        <f t="shared" si="2"/>
        <v>0.35859414261160716</v>
      </c>
      <c r="L179" s="52" t="s">
        <v>111</v>
      </c>
    </row>
    <row r="180" spans="1:12">
      <c r="A180" s="152" t="s">
        <v>109</v>
      </c>
      <c r="B180" s="59">
        <v>2009</v>
      </c>
      <c r="C180" s="344" t="s">
        <v>90</v>
      </c>
      <c r="D180" s="59">
        <v>6033</v>
      </c>
      <c r="E180" s="344" t="s">
        <v>126</v>
      </c>
      <c r="F180" s="29">
        <v>1</v>
      </c>
      <c r="G180" s="9">
        <v>1</v>
      </c>
      <c r="H180" s="9">
        <v>1</v>
      </c>
      <c r="I180" s="9">
        <v>2</v>
      </c>
      <c r="J180" s="9">
        <v>2</v>
      </c>
      <c r="K180" s="160">
        <f t="shared" si="2"/>
        <v>0.35859414261160716</v>
      </c>
      <c r="L180" s="52" t="s">
        <v>111</v>
      </c>
    </row>
    <row r="181" spans="1:12">
      <c r="A181" s="152" t="s">
        <v>109</v>
      </c>
      <c r="B181" s="59">
        <v>2014</v>
      </c>
      <c r="C181" s="344" t="s">
        <v>86</v>
      </c>
      <c r="D181" s="59">
        <v>6150</v>
      </c>
      <c r="E181" s="344" t="s">
        <v>126</v>
      </c>
      <c r="F181" s="29">
        <v>1</v>
      </c>
      <c r="G181" s="9">
        <v>1</v>
      </c>
      <c r="H181" s="9">
        <v>1</v>
      </c>
      <c r="I181" s="9">
        <v>2</v>
      </c>
      <c r="J181" s="9">
        <v>2</v>
      </c>
      <c r="K181" s="160">
        <f t="shared" si="2"/>
        <v>0.35859414261160716</v>
      </c>
      <c r="L181" s="52" t="s">
        <v>111</v>
      </c>
    </row>
    <row r="182" spans="1:12">
      <c r="A182" s="152" t="s">
        <v>109</v>
      </c>
      <c r="B182" s="59">
        <v>2007</v>
      </c>
      <c r="C182" s="344" t="s">
        <v>86</v>
      </c>
      <c r="D182" s="59">
        <v>6232</v>
      </c>
      <c r="E182" s="344" t="s">
        <v>126</v>
      </c>
      <c r="F182" s="29">
        <v>1</v>
      </c>
      <c r="G182" s="9">
        <v>1</v>
      </c>
      <c r="H182" s="9">
        <v>1</v>
      </c>
      <c r="I182" s="9">
        <v>2</v>
      </c>
      <c r="J182" s="9">
        <v>2</v>
      </c>
      <c r="K182" s="160">
        <f t="shared" si="2"/>
        <v>0.35859414261160716</v>
      </c>
      <c r="L182" s="52" t="s">
        <v>111</v>
      </c>
    </row>
    <row r="183" spans="1:12">
      <c r="A183" s="152" t="s">
        <v>109</v>
      </c>
      <c r="B183" s="59">
        <v>2011</v>
      </c>
      <c r="C183" s="344" t="s">
        <v>90</v>
      </c>
      <c r="D183" s="59">
        <v>6241</v>
      </c>
      <c r="E183" s="344" t="s">
        <v>126</v>
      </c>
      <c r="F183" s="29">
        <v>1</v>
      </c>
      <c r="G183" s="9">
        <v>1</v>
      </c>
      <c r="H183" s="9">
        <v>1</v>
      </c>
      <c r="I183" s="9">
        <v>2</v>
      </c>
      <c r="J183" s="9">
        <v>2</v>
      </c>
      <c r="K183" s="160">
        <f t="shared" si="2"/>
        <v>0.35859414261160716</v>
      </c>
      <c r="L183" s="52" t="s">
        <v>111</v>
      </c>
    </row>
    <row r="184" spans="1:12">
      <c r="A184" s="152" t="s">
        <v>109</v>
      </c>
      <c r="B184" s="59">
        <v>2007</v>
      </c>
      <c r="C184" s="344" t="s">
        <v>90</v>
      </c>
      <c r="D184" s="59">
        <v>6337</v>
      </c>
      <c r="E184" s="344" t="s">
        <v>126</v>
      </c>
      <c r="F184" s="29">
        <v>1</v>
      </c>
      <c r="G184" s="9">
        <v>1</v>
      </c>
      <c r="H184" s="9">
        <v>1</v>
      </c>
      <c r="I184" s="9">
        <v>2</v>
      </c>
      <c r="J184" s="9">
        <v>2</v>
      </c>
      <c r="K184" s="160">
        <f t="shared" si="2"/>
        <v>0.35859414261160716</v>
      </c>
      <c r="L184" s="52" t="s">
        <v>111</v>
      </c>
    </row>
    <row r="185" spans="1:12">
      <c r="A185" s="152" t="s">
        <v>109</v>
      </c>
      <c r="B185" s="59">
        <v>2020</v>
      </c>
      <c r="C185" s="344" t="s">
        <v>86</v>
      </c>
      <c r="D185" s="59">
        <v>6387</v>
      </c>
      <c r="E185" s="344" t="s">
        <v>126</v>
      </c>
      <c r="F185" s="29">
        <v>1</v>
      </c>
      <c r="G185" s="9">
        <v>1</v>
      </c>
      <c r="H185" s="9">
        <v>1</v>
      </c>
      <c r="I185" s="9">
        <v>2</v>
      </c>
      <c r="J185" s="9">
        <v>2</v>
      </c>
      <c r="K185" s="160">
        <f t="shared" ref="K185:K248" si="3">IF( OR( ISBLANK(F185),ISBLANK(G185), ISBLANK(H185), ISBLANK(I185), ISBLANK(J185) ), "", 1.5*SQRT(   EXP(2.21*(F185-1)) + EXP(2.21*(G185-1)) + EXP(2.21*(H185-1)) + EXP(2.21*(I185-1)) + EXP(2.21*J185)   )/100*2.45 )</f>
        <v>0.35859414261160716</v>
      </c>
      <c r="L185" s="52" t="s">
        <v>111</v>
      </c>
    </row>
    <row r="186" spans="1:12">
      <c r="A186" s="152" t="s">
        <v>109</v>
      </c>
      <c r="B186" s="59">
        <v>2012</v>
      </c>
      <c r="C186" s="344" t="s">
        <v>86</v>
      </c>
      <c r="D186" s="59">
        <v>6391</v>
      </c>
      <c r="E186" s="344" t="s">
        <v>126</v>
      </c>
      <c r="F186" s="29">
        <v>1</v>
      </c>
      <c r="G186" s="9">
        <v>1</v>
      </c>
      <c r="H186" s="9">
        <v>1</v>
      </c>
      <c r="I186" s="9">
        <v>2</v>
      </c>
      <c r="J186" s="9">
        <v>2</v>
      </c>
      <c r="K186" s="160">
        <f t="shared" si="3"/>
        <v>0.35859414261160716</v>
      </c>
      <c r="L186" s="52" t="s">
        <v>111</v>
      </c>
    </row>
    <row r="187" spans="1:12">
      <c r="A187" s="152" t="s">
        <v>109</v>
      </c>
      <c r="B187" s="59">
        <v>2013</v>
      </c>
      <c r="C187" s="344" t="s">
        <v>86</v>
      </c>
      <c r="D187" s="59">
        <v>6464</v>
      </c>
      <c r="E187" s="344" t="s">
        <v>126</v>
      </c>
      <c r="F187" s="29">
        <v>1</v>
      </c>
      <c r="G187" s="9">
        <v>1</v>
      </c>
      <c r="H187" s="9">
        <v>1</v>
      </c>
      <c r="I187" s="9">
        <v>2</v>
      </c>
      <c r="J187" s="9">
        <v>2</v>
      </c>
      <c r="K187" s="160">
        <f t="shared" si="3"/>
        <v>0.35859414261160716</v>
      </c>
      <c r="L187" s="52" t="s">
        <v>111</v>
      </c>
    </row>
    <row r="188" spans="1:12">
      <c r="A188" s="152" t="s">
        <v>109</v>
      </c>
      <c r="B188" s="59">
        <v>2006</v>
      </c>
      <c r="C188" s="344" t="s">
        <v>90</v>
      </c>
      <c r="D188" s="59">
        <v>6599</v>
      </c>
      <c r="E188" s="344" t="s">
        <v>126</v>
      </c>
      <c r="F188" s="29">
        <v>1</v>
      </c>
      <c r="G188" s="9">
        <v>1</v>
      </c>
      <c r="H188" s="9">
        <v>1</v>
      </c>
      <c r="I188" s="9">
        <v>2</v>
      </c>
      <c r="J188" s="9">
        <v>2</v>
      </c>
      <c r="K188" s="160">
        <f t="shared" si="3"/>
        <v>0.35859414261160716</v>
      </c>
      <c r="L188" s="52" t="s">
        <v>111</v>
      </c>
    </row>
    <row r="189" spans="1:12">
      <c r="A189" s="152" t="s">
        <v>109</v>
      </c>
      <c r="B189" s="59">
        <v>2003</v>
      </c>
      <c r="C189" s="344" t="s">
        <v>90</v>
      </c>
      <c r="D189" s="59">
        <v>6604</v>
      </c>
      <c r="E189" s="344" t="s">
        <v>126</v>
      </c>
      <c r="F189" s="29">
        <v>1</v>
      </c>
      <c r="G189" s="9">
        <v>1</v>
      </c>
      <c r="H189" s="9">
        <v>1</v>
      </c>
      <c r="I189" s="9">
        <v>2</v>
      </c>
      <c r="J189" s="9">
        <v>2</v>
      </c>
      <c r="K189" s="160">
        <f t="shared" si="3"/>
        <v>0.35859414261160716</v>
      </c>
      <c r="L189" s="52" t="s">
        <v>111</v>
      </c>
    </row>
    <row r="190" spans="1:12">
      <c r="A190" s="152" t="s">
        <v>109</v>
      </c>
      <c r="B190" s="59">
        <v>2005</v>
      </c>
      <c r="C190" s="344" t="s">
        <v>90</v>
      </c>
      <c r="D190" s="59">
        <v>6608</v>
      </c>
      <c r="E190" s="344" t="s">
        <v>126</v>
      </c>
      <c r="F190" s="29">
        <v>1</v>
      </c>
      <c r="G190" s="9">
        <v>1</v>
      </c>
      <c r="H190" s="9">
        <v>1</v>
      </c>
      <c r="I190" s="9">
        <v>2</v>
      </c>
      <c r="J190" s="9">
        <v>2</v>
      </c>
      <c r="K190" s="160">
        <f t="shared" si="3"/>
        <v>0.35859414261160716</v>
      </c>
      <c r="L190" s="52" t="s">
        <v>111</v>
      </c>
    </row>
    <row r="191" spans="1:12">
      <c r="A191" s="152" t="s">
        <v>109</v>
      </c>
      <c r="B191" s="59">
        <v>2021</v>
      </c>
      <c r="C191" s="344" t="s">
        <v>86</v>
      </c>
      <c r="D191" s="59">
        <v>6722</v>
      </c>
      <c r="E191" s="344" t="s">
        <v>126</v>
      </c>
      <c r="F191" s="29">
        <v>1</v>
      </c>
      <c r="G191" s="9">
        <v>1</v>
      </c>
      <c r="H191" s="9">
        <v>1</v>
      </c>
      <c r="I191" s="9">
        <v>2</v>
      </c>
      <c r="J191" s="9">
        <v>2</v>
      </c>
      <c r="K191" s="160">
        <f t="shared" si="3"/>
        <v>0.35859414261160716</v>
      </c>
      <c r="L191" s="52" t="s">
        <v>111</v>
      </c>
    </row>
    <row r="192" spans="1:12">
      <c r="A192" s="152" t="s">
        <v>109</v>
      </c>
      <c r="B192" s="59">
        <v>2013</v>
      </c>
      <c r="C192" s="344" t="s">
        <v>90</v>
      </c>
      <c r="D192" s="59">
        <v>6758</v>
      </c>
      <c r="E192" s="344" t="s">
        <v>126</v>
      </c>
      <c r="F192" s="29">
        <v>1</v>
      </c>
      <c r="G192" s="9">
        <v>1</v>
      </c>
      <c r="H192" s="9">
        <v>1</v>
      </c>
      <c r="I192" s="9">
        <v>2</v>
      </c>
      <c r="J192" s="9">
        <v>2</v>
      </c>
      <c r="K192" s="160">
        <f t="shared" si="3"/>
        <v>0.35859414261160716</v>
      </c>
      <c r="L192" s="52" t="s">
        <v>111</v>
      </c>
    </row>
    <row r="193" spans="1:12">
      <c r="A193" s="152" t="s">
        <v>109</v>
      </c>
      <c r="B193" s="59">
        <v>2004</v>
      </c>
      <c r="C193" s="344" t="s">
        <v>90</v>
      </c>
      <c r="D193" s="59">
        <v>6777</v>
      </c>
      <c r="E193" s="344" t="s">
        <v>126</v>
      </c>
      <c r="F193" s="29">
        <v>1</v>
      </c>
      <c r="G193" s="9">
        <v>1</v>
      </c>
      <c r="H193" s="9">
        <v>1</v>
      </c>
      <c r="I193" s="9">
        <v>2</v>
      </c>
      <c r="J193" s="9">
        <v>2</v>
      </c>
      <c r="K193" s="160">
        <f t="shared" si="3"/>
        <v>0.35859414261160716</v>
      </c>
      <c r="L193" s="52" t="s">
        <v>111</v>
      </c>
    </row>
    <row r="194" spans="1:12">
      <c r="A194" s="152" t="s">
        <v>109</v>
      </c>
      <c r="B194" s="59">
        <v>2017</v>
      </c>
      <c r="C194" s="344" t="s">
        <v>90</v>
      </c>
      <c r="D194" s="59">
        <v>6797</v>
      </c>
      <c r="E194" s="344" t="s">
        <v>126</v>
      </c>
      <c r="F194" s="29">
        <v>1</v>
      </c>
      <c r="G194" s="9">
        <v>1</v>
      </c>
      <c r="H194" s="9">
        <v>1</v>
      </c>
      <c r="I194" s="9">
        <v>2</v>
      </c>
      <c r="J194" s="9">
        <v>2</v>
      </c>
      <c r="K194" s="160">
        <f t="shared" si="3"/>
        <v>0.35859414261160716</v>
      </c>
      <c r="L194" s="52" t="s">
        <v>111</v>
      </c>
    </row>
    <row r="195" spans="1:12">
      <c r="A195" s="152" t="s">
        <v>109</v>
      </c>
      <c r="B195" s="59">
        <v>2018</v>
      </c>
      <c r="C195" s="344" t="s">
        <v>90</v>
      </c>
      <c r="D195" s="59">
        <v>6797</v>
      </c>
      <c r="E195" s="344" t="s">
        <v>126</v>
      </c>
      <c r="F195" s="29">
        <v>1</v>
      </c>
      <c r="G195" s="9">
        <v>1</v>
      </c>
      <c r="H195" s="9">
        <v>1</v>
      </c>
      <c r="I195" s="9">
        <v>2</v>
      </c>
      <c r="J195" s="9">
        <v>2</v>
      </c>
      <c r="K195" s="160">
        <f t="shared" si="3"/>
        <v>0.35859414261160716</v>
      </c>
      <c r="L195" s="52" t="s">
        <v>111</v>
      </c>
    </row>
    <row r="196" spans="1:12">
      <c r="A196" s="152" t="s">
        <v>109</v>
      </c>
      <c r="B196" s="59">
        <v>2019</v>
      </c>
      <c r="C196" s="344" t="s">
        <v>90</v>
      </c>
      <c r="D196" s="59">
        <v>6797</v>
      </c>
      <c r="E196" s="344" t="s">
        <v>126</v>
      </c>
      <c r="F196" s="29">
        <v>1</v>
      </c>
      <c r="G196" s="9">
        <v>1</v>
      </c>
      <c r="H196" s="9">
        <v>1</v>
      </c>
      <c r="I196" s="9">
        <v>2</v>
      </c>
      <c r="J196" s="9">
        <v>2</v>
      </c>
      <c r="K196" s="160">
        <f t="shared" si="3"/>
        <v>0.35859414261160716</v>
      </c>
      <c r="L196" s="52" t="s">
        <v>111</v>
      </c>
    </row>
    <row r="197" spans="1:12">
      <c r="A197" s="152" t="s">
        <v>109</v>
      </c>
      <c r="B197" s="59">
        <v>2015</v>
      </c>
      <c r="C197" s="344" t="s">
        <v>90</v>
      </c>
      <c r="D197" s="59">
        <v>7154</v>
      </c>
      <c r="E197" s="344" t="s">
        <v>126</v>
      </c>
      <c r="F197" s="29">
        <v>1</v>
      </c>
      <c r="G197" s="9">
        <v>1</v>
      </c>
      <c r="H197" s="9">
        <v>1</v>
      </c>
      <c r="I197" s="9">
        <v>2</v>
      </c>
      <c r="J197" s="9">
        <v>2</v>
      </c>
      <c r="K197" s="160">
        <f t="shared" si="3"/>
        <v>0.35859414261160716</v>
      </c>
      <c r="L197" s="52" t="s">
        <v>111</v>
      </c>
    </row>
    <row r="198" spans="1:12">
      <c r="A198" s="152" t="s">
        <v>109</v>
      </c>
      <c r="B198" s="59">
        <v>2014</v>
      </c>
      <c r="C198" s="344" t="s">
        <v>90</v>
      </c>
      <c r="D198" s="59">
        <v>7535</v>
      </c>
      <c r="E198" s="344" t="s">
        <v>126</v>
      </c>
      <c r="F198" s="29">
        <v>1</v>
      </c>
      <c r="G198" s="9">
        <v>1</v>
      </c>
      <c r="H198" s="9">
        <v>1</v>
      </c>
      <c r="I198" s="9">
        <v>2</v>
      </c>
      <c r="J198" s="9">
        <v>2</v>
      </c>
      <c r="K198" s="160">
        <f t="shared" si="3"/>
        <v>0.35859414261160716</v>
      </c>
      <c r="L198" s="52" t="s">
        <v>111</v>
      </c>
    </row>
    <row r="199" spans="1:12">
      <c r="A199" s="152" t="s">
        <v>109</v>
      </c>
      <c r="B199" s="59">
        <v>2021</v>
      </c>
      <c r="C199" s="344" t="s">
        <v>90</v>
      </c>
      <c r="D199" s="59">
        <v>7971</v>
      </c>
      <c r="E199" s="344" t="s">
        <v>126</v>
      </c>
      <c r="F199" s="29">
        <v>1</v>
      </c>
      <c r="G199" s="9">
        <v>1</v>
      </c>
      <c r="H199" s="9">
        <v>1</v>
      </c>
      <c r="I199" s="9">
        <v>2</v>
      </c>
      <c r="J199" s="9">
        <v>2</v>
      </c>
      <c r="K199" s="160">
        <f t="shared" si="3"/>
        <v>0.35859414261160716</v>
      </c>
      <c r="L199" s="52" t="s">
        <v>111</v>
      </c>
    </row>
    <row r="200" spans="1:12">
      <c r="A200" s="152" t="s">
        <v>109</v>
      </c>
      <c r="B200" s="59">
        <v>2020</v>
      </c>
      <c r="C200" s="344" t="s">
        <v>90</v>
      </c>
      <c r="D200" s="59">
        <v>7974</v>
      </c>
      <c r="E200" s="344" t="s">
        <v>126</v>
      </c>
      <c r="F200" s="29">
        <v>1</v>
      </c>
      <c r="G200" s="9">
        <v>1</v>
      </c>
      <c r="H200" s="9">
        <v>1</v>
      </c>
      <c r="I200" s="9">
        <v>2</v>
      </c>
      <c r="J200" s="9">
        <v>2</v>
      </c>
      <c r="K200" s="160">
        <f t="shared" si="3"/>
        <v>0.35859414261160716</v>
      </c>
      <c r="L200" s="52" t="s">
        <v>111</v>
      </c>
    </row>
    <row r="201" spans="1:12">
      <c r="A201" s="152" t="s">
        <v>109</v>
      </c>
      <c r="B201" s="59">
        <v>2015</v>
      </c>
      <c r="C201" s="344" t="s">
        <v>87</v>
      </c>
      <c r="D201" s="59">
        <v>8085</v>
      </c>
      <c r="E201" s="344" t="s">
        <v>126</v>
      </c>
      <c r="F201" s="29">
        <v>1</v>
      </c>
      <c r="G201" s="9">
        <v>1</v>
      </c>
      <c r="H201" s="9">
        <v>1</v>
      </c>
      <c r="I201" s="9">
        <v>2</v>
      </c>
      <c r="J201" s="9">
        <v>2</v>
      </c>
      <c r="K201" s="160">
        <f t="shared" si="3"/>
        <v>0.35859414261160716</v>
      </c>
      <c r="L201" s="52" t="s">
        <v>111</v>
      </c>
    </row>
    <row r="202" spans="1:12">
      <c r="A202" s="152" t="s">
        <v>109</v>
      </c>
      <c r="B202" s="59">
        <v>2012</v>
      </c>
      <c r="C202" s="344" t="s">
        <v>90</v>
      </c>
      <c r="D202" s="59">
        <v>8310</v>
      </c>
      <c r="E202" s="344" t="s">
        <v>126</v>
      </c>
      <c r="F202" s="29">
        <v>1</v>
      </c>
      <c r="G202" s="9">
        <v>1</v>
      </c>
      <c r="H202" s="9">
        <v>1</v>
      </c>
      <c r="I202" s="9">
        <v>2</v>
      </c>
      <c r="J202" s="9">
        <v>2</v>
      </c>
      <c r="K202" s="160">
        <f t="shared" si="3"/>
        <v>0.35859414261160716</v>
      </c>
      <c r="L202" s="52" t="s">
        <v>111</v>
      </c>
    </row>
    <row r="203" spans="1:12">
      <c r="A203" s="152" t="s">
        <v>109</v>
      </c>
      <c r="B203" s="59">
        <v>2016</v>
      </c>
      <c r="C203" s="344" t="s">
        <v>87</v>
      </c>
      <c r="D203" s="59">
        <v>8396</v>
      </c>
      <c r="E203" s="344" t="s">
        <v>126</v>
      </c>
      <c r="F203" s="29">
        <v>1</v>
      </c>
      <c r="G203" s="9">
        <v>1</v>
      </c>
      <c r="H203" s="9">
        <v>1</v>
      </c>
      <c r="I203" s="9">
        <v>2</v>
      </c>
      <c r="J203" s="9">
        <v>2</v>
      </c>
      <c r="K203" s="160">
        <f t="shared" si="3"/>
        <v>0.35859414261160716</v>
      </c>
      <c r="L203" s="52" t="s">
        <v>111</v>
      </c>
    </row>
    <row r="204" spans="1:12">
      <c r="A204" s="152" t="s">
        <v>109</v>
      </c>
      <c r="B204" s="59">
        <v>2014</v>
      </c>
      <c r="C204" s="344" t="s">
        <v>87</v>
      </c>
      <c r="D204" s="59">
        <v>8482</v>
      </c>
      <c r="E204" s="344" t="s">
        <v>126</v>
      </c>
      <c r="F204" s="29">
        <v>1</v>
      </c>
      <c r="G204" s="9">
        <v>1</v>
      </c>
      <c r="H204" s="9">
        <v>1</v>
      </c>
      <c r="I204" s="9">
        <v>2</v>
      </c>
      <c r="J204" s="9">
        <v>2</v>
      </c>
      <c r="K204" s="160">
        <f t="shared" si="3"/>
        <v>0.35859414261160716</v>
      </c>
      <c r="L204" s="52" t="s">
        <v>111</v>
      </c>
    </row>
    <row r="205" spans="1:12">
      <c r="A205" s="152" t="s">
        <v>109</v>
      </c>
      <c r="B205" s="59">
        <v>2003</v>
      </c>
      <c r="C205" s="344" t="s">
        <v>87</v>
      </c>
      <c r="D205" s="59">
        <v>8573</v>
      </c>
      <c r="E205" s="344" t="s">
        <v>126</v>
      </c>
      <c r="F205" s="29">
        <v>1</v>
      </c>
      <c r="G205" s="9">
        <v>1</v>
      </c>
      <c r="H205" s="9">
        <v>1</v>
      </c>
      <c r="I205" s="9">
        <v>2</v>
      </c>
      <c r="J205" s="9">
        <v>2</v>
      </c>
      <c r="K205" s="160">
        <f t="shared" si="3"/>
        <v>0.35859414261160716</v>
      </c>
      <c r="L205" s="52" t="s">
        <v>111</v>
      </c>
    </row>
    <row r="206" spans="1:12">
      <c r="A206" s="152" t="s">
        <v>109</v>
      </c>
      <c r="B206" s="59">
        <v>2004</v>
      </c>
      <c r="C206" s="344" t="s">
        <v>87</v>
      </c>
      <c r="D206" s="59">
        <v>9177</v>
      </c>
      <c r="E206" s="344" t="s">
        <v>126</v>
      </c>
      <c r="F206" s="29">
        <v>1</v>
      </c>
      <c r="G206" s="9">
        <v>1</v>
      </c>
      <c r="H206" s="9">
        <v>1</v>
      </c>
      <c r="I206" s="9">
        <v>2</v>
      </c>
      <c r="J206" s="9">
        <v>2</v>
      </c>
      <c r="K206" s="160">
        <f t="shared" si="3"/>
        <v>0.35859414261160716</v>
      </c>
      <c r="L206" s="52" t="s">
        <v>111</v>
      </c>
    </row>
    <row r="207" spans="1:12">
      <c r="A207" s="152" t="s">
        <v>109</v>
      </c>
      <c r="B207" s="59">
        <v>2010</v>
      </c>
      <c r="C207" s="344" t="s">
        <v>87</v>
      </c>
      <c r="D207" s="59">
        <v>9333</v>
      </c>
      <c r="E207" s="344" t="s">
        <v>126</v>
      </c>
      <c r="F207" s="29">
        <v>1</v>
      </c>
      <c r="G207" s="9">
        <v>1</v>
      </c>
      <c r="H207" s="9">
        <v>1</v>
      </c>
      <c r="I207" s="9">
        <v>2</v>
      </c>
      <c r="J207" s="9">
        <v>2</v>
      </c>
      <c r="K207" s="160">
        <f t="shared" si="3"/>
        <v>0.35859414261160716</v>
      </c>
      <c r="L207" s="52" t="s">
        <v>111</v>
      </c>
    </row>
    <row r="208" spans="1:12">
      <c r="A208" s="152" t="s">
        <v>109</v>
      </c>
      <c r="B208" s="59">
        <v>2005</v>
      </c>
      <c r="C208" s="344" t="s">
        <v>87</v>
      </c>
      <c r="D208" s="59">
        <v>9359</v>
      </c>
      <c r="E208" s="344" t="s">
        <v>126</v>
      </c>
      <c r="F208" s="29">
        <v>1</v>
      </c>
      <c r="G208" s="9">
        <v>1</v>
      </c>
      <c r="H208" s="9">
        <v>1</v>
      </c>
      <c r="I208" s="9">
        <v>2</v>
      </c>
      <c r="J208" s="9">
        <v>2</v>
      </c>
      <c r="K208" s="160">
        <f t="shared" si="3"/>
        <v>0.35859414261160716</v>
      </c>
      <c r="L208" s="52" t="s">
        <v>111</v>
      </c>
    </row>
    <row r="209" spans="1:12">
      <c r="A209" s="152" t="s">
        <v>109</v>
      </c>
      <c r="B209" s="59">
        <v>2017</v>
      </c>
      <c r="C209" s="344" t="s">
        <v>87</v>
      </c>
      <c r="D209" s="59">
        <v>9425</v>
      </c>
      <c r="E209" s="344" t="s">
        <v>126</v>
      </c>
      <c r="F209" s="29">
        <v>1</v>
      </c>
      <c r="G209" s="9">
        <v>1</v>
      </c>
      <c r="H209" s="9">
        <v>1</v>
      </c>
      <c r="I209" s="9">
        <v>2</v>
      </c>
      <c r="J209" s="9">
        <v>2</v>
      </c>
      <c r="K209" s="160">
        <f t="shared" si="3"/>
        <v>0.35859414261160716</v>
      </c>
      <c r="L209" s="52" t="s">
        <v>111</v>
      </c>
    </row>
    <row r="210" spans="1:12">
      <c r="A210" s="152" t="s">
        <v>109</v>
      </c>
      <c r="B210" s="59">
        <v>2018</v>
      </c>
      <c r="C210" s="344" t="s">
        <v>87</v>
      </c>
      <c r="D210" s="59">
        <v>9425</v>
      </c>
      <c r="E210" s="344" t="s">
        <v>126</v>
      </c>
      <c r="F210" s="29">
        <v>1</v>
      </c>
      <c r="G210" s="9">
        <v>1</v>
      </c>
      <c r="H210" s="9">
        <v>1</v>
      </c>
      <c r="I210" s="9">
        <v>2</v>
      </c>
      <c r="J210" s="9">
        <v>2</v>
      </c>
      <c r="K210" s="160">
        <f t="shared" si="3"/>
        <v>0.35859414261160716</v>
      </c>
      <c r="L210" s="52" t="s">
        <v>111</v>
      </c>
    </row>
    <row r="211" spans="1:12">
      <c r="A211" s="152" t="s">
        <v>109</v>
      </c>
      <c r="B211" s="59">
        <v>2019</v>
      </c>
      <c r="C211" s="344" t="s">
        <v>87</v>
      </c>
      <c r="D211" s="59">
        <v>9425</v>
      </c>
      <c r="E211" s="344" t="s">
        <v>126</v>
      </c>
      <c r="F211" s="29">
        <v>1</v>
      </c>
      <c r="G211" s="9">
        <v>1</v>
      </c>
      <c r="H211" s="9">
        <v>1</v>
      </c>
      <c r="I211" s="9">
        <v>2</v>
      </c>
      <c r="J211" s="9">
        <v>2</v>
      </c>
      <c r="K211" s="160">
        <f t="shared" si="3"/>
        <v>0.35859414261160716</v>
      </c>
      <c r="L211" s="52" t="s">
        <v>111</v>
      </c>
    </row>
    <row r="212" spans="1:12">
      <c r="A212" s="152" t="s">
        <v>109</v>
      </c>
      <c r="B212" s="59">
        <v>2012</v>
      </c>
      <c r="C212" s="344" t="s">
        <v>87</v>
      </c>
      <c r="D212" s="59">
        <v>9437</v>
      </c>
      <c r="E212" s="344" t="s">
        <v>126</v>
      </c>
      <c r="F212" s="29">
        <v>1</v>
      </c>
      <c r="G212" s="9">
        <v>1</v>
      </c>
      <c r="H212" s="9">
        <v>1</v>
      </c>
      <c r="I212" s="9">
        <v>2</v>
      </c>
      <c r="J212" s="9">
        <v>2</v>
      </c>
      <c r="K212" s="160">
        <f t="shared" si="3"/>
        <v>0.35859414261160716</v>
      </c>
      <c r="L212" s="52" t="s">
        <v>111</v>
      </c>
    </row>
    <row r="213" spans="1:12">
      <c r="A213" s="152" t="s">
        <v>109</v>
      </c>
      <c r="B213" s="59">
        <v>2021</v>
      </c>
      <c r="C213" s="344" t="s">
        <v>87</v>
      </c>
      <c r="D213" s="59">
        <v>9482</v>
      </c>
      <c r="E213" s="344" t="s">
        <v>126</v>
      </c>
      <c r="F213" s="29">
        <v>1</v>
      </c>
      <c r="G213" s="9">
        <v>1</v>
      </c>
      <c r="H213" s="9">
        <v>1</v>
      </c>
      <c r="I213" s="9">
        <v>2</v>
      </c>
      <c r="J213" s="9">
        <v>2</v>
      </c>
      <c r="K213" s="160">
        <f t="shared" si="3"/>
        <v>0.35859414261160716</v>
      </c>
      <c r="L213" s="52" t="s">
        <v>111</v>
      </c>
    </row>
    <row r="214" spans="1:12">
      <c r="A214" s="152" t="s">
        <v>109</v>
      </c>
      <c r="B214" s="59">
        <v>2013</v>
      </c>
      <c r="C214" s="344" t="s">
        <v>87</v>
      </c>
      <c r="D214" s="59">
        <v>9631</v>
      </c>
      <c r="E214" s="344" t="s">
        <v>126</v>
      </c>
      <c r="F214" s="29">
        <v>1</v>
      </c>
      <c r="G214" s="9">
        <v>1</v>
      </c>
      <c r="H214" s="9">
        <v>1</v>
      </c>
      <c r="I214" s="9">
        <v>2</v>
      </c>
      <c r="J214" s="9">
        <v>2</v>
      </c>
      <c r="K214" s="160">
        <f t="shared" si="3"/>
        <v>0.35859414261160716</v>
      </c>
      <c r="L214" s="52" t="s">
        <v>111</v>
      </c>
    </row>
    <row r="215" spans="1:12">
      <c r="A215" s="152" t="s">
        <v>109</v>
      </c>
      <c r="B215" s="59">
        <v>2009</v>
      </c>
      <c r="C215" s="344" t="s">
        <v>87</v>
      </c>
      <c r="D215" s="59">
        <v>9674</v>
      </c>
      <c r="E215" s="344" t="s">
        <v>126</v>
      </c>
      <c r="F215" s="29">
        <v>1</v>
      </c>
      <c r="G215" s="9">
        <v>1</v>
      </c>
      <c r="H215" s="9">
        <v>1</v>
      </c>
      <c r="I215" s="9">
        <v>2</v>
      </c>
      <c r="J215" s="9">
        <v>2</v>
      </c>
      <c r="K215" s="160">
        <f t="shared" si="3"/>
        <v>0.35859414261160716</v>
      </c>
      <c r="L215" s="52" t="s">
        <v>111</v>
      </c>
    </row>
    <row r="216" spans="1:12">
      <c r="A216" s="152" t="s">
        <v>109</v>
      </c>
      <c r="B216" s="59">
        <v>2006</v>
      </c>
      <c r="C216" s="344" t="s">
        <v>87</v>
      </c>
      <c r="D216" s="59">
        <v>9780</v>
      </c>
      <c r="E216" s="344" t="s">
        <v>126</v>
      </c>
      <c r="F216" s="29">
        <v>1</v>
      </c>
      <c r="G216" s="9">
        <v>1</v>
      </c>
      <c r="H216" s="9">
        <v>1</v>
      </c>
      <c r="I216" s="9">
        <v>2</v>
      </c>
      <c r="J216" s="9">
        <v>2</v>
      </c>
      <c r="K216" s="160">
        <f t="shared" si="3"/>
        <v>0.35859414261160716</v>
      </c>
      <c r="L216" s="52" t="s">
        <v>111</v>
      </c>
    </row>
    <row r="217" spans="1:12">
      <c r="A217" s="152" t="s">
        <v>109</v>
      </c>
      <c r="B217" s="59">
        <v>2008</v>
      </c>
      <c r="C217" s="344" t="s">
        <v>87</v>
      </c>
      <c r="D217" s="59">
        <v>9960</v>
      </c>
      <c r="E217" s="344" t="s">
        <v>126</v>
      </c>
      <c r="F217" s="29">
        <v>1</v>
      </c>
      <c r="G217" s="9">
        <v>1</v>
      </c>
      <c r="H217" s="9">
        <v>1</v>
      </c>
      <c r="I217" s="9">
        <v>2</v>
      </c>
      <c r="J217" s="9">
        <v>2</v>
      </c>
      <c r="K217" s="160">
        <f t="shared" si="3"/>
        <v>0.35859414261160716</v>
      </c>
      <c r="L217" s="52" t="s">
        <v>111</v>
      </c>
    </row>
    <row r="218" spans="1:12">
      <c r="A218" s="152" t="s">
        <v>109</v>
      </c>
      <c r="B218" s="59">
        <v>2020</v>
      </c>
      <c r="C218" s="344" t="s">
        <v>87</v>
      </c>
      <c r="D218" s="59">
        <v>10055</v>
      </c>
      <c r="E218" s="344" t="s">
        <v>126</v>
      </c>
      <c r="F218" s="29">
        <v>1</v>
      </c>
      <c r="G218" s="9">
        <v>1</v>
      </c>
      <c r="H218" s="9">
        <v>1</v>
      </c>
      <c r="I218" s="9">
        <v>2</v>
      </c>
      <c r="J218" s="9">
        <v>2</v>
      </c>
      <c r="K218" s="160">
        <f t="shared" si="3"/>
        <v>0.35859414261160716</v>
      </c>
      <c r="L218" s="52" t="s">
        <v>111</v>
      </c>
    </row>
    <row r="219" spans="1:12">
      <c r="A219" s="152" t="s">
        <v>109</v>
      </c>
      <c r="B219" s="59">
        <v>2011</v>
      </c>
      <c r="C219" s="344" t="s">
        <v>87</v>
      </c>
      <c r="D219" s="59">
        <v>10120</v>
      </c>
      <c r="E219" s="344" t="s">
        <v>126</v>
      </c>
      <c r="F219" s="29">
        <v>1</v>
      </c>
      <c r="G219" s="9">
        <v>1</v>
      </c>
      <c r="H219" s="9">
        <v>1</v>
      </c>
      <c r="I219" s="9">
        <v>2</v>
      </c>
      <c r="J219" s="9">
        <v>2</v>
      </c>
      <c r="K219" s="160">
        <f t="shared" si="3"/>
        <v>0.35859414261160716</v>
      </c>
      <c r="L219" s="52" t="s">
        <v>111</v>
      </c>
    </row>
    <row r="220" spans="1:12">
      <c r="A220" s="152" t="s">
        <v>109</v>
      </c>
      <c r="B220" s="59">
        <v>2013</v>
      </c>
      <c r="C220" s="344" t="s">
        <v>98</v>
      </c>
      <c r="D220" s="59">
        <v>11075</v>
      </c>
      <c r="E220" s="344" t="s">
        <v>126</v>
      </c>
      <c r="F220" s="29">
        <v>1</v>
      </c>
      <c r="G220" s="9">
        <v>1</v>
      </c>
      <c r="H220" s="9">
        <v>1</v>
      </c>
      <c r="I220" s="9">
        <v>2</v>
      </c>
      <c r="J220" s="9">
        <v>2</v>
      </c>
      <c r="K220" s="160">
        <f t="shared" si="3"/>
        <v>0.35859414261160716</v>
      </c>
      <c r="L220" s="52" t="s">
        <v>111</v>
      </c>
    </row>
    <row r="221" spans="1:12">
      <c r="A221" s="152" t="s">
        <v>109</v>
      </c>
      <c r="B221" s="59">
        <v>2007</v>
      </c>
      <c r="C221" s="344" t="s">
        <v>87</v>
      </c>
      <c r="D221" s="59">
        <v>11254</v>
      </c>
      <c r="E221" s="344" t="s">
        <v>126</v>
      </c>
      <c r="F221" s="29">
        <v>1</v>
      </c>
      <c r="G221" s="9">
        <v>1</v>
      </c>
      <c r="H221" s="9">
        <v>1</v>
      </c>
      <c r="I221" s="9">
        <v>2</v>
      </c>
      <c r="J221" s="9">
        <v>2</v>
      </c>
      <c r="K221" s="160">
        <f t="shared" si="3"/>
        <v>0.35859414261160716</v>
      </c>
      <c r="L221" s="52" t="s">
        <v>111</v>
      </c>
    </row>
    <row r="222" spans="1:12">
      <c r="A222" s="152" t="s">
        <v>109</v>
      </c>
      <c r="B222" s="59">
        <v>2009</v>
      </c>
      <c r="C222" s="344" t="s">
        <v>85</v>
      </c>
      <c r="D222" s="59">
        <v>11289</v>
      </c>
      <c r="E222" s="344" t="s">
        <v>126</v>
      </c>
      <c r="F222" s="29">
        <v>1</v>
      </c>
      <c r="G222" s="9">
        <v>1</v>
      </c>
      <c r="H222" s="9">
        <v>1</v>
      </c>
      <c r="I222" s="9">
        <v>2</v>
      </c>
      <c r="J222" s="9">
        <v>2</v>
      </c>
      <c r="K222" s="160">
        <f t="shared" si="3"/>
        <v>0.35859414261160716</v>
      </c>
      <c r="L222" s="52" t="s">
        <v>111</v>
      </c>
    </row>
    <row r="223" spans="1:12">
      <c r="A223" s="152" t="s">
        <v>109</v>
      </c>
      <c r="B223" s="59">
        <v>2010</v>
      </c>
      <c r="C223" s="344" t="s">
        <v>85</v>
      </c>
      <c r="D223" s="59">
        <v>12078</v>
      </c>
      <c r="E223" s="344" t="s">
        <v>126</v>
      </c>
      <c r="F223" s="29">
        <v>1</v>
      </c>
      <c r="G223" s="9">
        <v>1</v>
      </c>
      <c r="H223" s="9">
        <v>1</v>
      </c>
      <c r="I223" s="9">
        <v>2</v>
      </c>
      <c r="J223" s="9">
        <v>2</v>
      </c>
      <c r="K223" s="160">
        <f t="shared" si="3"/>
        <v>0.35859414261160716</v>
      </c>
      <c r="L223" s="52" t="s">
        <v>111</v>
      </c>
    </row>
    <row r="224" spans="1:12">
      <c r="A224" s="152" t="s">
        <v>109</v>
      </c>
      <c r="B224" s="59">
        <v>2016</v>
      </c>
      <c r="C224" s="344" t="s">
        <v>85</v>
      </c>
      <c r="D224" s="59">
        <v>12146</v>
      </c>
      <c r="E224" s="344" t="s">
        <v>126</v>
      </c>
      <c r="F224" s="29">
        <v>1</v>
      </c>
      <c r="G224" s="9">
        <v>1</v>
      </c>
      <c r="H224" s="9">
        <v>1</v>
      </c>
      <c r="I224" s="9">
        <v>2</v>
      </c>
      <c r="J224" s="9">
        <v>2</v>
      </c>
      <c r="K224" s="160">
        <f t="shared" si="3"/>
        <v>0.35859414261160716</v>
      </c>
      <c r="L224" s="52" t="s">
        <v>111</v>
      </c>
    </row>
    <row r="225" spans="1:12">
      <c r="A225" s="152" t="s">
        <v>109</v>
      </c>
      <c r="B225" s="59">
        <v>2015</v>
      </c>
      <c r="C225" s="344" t="s">
        <v>85</v>
      </c>
      <c r="D225" s="59">
        <v>12194</v>
      </c>
      <c r="E225" s="344" t="s">
        <v>126</v>
      </c>
      <c r="F225" s="29">
        <v>1</v>
      </c>
      <c r="G225" s="9">
        <v>1</v>
      </c>
      <c r="H225" s="9">
        <v>1</v>
      </c>
      <c r="I225" s="9">
        <v>2</v>
      </c>
      <c r="J225" s="9">
        <v>2</v>
      </c>
      <c r="K225" s="160">
        <f t="shared" si="3"/>
        <v>0.35859414261160716</v>
      </c>
      <c r="L225" s="52" t="s">
        <v>111</v>
      </c>
    </row>
    <row r="226" spans="1:12">
      <c r="A226" s="152" t="s">
        <v>109</v>
      </c>
      <c r="B226" s="59">
        <v>2003</v>
      </c>
      <c r="C226" s="344" t="s">
        <v>85</v>
      </c>
      <c r="D226" s="59">
        <v>12268</v>
      </c>
      <c r="E226" s="344" t="s">
        <v>126</v>
      </c>
      <c r="F226" s="29">
        <v>1</v>
      </c>
      <c r="G226" s="9">
        <v>1</v>
      </c>
      <c r="H226" s="9">
        <v>1</v>
      </c>
      <c r="I226" s="9">
        <v>2</v>
      </c>
      <c r="J226" s="9">
        <v>2</v>
      </c>
      <c r="K226" s="160">
        <f t="shared" si="3"/>
        <v>0.35859414261160716</v>
      </c>
      <c r="L226" s="52" t="s">
        <v>111</v>
      </c>
    </row>
    <row r="227" spans="1:12">
      <c r="A227" s="152" t="s">
        <v>109</v>
      </c>
      <c r="B227" s="59">
        <v>2014</v>
      </c>
      <c r="C227" s="344" t="s">
        <v>85</v>
      </c>
      <c r="D227" s="59">
        <v>12281</v>
      </c>
      <c r="E227" s="344" t="s">
        <v>126</v>
      </c>
      <c r="F227" s="29">
        <v>1</v>
      </c>
      <c r="G227" s="9">
        <v>1</v>
      </c>
      <c r="H227" s="9">
        <v>1</v>
      </c>
      <c r="I227" s="9">
        <v>2</v>
      </c>
      <c r="J227" s="9">
        <v>2</v>
      </c>
      <c r="K227" s="160">
        <f t="shared" si="3"/>
        <v>0.35859414261160716</v>
      </c>
      <c r="L227" s="52" t="s">
        <v>111</v>
      </c>
    </row>
    <row r="228" spans="1:12">
      <c r="A228" s="152" t="s">
        <v>109</v>
      </c>
      <c r="B228" s="59">
        <v>2004</v>
      </c>
      <c r="C228" s="344" t="s">
        <v>85</v>
      </c>
      <c r="D228" s="59">
        <v>12405</v>
      </c>
      <c r="E228" s="344" t="s">
        <v>126</v>
      </c>
      <c r="F228" s="29">
        <v>1</v>
      </c>
      <c r="G228" s="9">
        <v>1</v>
      </c>
      <c r="H228" s="9">
        <v>1</v>
      </c>
      <c r="I228" s="9">
        <v>2</v>
      </c>
      <c r="J228" s="9">
        <v>2</v>
      </c>
      <c r="K228" s="160">
        <f t="shared" si="3"/>
        <v>0.35859414261160716</v>
      </c>
      <c r="L228" s="52" t="s">
        <v>111</v>
      </c>
    </row>
    <row r="229" spans="1:12">
      <c r="A229" s="152" t="s">
        <v>109</v>
      </c>
      <c r="B229" s="59">
        <v>2005</v>
      </c>
      <c r="C229" s="344" t="s">
        <v>85</v>
      </c>
      <c r="D229" s="59">
        <v>12454</v>
      </c>
      <c r="E229" s="344" t="s">
        <v>126</v>
      </c>
      <c r="F229" s="29">
        <v>1</v>
      </c>
      <c r="G229" s="9">
        <v>1</v>
      </c>
      <c r="H229" s="9">
        <v>1</v>
      </c>
      <c r="I229" s="9">
        <v>2</v>
      </c>
      <c r="J229" s="9">
        <v>2</v>
      </c>
      <c r="K229" s="160">
        <f t="shared" si="3"/>
        <v>0.35859414261160716</v>
      </c>
      <c r="L229" s="52" t="s">
        <v>111</v>
      </c>
    </row>
    <row r="230" spans="1:12">
      <c r="A230" s="152" t="s">
        <v>109</v>
      </c>
      <c r="B230" s="59">
        <v>2006</v>
      </c>
      <c r="C230" s="344" t="s">
        <v>85</v>
      </c>
      <c r="D230" s="59">
        <v>12651</v>
      </c>
      <c r="E230" s="344" t="s">
        <v>126</v>
      </c>
      <c r="F230" s="29">
        <v>1</v>
      </c>
      <c r="G230" s="9">
        <v>1</v>
      </c>
      <c r="H230" s="9">
        <v>1</v>
      </c>
      <c r="I230" s="9">
        <v>2</v>
      </c>
      <c r="J230" s="9">
        <v>2</v>
      </c>
      <c r="K230" s="160">
        <f t="shared" si="3"/>
        <v>0.35859414261160716</v>
      </c>
      <c r="L230" s="52" t="s">
        <v>111</v>
      </c>
    </row>
    <row r="231" spans="1:12">
      <c r="A231" s="152" t="s">
        <v>109</v>
      </c>
      <c r="B231" s="59">
        <v>2011</v>
      </c>
      <c r="C231" s="344" t="s">
        <v>85</v>
      </c>
      <c r="D231" s="59">
        <v>12709</v>
      </c>
      <c r="E231" s="344" t="s">
        <v>126</v>
      </c>
      <c r="F231" s="29">
        <v>1</v>
      </c>
      <c r="G231" s="9">
        <v>1</v>
      </c>
      <c r="H231" s="9">
        <v>1</v>
      </c>
      <c r="I231" s="9">
        <v>2</v>
      </c>
      <c r="J231" s="9">
        <v>2</v>
      </c>
      <c r="K231" s="160">
        <f t="shared" si="3"/>
        <v>0.35859414261160716</v>
      </c>
      <c r="L231" s="52" t="s">
        <v>111</v>
      </c>
    </row>
    <row r="232" spans="1:12">
      <c r="A232" s="152" t="s">
        <v>109</v>
      </c>
      <c r="B232" s="59">
        <v>2004</v>
      </c>
      <c r="C232" s="344" t="s">
        <v>98</v>
      </c>
      <c r="D232" s="59">
        <v>12742</v>
      </c>
      <c r="E232" s="344" t="s">
        <v>126</v>
      </c>
      <c r="F232" s="29">
        <v>1</v>
      </c>
      <c r="G232" s="9">
        <v>1</v>
      </c>
      <c r="H232" s="9">
        <v>1</v>
      </c>
      <c r="I232" s="9">
        <v>2</v>
      </c>
      <c r="J232" s="9">
        <v>2</v>
      </c>
      <c r="K232" s="160">
        <f t="shared" si="3"/>
        <v>0.35859414261160716</v>
      </c>
      <c r="L232" s="52" t="s">
        <v>111</v>
      </c>
    </row>
    <row r="233" spans="1:12">
      <c r="A233" s="152" t="s">
        <v>109</v>
      </c>
      <c r="B233" s="59">
        <v>2013</v>
      </c>
      <c r="C233" s="344" t="s">
        <v>85</v>
      </c>
      <c r="D233" s="59">
        <v>12784</v>
      </c>
      <c r="E233" s="344" t="s">
        <v>126</v>
      </c>
      <c r="F233" s="29">
        <v>1</v>
      </c>
      <c r="G233" s="9">
        <v>1</v>
      </c>
      <c r="H233" s="9">
        <v>1</v>
      </c>
      <c r="I233" s="9">
        <v>2</v>
      </c>
      <c r="J233" s="9">
        <v>2</v>
      </c>
      <c r="K233" s="160">
        <f t="shared" si="3"/>
        <v>0.35859414261160716</v>
      </c>
      <c r="L233" s="52" t="s">
        <v>111</v>
      </c>
    </row>
    <row r="234" spans="1:12">
      <c r="A234" s="152" t="s">
        <v>109</v>
      </c>
      <c r="B234" s="59">
        <v>2017</v>
      </c>
      <c r="C234" s="344" t="s">
        <v>85</v>
      </c>
      <c r="D234" s="59">
        <v>12829</v>
      </c>
      <c r="E234" s="344" t="s">
        <v>126</v>
      </c>
      <c r="F234" s="29">
        <v>1</v>
      </c>
      <c r="G234" s="9">
        <v>1</v>
      </c>
      <c r="H234" s="9">
        <v>1</v>
      </c>
      <c r="I234" s="9">
        <v>2</v>
      </c>
      <c r="J234" s="9">
        <v>2</v>
      </c>
      <c r="K234" s="160">
        <f t="shared" si="3"/>
        <v>0.35859414261160716</v>
      </c>
      <c r="L234" s="52" t="s">
        <v>111</v>
      </c>
    </row>
    <row r="235" spans="1:12">
      <c r="A235" s="152" t="s">
        <v>109</v>
      </c>
      <c r="B235" s="59">
        <v>2018</v>
      </c>
      <c r="C235" s="344" t="s">
        <v>85</v>
      </c>
      <c r="D235" s="59">
        <v>12829</v>
      </c>
      <c r="E235" s="344" t="s">
        <v>126</v>
      </c>
      <c r="F235" s="29">
        <v>1</v>
      </c>
      <c r="G235" s="9">
        <v>1</v>
      </c>
      <c r="H235" s="9">
        <v>1</v>
      </c>
      <c r="I235" s="9">
        <v>2</v>
      </c>
      <c r="J235" s="9">
        <v>2</v>
      </c>
      <c r="K235" s="160">
        <f t="shared" si="3"/>
        <v>0.35859414261160716</v>
      </c>
      <c r="L235" s="52" t="s">
        <v>111</v>
      </c>
    </row>
    <row r="236" spans="1:12">
      <c r="A236" s="152" t="s">
        <v>109</v>
      </c>
      <c r="B236" s="59">
        <v>2019</v>
      </c>
      <c r="C236" s="344" t="s">
        <v>85</v>
      </c>
      <c r="D236" s="59">
        <v>12829</v>
      </c>
      <c r="E236" s="344" t="s">
        <v>126</v>
      </c>
      <c r="F236" s="29">
        <v>1</v>
      </c>
      <c r="G236" s="9">
        <v>1</v>
      </c>
      <c r="H236" s="9">
        <v>1</v>
      </c>
      <c r="I236" s="9">
        <v>2</v>
      </c>
      <c r="J236" s="9">
        <v>2</v>
      </c>
      <c r="K236" s="160">
        <f t="shared" si="3"/>
        <v>0.35859414261160716</v>
      </c>
      <c r="L236" s="52" t="s">
        <v>111</v>
      </c>
    </row>
    <row r="237" spans="1:12">
      <c r="A237" s="152" t="s">
        <v>109</v>
      </c>
      <c r="B237" s="59">
        <v>2008</v>
      </c>
      <c r="C237" s="344" t="s">
        <v>85</v>
      </c>
      <c r="D237" s="59">
        <v>12855</v>
      </c>
      <c r="E237" s="344" t="s">
        <v>126</v>
      </c>
      <c r="F237" s="29">
        <v>1</v>
      </c>
      <c r="G237" s="9">
        <v>1</v>
      </c>
      <c r="H237" s="9">
        <v>1</v>
      </c>
      <c r="I237" s="9">
        <v>2</v>
      </c>
      <c r="J237" s="9">
        <v>2</v>
      </c>
      <c r="K237" s="160">
        <f t="shared" si="3"/>
        <v>0.35859414261160716</v>
      </c>
      <c r="L237" s="52" t="s">
        <v>111</v>
      </c>
    </row>
    <row r="238" spans="1:12">
      <c r="A238" s="152" t="s">
        <v>109</v>
      </c>
      <c r="B238" s="59">
        <v>2016</v>
      </c>
      <c r="C238" s="344" t="s">
        <v>98</v>
      </c>
      <c r="D238" s="59">
        <v>12878</v>
      </c>
      <c r="E238" s="344" t="s">
        <v>126</v>
      </c>
      <c r="F238" s="29">
        <v>1</v>
      </c>
      <c r="G238" s="9">
        <v>1</v>
      </c>
      <c r="H238" s="9">
        <v>1</v>
      </c>
      <c r="I238" s="9">
        <v>2</v>
      </c>
      <c r="J238" s="9">
        <v>2</v>
      </c>
      <c r="K238" s="160">
        <f t="shared" si="3"/>
        <v>0.35859414261160716</v>
      </c>
      <c r="L238" s="52" t="s">
        <v>111</v>
      </c>
    </row>
    <row r="239" spans="1:12">
      <c r="A239" s="152" t="s">
        <v>109</v>
      </c>
      <c r="B239" s="59">
        <v>2015</v>
      </c>
      <c r="C239" s="344" t="s">
        <v>98</v>
      </c>
      <c r="D239" s="59">
        <v>12995</v>
      </c>
      <c r="E239" s="344" t="s">
        <v>126</v>
      </c>
      <c r="F239" s="29">
        <v>1</v>
      </c>
      <c r="G239" s="9">
        <v>1</v>
      </c>
      <c r="H239" s="9">
        <v>1</v>
      </c>
      <c r="I239" s="9">
        <v>2</v>
      </c>
      <c r="J239" s="9">
        <v>2</v>
      </c>
      <c r="K239" s="160">
        <f t="shared" si="3"/>
        <v>0.35859414261160716</v>
      </c>
      <c r="L239" s="52" t="s">
        <v>111</v>
      </c>
    </row>
    <row r="240" spans="1:12">
      <c r="A240" s="152" t="s">
        <v>109</v>
      </c>
      <c r="B240" s="59">
        <v>2014</v>
      </c>
      <c r="C240" s="344" t="s">
        <v>98</v>
      </c>
      <c r="D240" s="59">
        <v>13212</v>
      </c>
      <c r="E240" s="344" t="s">
        <v>126</v>
      </c>
      <c r="F240" s="29">
        <v>1</v>
      </c>
      <c r="G240" s="9">
        <v>1</v>
      </c>
      <c r="H240" s="9">
        <v>1</v>
      </c>
      <c r="I240" s="9">
        <v>2</v>
      </c>
      <c r="J240" s="9">
        <v>2</v>
      </c>
      <c r="K240" s="160">
        <f t="shared" si="3"/>
        <v>0.35859414261160716</v>
      </c>
      <c r="L240" s="52" t="s">
        <v>111</v>
      </c>
    </row>
    <row r="241" spans="1:12">
      <c r="A241" s="152" t="s">
        <v>109</v>
      </c>
      <c r="B241" s="59">
        <v>2003</v>
      </c>
      <c r="C241" s="344" t="s">
        <v>98</v>
      </c>
      <c r="D241" s="59">
        <v>13324</v>
      </c>
      <c r="E241" s="344" t="s">
        <v>126</v>
      </c>
      <c r="F241" s="29">
        <v>1</v>
      </c>
      <c r="G241" s="9">
        <v>1</v>
      </c>
      <c r="H241" s="9">
        <v>1</v>
      </c>
      <c r="I241" s="9">
        <v>2</v>
      </c>
      <c r="J241" s="9">
        <v>2</v>
      </c>
      <c r="K241" s="160">
        <f t="shared" si="3"/>
        <v>0.35859414261160716</v>
      </c>
      <c r="L241" s="52" t="s">
        <v>111</v>
      </c>
    </row>
    <row r="242" spans="1:12">
      <c r="A242" s="152" t="s">
        <v>109</v>
      </c>
      <c r="B242" s="59">
        <v>2020</v>
      </c>
      <c r="C242" s="344" t="s">
        <v>85</v>
      </c>
      <c r="D242" s="59">
        <v>13493</v>
      </c>
      <c r="E242" s="344" t="s">
        <v>126</v>
      </c>
      <c r="F242" s="29">
        <v>1</v>
      </c>
      <c r="G242" s="9">
        <v>1</v>
      </c>
      <c r="H242" s="9">
        <v>1</v>
      </c>
      <c r="I242" s="9">
        <v>2</v>
      </c>
      <c r="J242" s="9">
        <v>2</v>
      </c>
      <c r="K242" s="160">
        <f t="shared" si="3"/>
        <v>0.35859414261160716</v>
      </c>
      <c r="L242" s="52" t="s">
        <v>111</v>
      </c>
    </row>
    <row r="243" spans="1:12">
      <c r="A243" s="152" t="s">
        <v>109</v>
      </c>
      <c r="B243" s="59">
        <v>2021</v>
      </c>
      <c r="C243" s="344" t="s">
        <v>85</v>
      </c>
      <c r="D243" s="59">
        <v>13666</v>
      </c>
      <c r="E243" s="344" t="s">
        <v>126</v>
      </c>
      <c r="F243" s="29">
        <v>1</v>
      </c>
      <c r="G243" s="9">
        <v>1</v>
      </c>
      <c r="H243" s="9">
        <v>1</v>
      </c>
      <c r="I243" s="9">
        <v>2</v>
      </c>
      <c r="J243" s="9">
        <v>2</v>
      </c>
      <c r="K243" s="160">
        <f t="shared" si="3"/>
        <v>0.35859414261160716</v>
      </c>
      <c r="L243" s="52" t="s">
        <v>111</v>
      </c>
    </row>
    <row r="244" spans="1:12">
      <c r="A244" s="152" t="s">
        <v>109</v>
      </c>
      <c r="B244" s="59">
        <v>2012</v>
      </c>
      <c r="C244" s="344" t="s">
        <v>98</v>
      </c>
      <c r="D244" s="59">
        <v>13706</v>
      </c>
      <c r="E244" s="344" t="s">
        <v>126</v>
      </c>
      <c r="F244" s="29">
        <v>1</v>
      </c>
      <c r="G244" s="9">
        <v>1</v>
      </c>
      <c r="H244" s="9">
        <v>1</v>
      </c>
      <c r="I244" s="9">
        <v>2</v>
      </c>
      <c r="J244" s="9">
        <v>2</v>
      </c>
      <c r="K244" s="160">
        <f t="shared" si="3"/>
        <v>0.35859414261160716</v>
      </c>
      <c r="L244" s="52" t="s">
        <v>111</v>
      </c>
    </row>
    <row r="245" spans="1:12">
      <c r="A245" s="152" t="s">
        <v>109</v>
      </c>
      <c r="B245" s="59">
        <v>2020</v>
      </c>
      <c r="C245" s="344" t="s">
        <v>98</v>
      </c>
      <c r="D245" s="59">
        <v>13872</v>
      </c>
      <c r="E245" s="344" t="s">
        <v>126</v>
      </c>
      <c r="F245" s="29">
        <v>1</v>
      </c>
      <c r="G245" s="9">
        <v>1</v>
      </c>
      <c r="H245" s="9">
        <v>1</v>
      </c>
      <c r="I245" s="9">
        <v>2</v>
      </c>
      <c r="J245" s="9">
        <v>2</v>
      </c>
      <c r="K245" s="160">
        <f t="shared" si="3"/>
        <v>0.35859414261160716</v>
      </c>
      <c r="L245" s="52" t="s">
        <v>111</v>
      </c>
    </row>
    <row r="246" spans="1:12">
      <c r="A246" s="152" t="s">
        <v>109</v>
      </c>
      <c r="B246" s="59">
        <v>2012</v>
      </c>
      <c r="C246" s="344" t="s">
        <v>85</v>
      </c>
      <c r="D246" s="59">
        <v>14019</v>
      </c>
      <c r="E246" s="344" t="s">
        <v>126</v>
      </c>
      <c r="F246" s="29">
        <v>1</v>
      </c>
      <c r="G246" s="9">
        <v>1</v>
      </c>
      <c r="H246" s="9">
        <v>1</v>
      </c>
      <c r="I246" s="9">
        <v>2</v>
      </c>
      <c r="J246" s="9">
        <v>2</v>
      </c>
      <c r="K246" s="160">
        <f t="shared" si="3"/>
        <v>0.35859414261160716</v>
      </c>
      <c r="L246" s="52" t="s">
        <v>111</v>
      </c>
    </row>
    <row r="247" spans="1:12">
      <c r="A247" s="152" t="s">
        <v>109</v>
      </c>
      <c r="B247" s="59">
        <v>2017</v>
      </c>
      <c r="C247" s="344" t="s">
        <v>98</v>
      </c>
      <c r="D247" s="59">
        <v>14059</v>
      </c>
      <c r="E247" s="344" t="s">
        <v>126</v>
      </c>
      <c r="F247" s="29">
        <v>1</v>
      </c>
      <c r="G247" s="9">
        <v>1</v>
      </c>
      <c r="H247" s="9">
        <v>1</v>
      </c>
      <c r="I247" s="9">
        <v>2</v>
      </c>
      <c r="J247" s="9">
        <v>2</v>
      </c>
      <c r="K247" s="160">
        <f t="shared" si="3"/>
        <v>0.35859414261160716</v>
      </c>
      <c r="L247" s="52" t="s">
        <v>111</v>
      </c>
    </row>
    <row r="248" spans="1:12">
      <c r="A248" s="152" t="s">
        <v>109</v>
      </c>
      <c r="B248" s="59">
        <v>2018</v>
      </c>
      <c r="C248" s="344" t="s">
        <v>98</v>
      </c>
      <c r="D248" s="59">
        <v>14059</v>
      </c>
      <c r="E248" s="344" t="s">
        <v>126</v>
      </c>
      <c r="F248" s="29">
        <v>1</v>
      </c>
      <c r="G248" s="9">
        <v>1</v>
      </c>
      <c r="H248" s="9">
        <v>1</v>
      </c>
      <c r="I248" s="9">
        <v>2</v>
      </c>
      <c r="J248" s="9">
        <v>2</v>
      </c>
      <c r="K248" s="160">
        <f t="shared" si="3"/>
        <v>0.35859414261160716</v>
      </c>
      <c r="L248" s="52" t="s">
        <v>111</v>
      </c>
    </row>
    <row r="249" spans="1:12">
      <c r="A249" s="152" t="s">
        <v>109</v>
      </c>
      <c r="B249" s="59">
        <v>2019</v>
      </c>
      <c r="C249" s="344" t="s">
        <v>98</v>
      </c>
      <c r="D249" s="59">
        <v>14059</v>
      </c>
      <c r="E249" s="344" t="s">
        <v>126</v>
      </c>
      <c r="F249" s="29">
        <v>1</v>
      </c>
      <c r="G249" s="9">
        <v>1</v>
      </c>
      <c r="H249" s="9">
        <v>1</v>
      </c>
      <c r="I249" s="9">
        <v>2</v>
      </c>
      <c r="J249" s="9">
        <v>2</v>
      </c>
      <c r="K249" s="160">
        <f t="shared" ref="K249:K312" si="4">IF( OR( ISBLANK(F249),ISBLANK(G249), ISBLANK(H249), ISBLANK(I249), ISBLANK(J249) ), "", 1.5*SQRT(   EXP(2.21*(F249-1)) + EXP(2.21*(G249-1)) + EXP(2.21*(H249-1)) + EXP(2.21*(I249-1)) + EXP(2.21*J249)   )/100*2.45 )</f>
        <v>0.35859414261160716</v>
      </c>
      <c r="L249" s="52" t="s">
        <v>111</v>
      </c>
    </row>
    <row r="250" spans="1:12">
      <c r="A250" s="152" t="s">
        <v>109</v>
      </c>
      <c r="B250" s="59">
        <v>2010</v>
      </c>
      <c r="C250" s="344" t="s">
        <v>98</v>
      </c>
      <c r="D250" s="59">
        <v>14402</v>
      </c>
      <c r="E250" s="344" t="s">
        <v>126</v>
      </c>
      <c r="F250" s="29">
        <v>1</v>
      </c>
      <c r="G250" s="9">
        <v>1</v>
      </c>
      <c r="H250" s="9">
        <v>1</v>
      </c>
      <c r="I250" s="9">
        <v>2</v>
      </c>
      <c r="J250" s="9">
        <v>2</v>
      </c>
      <c r="K250" s="160">
        <f t="shared" si="4"/>
        <v>0.35859414261160716</v>
      </c>
      <c r="L250" s="52" t="s">
        <v>111</v>
      </c>
    </row>
    <row r="251" spans="1:12">
      <c r="A251" s="152" t="s">
        <v>109</v>
      </c>
      <c r="B251" s="59">
        <v>2005</v>
      </c>
      <c r="C251" s="344" t="s">
        <v>98</v>
      </c>
      <c r="D251" s="59">
        <v>14639</v>
      </c>
      <c r="E251" s="344" t="s">
        <v>126</v>
      </c>
      <c r="F251" s="29">
        <v>1</v>
      </c>
      <c r="G251" s="9">
        <v>1</v>
      </c>
      <c r="H251" s="9">
        <v>1</v>
      </c>
      <c r="I251" s="9">
        <v>2</v>
      </c>
      <c r="J251" s="9">
        <v>2</v>
      </c>
      <c r="K251" s="160">
        <f t="shared" si="4"/>
        <v>0.35859414261160716</v>
      </c>
      <c r="L251" s="52" t="s">
        <v>111</v>
      </c>
    </row>
    <row r="252" spans="1:12">
      <c r="A252" s="152" t="s">
        <v>109</v>
      </c>
      <c r="B252" s="59">
        <v>2011</v>
      </c>
      <c r="C252" s="344" t="s">
        <v>98</v>
      </c>
      <c r="D252" s="59">
        <v>14987</v>
      </c>
      <c r="E252" s="344" t="s">
        <v>126</v>
      </c>
      <c r="F252" s="29">
        <v>1</v>
      </c>
      <c r="G252" s="9">
        <v>1</v>
      </c>
      <c r="H252" s="9">
        <v>1</v>
      </c>
      <c r="I252" s="9">
        <v>2</v>
      </c>
      <c r="J252" s="9">
        <v>2</v>
      </c>
      <c r="K252" s="160">
        <f t="shared" si="4"/>
        <v>0.35859414261160716</v>
      </c>
      <c r="L252" s="52" t="s">
        <v>111</v>
      </c>
    </row>
    <row r="253" spans="1:12">
      <c r="A253" s="152" t="s">
        <v>109</v>
      </c>
      <c r="B253" s="59">
        <v>2021</v>
      </c>
      <c r="C253" s="344" t="s">
        <v>98</v>
      </c>
      <c r="D253" s="59">
        <v>15065</v>
      </c>
      <c r="E253" s="344" t="s">
        <v>126</v>
      </c>
      <c r="F253" s="29">
        <v>1</v>
      </c>
      <c r="G253" s="9">
        <v>1</v>
      </c>
      <c r="H253" s="9">
        <v>1</v>
      </c>
      <c r="I253" s="9">
        <v>2</v>
      </c>
      <c r="J253" s="9">
        <v>2</v>
      </c>
      <c r="K253" s="160">
        <f t="shared" si="4"/>
        <v>0.35859414261160716</v>
      </c>
      <c r="L253" s="52" t="s">
        <v>111</v>
      </c>
    </row>
    <row r="254" spans="1:12">
      <c r="A254" s="152" t="s">
        <v>109</v>
      </c>
      <c r="B254" s="59">
        <v>2008</v>
      </c>
      <c r="C254" s="344" t="s">
        <v>98</v>
      </c>
      <c r="D254" s="59">
        <v>15108</v>
      </c>
      <c r="E254" s="344" t="s">
        <v>126</v>
      </c>
      <c r="F254" s="29">
        <v>1</v>
      </c>
      <c r="G254" s="9">
        <v>1</v>
      </c>
      <c r="H254" s="9">
        <v>1</v>
      </c>
      <c r="I254" s="9">
        <v>2</v>
      </c>
      <c r="J254" s="9">
        <v>2</v>
      </c>
      <c r="K254" s="160">
        <f t="shared" si="4"/>
        <v>0.35859414261160716</v>
      </c>
      <c r="L254" s="52" t="s">
        <v>111</v>
      </c>
    </row>
    <row r="255" spans="1:12">
      <c r="A255" s="152" t="s">
        <v>109</v>
      </c>
      <c r="B255" s="59">
        <v>2009</v>
      </c>
      <c r="C255" s="344" t="s">
        <v>98</v>
      </c>
      <c r="D255" s="59">
        <v>15165</v>
      </c>
      <c r="E255" s="344" t="s">
        <v>126</v>
      </c>
      <c r="F255" s="29">
        <v>1</v>
      </c>
      <c r="G255" s="9">
        <v>1</v>
      </c>
      <c r="H255" s="9">
        <v>1</v>
      </c>
      <c r="I255" s="9">
        <v>2</v>
      </c>
      <c r="J255" s="9">
        <v>2</v>
      </c>
      <c r="K255" s="160">
        <f t="shared" si="4"/>
        <v>0.35859414261160716</v>
      </c>
      <c r="L255" s="52" t="s">
        <v>111</v>
      </c>
    </row>
    <row r="256" spans="1:12">
      <c r="A256" s="152" t="s">
        <v>109</v>
      </c>
      <c r="B256" s="59">
        <v>2007</v>
      </c>
      <c r="C256" s="344" t="s">
        <v>98</v>
      </c>
      <c r="D256" s="59">
        <v>15706</v>
      </c>
      <c r="E256" s="344" t="s">
        <v>126</v>
      </c>
      <c r="F256" s="29">
        <v>1</v>
      </c>
      <c r="G256" s="9">
        <v>1</v>
      </c>
      <c r="H256" s="9">
        <v>1</v>
      </c>
      <c r="I256" s="9">
        <v>2</v>
      </c>
      <c r="J256" s="9">
        <v>2</v>
      </c>
      <c r="K256" s="160">
        <f t="shared" si="4"/>
        <v>0.35859414261160716</v>
      </c>
      <c r="L256" s="52" t="s">
        <v>111</v>
      </c>
    </row>
    <row r="257" spans="1:12">
      <c r="A257" s="152" t="s">
        <v>109</v>
      </c>
      <c r="B257" s="59">
        <v>2007</v>
      </c>
      <c r="C257" s="344" t="s">
        <v>85</v>
      </c>
      <c r="D257" s="59">
        <v>15972</v>
      </c>
      <c r="E257" s="344" t="s">
        <v>126</v>
      </c>
      <c r="F257" s="29">
        <v>1</v>
      </c>
      <c r="G257" s="9">
        <v>1</v>
      </c>
      <c r="H257" s="9">
        <v>1</v>
      </c>
      <c r="I257" s="9">
        <v>2</v>
      </c>
      <c r="J257" s="9">
        <v>2</v>
      </c>
      <c r="K257" s="160">
        <f t="shared" si="4"/>
        <v>0.35859414261160716</v>
      </c>
      <c r="L257" s="52" t="s">
        <v>111</v>
      </c>
    </row>
    <row r="258" spans="1:12">
      <c r="A258" s="152" t="s">
        <v>109</v>
      </c>
      <c r="B258" s="59">
        <v>2006</v>
      </c>
      <c r="C258" s="344" t="s">
        <v>98</v>
      </c>
      <c r="D258" s="59">
        <v>16073</v>
      </c>
      <c r="E258" s="344" t="s">
        <v>126</v>
      </c>
      <c r="F258" s="29">
        <v>1</v>
      </c>
      <c r="G258" s="9">
        <v>1</v>
      </c>
      <c r="H258" s="9">
        <v>1</v>
      </c>
      <c r="I258" s="9">
        <v>2</v>
      </c>
      <c r="J258" s="9">
        <v>2</v>
      </c>
      <c r="K258" s="160">
        <f t="shared" si="4"/>
        <v>0.35859414261160716</v>
      </c>
      <c r="L258" s="52" t="s">
        <v>111</v>
      </c>
    </row>
    <row r="259" spans="1:12">
      <c r="A259" s="152" t="s">
        <v>112</v>
      </c>
      <c r="B259" s="235">
        <v>2017</v>
      </c>
      <c r="C259" s="40" t="s">
        <v>85</v>
      </c>
      <c r="D259" s="55">
        <v>0</v>
      </c>
      <c r="E259" s="809" t="s">
        <v>124</v>
      </c>
      <c r="F259" s="29">
        <v>1</v>
      </c>
      <c r="G259" s="9">
        <v>1</v>
      </c>
      <c r="H259" s="9">
        <v>3</v>
      </c>
      <c r="I259" s="9">
        <v>1</v>
      </c>
      <c r="J259" s="9">
        <v>2</v>
      </c>
      <c r="K259" s="160">
        <f t="shared" si="4"/>
        <v>0.47802211380704585</v>
      </c>
      <c r="L259" s="63" t="s">
        <v>125</v>
      </c>
    </row>
    <row r="260" spans="1:12">
      <c r="A260" s="152" t="s">
        <v>112</v>
      </c>
      <c r="B260" s="235">
        <v>2017</v>
      </c>
      <c r="C260" s="40" t="s">
        <v>86</v>
      </c>
      <c r="D260" s="55">
        <v>149.30032789636365</v>
      </c>
      <c r="E260" s="809" t="s">
        <v>124</v>
      </c>
      <c r="F260" s="29">
        <v>1</v>
      </c>
      <c r="G260" s="9">
        <v>1</v>
      </c>
      <c r="H260" s="9">
        <v>3</v>
      </c>
      <c r="I260" s="9">
        <v>1</v>
      </c>
      <c r="J260" s="9">
        <v>2</v>
      </c>
      <c r="K260" s="160">
        <f t="shared" si="4"/>
        <v>0.47802211380704585</v>
      </c>
      <c r="L260" s="63" t="s">
        <v>125</v>
      </c>
    </row>
    <row r="261" spans="1:12">
      <c r="A261" s="152" t="s">
        <v>112</v>
      </c>
      <c r="B261" s="235">
        <v>2017</v>
      </c>
      <c r="C261" s="40" t="s">
        <v>87</v>
      </c>
      <c r="D261" s="55">
        <v>86.718819714545447</v>
      </c>
      <c r="E261" s="809" t="s">
        <v>124</v>
      </c>
      <c r="F261" s="29">
        <v>1</v>
      </c>
      <c r="G261" s="9">
        <v>1</v>
      </c>
      <c r="H261" s="9">
        <v>3</v>
      </c>
      <c r="I261" s="9">
        <v>1</v>
      </c>
      <c r="J261" s="9">
        <v>2</v>
      </c>
      <c r="K261" s="160">
        <f t="shared" si="4"/>
        <v>0.47802211380704585</v>
      </c>
      <c r="L261" s="63" t="s">
        <v>125</v>
      </c>
    </row>
    <row r="262" spans="1:12">
      <c r="A262" s="152" t="s">
        <v>112</v>
      </c>
      <c r="B262" s="235">
        <v>2017</v>
      </c>
      <c r="C262" s="40" t="s">
        <v>88</v>
      </c>
      <c r="D262" s="55">
        <v>0</v>
      </c>
      <c r="E262" s="809" t="s">
        <v>124</v>
      </c>
      <c r="F262" s="29">
        <v>1</v>
      </c>
      <c r="G262" s="9">
        <v>1</v>
      </c>
      <c r="H262" s="9">
        <v>3</v>
      </c>
      <c r="I262" s="9">
        <v>1</v>
      </c>
      <c r="J262" s="9">
        <v>2</v>
      </c>
      <c r="K262" s="160">
        <f t="shared" si="4"/>
        <v>0.47802211380704585</v>
      </c>
      <c r="L262" s="63" t="s">
        <v>125</v>
      </c>
    </row>
    <row r="263" spans="1:12">
      <c r="A263" s="152" t="s">
        <v>112</v>
      </c>
      <c r="B263" s="235">
        <v>2017</v>
      </c>
      <c r="C263" s="40" t="s">
        <v>89</v>
      </c>
      <c r="D263" s="55">
        <v>0</v>
      </c>
      <c r="E263" s="809" t="s">
        <v>124</v>
      </c>
      <c r="F263" s="29">
        <v>1</v>
      </c>
      <c r="G263" s="9">
        <v>1</v>
      </c>
      <c r="H263" s="9">
        <v>3</v>
      </c>
      <c r="I263" s="9">
        <v>1</v>
      </c>
      <c r="J263" s="9">
        <v>2</v>
      </c>
      <c r="K263" s="160">
        <f t="shared" si="4"/>
        <v>0.47802211380704585</v>
      </c>
      <c r="L263" s="63" t="s">
        <v>125</v>
      </c>
    </row>
    <row r="264" spans="1:12">
      <c r="A264" s="152" t="s">
        <v>112</v>
      </c>
      <c r="B264" s="235">
        <v>2017</v>
      </c>
      <c r="C264" s="40" t="s">
        <v>90</v>
      </c>
      <c r="D264" s="55">
        <v>0</v>
      </c>
      <c r="E264" s="809" t="s">
        <v>124</v>
      </c>
      <c r="F264" s="29">
        <v>1</v>
      </c>
      <c r="G264" s="9">
        <v>1</v>
      </c>
      <c r="H264" s="9">
        <v>3</v>
      </c>
      <c r="I264" s="9">
        <v>1</v>
      </c>
      <c r="J264" s="9">
        <v>2</v>
      </c>
      <c r="K264" s="160">
        <f t="shared" si="4"/>
        <v>0.47802211380704585</v>
      </c>
      <c r="L264" s="63" t="s">
        <v>125</v>
      </c>
    </row>
    <row r="265" spans="1:12">
      <c r="A265" s="152" t="s">
        <v>112</v>
      </c>
      <c r="B265" s="235">
        <v>2017</v>
      </c>
      <c r="C265" s="40" t="s">
        <v>91</v>
      </c>
      <c r="D265" s="55">
        <v>617.78344629272738</v>
      </c>
      <c r="E265" s="809" t="s">
        <v>124</v>
      </c>
      <c r="F265" s="29">
        <v>1</v>
      </c>
      <c r="G265" s="9">
        <v>1</v>
      </c>
      <c r="H265" s="9">
        <v>3</v>
      </c>
      <c r="I265" s="9">
        <v>1</v>
      </c>
      <c r="J265" s="9">
        <v>2</v>
      </c>
      <c r="K265" s="160">
        <f t="shared" si="4"/>
        <v>0.47802211380704585</v>
      </c>
      <c r="L265" s="63" t="s">
        <v>125</v>
      </c>
    </row>
    <row r="266" spans="1:12">
      <c r="A266" s="152" t="s">
        <v>112</v>
      </c>
      <c r="B266" s="235">
        <v>2017</v>
      </c>
      <c r="C266" s="40" t="s">
        <v>95</v>
      </c>
      <c r="D266" s="55">
        <v>88.053207938181828</v>
      </c>
      <c r="E266" s="809" t="s">
        <v>124</v>
      </c>
      <c r="F266" s="29">
        <v>1</v>
      </c>
      <c r="G266" s="9">
        <v>1</v>
      </c>
      <c r="H266" s="9">
        <v>3</v>
      </c>
      <c r="I266" s="9">
        <v>1</v>
      </c>
      <c r="J266" s="9">
        <v>2</v>
      </c>
      <c r="K266" s="160">
        <f t="shared" si="4"/>
        <v>0.47802211380704585</v>
      </c>
      <c r="L266" s="63" t="s">
        <v>125</v>
      </c>
    </row>
    <row r="267" spans="1:12" ht="15.75" thickBot="1">
      <c r="A267" s="153" t="s">
        <v>112</v>
      </c>
      <c r="B267" s="236">
        <v>2017</v>
      </c>
      <c r="C267" s="41" t="s">
        <v>99</v>
      </c>
      <c r="D267" s="56">
        <v>53.497956158181822</v>
      </c>
      <c r="E267" s="837" t="s">
        <v>124</v>
      </c>
      <c r="F267" s="30">
        <v>1</v>
      </c>
      <c r="G267" s="12">
        <v>1</v>
      </c>
      <c r="H267" s="12">
        <v>3</v>
      </c>
      <c r="I267" s="12">
        <v>1</v>
      </c>
      <c r="J267" s="12">
        <v>2</v>
      </c>
      <c r="K267" s="161">
        <f t="shared" si="4"/>
        <v>0.47802211380704585</v>
      </c>
      <c r="L267" s="62" t="s">
        <v>125</v>
      </c>
    </row>
    <row r="268" spans="1:12">
      <c r="A268" s="233" t="s">
        <v>114</v>
      </c>
      <c r="B268" s="824">
        <v>2003</v>
      </c>
      <c r="C268" s="823" t="s">
        <v>85</v>
      </c>
      <c r="D268" s="824">
        <v>3879</v>
      </c>
      <c r="E268" s="823" t="s">
        <v>126</v>
      </c>
      <c r="F268" s="676">
        <v>1</v>
      </c>
      <c r="G268" s="118">
        <v>1</v>
      </c>
      <c r="H268" s="118">
        <v>1</v>
      </c>
      <c r="I268" s="118">
        <v>2</v>
      </c>
      <c r="J268" s="118">
        <v>2</v>
      </c>
      <c r="K268" s="834">
        <f t="shared" si="4"/>
        <v>0.35859414261160716</v>
      </c>
      <c r="L268" s="678" t="s">
        <v>111</v>
      </c>
    </row>
    <row r="269" spans="1:12">
      <c r="A269" s="152" t="s">
        <v>114</v>
      </c>
      <c r="B269" s="59">
        <v>2003</v>
      </c>
      <c r="C269" s="344" t="s">
        <v>86</v>
      </c>
      <c r="D269" s="59">
        <v>1318</v>
      </c>
      <c r="E269" s="344" t="s">
        <v>126</v>
      </c>
      <c r="F269" s="29">
        <v>1</v>
      </c>
      <c r="G269" s="9">
        <v>1</v>
      </c>
      <c r="H269" s="9">
        <v>1</v>
      </c>
      <c r="I269" s="9">
        <v>2</v>
      </c>
      <c r="J269" s="9">
        <v>2</v>
      </c>
      <c r="K269" s="160">
        <f t="shared" si="4"/>
        <v>0.35859414261160716</v>
      </c>
      <c r="L269" s="52" t="s">
        <v>111</v>
      </c>
    </row>
    <row r="270" spans="1:12">
      <c r="A270" s="152" t="s">
        <v>114</v>
      </c>
      <c r="B270" s="59">
        <v>2003</v>
      </c>
      <c r="C270" s="344" t="s">
        <v>87</v>
      </c>
      <c r="D270" s="59">
        <v>900</v>
      </c>
      <c r="E270" s="344" t="s">
        <v>126</v>
      </c>
      <c r="F270" s="29">
        <v>1</v>
      </c>
      <c r="G270" s="9">
        <v>1</v>
      </c>
      <c r="H270" s="9">
        <v>1</v>
      </c>
      <c r="I270" s="9">
        <v>2</v>
      </c>
      <c r="J270" s="9">
        <v>2</v>
      </c>
      <c r="K270" s="160">
        <f t="shared" si="4"/>
        <v>0.35859414261160716</v>
      </c>
      <c r="L270" s="52" t="s">
        <v>111</v>
      </c>
    </row>
    <row r="271" spans="1:12">
      <c r="A271" s="152" t="s">
        <v>114</v>
      </c>
      <c r="B271" s="59">
        <v>2003</v>
      </c>
      <c r="C271" s="344" t="s">
        <v>88</v>
      </c>
      <c r="D271" s="59">
        <v>92</v>
      </c>
      <c r="E271" s="344" t="s">
        <v>126</v>
      </c>
      <c r="F271" s="29">
        <v>1</v>
      </c>
      <c r="G271" s="9">
        <v>1</v>
      </c>
      <c r="H271" s="9">
        <v>1</v>
      </c>
      <c r="I271" s="9">
        <v>2</v>
      </c>
      <c r="J271" s="9">
        <v>2</v>
      </c>
      <c r="K271" s="160">
        <f t="shared" si="4"/>
        <v>0.35859414261160716</v>
      </c>
      <c r="L271" s="52" t="s">
        <v>111</v>
      </c>
    </row>
    <row r="272" spans="1:12">
      <c r="A272" s="152" t="s">
        <v>114</v>
      </c>
      <c r="B272" s="59">
        <v>2003</v>
      </c>
      <c r="C272" s="344" t="s">
        <v>89</v>
      </c>
      <c r="D272" s="59">
        <v>40</v>
      </c>
      <c r="E272" s="344" t="s">
        <v>126</v>
      </c>
      <c r="F272" s="29">
        <v>1</v>
      </c>
      <c r="G272" s="9">
        <v>1</v>
      </c>
      <c r="H272" s="9">
        <v>1</v>
      </c>
      <c r="I272" s="9">
        <v>2</v>
      </c>
      <c r="J272" s="9">
        <v>2</v>
      </c>
      <c r="K272" s="160">
        <f t="shared" si="4"/>
        <v>0.35859414261160716</v>
      </c>
      <c r="L272" s="52" t="s">
        <v>111</v>
      </c>
    </row>
    <row r="273" spans="1:12">
      <c r="A273" s="152" t="s">
        <v>114</v>
      </c>
      <c r="B273" s="59">
        <v>2003</v>
      </c>
      <c r="C273" s="344" t="s">
        <v>90</v>
      </c>
      <c r="D273" s="59">
        <v>323</v>
      </c>
      <c r="E273" s="344" t="s">
        <v>126</v>
      </c>
      <c r="F273" s="29">
        <v>1</v>
      </c>
      <c r="G273" s="9">
        <v>1</v>
      </c>
      <c r="H273" s="9">
        <v>1</v>
      </c>
      <c r="I273" s="9">
        <v>2</v>
      </c>
      <c r="J273" s="9">
        <v>2</v>
      </c>
      <c r="K273" s="160">
        <f t="shared" si="4"/>
        <v>0.35859414261160716</v>
      </c>
      <c r="L273" s="52" t="s">
        <v>111</v>
      </c>
    </row>
    <row r="274" spans="1:12">
      <c r="A274" s="152" t="s">
        <v>114</v>
      </c>
      <c r="B274" s="59">
        <v>2003</v>
      </c>
      <c r="C274" s="344" t="s">
        <v>91</v>
      </c>
      <c r="D274" s="59">
        <v>863</v>
      </c>
      <c r="E274" s="344" t="s">
        <v>126</v>
      </c>
      <c r="F274" s="29">
        <v>1</v>
      </c>
      <c r="G274" s="9">
        <v>1</v>
      </c>
      <c r="H274" s="9">
        <v>1</v>
      </c>
      <c r="I274" s="9">
        <v>2</v>
      </c>
      <c r="J274" s="9">
        <v>2</v>
      </c>
      <c r="K274" s="160">
        <f t="shared" si="4"/>
        <v>0.35859414261160716</v>
      </c>
      <c r="L274" s="52" t="s">
        <v>111</v>
      </c>
    </row>
    <row r="275" spans="1:12">
      <c r="A275" s="152" t="s">
        <v>114</v>
      </c>
      <c r="B275" s="59">
        <v>2003</v>
      </c>
      <c r="C275" s="344" t="s">
        <v>94</v>
      </c>
      <c r="D275" s="59">
        <v>157</v>
      </c>
      <c r="E275" s="344" t="s">
        <v>126</v>
      </c>
      <c r="F275" s="29">
        <v>1</v>
      </c>
      <c r="G275" s="9">
        <v>1</v>
      </c>
      <c r="H275" s="9">
        <v>1</v>
      </c>
      <c r="I275" s="9">
        <v>2</v>
      </c>
      <c r="J275" s="9">
        <v>2</v>
      </c>
      <c r="K275" s="160">
        <f t="shared" si="4"/>
        <v>0.35859414261160716</v>
      </c>
      <c r="L275" s="52" t="s">
        <v>111</v>
      </c>
    </row>
    <row r="276" spans="1:12">
      <c r="A276" s="152" t="s">
        <v>114</v>
      </c>
      <c r="B276" s="59">
        <v>2003</v>
      </c>
      <c r="C276" s="344" t="s">
        <v>96</v>
      </c>
      <c r="D276" s="59">
        <v>85</v>
      </c>
      <c r="E276" s="344" t="s">
        <v>126</v>
      </c>
      <c r="F276" s="29">
        <v>1</v>
      </c>
      <c r="G276" s="9">
        <v>1</v>
      </c>
      <c r="H276" s="9">
        <v>1</v>
      </c>
      <c r="I276" s="9">
        <v>2</v>
      </c>
      <c r="J276" s="9">
        <v>2</v>
      </c>
      <c r="K276" s="160">
        <f t="shared" si="4"/>
        <v>0.35859414261160716</v>
      </c>
      <c r="L276" s="52" t="s">
        <v>111</v>
      </c>
    </row>
    <row r="277" spans="1:12">
      <c r="A277" s="152" t="s">
        <v>114</v>
      </c>
      <c r="B277" s="59">
        <v>2003</v>
      </c>
      <c r="C277" s="344" t="s">
        <v>97</v>
      </c>
      <c r="D277" s="59">
        <v>316</v>
      </c>
      <c r="E277" s="344" t="s">
        <v>126</v>
      </c>
      <c r="F277" s="29">
        <v>1</v>
      </c>
      <c r="G277" s="9">
        <v>1</v>
      </c>
      <c r="H277" s="9">
        <v>1</v>
      </c>
      <c r="I277" s="9">
        <v>2</v>
      </c>
      <c r="J277" s="9">
        <v>2</v>
      </c>
      <c r="K277" s="160">
        <f t="shared" si="4"/>
        <v>0.35859414261160716</v>
      </c>
      <c r="L277" s="52" t="s">
        <v>111</v>
      </c>
    </row>
    <row r="278" spans="1:12">
      <c r="A278" s="152" t="s">
        <v>114</v>
      </c>
      <c r="B278" s="59">
        <v>2003</v>
      </c>
      <c r="C278" s="344" t="s">
        <v>95</v>
      </c>
      <c r="D278" s="59">
        <v>263</v>
      </c>
      <c r="E278" s="344" t="s">
        <v>126</v>
      </c>
      <c r="F278" s="29">
        <v>1</v>
      </c>
      <c r="G278" s="9">
        <v>1</v>
      </c>
      <c r="H278" s="9">
        <v>1</v>
      </c>
      <c r="I278" s="9">
        <v>2</v>
      </c>
      <c r="J278" s="9">
        <v>2</v>
      </c>
      <c r="K278" s="160">
        <f t="shared" si="4"/>
        <v>0.35859414261160716</v>
      </c>
      <c r="L278" s="52" t="s">
        <v>111</v>
      </c>
    </row>
    <row r="279" spans="1:12">
      <c r="A279" s="152" t="s">
        <v>114</v>
      </c>
      <c r="B279" s="59">
        <v>2003</v>
      </c>
      <c r="C279" s="344" t="s">
        <v>93</v>
      </c>
      <c r="D279" s="59">
        <v>60</v>
      </c>
      <c r="E279" s="344" t="s">
        <v>126</v>
      </c>
      <c r="F279" s="29">
        <v>1</v>
      </c>
      <c r="G279" s="9">
        <v>1</v>
      </c>
      <c r="H279" s="9">
        <v>1</v>
      </c>
      <c r="I279" s="9">
        <v>2</v>
      </c>
      <c r="J279" s="9">
        <v>2</v>
      </c>
      <c r="K279" s="160">
        <f t="shared" si="4"/>
        <v>0.35859414261160716</v>
      </c>
      <c r="L279" s="52" t="s">
        <v>111</v>
      </c>
    </row>
    <row r="280" spans="1:12">
      <c r="A280" s="152" t="s">
        <v>114</v>
      </c>
      <c r="B280" s="59">
        <v>2003</v>
      </c>
      <c r="C280" s="344" t="s">
        <v>98</v>
      </c>
      <c r="D280" s="59">
        <v>2016</v>
      </c>
      <c r="E280" s="344" t="s">
        <v>126</v>
      </c>
      <c r="F280" s="29">
        <v>1</v>
      </c>
      <c r="G280" s="9">
        <v>1</v>
      </c>
      <c r="H280" s="9">
        <v>1</v>
      </c>
      <c r="I280" s="9">
        <v>2</v>
      </c>
      <c r="J280" s="9">
        <v>2</v>
      </c>
      <c r="K280" s="160">
        <f t="shared" si="4"/>
        <v>0.35859414261160716</v>
      </c>
      <c r="L280" s="52" t="s">
        <v>111</v>
      </c>
    </row>
    <row r="281" spans="1:12">
      <c r="A281" s="152" t="s">
        <v>114</v>
      </c>
      <c r="B281" s="59">
        <v>2004</v>
      </c>
      <c r="C281" s="344" t="s">
        <v>85</v>
      </c>
      <c r="D281" s="59">
        <v>3129</v>
      </c>
      <c r="E281" s="344" t="s">
        <v>126</v>
      </c>
      <c r="F281" s="29">
        <v>1</v>
      </c>
      <c r="G281" s="9">
        <v>1</v>
      </c>
      <c r="H281" s="9">
        <v>1</v>
      </c>
      <c r="I281" s="9">
        <v>2</v>
      </c>
      <c r="J281" s="9">
        <v>2</v>
      </c>
      <c r="K281" s="160">
        <f t="shared" si="4"/>
        <v>0.35859414261160716</v>
      </c>
      <c r="L281" s="52" t="s">
        <v>111</v>
      </c>
    </row>
    <row r="282" spans="1:12">
      <c r="A282" s="152" t="s">
        <v>114</v>
      </c>
      <c r="B282" s="59">
        <v>2004</v>
      </c>
      <c r="C282" s="344" t="s">
        <v>86</v>
      </c>
      <c r="D282" s="59">
        <v>1188</v>
      </c>
      <c r="E282" s="344" t="s">
        <v>126</v>
      </c>
      <c r="F282" s="29">
        <v>1</v>
      </c>
      <c r="G282" s="9">
        <v>1</v>
      </c>
      <c r="H282" s="9">
        <v>1</v>
      </c>
      <c r="I282" s="9">
        <v>2</v>
      </c>
      <c r="J282" s="9">
        <v>2</v>
      </c>
      <c r="K282" s="160">
        <f t="shared" si="4"/>
        <v>0.35859414261160716</v>
      </c>
      <c r="L282" s="52" t="s">
        <v>111</v>
      </c>
    </row>
    <row r="283" spans="1:12">
      <c r="A283" s="152" t="s">
        <v>114</v>
      </c>
      <c r="B283" s="59">
        <v>2004</v>
      </c>
      <c r="C283" s="344" t="s">
        <v>87</v>
      </c>
      <c r="D283" s="59">
        <v>909</v>
      </c>
      <c r="E283" s="344" t="s">
        <v>126</v>
      </c>
      <c r="F283" s="29">
        <v>1</v>
      </c>
      <c r="G283" s="9">
        <v>1</v>
      </c>
      <c r="H283" s="9">
        <v>1</v>
      </c>
      <c r="I283" s="9">
        <v>2</v>
      </c>
      <c r="J283" s="9">
        <v>2</v>
      </c>
      <c r="K283" s="160">
        <f t="shared" si="4"/>
        <v>0.35859414261160716</v>
      </c>
      <c r="L283" s="52" t="s">
        <v>111</v>
      </c>
    </row>
    <row r="284" spans="1:12">
      <c r="A284" s="152" t="s">
        <v>114</v>
      </c>
      <c r="B284" s="59">
        <v>2004</v>
      </c>
      <c r="C284" s="344" t="s">
        <v>88</v>
      </c>
      <c r="D284" s="59">
        <v>166</v>
      </c>
      <c r="E284" s="344" t="s">
        <v>126</v>
      </c>
      <c r="F284" s="29">
        <v>1</v>
      </c>
      <c r="G284" s="9">
        <v>1</v>
      </c>
      <c r="H284" s="9">
        <v>1</v>
      </c>
      <c r="I284" s="9">
        <v>2</v>
      </c>
      <c r="J284" s="9">
        <v>2</v>
      </c>
      <c r="K284" s="160">
        <f t="shared" si="4"/>
        <v>0.35859414261160716</v>
      </c>
      <c r="L284" s="52" t="s">
        <v>111</v>
      </c>
    </row>
    <row r="285" spans="1:12">
      <c r="A285" s="152" t="s">
        <v>114</v>
      </c>
      <c r="B285" s="59">
        <v>2004</v>
      </c>
      <c r="C285" s="344" t="s">
        <v>89</v>
      </c>
      <c r="D285" s="59">
        <v>50</v>
      </c>
      <c r="E285" s="344" t="s">
        <v>126</v>
      </c>
      <c r="F285" s="29">
        <v>1</v>
      </c>
      <c r="G285" s="9">
        <v>1</v>
      </c>
      <c r="H285" s="9">
        <v>1</v>
      </c>
      <c r="I285" s="9">
        <v>2</v>
      </c>
      <c r="J285" s="9">
        <v>2</v>
      </c>
      <c r="K285" s="160">
        <f t="shared" si="4"/>
        <v>0.35859414261160716</v>
      </c>
      <c r="L285" s="52" t="s">
        <v>111</v>
      </c>
    </row>
    <row r="286" spans="1:12">
      <c r="A286" s="152" t="s">
        <v>114</v>
      </c>
      <c r="B286" s="59">
        <v>2004</v>
      </c>
      <c r="C286" s="344" t="s">
        <v>90</v>
      </c>
      <c r="D286" s="59">
        <v>409</v>
      </c>
      <c r="E286" s="344" t="s">
        <v>126</v>
      </c>
      <c r="F286" s="29">
        <v>1</v>
      </c>
      <c r="G286" s="9">
        <v>1</v>
      </c>
      <c r="H286" s="9">
        <v>1</v>
      </c>
      <c r="I286" s="9">
        <v>2</v>
      </c>
      <c r="J286" s="9">
        <v>2</v>
      </c>
      <c r="K286" s="160">
        <f t="shared" si="4"/>
        <v>0.35859414261160716</v>
      </c>
      <c r="L286" s="52" t="s">
        <v>111</v>
      </c>
    </row>
    <row r="287" spans="1:12">
      <c r="A287" s="152" t="s">
        <v>114</v>
      </c>
      <c r="B287" s="59">
        <v>2004</v>
      </c>
      <c r="C287" s="344" t="s">
        <v>91</v>
      </c>
      <c r="D287" s="59">
        <v>991</v>
      </c>
      <c r="E287" s="344" t="s">
        <v>126</v>
      </c>
      <c r="F287" s="29">
        <v>1</v>
      </c>
      <c r="G287" s="9">
        <v>1</v>
      </c>
      <c r="H287" s="9">
        <v>1</v>
      </c>
      <c r="I287" s="9">
        <v>2</v>
      </c>
      <c r="J287" s="9">
        <v>2</v>
      </c>
      <c r="K287" s="160">
        <f t="shared" si="4"/>
        <v>0.35859414261160716</v>
      </c>
      <c r="L287" s="52" t="s">
        <v>111</v>
      </c>
    </row>
    <row r="288" spans="1:12">
      <c r="A288" s="152" t="s">
        <v>114</v>
      </c>
      <c r="B288" s="59">
        <v>2004</v>
      </c>
      <c r="C288" s="344" t="s">
        <v>94</v>
      </c>
      <c r="D288" s="59">
        <v>178</v>
      </c>
      <c r="E288" s="344" t="s">
        <v>126</v>
      </c>
      <c r="F288" s="29">
        <v>1</v>
      </c>
      <c r="G288" s="9">
        <v>1</v>
      </c>
      <c r="H288" s="9">
        <v>1</v>
      </c>
      <c r="I288" s="9">
        <v>2</v>
      </c>
      <c r="J288" s="9">
        <v>2</v>
      </c>
      <c r="K288" s="160">
        <f t="shared" si="4"/>
        <v>0.35859414261160716</v>
      </c>
      <c r="L288" s="52" t="s">
        <v>111</v>
      </c>
    </row>
    <row r="289" spans="1:12">
      <c r="A289" s="152" t="s">
        <v>114</v>
      </c>
      <c r="B289" s="59">
        <v>2004</v>
      </c>
      <c r="C289" s="344" t="s">
        <v>96</v>
      </c>
      <c r="D289" s="59">
        <v>84</v>
      </c>
      <c r="E289" s="344" t="s">
        <v>126</v>
      </c>
      <c r="F289" s="29">
        <v>1</v>
      </c>
      <c r="G289" s="9">
        <v>1</v>
      </c>
      <c r="H289" s="9">
        <v>1</v>
      </c>
      <c r="I289" s="9">
        <v>2</v>
      </c>
      <c r="J289" s="9">
        <v>2</v>
      </c>
      <c r="K289" s="160">
        <f t="shared" si="4"/>
        <v>0.35859414261160716</v>
      </c>
      <c r="L289" s="52" t="s">
        <v>111</v>
      </c>
    </row>
    <row r="290" spans="1:12">
      <c r="A290" s="152" t="s">
        <v>114</v>
      </c>
      <c r="B290" s="59">
        <v>2004</v>
      </c>
      <c r="C290" s="344" t="s">
        <v>97</v>
      </c>
      <c r="D290" s="59">
        <v>353</v>
      </c>
      <c r="E290" s="344" t="s">
        <v>126</v>
      </c>
      <c r="F290" s="29">
        <v>1</v>
      </c>
      <c r="G290" s="9">
        <v>1</v>
      </c>
      <c r="H290" s="9">
        <v>1</v>
      </c>
      <c r="I290" s="9">
        <v>2</v>
      </c>
      <c r="J290" s="9">
        <v>2</v>
      </c>
      <c r="K290" s="160">
        <f t="shared" si="4"/>
        <v>0.35859414261160716</v>
      </c>
      <c r="L290" s="52" t="s">
        <v>111</v>
      </c>
    </row>
    <row r="291" spans="1:12">
      <c r="A291" s="152" t="s">
        <v>114</v>
      </c>
      <c r="B291" s="59">
        <v>2004</v>
      </c>
      <c r="C291" s="344" t="s">
        <v>95</v>
      </c>
      <c r="D291" s="59">
        <v>283</v>
      </c>
      <c r="E291" s="344" t="s">
        <v>126</v>
      </c>
      <c r="F291" s="29">
        <v>1</v>
      </c>
      <c r="G291" s="9">
        <v>1</v>
      </c>
      <c r="H291" s="9">
        <v>1</v>
      </c>
      <c r="I291" s="9">
        <v>2</v>
      </c>
      <c r="J291" s="9">
        <v>2</v>
      </c>
      <c r="K291" s="160">
        <f t="shared" si="4"/>
        <v>0.35859414261160716</v>
      </c>
      <c r="L291" s="52" t="s">
        <v>111</v>
      </c>
    </row>
    <row r="292" spans="1:12">
      <c r="A292" s="152" t="s">
        <v>114</v>
      </c>
      <c r="B292" s="59">
        <v>2004</v>
      </c>
      <c r="C292" s="344" t="s">
        <v>93</v>
      </c>
      <c r="D292" s="59">
        <v>66</v>
      </c>
      <c r="E292" s="344" t="s">
        <v>126</v>
      </c>
      <c r="F292" s="29">
        <v>1</v>
      </c>
      <c r="G292" s="9">
        <v>1</v>
      </c>
      <c r="H292" s="9">
        <v>1</v>
      </c>
      <c r="I292" s="9">
        <v>2</v>
      </c>
      <c r="J292" s="9">
        <v>2</v>
      </c>
      <c r="K292" s="160">
        <f t="shared" si="4"/>
        <v>0.35859414261160716</v>
      </c>
      <c r="L292" s="52" t="s">
        <v>111</v>
      </c>
    </row>
    <row r="293" spans="1:12">
      <c r="A293" s="152" t="s">
        <v>114</v>
      </c>
      <c r="B293" s="59">
        <v>2004</v>
      </c>
      <c r="C293" s="344" t="s">
        <v>98</v>
      </c>
      <c r="D293" s="59">
        <v>2264</v>
      </c>
      <c r="E293" s="344" t="s">
        <v>126</v>
      </c>
      <c r="F293" s="29">
        <v>1</v>
      </c>
      <c r="G293" s="9">
        <v>1</v>
      </c>
      <c r="H293" s="9">
        <v>1</v>
      </c>
      <c r="I293" s="9">
        <v>2</v>
      </c>
      <c r="J293" s="9">
        <v>2</v>
      </c>
      <c r="K293" s="160">
        <f t="shared" si="4"/>
        <v>0.35859414261160716</v>
      </c>
      <c r="L293" s="52" t="s">
        <v>111</v>
      </c>
    </row>
    <row r="294" spans="1:12">
      <c r="A294" s="152" t="s">
        <v>114</v>
      </c>
      <c r="B294" s="59">
        <v>2005</v>
      </c>
      <c r="C294" s="344" t="s">
        <v>85</v>
      </c>
      <c r="D294" s="59">
        <v>3634</v>
      </c>
      <c r="E294" s="344" t="s">
        <v>126</v>
      </c>
      <c r="F294" s="29">
        <v>1</v>
      </c>
      <c r="G294" s="9">
        <v>1</v>
      </c>
      <c r="H294" s="9">
        <v>1</v>
      </c>
      <c r="I294" s="9">
        <v>2</v>
      </c>
      <c r="J294" s="9">
        <v>2</v>
      </c>
      <c r="K294" s="160">
        <f t="shared" si="4"/>
        <v>0.35859414261160716</v>
      </c>
      <c r="L294" s="52" t="s">
        <v>111</v>
      </c>
    </row>
    <row r="295" spans="1:12">
      <c r="A295" s="152" t="s">
        <v>114</v>
      </c>
      <c r="B295" s="59">
        <v>2005</v>
      </c>
      <c r="C295" s="344" t="s">
        <v>86</v>
      </c>
      <c r="D295" s="59">
        <v>1341</v>
      </c>
      <c r="E295" s="344" t="s">
        <v>126</v>
      </c>
      <c r="F295" s="29">
        <v>1</v>
      </c>
      <c r="G295" s="9">
        <v>1</v>
      </c>
      <c r="H295" s="9">
        <v>1</v>
      </c>
      <c r="I295" s="9">
        <v>2</v>
      </c>
      <c r="J295" s="9">
        <v>2</v>
      </c>
      <c r="K295" s="160">
        <f t="shared" si="4"/>
        <v>0.35859414261160716</v>
      </c>
      <c r="L295" s="52" t="s">
        <v>111</v>
      </c>
    </row>
    <row r="296" spans="1:12">
      <c r="A296" s="152" t="s">
        <v>114</v>
      </c>
      <c r="B296" s="59">
        <v>2005</v>
      </c>
      <c r="C296" s="344" t="s">
        <v>87</v>
      </c>
      <c r="D296" s="59">
        <v>1094</v>
      </c>
      <c r="E296" s="344" t="s">
        <v>126</v>
      </c>
      <c r="F296" s="29">
        <v>1</v>
      </c>
      <c r="G296" s="9">
        <v>1</v>
      </c>
      <c r="H296" s="9">
        <v>1</v>
      </c>
      <c r="I296" s="9">
        <v>2</v>
      </c>
      <c r="J296" s="9">
        <v>2</v>
      </c>
      <c r="K296" s="160">
        <f t="shared" si="4"/>
        <v>0.35859414261160716</v>
      </c>
      <c r="L296" s="52" t="s">
        <v>111</v>
      </c>
    </row>
    <row r="297" spans="1:12">
      <c r="A297" s="152" t="s">
        <v>114</v>
      </c>
      <c r="B297" s="59">
        <v>2005</v>
      </c>
      <c r="C297" s="344" t="s">
        <v>88</v>
      </c>
      <c r="D297" s="59">
        <v>126</v>
      </c>
      <c r="E297" s="344" t="s">
        <v>126</v>
      </c>
      <c r="F297" s="29">
        <v>1</v>
      </c>
      <c r="G297" s="9">
        <v>1</v>
      </c>
      <c r="H297" s="9">
        <v>1</v>
      </c>
      <c r="I297" s="9">
        <v>2</v>
      </c>
      <c r="J297" s="9">
        <v>2</v>
      </c>
      <c r="K297" s="160">
        <f t="shared" si="4"/>
        <v>0.35859414261160716</v>
      </c>
      <c r="L297" s="52" t="s">
        <v>111</v>
      </c>
    </row>
    <row r="298" spans="1:12">
      <c r="A298" s="152" t="s">
        <v>114</v>
      </c>
      <c r="B298" s="59">
        <v>2005</v>
      </c>
      <c r="C298" s="344" t="s">
        <v>89</v>
      </c>
      <c r="D298" s="59">
        <v>51</v>
      </c>
      <c r="E298" s="344" t="s">
        <v>126</v>
      </c>
      <c r="F298" s="29">
        <v>1</v>
      </c>
      <c r="G298" s="9">
        <v>1</v>
      </c>
      <c r="H298" s="9">
        <v>1</v>
      </c>
      <c r="I298" s="9">
        <v>2</v>
      </c>
      <c r="J298" s="9">
        <v>2</v>
      </c>
      <c r="K298" s="160">
        <f t="shared" si="4"/>
        <v>0.35859414261160716</v>
      </c>
      <c r="L298" s="52" t="s">
        <v>111</v>
      </c>
    </row>
    <row r="299" spans="1:12">
      <c r="A299" s="152" t="s">
        <v>114</v>
      </c>
      <c r="B299" s="59">
        <v>2005</v>
      </c>
      <c r="C299" s="344" t="s">
        <v>90</v>
      </c>
      <c r="D299" s="59">
        <v>420</v>
      </c>
      <c r="E299" s="344" t="s">
        <v>126</v>
      </c>
      <c r="F299" s="29">
        <v>1</v>
      </c>
      <c r="G299" s="9">
        <v>1</v>
      </c>
      <c r="H299" s="9">
        <v>1</v>
      </c>
      <c r="I299" s="9">
        <v>2</v>
      </c>
      <c r="J299" s="9">
        <v>2</v>
      </c>
      <c r="K299" s="160">
        <f t="shared" si="4"/>
        <v>0.35859414261160716</v>
      </c>
      <c r="L299" s="52" t="s">
        <v>111</v>
      </c>
    </row>
    <row r="300" spans="1:12">
      <c r="A300" s="152" t="s">
        <v>114</v>
      </c>
      <c r="B300" s="59">
        <v>2005</v>
      </c>
      <c r="C300" s="344" t="s">
        <v>91</v>
      </c>
      <c r="D300" s="59">
        <v>895</v>
      </c>
      <c r="E300" s="344" t="s">
        <v>126</v>
      </c>
      <c r="F300" s="29">
        <v>1</v>
      </c>
      <c r="G300" s="9">
        <v>1</v>
      </c>
      <c r="H300" s="9">
        <v>1</v>
      </c>
      <c r="I300" s="9">
        <v>2</v>
      </c>
      <c r="J300" s="9">
        <v>2</v>
      </c>
      <c r="K300" s="160">
        <f t="shared" si="4"/>
        <v>0.35859414261160716</v>
      </c>
      <c r="L300" s="52" t="s">
        <v>111</v>
      </c>
    </row>
    <row r="301" spans="1:12">
      <c r="A301" s="152" t="s">
        <v>114</v>
      </c>
      <c r="B301" s="59">
        <v>2005</v>
      </c>
      <c r="C301" s="344" t="s">
        <v>94</v>
      </c>
      <c r="D301" s="59">
        <v>207</v>
      </c>
      <c r="E301" s="344" t="s">
        <v>126</v>
      </c>
      <c r="F301" s="29">
        <v>1</v>
      </c>
      <c r="G301" s="9">
        <v>1</v>
      </c>
      <c r="H301" s="9">
        <v>1</v>
      </c>
      <c r="I301" s="9">
        <v>2</v>
      </c>
      <c r="J301" s="9">
        <v>2</v>
      </c>
      <c r="K301" s="160">
        <f t="shared" si="4"/>
        <v>0.35859414261160716</v>
      </c>
      <c r="L301" s="52" t="s">
        <v>111</v>
      </c>
    </row>
    <row r="302" spans="1:12">
      <c r="A302" s="152" t="s">
        <v>114</v>
      </c>
      <c r="B302" s="59">
        <v>2005</v>
      </c>
      <c r="C302" s="344" t="s">
        <v>96</v>
      </c>
      <c r="D302" s="59">
        <v>92</v>
      </c>
      <c r="E302" s="344" t="s">
        <v>126</v>
      </c>
      <c r="F302" s="29">
        <v>1</v>
      </c>
      <c r="G302" s="9">
        <v>1</v>
      </c>
      <c r="H302" s="9">
        <v>1</v>
      </c>
      <c r="I302" s="9">
        <v>2</v>
      </c>
      <c r="J302" s="9">
        <v>2</v>
      </c>
      <c r="K302" s="160">
        <f t="shared" si="4"/>
        <v>0.35859414261160716</v>
      </c>
      <c r="L302" s="52" t="s">
        <v>111</v>
      </c>
    </row>
    <row r="303" spans="1:12">
      <c r="A303" s="152" t="s">
        <v>114</v>
      </c>
      <c r="B303" s="59">
        <v>2005</v>
      </c>
      <c r="C303" s="344" t="s">
        <v>97</v>
      </c>
      <c r="D303" s="59">
        <v>358</v>
      </c>
      <c r="E303" s="344" t="s">
        <v>126</v>
      </c>
      <c r="F303" s="29">
        <v>1</v>
      </c>
      <c r="G303" s="9">
        <v>1</v>
      </c>
      <c r="H303" s="9">
        <v>1</v>
      </c>
      <c r="I303" s="9">
        <v>2</v>
      </c>
      <c r="J303" s="9">
        <v>2</v>
      </c>
      <c r="K303" s="160">
        <f t="shared" si="4"/>
        <v>0.35859414261160716</v>
      </c>
      <c r="L303" s="52" t="s">
        <v>111</v>
      </c>
    </row>
    <row r="304" spans="1:12">
      <c r="A304" s="152" t="s">
        <v>114</v>
      </c>
      <c r="B304" s="59">
        <v>2005</v>
      </c>
      <c r="C304" s="344" t="s">
        <v>95</v>
      </c>
      <c r="D304" s="59">
        <v>289</v>
      </c>
      <c r="E304" s="344" t="s">
        <v>126</v>
      </c>
      <c r="F304" s="29">
        <v>1</v>
      </c>
      <c r="G304" s="9">
        <v>1</v>
      </c>
      <c r="H304" s="9">
        <v>1</v>
      </c>
      <c r="I304" s="9">
        <v>2</v>
      </c>
      <c r="J304" s="9">
        <v>2</v>
      </c>
      <c r="K304" s="160">
        <f t="shared" si="4"/>
        <v>0.35859414261160716</v>
      </c>
      <c r="L304" s="52" t="s">
        <v>111</v>
      </c>
    </row>
    <row r="305" spans="1:12">
      <c r="A305" s="152" t="s">
        <v>114</v>
      </c>
      <c r="B305" s="59">
        <v>2005</v>
      </c>
      <c r="C305" s="344" t="s">
        <v>93</v>
      </c>
      <c r="D305" s="59">
        <v>69</v>
      </c>
      <c r="E305" s="344" t="s">
        <v>126</v>
      </c>
      <c r="F305" s="29">
        <v>1</v>
      </c>
      <c r="G305" s="9">
        <v>1</v>
      </c>
      <c r="H305" s="9">
        <v>1</v>
      </c>
      <c r="I305" s="9">
        <v>2</v>
      </c>
      <c r="J305" s="9">
        <v>2</v>
      </c>
      <c r="K305" s="160">
        <f t="shared" si="4"/>
        <v>0.35859414261160716</v>
      </c>
      <c r="L305" s="52" t="s">
        <v>111</v>
      </c>
    </row>
    <row r="306" spans="1:12">
      <c r="A306" s="152" t="s">
        <v>114</v>
      </c>
      <c r="B306" s="59">
        <v>2005</v>
      </c>
      <c r="C306" s="344" t="s">
        <v>98</v>
      </c>
      <c r="D306" s="59">
        <v>2432</v>
      </c>
      <c r="E306" s="344" t="s">
        <v>126</v>
      </c>
      <c r="F306" s="29">
        <v>1</v>
      </c>
      <c r="G306" s="9">
        <v>1</v>
      </c>
      <c r="H306" s="9">
        <v>1</v>
      </c>
      <c r="I306" s="9">
        <v>2</v>
      </c>
      <c r="J306" s="9">
        <v>2</v>
      </c>
      <c r="K306" s="160">
        <f t="shared" si="4"/>
        <v>0.35859414261160716</v>
      </c>
      <c r="L306" s="52" t="s">
        <v>111</v>
      </c>
    </row>
    <row r="307" spans="1:12">
      <c r="A307" s="152" t="s">
        <v>114</v>
      </c>
      <c r="B307" s="59">
        <v>2006</v>
      </c>
      <c r="C307" s="344" t="s">
        <v>85</v>
      </c>
      <c r="D307" s="59">
        <v>4450</v>
      </c>
      <c r="E307" s="344" t="s">
        <v>126</v>
      </c>
      <c r="F307" s="29">
        <v>1</v>
      </c>
      <c r="G307" s="9">
        <v>1</v>
      </c>
      <c r="H307" s="9">
        <v>1</v>
      </c>
      <c r="I307" s="9">
        <v>2</v>
      </c>
      <c r="J307" s="9">
        <v>2</v>
      </c>
      <c r="K307" s="160">
        <f t="shared" si="4"/>
        <v>0.35859414261160716</v>
      </c>
      <c r="L307" s="52" t="s">
        <v>111</v>
      </c>
    </row>
    <row r="308" spans="1:12">
      <c r="A308" s="152" t="s">
        <v>114</v>
      </c>
      <c r="B308" s="59">
        <v>2006</v>
      </c>
      <c r="C308" s="344" t="s">
        <v>86</v>
      </c>
      <c r="D308" s="59">
        <v>1652</v>
      </c>
      <c r="E308" s="344" t="s">
        <v>126</v>
      </c>
      <c r="F308" s="29">
        <v>1</v>
      </c>
      <c r="G308" s="9">
        <v>1</v>
      </c>
      <c r="H308" s="9">
        <v>1</v>
      </c>
      <c r="I308" s="9">
        <v>2</v>
      </c>
      <c r="J308" s="9">
        <v>2</v>
      </c>
      <c r="K308" s="160">
        <f t="shared" si="4"/>
        <v>0.35859414261160716</v>
      </c>
      <c r="L308" s="52" t="s">
        <v>111</v>
      </c>
    </row>
    <row r="309" spans="1:12">
      <c r="A309" s="152" t="s">
        <v>114</v>
      </c>
      <c r="B309" s="59">
        <v>2006</v>
      </c>
      <c r="C309" s="344" t="s">
        <v>87</v>
      </c>
      <c r="D309" s="59">
        <v>1293</v>
      </c>
      <c r="E309" s="344" t="s">
        <v>126</v>
      </c>
      <c r="F309" s="29">
        <v>1</v>
      </c>
      <c r="G309" s="9">
        <v>1</v>
      </c>
      <c r="H309" s="9">
        <v>1</v>
      </c>
      <c r="I309" s="9">
        <v>2</v>
      </c>
      <c r="J309" s="9">
        <v>2</v>
      </c>
      <c r="K309" s="160">
        <f t="shared" si="4"/>
        <v>0.35859414261160716</v>
      </c>
      <c r="L309" s="52" t="s">
        <v>111</v>
      </c>
    </row>
    <row r="310" spans="1:12">
      <c r="A310" s="152" t="s">
        <v>114</v>
      </c>
      <c r="B310" s="59">
        <v>2006</v>
      </c>
      <c r="C310" s="344" t="s">
        <v>88</v>
      </c>
      <c r="D310" s="59">
        <v>158</v>
      </c>
      <c r="E310" s="344" t="s">
        <v>126</v>
      </c>
      <c r="F310" s="29">
        <v>1</v>
      </c>
      <c r="G310" s="9">
        <v>1</v>
      </c>
      <c r="H310" s="9">
        <v>1</v>
      </c>
      <c r="I310" s="9">
        <v>2</v>
      </c>
      <c r="J310" s="9">
        <v>2</v>
      </c>
      <c r="K310" s="160">
        <f t="shared" si="4"/>
        <v>0.35859414261160716</v>
      </c>
      <c r="L310" s="52" t="s">
        <v>111</v>
      </c>
    </row>
    <row r="311" spans="1:12">
      <c r="A311" s="152" t="s">
        <v>114</v>
      </c>
      <c r="B311" s="59">
        <v>2006</v>
      </c>
      <c r="C311" s="344" t="s">
        <v>89</v>
      </c>
      <c r="D311" s="59">
        <v>41</v>
      </c>
      <c r="E311" s="344" t="s">
        <v>126</v>
      </c>
      <c r="F311" s="29">
        <v>1</v>
      </c>
      <c r="G311" s="9">
        <v>1</v>
      </c>
      <c r="H311" s="9">
        <v>1</v>
      </c>
      <c r="I311" s="9">
        <v>2</v>
      </c>
      <c r="J311" s="9">
        <v>2</v>
      </c>
      <c r="K311" s="160">
        <f t="shared" si="4"/>
        <v>0.35859414261160716</v>
      </c>
      <c r="L311" s="52" t="s">
        <v>111</v>
      </c>
    </row>
    <row r="312" spans="1:12">
      <c r="A312" s="152" t="s">
        <v>114</v>
      </c>
      <c r="B312" s="59">
        <v>2006</v>
      </c>
      <c r="C312" s="344" t="s">
        <v>90</v>
      </c>
      <c r="D312" s="59">
        <v>551</v>
      </c>
      <c r="E312" s="344" t="s">
        <v>126</v>
      </c>
      <c r="F312" s="29">
        <v>1</v>
      </c>
      <c r="G312" s="9">
        <v>1</v>
      </c>
      <c r="H312" s="9">
        <v>1</v>
      </c>
      <c r="I312" s="9">
        <v>2</v>
      </c>
      <c r="J312" s="9">
        <v>2</v>
      </c>
      <c r="K312" s="160">
        <f t="shared" si="4"/>
        <v>0.35859414261160716</v>
      </c>
      <c r="L312" s="52" t="s">
        <v>111</v>
      </c>
    </row>
    <row r="313" spans="1:12">
      <c r="A313" s="152" t="s">
        <v>114</v>
      </c>
      <c r="B313" s="59">
        <v>2006</v>
      </c>
      <c r="C313" s="344" t="s">
        <v>91</v>
      </c>
      <c r="D313" s="59">
        <v>988</v>
      </c>
      <c r="E313" s="344" t="s">
        <v>126</v>
      </c>
      <c r="F313" s="29">
        <v>1</v>
      </c>
      <c r="G313" s="9">
        <v>1</v>
      </c>
      <c r="H313" s="9">
        <v>1</v>
      </c>
      <c r="I313" s="9">
        <v>2</v>
      </c>
      <c r="J313" s="9">
        <v>2</v>
      </c>
      <c r="K313" s="160">
        <f t="shared" ref="K313:K376" si="5">IF( OR( ISBLANK(F313),ISBLANK(G313), ISBLANK(H313), ISBLANK(I313), ISBLANK(J313) ), "", 1.5*SQRT(   EXP(2.21*(F313-1)) + EXP(2.21*(G313-1)) + EXP(2.21*(H313-1)) + EXP(2.21*(I313-1)) + EXP(2.21*J313)   )/100*2.45 )</f>
        <v>0.35859414261160716</v>
      </c>
      <c r="L313" s="52" t="s">
        <v>111</v>
      </c>
    </row>
    <row r="314" spans="1:12">
      <c r="A314" s="152" t="s">
        <v>114</v>
      </c>
      <c r="B314" s="59">
        <v>2006</v>
      </c>
      <c r="C314" s="344" t="s">
        <v>94</v>
      </c>
      <c r="D314" s="59">
        <v>243</v>
      </c>
      <c r="E314" s="344" t="s">
        <v>126</v>
      </c>
      <c r="F314" s="29">
        <v>1</v>
      </c>
      <c r="G314" s="9">
        <v>1</v>
      </c>
      <c r="H314" s="9">
        <v>1</v>
      </c>
      <c r="I314" s="9">
        <v>2</v>
      </c>
      <c r="J314" s="9">
        <v>2</v>
      </c>
      <c r="K314" s="160">
        <f t="shared" si="5"/>
        <v>0.35859414261160716</v>
      </c>
      <c r="L314" s="52" t="s">
        <v>111</v>
      </c>
    </row>
    <row r="315" spans="1:12">
      <c r="A315" s="152" t="s">
        <v>114</v>
      </c>
      <c r="B315" s="59">
        <v>2006</v>
      </c>
      <c r="C315" s="344" t="s">
        <v>96</v>
      </c>
      <c r="D315" s="59">
        <v>92</v>
      </c>
      <c r="E315" s="344" t="s">
        <v>126</v>
      </c>
      <c r="F315" s="29">
        <v>1</v>
      </c>
      <c r="G315" s="9">
        <v>1</v>
      </c>
      <c r="H315" s="9">
        <v>1</v>
      </c>
      <c r="I315" s="9">
        <v>2</v>
      </c>
      <c r="J315" s="9">
        <v>2</v>
      </c>
      <c r="K315" s="160">
        <f t="shared" si="5"/>
        <v>0.35859414261160716</v>
      </c>
      <c r="L315" s="52" t="s">
        <v>111</v>
      </c>
    </row>
    <row r="316" spans="1:12">
      <c r="A316" s="152" t="s">
        <v>114</v>
      </c>
      <c r="B316" s="59">
        <v>2006</v>
      </c>
      <c r="C316" s="344" t="s">
        <v>97</v>
      </c>
      <c r="D316" s="59">
        <v>414</v>
      </c>
      <c r="E316" s="344" t="s">
        <v>126</v>
      </c>
      <c r="F316" s="29">
        <v>1</v>
      </c>
      <c r="G316" s="9">
        <v>1</v>
      </c>
      <c r="H316" s="9">
        <v>1</v>
      </c>
      <c r="I316" s="9">
        <v>2</v>
      </c>
      <c r="J316" s="9">
        <v>2</v>
      </c>
      <c r="K316" s="160">
        <f t="shared" si="5"/>
        <v>0.35859414261160716</v>
      </c>
      <c r="L316" s="52" t="s">
        <v>111</v>
      </c>
    </row>
    <row r="317" spans="1:12">
      <c r="A317" s="152" t="s">
        <v>114</v>
      </c>
      <c r="B317" s="59">
        <v>2006</v>
      </c>
      <c r="C317" s="344" t="s">
        <v>95</v>
      </c>
      <c r="D317" s="59">
        <v>307</v>
      </c>
      <c r="E317" s="344" t="s">
        <v>126</v>
      </c>
      <c r="F317" s="29">
        <v>1</v>
      </c>
      <c r="G317" s="9">
        <v>1</v>
      </c>
      <c r="H317" s="9">
        <v>1</v>
      </c>
      <c r="I317" s="9">
        <v>2</v>
      </c>
      <c r="J317" s="9">
        <v>2</v>
      </c>
      <c r="K317" s="160">
        <f t="shared" si="5"/>
        <v>0.35859414261160716</v>
      </c>
      <c r="L317" s="52" t="s">
        <v>111</v>
      </c>
    </row>
    <row r="318" spans="1:12">
      <c r="A318" s="152" t="s">
        <v>114</v>
      </c>
      <c r="B318" s="59">
        <v>2006</v>
      </c>
      <c r="C318" s="344" t="s">
        <v>93</v>
      </c>
      <c r="D318" s="59">
        <v>65</v>
      </c>
      <c r="E318" s="344" t="s">
        <v>126</v>
      </c>
      <c r="F318" s="29">
        <v>1</v>
      </c>
      <c r="G318" s="9">
        <v>1</v>
      </c>
      <c r="H318" s="9">
        <v>1</v>
      </c>
      <c r="I318" s="9">
        <v>2</v>
      </c>
      <c r="J318" s="9">
        <v>2</v>
      </c>
      <c r="K318" s="160">
        <f t="shared" si="5"/>
        <v>0.35859414261160716</v>
      </c>
      <c r="L318" s="52" t="s">
        <v>111</v>
      </c>
    </row>
    <row r="319" spans="1:12">
      <c r="A319" s="152" t="s">
        <v>114</v>
      </c>
      <c r="B319" s="59">
        <v>2006</v>
      </c>
      <c r="C319" s="344" t="s">
        <v>98</v>
      </c>
      <c r="D319" s="59">
        <v>2561</v>
      </c>
      <c r="E319" s="344" t="s">
        <v>126</v>
      </c>
      <c r="F319" s="29">
        <v>1</v>
      </c>
      <c r="G319" s="9">
        <v>1</v>
      </c>
      <c r="H319" s="9">
        <v>1</v>
      </c>
      <c r="I319" s="9">
        <v>2</v>
      </c>
      <c r="J319" s="9">
        <v>2</v>
      </c>
      <c r="K319" s="160">
        <f t="shared" si="5"/>
        <v>0.35859414261160716</v>
      </c>
      <c r="L319" s="52" t="s">
        <v>111</v>
      </c>
    </row>
    <row r="320" spans="1:12">
      <c r="A320" s="152" t="s">
        <v>114</v>
      </c>
      <c r="B320" s="59">
        <v>2007</v>
      </c>
      <c r="C320" s="344" t="s">
        <v>85</v>
      </c>
      <c r="D320" s="59">
        <v>4175</v>
      </c>
      <c r="E320" s="344" t="s">
        <v>126</v>
      </c>
      <c r="F320" s="29">
        <v>1</v>
      </c>
      <c r="G320" s="9">
        <v>1</v>
      </c>
      <c r="H320" s="9">
        <v>1</v>
      </c>
      <c r="I320" s="9">
        <v>2</v>
      </c>
      <c r="J320" s="9">
        <v>2</v>
      </c>
      <c r="K320" s="160">
        <f t="shared" si="5"/>
        <v>0.35859414261160716</v>
      </c>
      <c r="L320" s="52" t="s">
        <v>111</v>
      </c>
    </row>
    <row r="321" spans="1:12">
      <c r="A321" s="152" t="s">
        <v>114</v>
      </c>
      <c r="B321" s="59">
        <v>2007</v>
      </c>
      <c r="C321" s="344" t="s">
        <v>86</v>
      </c>
      <c r="D321" s="59">
        <v>1552</v>
      </c>
      <c r="E321" s="344" t="s">
        <v>126</v>
      </c>
      <c r="F321" s="29">
        <v>1</v>
      </c>
      <c r="G321" s="9">
        <v>1</v>
      </c>
      <c r="H321" s="9">
        <v>1</v>
      </c>
      <c r="I321" s="9">
        <v>2</v>
      </c>
      <c r="J321" s="9">
        <v>2</v>
      </c>
      <c r="K321" s="160">
        <f t="shared" si="5"/>
        <v>0.35859414261160716</v>
      </c>
      <c r="L321" s="52" t="s">
        <v>111</v>
      </c>
    </row>
    <row r="322" spans="1:12">
      <c r="A322" s="152" t="s">
        <v>114</v>
      </c>
      <c r="B322" s="59">
        <v>2007</v>
      </c>
      <c r="C322" s="344" t="s">
        <v>87</v>
      </c>
      <c r="D322" s="59">
        <v>1332</v>
      </c>
      <c r="E322" s="344" t="s">
        <v>126</v>
      </c>
      <c r="F322" s="29">
        <v>1</v>
      </c>
      <c r="G322" s="9">
        <v>1</v>
      </c>
      <c r="H322" s="9">
        <v>1</v>
      </c>
      <c r="I322" s="9">
        <v>2</v>
      </c>
      <c r="J322" s="9">
        <v>2</v>
      </c>
      <c r="K322" s="160">
        <f t="shared" si="5"/>
        <v>0.35859414261160716</v>
      </c>
      <c r="L322" s="52" t="s">
        <v>111</v>
      </c>
    </row>
    <row r="323" spans="1:12">
      <c r="A323" s="152" t="s">
        <v>114</v>
      </c>
      <c r="B323" s="59">
        <v>2007</v>
      </c>
      <c r="C323" s="344" t="s">
        <v>88</v>
      </c>
      <c r="D323" s="59">
        <v>125</v>
      </c>
      <c r="E323" s="344" t="s">
        <v>126</v>
      </c>
      <c r="F323" s="29">
        <v>1</v>
      </c>
      <c r="G323" s="9">
        <v>1</v>
      </c>
      <c r="H323" s="9">
        <v>1</v>
      </c>
      <c r="I323" s="9">
        <v>2</v>
      </c>
      <c r="J323" s="9">
        <v>2</v>
      </c>
      <c r="K323" s="160">
        <f t="shared" si="5"/>
        <v>0.35859414261160716</v>
      </c>
      <c r="L323" s="52" t="s">
        <v>111</v>
      </c>
    </row>
    <row r="324" spans="1:12">
      <c r="A324" s="152" t="s">
        <v>114</v>
      </c>
      <c r="B324" s="59">
        <v>2007</v>
      </c>
      <c r="C324" s="344" t="s">
        <v>89</v>
      </c>
      <c r="D324" s="59">
        <v>45</v>
      </c>
      <c r="E324" s="344" t="s">
        <v>126</v>
      </c>
      <c r="F324" s="29">
        <v>1</v>
      </c>
      <c r="G324" s="9">
        <v>1</v>
      </c>
      <c r="H324" s="9">
        <v>1</v>
      </c>
      <c r="I324" s="9">
        <v>2</v>
      </c>
      <c r="J324" s="9">
        <v>2</v>
      </c>
      <c r="K324" s="160">
        <f t="shared" si="5"/>
        <v>0.35859414261160716</v>
      </c>
      <c r="L324" s="52" t="s">
        <v>111</v>
      </c>
    </row>
    <row r="325" spans="1:12">
      <c r="A325" s="152" t="s">
        <v>114</v>
      </c>
      <c r="B325" s="59">
        <v>2007</v>
      </c>
      <c r="C325" s="344" t="s">
        <v>90</v>
      </c>
      <c r="D325" s="59">
        <v>553</v>
      </c>
      <c r="E325" s="344" t="s">
        <v>126</v>
      </c>
      <c r="F325" s="29">
        <v>1</v>
      </c>
      <c r="G325" s="9">
        <v>1</v>
      </c>
      <c r="H325" s="9">
        <v>1</v>
      </c>
      <c r="I325" s="9">
        <v>2</v>
      </c>
      <c r="J325" s="9">
        <v>2</v>
      </c>
      <c r="K325" s="160">
        <f t="shared" si="5"/>
        <v>0.35859414261160716</v>
      </c>
      <c r="L325" s="52" t="s">
        <v>111</v>
      </c>
    </row>
    <row r="326" spans="1:12">
      <c r="A326" s="152" t="s">
        <v>114</v>
      </c>
      <c r="B326" s="59">
        <v>2007</v>
      </c>
      <c r="C326" s="344" t="s">
        <v>91</v>
      </c>
      <c r="D326" s="59">
        <v>1108</v>
      </c>
      <c r="E326" s="344" t="s">
        <v>126</v>
      </c>
      <c r="F326" s="29">
        <v>1</v>
      </c>
      <c r="G326" s="9">
        <v>1</v>
      </c>
      <c r="H326" s="9">
        <v>1</v>
      </c>
      <c r="I326" s="9">
        <v>2</v>
      </c>
      <c r="J326" s="9">
        <v>2</v>
      </c>
      <c r="K326" s="160">
        <f t="shared" si="5"/>
        <v>0.35859414261160716</v>
      </c>
      <c r="L326" s="52" t="s">
        <v>111</v>
      </c>
    </row>
    <row r="327" spans="1:12">
      <c r="A327" s="152" t="s">
        <v>114</v>
      </c>
      <c r="B327" s="59">
        <v>2007</v>
      </c>
      <c r="C327" s="344" t="s">
        <v>94</v>
      </c>
      <c r="D327" s="59">
        <v>245</v>
      </c>
      <c r="E327" s="344" t="s">
        <v>126</v>
      </c>
      <c r="F327" s="29">
        <v>1</v>
      </c>
      <c r="G327" s="9">
        <v>1</v>
      </c>
      <c r="H327" s="9">
        <v>1</v>
      </c>
      <c r="I327" s="9">
        <v>2</v>
      </c>
      <c r="J327" s="9">
        <v>2</v>
      </c>
      <c r="K327" s="160">
        <f t="shared" si="5"/>
        <v>0.35859414261160716</v>
      </c>
      <c r="L327" s="52" t="s">
        <v>111</v>
      </c>
    </row>
    <row r="328" spans="1:12">
      <c r="A328" s="152" t="s">
        <v>114</v>
      </c>
      <c r="B328" s="59">
        <v>2007</v>
      </c>
      <c r="C328" s="344" t="s">
        <v>96</v>
      </c>
      <c r="D328" s="59">
        <v>83</v>
      </c>
      <c r="E328" s="344" t="s">
        <v>126</v>
      </c>
      <c r="F328" s="29">
        <v>1</v>
      </c>
      <c r="G328" s="9">
        <v>1</v>
      </c>
      <c r="H328" s="9">
        <v>1</v>
      </c>
      <c r="I328" s="9">
        <v>2</v>
      </c>
      <c r="J328" s="9">
        <v>2</v>
      </c>
      <c r="K328" s="160">
        <f t="shared" si="5"/>
        <v>0.35859414261160716</v>
      </c>
      <c r="L328" s="52" t="s">
        <v>111</v>
      </c>
    </row>
    <row r="329" spans="1:12">
      <c r="A329" s="152" t="s">
        <v>114</v>
      </c>
      <c r="B329" s="59">
        <v>2007</v>
      </c>
      <c r="C329" s="344" t="s">
        <v>97</v>
      </c>
      <c r="D329" s="59">
        <v>451</v>
      </c>
      <c r="E329" s="344" t="s">
        <v>126</v>
      </c>
      <c r="F329" s="29">
        <v>1</v>
      </c>
      <c r="G329" s="9">
        <v>1</v>
      </c>
      <c r="H329" s="9">
        <v>1</v>
      </c>
      <c r="I329" s="9">
        <v>2</v>
      </c>
      <c r="J329" s="9">
        <v>2</v>
      </c>
      <c r="K329" s="160">
        <f t="shared" si="5"/>
        <v>0.35859414261160716</v>
      </c>
      <c r="L329" s="52" t="s">
        <v>111</v>
      </c>
    </row>
    <row r="330" spans="1:12">
      <c r="A330" s="152" t="s">
        <v>114</v>
      </c>
      <c r="B330" s="59">
        <v>2007</v>
      </c>
      <c r="C330" s="344" t="s">
        <v>95</v>
      </c>
      <c r="D330" s="59">
        <v>342</v>
      </c>
      <c r="E330" s="344" t="s">
        <v>126</v>
      </c>
      <c r="F330" s="29">
        <v>1</v>
      </c>
      <c r="G330" s="9">
        <v>1</v>
      </c>
      <c r="H330" s="9">
        <v>1</v>
      </c>
      <c r="I330" s="9">
        <v>2</v>
      </c>
      <c r="J330" s="9">
        <v>2</v>
      </c>
      <c r="K330" s="160">
        <f t="shared" si="5"/>
        <v>0.35859414261160716</v>
      </c>
      <c r="L330" s="52" t="s">
        <v>111</v>
      </c>
    </row>
    <row r="331" spans="1:12">
      <c r="A331" s="152" t="s">
        <v>114</v>
      </c>
      <c r="B331" s="59">
        <v>2007</v>
      </c>
      <c r="C331" s="344" t="s">
        <v>93</v>
      </c>
      <c r="D331" s="59">
        <v>76</v>
      </c>
      <c r="E331" s="344" t="s">
        <v>126</v>
      </c>
      <c r="F331" s="29">
        <v>1</v>
      </c>
      <c r="G331" s="9">
        <v>1</v>
      </c>
      <c r="H331" s="9">
        <v>1</v>
      </c>
      <c r="I331" s="9">
        <v>2</v>
      </c>
      <c r="J331" s="9">
        <v>2</v>
      </c>
      <c r="K331" s="160">
        <f t="shared" si="5"/>
        <v>0.35859414261160716</v>
      </c>
      <c r="L331" s="52" t="s">
        <v>111</v>
      </c>
    </row>
    <row r="332" spans="1:12">
      <c r="A332" s="152" t="s">
        <v>114</v>
      </c>
      <c r="B332" s="59">
        <v>2007</v>
      </c>
      <c r="C332" s="344" t="s">
        <v>98</v>
      </c>
      <c r="D332" s="59">
        <v>2912</v>
      </c>
      <c r="E332" s="344" t="s">
        <v>126</v>
      </c>
      <c r="F332" s="29">
        <v>1</v>
      </c>
      <c r="G332" s="9">
        <v>1</v>
      </c>
      <c r="H332" s="9">
        <v>1</v>
      </c>
      <c r="I332" s="9">
        <v>2</v>
      </c>
      <c r="J332" s="9">
        <v>2</v>
      </c>
      <c r="K332" s="160">
        <f t="shared" si="5"/>
        <v>0.35859414261160716</v>
      </c>
      <c r="L332" s="52" t="s">
        <v>111</v>
      </c>
    </row>
    <row r="333" spans="1:12">
      <c r="A333" s="152" t="s">
        <v>114</v>
      </c>
      <c r="B333" s="59">
        <v>2008</v>
      </c>
      <c r="C333" s="344" t="s">
        <v>85</v>
      </c>
      <c r="D333" s="59">
        <v>3692</v>
      </c>
      <c r="E333" s="344" t="s">
        <v>126</v>
      </c>
      <c r="F333" s="29">
        <v>1</v>
      </c>
      <c r="G333" s="9">
        <v>1</v>
      </c>
      <c r="H333" s="9">
        <v>1</v>
      </c>
      <c r="I333" s="9">
        <v>2</v>
      </c>
      <c r="J333" s="9">
        <v>2</v>
      </c>
      <c r="K333" s="160">
        <f t="shared" si="5"/>
        <v>0.35859414261160716</v>
      </c>
      <c r="L333" s="52" t="s">
        <v>111</v>
      </c>
    </row>
    <row r="334" spans="1:12">
      <c r="A334" s="152" t="s">
        <v>114</v>
      </c>
      <c r="B334" s="59">
        <v>2008</v>
      </c>
      <c r="C334" s="344" t="s">
        <v>86</v>
      </c>
      <c r="D334" s="59">
        <v>1598</v>
      </c>
      <c r="E334" s="344" t="s">
        <v>126</v>
      </c>
      <c r="F334" s="29">
        <v>1</v>
      </c>
      <c r="G334" s="9">
        <v>1</v>
      </c>
      <c r="H334" s="9">
        <v>1</v>
      </c>
      <c r="I334" s="9">
        <v>2</v>
      </c>
      <c r="J334" s="9">
        <v>2</v>
      </c>
      <c r="K334" s="160">
        <f t="shared" si="5"/>
        <v>0.35859414261160716</v>
      </c>
      <c r="L334" s="52" t="s">
        <v>111</v>
      </c>
    </row>
    <row r="335" spans="1:12">
      <c r="A335" s="152" t="s">
        <v>114</v>
      </c>
      <c r="B335" s="59">
        <v>2008</v>
      </c>
      <c r="C335" s="344" t="s">
        <v>87</v>
      </c>
      <c r="D335" s="59">
        <v>1292</v>
      </c>
      <c r="E335" s="344" t="s">
        <v>126</v>
      </c>
      <c r="F335" s="29">
        <v>1</v>
      </c>
      <c r="G335" s="9">
        <v>1</v>
      </c>
      <c r="H335" s="9">
        <v>1</v>
      </c>
      <c r="I335" s="9">
        <v>2</v>
      </c>
      <c r="J335" s="9">
        <v>2</v>
      </c>
      <c r="K335" s="160">
        <f t="shared" si="5"/>
        <v>0.35859414261160716</v>
      </c>
      <c r="L335" s="52" t="s">
        <v>111</v>
      </c>
    </row>
    <row r="336" spans="1:12">
      <c r="A336" s="152" t="s">
        <v>114</v>
      </c>
      <c r="B336" s="59">
        <v>2008</v>
      </c>
      <c r="C336" s="344" t="s">
        <v>88</v>
      </c>
      <c r="D336" s="59">
        <v>114</v>
      </c>
      <c r="E336" s="344" t="s">
        <v>126</v>
      </c>
      <c r="F336" s="29">
        <v>1</v>
      </c>
      <c r="G336" s="9">
        <v>1</v>
      </c>
      <c r="H336" s="9">
        <v>1</v>
      </c>
      <c r="I336" s="9">
        <v>2</v>
      </c>
      <c r="J336" s="9">
        <v>2</v>
      </c>
      <c r="K336" s="160">
        <f t="shared" si="5"/>
        <v>0.35859414261160716</v>
      </c>
      <c r="L336" s="52" t="s">
        <v>111</v>
      </c>
    </row>
    <row r="337" spans="1:12">
      <c r="A337" s="152" t="s">
        <v>114</v>
      </c>
      <c r="B337" s="59">
        <v>2008</v>
      </c>
      <c r="C337" s="344" t="s">
        <v>89</v>
      </c>
      <c r="D337" s="59">
        <v>84</v>
      </c>
      <c r="E337" s="344" t="s">
        <v>126</v>
      </c>
      <c r="F337" s="29">
        <v>1</v>
      </c>
      <c r="G337" s="9">
        <v>1</v>
      </c>
      <c r="H337" s="9">
        <v>1</v>
      </c>
      <c r="I337" s="9">
        <v>2</v>
      </c>
      <c r="J337" s="9">
        <v>2</v>
      </c>
      <c r="K337" s="160">
        <f t="shared" si="5"/>
        <v>0.35859414261160716</v>
      </c>
      <c r="L337" s="52" t="s">
        <v>111</v>
      </c>
    </row>
    <row r="338" spans="1:12">
      <c r="A338" s="152" t="s">
        <v>114</v>
      </c>
      <c r="B338" s="59">
        <v>2008</v>
      </c>
      <c r="C338" s="344" t="s">
        <v>90</v>
      </c>
      <c r="D338" s="59">
        <v>669</v>
      </c>
      <c r="E338" s="344" t="s">
        <v>126</v>
      </c>
      <c r="F338" s="29">
        <v>1</v>
      </c>
      <c r="G338" s="9">
        <v>1</v>
      </c>
      <c r="H338" s="9">
        <v>1</v>
      </c>
      <c r="I338" s="9">
        <v>2</v>
      </c>
      <c r="J338" s="9">
        <v>2</v>
      </c>
      <c r="K338" s="160">
        <f t="shared" si="5"/>
        <v>0.35859414261160716</v>
      </c>
      <c r="L338" s="52" t="s">
        <v>111</v>
      </c>
    </row>
    <row r="339" spans="1:12">
      <c r="A339" s="152" t="s">
        <v>114</v>
      </c>
      <c r="B339" s="59">
        <v>2008</v>
      </c>
      <c r="C339" s="344" t="s">
        <v>91</v>
      </c>
      <c r="D339" s="59">
        <v>1161</v>
      </c>
      <c r="E339" s="344" t="s">
        <v>126</v>
      </c>
      <c r="F339" s="29">
        <v>1</v>
      </c>
      <c r="G339" s="9">
        <v>1</v>
      </c>
      <c r="H339" s="9">
        <v>1</v>
      </c>
      <c r="I339" s="9">
        <v>2</v>
      </c>
      <c r="J339" s="9">
        <v>2</v>
      </c>
      <c r="K339" s="160">
        <f t="shared" si="5"/>
        <v>0.35859414261160716</v>
      </c>
      <c r="L339" s="52" t="s">
        <v>111</v>
      </c>
    </row>
    <row r="340" spans="1:12">
      <c r="A340" s="152" t="s">
        <v>114</v>
      </c>
      <c r="B340" s="59">
        <v>2008</v>
      </c>
      <c r="C340" s="344" t="s">
        <v>94</v>
      </c>
      <c r="D340" s="59">
        <v>257</v>
      </c>
      <c r="E340" s="344" t="s">
        <v>126</v>
      </c>
      <c r="F340" s="29">
        <v>1</v>
      </c>
      <c r="G340" s="9">
        <v>1</v>
      </c>
      <c r="H340" s="9">
        <v>1</v>
      </c>
      <c r="I340" s="9">
        <v>2</v>
      </c>
      <c r="J340" s="9">
        <v>2</v>
      </c>
      <c r="K340" s="160">
        <f t="shared" si="5"/>
        <v>0.35859414261160716</v>
      </c>
      <c r="L340" s="52" t="s">
        <v>111</v>
      </c>
    </row>
    <row r="341" spans="1:12">
      <c r="A341" s="152" t="s">
        <v>114</v>
      </c>
      <c r="B341" s="59">
        <v>2008</v>
      </c>
      <c r="C341" s="344" t="s">
        <v>96</v>
      </c>
      <c r="D341" s="59">
        <v>86</v>
      </c>
      <c r="E341" s="344" t="s">
        <v>126</v>
      </c>
      <c r="F341" s="29">
        <v>1</v>
      </c>
      <c r="G341" s="9">
        <v>1</v>
      </c>
      <c r="H341" s="9">
        <v>1</v>
      </c>
      <c r="I341" s="9">
        <v>2</v>
      </c>
      <c r="J341" s="9">
        <v>2</v>
      </c>
      <c r="K341" s="160">
        <f t="shared" si="5"/>
        <v>0.35859414261160716</v>
      </c>
      <c r="L341" s="52" t="s">
        <v>111</v>
      </c>
    </row>
    <row r="342" spans="1:12">
      <c r="A342" s="152" t="s">
        <v>114</v>
      </c>
      <c r="B342" s="59">
        <v>2008</v>
      </c>
      <c r="C342" s="344" t="s">
        <v>97</v>
      </c>
      <c r="D342" s="59">
        <v>444</v>
      </c>
      <c r="E342" s="344" t="s">
        <v>126</v>
      </c>
      <c r="F342" s="29">
        <v>1</v>
      </c>
      <c r="G342" s="9">
        <v>1</v>
      </c>
      <c r="H342" s="9">
        <v>1</v>
      </c>
      <c r="I342" s="9">
        <v>2</v>
      </c>
      <c r="J342" s="9">
        <v>2</v>
      </c>
      <c r="K342" s="160">
        <f t="shared" si="5"/>
        <v>0.35859414261160716</v>
      </c>
      <c r="L342" s="52" t="s">
        <v>111</v>
      </c>
    </row>
    <row r="343" spans="1:12">
      <c r="A343" s="152" t="s">
        <v>114</v>
      </c>
      <c r="B343" s="59">
        <v>2008</v>
      </c>
      <c r="C343" s="344" t="s">
        <v>95</v>
      </c>
      <c r="D343" s="59">
        <v>361</v>
      </c>
      <c r="E343" s="344" t="s">
        <v>126</v>
      </c>
      <c r="F343" s="29">
        <v>1</v>
      </c>
      <c r="G343" s="9">
        <v>1</v>
      </c>
      <c r="H343" s="9">
        <v>1</v>
      </c>
      <c r="I343" s="9">
        <v>2</v>
      </c>
      <c r="J343" s="9">
        <v>2</v>
      </c>
      <c r="K343" s="160">
        <f t="shared" si="5"/>
        <v>0.35859414261160716</v>
      </c>
      <c r="L343" s="52" t="s">
        <v>111</v>
      </c>
    </row>
    <row r="344" spans="1:12">
      <c r="A344" s="152" t="s">
        <v>114</v>
      </c>
      <c r="B344" s="59">
        <v>2008</v>
      </c>
      <c r="C344" s="344" t="s">
        <v>93</v>
      </c>
      <c r="D344" s="59">
        <v>80</v>
      </c>
      <c r="E344" s="344" t="s">
        <v>126</v>
      </c>
      <c r="F344" s="29">
        <v>1</v>
      </c>
      <c r="G344" s="9">
        <v>1</v>
      </c>
      <c r="H344" s="9">
        <v>1</v>
      </c>
      <c r="I344" s="9">
        <v>2</v>
      </c>
      <c r="J344" s="9">
        <v>2</v>
      </c>
      <c r="K344" s="160">
        <f t="shared" si="5"/>
        <v>0.35859414261160716</v>
      </c>
      <c r="L344" s="52" t="s">
        <v>111</v>
      </c>
    </row>
    <row r="345" spans="1:12">
      <c r="A345" s="152" t="s">
        <v>114</v>
      </c>
      <c r="B345" s="59">
        <v>2008</v>
      </c>
      <c r="C345" s="344" t="s">
        <v>98</v>
      </c>
      <c r="D345" s="59">
        <v>3399</v>
      </c>
      <c r="E345" s="344" t="s">
        <v>126</v>
      </c>
      <c r="F345" s="29">
        <v>1</v>
      </c>
      <c r="G345" s="9">
        <v>1</v>
      </c>
      <c r="H345" s="9">
        <v>1</v>
      </c>
      <c r="I345" s="9">
        <v>2</v>
      </c>
      <c r="J345" s="9">
        <v>2</v>
      </c>
      <c r="K345" s="160">
        <f t="shared" si="5"/>
        <v>0.35859414261160716</v>
      </c>
      <c r="L345" s="52" t="s">
        <v>111</v>
      </c>
    </row>
    <row r="346" spans="1:12">
      <c r="A346" s="152" t="s">
        <v>114</v>
      </c>
      <c r="B346" s="59">
        <v>2009</v>
      </c>
      <c r="C346" s="344" t="s">
        <v>85</v>
      </c>
      <c r="D346" s="59">
        <v>3276</v>
      </c>
      <c r="E346" s="344" t="s">
        <v>126</v>
      </c>
      <c r="F346" s="29">
        <v>1</v>
      </c>
      <c r="G346" s="9">
        <v>1</v>
      </c>
      <c r="H346" s="9">
        <v>1</v>
      </c>
      <c r="I346" s="9">
        <v>2</v>
      </c>
      <c r="J346" s="9">
        <v>2</v>
      </c>
      <c r="K346" s="160">
        <f t="shared" si="5"/>
        <v>0.35859414261160716</v>
      </c>
      <c r="L346" s="52" t="s">
        <v>111</v>
      </c>
    </row>
    <row r="347" spans="1:12">
      <c r="A347" s="152" t="s">
        <v>114</v>
      </c>
      <c r="B347" s="59">
        <v>2009</v>
      </c>
      <c r="C347" s="344" t="s">
        <v>86</v>
      </c>
      <c r="D347" s="59">
        <v>1953</v>
      </c>
      <c r="E347" s="344" t="s">
        <v>126</v>
      </c>
      <c r="F347" s="29">
        <v>1</v>
      </c>
      <c r="G347" s="9">
        <v>1</v>
      </c>
      <c r="H347" s="9">
        <v>1</v>
      </c>
      <c r="I347" s="9">
        <v>2</v>
      </c>
      <c r="J347" s="9">
        <v>2</v>
      </c>
      <c r="K347" s="160">
        <f t="shared" si="5"/>
        <v>0.35859414261160716</v>
      </c>
      <c r="L347" s="52" t="s">
        <v>111</v>
      </c>
    </row>
    <row r="348" spans="1:12">
      <c r="A348" s="152" t="s">
        <v>114</v>
      </c>
      <c r="B348" s="59">
        <v>2009</v>
      </c>
      <c r="C348" s="344" t="s">
        <v>87</v>
      </c>
      <c r="D348" s="59">
        <v>1367</v>
      </c>
      <c r="E348" s="344" t="s">
        <v>126</v>
      </c>
      <c r="F348" s="29">
        <v>1</v>
      </c>
      <c r="G348" s="9">
        <v>1</v>
      </c>
      <c r="H348" s="9">
        <v>1</v>
      </c>
      <c r="I348" s="9">
        <v>2</v>
      </c>
      <c r="J348" s="9">
        <v>2</v>
      </c>
      <c r="K348" s="160">
        <f t="shared" si="5"/>
        <v>0.35859414261160716</v>
      </c>
      <c r="L348" s="52" t="s">
        <v>111</v>
      </c>
    </row>
    <row r="349" spans="1:12">
      <c r="A349" s="152" t="s">
        <v>114</v>
      </c>
      <c r="B349" s="59">
        <v>2009</v>
      </c>
      <c r="C349" s="344" t="s">
        <v>88</v>
      </c>
      <c r="D349" s="59">
        <v>199</v>
      </c>
      <c r="E349" s="344" t="s">
        <v>126</v>
      </c>
      <c r="F349" s="29">
        <v>1</v>
      </c>
      <c r="G349" s="9">
        <v>1</v>
      </c>
      <c r="H349" s="9">
        <v>1</v>
      </c>
      <c r="I349" s="9">
        <v>2</v>
      </c>
      <c r="J349" s="9">
        <v>2</v>
      </c>
      <c r="K349" s="160">
        <f t="shared" si="5"/>
        <v>0.35859414261160716</v>
      </c>
      <c r="L349" s="52" t="s">
        <v>111</v>
      </c>
    </row>
    <row r="350" spans="1:12">
      <c r="A350" s="152" t="s">
        <v>114</v>
      </c>
      <c r="B350" s="59">
        <v>2009</v>
      </c>
      <c r="C350" s="344" t="s">
        <v>89</v>
      </c>
      <c r="D350" s="59">
        <v>101</v>
      </c>
      <c r="E350" s="344" t="s">
        <v>126</v>
      </c>
      <c r="F350" s="29">
        <v>1</v>
      </c>
      <c r="G350" s="9">
        <v>1</v>
      </c>
      <c r="H350" s="9">
        <v>1</v>
      </c>
      <c r="I350" s="9">
        <v>2</v>
      </c>
      <c r="J350" s="9">
        <v>2</v>
      </c>
      <c r="K350" s="160">
        <f t="shared" si="5"/>
        <v>0.35859414261160716</v>
      </c>
      <c r="L350" s="52" t="s">
        <v>111</v>
      </c>
    </row>
    <row r="351" spans="1:12">
      <c r="A351" s="152" t="s">
        <v>114</v>
      </c>
      <c r="B351" s="59">
        <v>2009</v>
      </c>
      <c r="C351" s="344" t="s">
        <v>90</v>
      </c>
      <c r="D351" s="59">
        <v>580</v>
      </c>
      <c r="E351" s="344" t="s">
        <v>126</v>
      </c>
      <c r="F351" s="29">
        <v>1</v>
      </c>
      <c r="G351" s="9">
        <v>1</v>
      </c>
      <c r="H351" s="9">
        <v>1</v>
      </c>
      <c r="I351" s="9">
        <v>2</v>
      </c>
      <c r="J351" s="9">
        <v>2</v>
      </c>
      <c r="K351" s="160">
        <f t="shared" si="5"/>
        <v>0.35859414261160716</v>
      </c>
      <c r="L351" s="52" t="s">
        <v>111</v>
      </c>
    </row>
    <row r="352" spans="1:12">
      <c r="A352" s="152" t="s">
        <v>114</v>
      </c>
      <c r="B352" s="59">
        <v>2009</v>
      </c>
      <c r="C352" s="344" t="s">
        <v>91</v>
      </c>
      <c r="D352" s="59">
        <v>1397</v>
      </c>
      <c r="E352" s="344" t="s">
        <v>126</v>
      </c>
      <c r="F352" s="29">
        <v>1</v>
      </c>
      <c r="G352" s="9">
        <v>1</v>
      </c>
      <c r="H352" s="9">
        <v>1</v>
      </c>
      <c r="I352" s="9">
        <v>2</v>
      </c>
      <c r="J352" s="9">
        <v>2</v>
      </c>
      <c r="K352" s="160">
        <f t="shared" si="5"/>
        <v>0.35859414261160716</v>
      </c>
      <c r="L352" s="52" t="s">
        <v>111</v>
      </c>
    </row>
    <row r="353" spans="1:12">
      <c r="A353" s="152" t="s">
        <v>114</v>
      </c>
      <c r="B353" s="59">
        <v>2009</v>
      </c>
      <c r="C353" s="344" t="s">
        <v>94</v>
      </c>
      <c r="D353" s="59">
        <v>238</v>
      </c>
      <c r="E353" s="344" t="s">
        <v>126</v>
      </c>
      <c r="F353" s="29">
        <v>1</v>
      </c>
      <c r="G353" s="9">
        <v>1</v>
      </c>
      <c r="H353" s="9">
        <v>1</v>
      </c>
      <c r="I353" s="9">
        <v>2</v>
      </c>
      <c r="J353" s="9">
        <v>2</v>
      </c>
      <c r="K353" s="160">
        <f t="shared" si="5"/>
        <v>0.35859414261160716</v>
      </c>
      <c r="L353" s="52" t="s">
        <v>111</v>
      </c>
    </row>
    <row r="354" spans="1:12">
      <c r="A354" s="152" t="s">
        <v>114</v>
      </c>
      <c r="B354" s="59">
        <v>2009</v>
      </c>
      <c r="C354" s="344" t="s">
        <v>96</v>
      </c>
      <c r="D354" s="59">
        <v>91</v>
      </c>
      <c r="E354" s="344" t="s">
        <v>126</v>
      </c>
      <c r="F354" s="29">
        <v>1</v>
      </c>
      <c r="G354" s="9">
        <v>1</v>
      </c>
      <c r="H354" s="9">
        <v>1</v>
      </c>
      <c r="I354" s="9">
        <v>2</v>
      </c>
      <c r="J354" s="9">
        <v>2</v>
      </c>
      <c r="K354" s="160">
        <f t="shared" si="5"/>
        <v>0.35859414261160716</v>
      </c>
      <c r="L354" s="52" t="s">
        <v>111</v>
      </c>
    </row>
    <row r="355" spans="1:12">
      <c r="A355" s="152" t="s">
        <v>114</v>
      </c>
      <c r="B355" s="59">
        <v>2009</v>
      </c>
      <c r="C355" s="344" t="s">
        <v>97</v>
      </c>
      <c r="D355" s="59">
        <v>464</v>
      </c>
      <c r="E355" s="344" t="s">
        <v>126</v>
      </c>
      <c r="F355" s="29">
        <v>1</v>
      </c>
      <c r="G355" s="9">
        <v>1</v>
      </c>
      <c r="H355" s="9">
        <v>1</v>
      </c>
      <c r="I355" s="9">
        <v>2</v>
      </c>
      <c r="J355" s="9">
        <v>2</v>
      </c>
      <c r="K355" s="160">
        <f t="shared" si="5"/>
        <v>0.35859414261160716</v>
      </c>
      <c r="L355" s="52" t="s">
        <v>111</v>
      </c>
    </row>
    <row r="356" spans="1:12">
      <c r="A356" s="152" t="s">
        <v>114</v>
      </c>
      <c r="B356" s="59">
        <v>2009</v>
      </c>
      <c r="C356" s="344" t="s">
        <v>95</v>
      </c>
      <c r="D356" s="59">
        <v>325</v>
      </c>
      <c r="E356" s="344" t="s">
        <v>126</v>
      </c>
      <c r="F356" s="29">
        <v>1</v>
      </c>
      <c r="G356" s="9">
        <v>1</v>
      </c>
      <c r="H356" s="9">
        <v>1</v>
      </c>
      <c r="I356" s="9">
        <v>2</v>
      </c>
      <c r="J356" s="9">
        <v>2</v>
      </c>
      <c r="K356" s="160">
        <f t="shared" si="5"/>
        <v>0.35859414261160716</v>
      </c>
      <c r="L356" s="52" t="s">
        <v>111</v>
      </c>
    </row>
    <row r="357" spans="1:12">
      <c r="A357" s="152" t="s">
        <v>114</v>
      </c>
      <c r="B357" s="59">
        <v>2009</v>
      </c>
      <c r="C357" s="344" t="s">
        <v>93</v>
      </c>
      <c r="D357" s="59">
        <v>82</v>
      </c>
      <c r="E357" s="344" t="s">
        <v>126</v>
      </c>
      <c r="F357" s="29">
        <v>1</v>
      </c>
      <c r="G357" s="9">
        <v>1</v>
      </c>
      <c r="H357" s="9">
        <v>1</v>
      </c>
      <c r="I357" s="9">
        <v>2</v>
      </c>
      <c r="J357" s="9">
        <v>2</v>
      </c>
      <c r="K357" s="160">
        <f t="shared" si="5"/>
        <v>0.35859414261160716</v>
      </c>
      <c r="L357" s="52" t="s">
        <v>111</v>
      </c>
    </row>
    <row r="358" spans="1:12">
      <c r="A358" s="152" t="s">
        <v>114</v>
      </c>
      <c r="B358" s="59">
        <v>2009</v>
      </c>
      <c r="C358" s="344" t="s">
        <v>98</v>
      </c>
      <c r="D358" s="59">
        <v>3768</v>
      </c>
      <c r="E358" s="344" t="s">
        <v>126</v>
      </c>
      <c r="F358" s="29">
        <v>1</v>
      </c>
      <c r="G358" s="9">
        <v>1</v>
      </c>
      <c r="H358" s="9">
        <v>1</v>
      </c>
      <c r="I358" s="9">
        <v>2</v>
      </c>
      <c r="J358" s="9">
        <v>2</v>
      </c>
      <c r="K358" s="160">
        <f t="shared" si="5"/>
        <v>0.35859414261160716</v>
      </c>
      <c r="L358" s="52" t="s">
        <v>111</v>
      </c>
    </row>
    <row r="359" spans="1:12">
      <c r="A359" s="152" t="s">
        <v>114</v>
      </c>
      <c r="B359" s="59">
        <v>2010</v>
      </c>
      <c r="C359" s="344" t="s">
        <v>85</v>
      </c>
      <c r="D359" s="59">
        <v>2773</v>
      </c>
      <c r="E359" s="344" t="s">
        <v>126</v>
      </c>
      <c r="F359" s="29">
        <v>1</v>
      </c>
      <c r="G359" s="9">
        <v>1</v>
      </c>
      <c r="H359" s="9">
        <v>1</v>
      </c>
      <c r="I359" s="9">
        <v>2</v>
      </c>
      <c r="J359" s="9">
        <v>2</v>
      </c>
      <c r="K359" s="160">
        <f t="shared" si="5"/>
        <v>0.35859414261160716</v>
      </c>
      <c r="L359" s="52" t="s">
        <v>111</v>
      </c>
    </row>
    <row r="360" spans="1:12">
      <c r="A360" s="152" t="s">
        <v>114</v>
      </c>
      <c r="B360" s="59">
        <v>2010</v>
      </c>
      <c r="C360" s="344" t="s">
        <v>86</v>
      </c>
      <c r="D360" s="59">
        <v>1804</v>
      </c>
      <c r="E360" s="344" t="s">
        <v>126</v>
      </c>
      <c r="F360" s="29">
        <v>1</v>
      </c>
      <c r="G360" s="9">
        <v>1</v>
      </c>
      <c r="H360" s="9">
        <v>1</v>
      </c>
      <c r="I360" s="9">
        <v>2</v>
      </c>
      <c r="J360" s="9">
        <v>2</v>
      </c>
      <c r="K360" s="160">
        <f t="shared" si="5"/>
        <v>0.35859414261160716</v>
      </c>
      <c r="L360" s="52" t="s">
        <v>111</v>
      </c>
    </row>
    <row r="361" spans="1:12">
      <c r="A361" s="152" t="s">
        <v>114</v>
      </c>
      <c r="B361" s="59">
        <v>2010</v>
      </c>
      <c r="C361" s="344" t="s">
        <v>87</v>
      </c>
      <c r="D361" s="59">
        <v>1342</v>
      </c>
      <c r="E361" s="344" t="s">
        <v>126</v>
      </c>
      <c r="F361" s="29">
        <v>1</v>
      </c>
      <c r="G361" s="9">
        <v>1</v>
      </c>
      <c r="H361" s="9">
        <v>1</v>
      </c>
      <c r="I361" s="9">
        <v>2</v>
      </c>
      <c r="J361" s="9">
        <v>2</v>
      </c>
      <c r="K361" s="160">
        <f t="shared" si="5"/>
        <v>0.35859414261160716</v>
      </c>
      <c r="L361" s="52" t="s">
        <v>111</v>
      </c>
    </row>
    <row r="362" spans="1:12">
      <c r="A362" s="152" t="s">
        <v>114</v>
      </c>
      <c r="B362" s="59">
        <v>2010</v>
      </c>
      <c r="C362" s="344" t="s">
        <v>88</v>
      </c>
      <c r="D362" s="59">
        <v>93</v>
      </c>
      <c r="E362" s="344" t="s">
        <v>126</v>
      </c>
      <c r="F362" s="29">
        <v>1</v>
      </c>
      <c r="G362" s="9">
        <v>1</v>
      </c>
      <c r="H362" s="9">
        <v>1</v>
      </c>
      <c r="I362" s="9">
        <v>2</v>
      </c>
      <c r="J362" s="9">
        <v>2</v>
      </c>
      <c r="K362" s="160">
        <f t="shared" si="5"/>
        <v>0.35859414261160716</v>
      </c>
      <c r="L362" s="52" t="s">
        <v>111</v>
      </c>
    </row>
    <row r="363" spans="1:12">
      <c r="A363" s="152" t="s">
        <v>114</v>
      </c>
      <c r="B363" s="59">
        <v>2010</v>
      </c>
      <c r="C363" s="344" t="s">
        <v>89</v>
      </c>
      <c r="D363" s="59">
        <v>112</v>
      </c>
      <c r="E363" s="344" t="s">
        <v>126</v>
      </c>
      <c r="F363" s="29">
        <v>1</v>
      </c>
      <c r="G363" s="9">
        <v>1</v>
      </c>
      <c r="H363" s="9">
        <v>1</v>
      </c>
      <c r="I363" s="9">
        <v>2</v>
      </c>
      <c r="J363" s="9">
        <v>2</v>
      </c>
      <c r="K363" s="160">
        <f t="shared" si="5"/>
        <v>0.35859414261160716</v>
      </c>
      <c r="L363" s="52" t="s">
        <v>111</v>
      </c>
    </row>
    <row r="364" spans="1:12">
      <c r="A364" s="152" t="s">
        <v>114</v>
      </c>
      <c r="B364" s="59">
        <v>2010</v>
      </c>
      <c r="C364" s="344" t="s">
        <v>90</v>
      </c>
      <c r="D364" s="59">
        <v>444</v>
      </c>
      <c r="E364" s="344" t="s">
        <v>126</v>
      </c>
      <c r="F364" s="29">
        <v>1</v>
      </c>
      <c r="G364" s="9">
        <v>1</v>
      </c>
      <c r="H364" s="9">
        <v>1</v>
      </c>
      <c r="I364" s="9">
        <v>2</v>
      </c>
      <c r="J364" s="9">
        <v>2</v>
      </c>
      <c r="K364" s="160">
        <f t="shared" si="5"/>
        <v>0.35859414261160716</v>
      </c>
      <c r="L364" s="52" t="s">
        <v>111</v>
      </c>
    </row>
    <row r="365" spans="1:12">
      <c r="A365" s="152" t="s">
        <v>114</v>
      </c>
      <c r="B365" s="59">
        <v>2010</v>
      </c>
      <c r="C365" s="344" t="s">
        <v>91</v>
      </c>
      <c r="D365" s="59">
        <v>1193</v>
      </c>
      <c r="E365" s="344" t="s">
        <v>126</v>
      </c>
      <c r="F365" s="29">
        <v>1</v>
      </c>
      <c r="G365" s="9">
        <v>1</v>
      </c>
      <c r="H365" s="9">
        <v>1</v>
      </c>
      <c r="I365" s="9">
        <v>2</v>
      </c>
      <c r="J365" s="9">
        <v>2</v>
      </c>
      <c r="K365" s="160">
        <f t="shared" si="5"/>
        <v>0.35859414261160716</v>
      </c>
      <c r="L365" s="52" t="s">
        <v>111</v>
      </c>
    </row>
    <row r="366" spans="1:12">
      <c r="A366" s="152" t="s">
        <v>114</v>
      </c>
      <c r="B366" s="59">
        <v>2010</v>
      </c>
      <c r="C366" s="344" t="s">
        <v>94</v>
      </c>
      <c r="D366" s="59">
        <v>182</v>
      </c>
      <c r="E366" s="344" t="s">
        <v>126</v>
      </c>
      <c r="F366" s="29">
        <v>1</v>
      </c>
      <c r="G366" s="9">
        <v>1</v>
      </c>
      <c r="H366" s="9">
        <v>1</v>
      </c>
      <c r="I366" s="9">
        <v>2</v>
      </c>
      <c r="J366" s="9">
        <v>2</v>
      </c>
      <c r="K366" s="160">
        <f t="shared" si="5"/>
        <v>0.35859414261160716</v>
      </c>
      <c r="L366" s="52" t="s">
        <v>111</v>
      </c>
    </row>
    <row r="367" spans="1:12">
      <c r="A367" s="152" t="s">
        <v>114</v>
      </c>
      <c r="B367" s="59">
        <v>2010</v>
      </c>
      <c r="C367" s="344" t="s">
        <v>96</v>
      </c>
      <c r="D367" s="59">
        <v>102</v>
      </c>
      <c r="E367" s="344" t="s">
        <v>126</v>
      </c>
      <c r="F367" s="29">
        <v>1</v>
      </c>
      <c r="G367" s="9">
        <v>1</v>
      </c>
      <c r="H367" s="9">
        <v>1</v>
      </c>
      <c r="I367" s="9">
        <v>2</v>
      </c>
      <c r="J367" s="9">
        <v>2</v>
      </c>
      <c r="K367" s="160">
        <f t="shared" si="5"/>
        <v>0.35859414261160716</v>
      </c>
      <c r="L367" s="52" t="s">
        <v>111</v>
      </c>
    </row>
    <row r="368" spans="1:12">
      <c r="A368" s="152" t="s">
        <v>114</v>
      </c>
      <c r="B368" s="59">
        <v>2010</v>
      </c>
      <c r="C368" s="344" t="s">
        <v>97</v>
      </c>
      <c r="D368" s="59">
        <v>525</v>
      </c>
      <c r="E368" s="344" t="s">
        <v>126</v>
      </c>
      <c r="F368" s="29">
        <v>1</v>
      </c>
      <c r="G368" s="9">
        <v>1</v>
      </c>
      <c r="H368" s="9">
        <v>1</v>
      </c>
      <c r="I368" s="9">
        <v>2</v>
      </c>
      <c r="J368" s="9">
        <v>2</v>
      </c>
      <c r="K368" s="160">
        <f t="shared" si="5"/>
        <v>0.35859414261160716</v>
      </c>
      <c r="L368" s="52" t="s">
        <v>111</v>
      </c>
    </row>
    <row r="369" spans="1:12">
      <c r="A369" s="152" t="s">
        <v>114</v>
      </c>
      <c r="B369" s="59">
        <v>2010</v>
      </c>
      <c r="C369" s="344" t="s">
        <v>95</v>
      </c>
      <c r="D369" s="59">
        <v>286</v>
      </c>
      <c r="E369" s="344" t="s">
        <v>126</v>
      </c>
      <c r="F369" s="29">
        <v>1</v>
      </c>
      <c r="G369" s="9">
        <v>1</v>
      </c>
      <c r="H369" s="9">
        <v>1</v>
      </c>
      <c r="I369" s="9">
        <v>2</v>
      </c>
      <c r="J369" s="9">
        <v>2</v>
      </c>
      <c r="K369" s="160">
        <f t="shared" si="5"/>
        <v>0.35859414261160716</v>
      </c>
      <c r="L369" s="52" t="s">
        <v>111</v>
      </c>
    </row>
    <row r="370" spans="1:12">
      <c r="A370" s="152" t="s">
        <v>114</v>
      </c>
      <c r="B370" s="59">
        <v>2010</v>
      </c>
      <c r="C370" s="344" t="s">
        <v>93</v>
      </c>
      <c r="D370" s="59">
        <v>77</v>
      </c>
      <c r="E370" s="344" t="s">
        <v>126</v>
      </c>
      <c r="F370" s="29">
        <v>1</v>
      </c>
      <c r="G370" s="9">
        <v>1</v>
      </c>
      <c r="H370" s="9">
        <v>1</v>
      </c>
      <c r="I370" s="9">
        <v>2</v>
      </c>
      <c r="J370" s="9">
        <v>2</v>
      </c>
      <c r="K370" s="160">
        <f t="shared" si="5"/>
        <v>0.35859414261160716</v>
      </c>
      <c r="L370" s="52" t="s">
        <v>111</v>
      </c>
    </row>
    <row r="371" spans="1:12">
      <c r="A371" s="152" t="s">
        <v>114</v>
      </c>
      <c r="B371" s="59">
        <v>2010</v>
      </c>
      <c r="C371" s="344" t="s">
        <v>98</v>
      </c>
      <c r="D371" s="59">
        <v>3675</v>
      </c>
      <c r="E371" s="344" t="s">
        <v>126</v>
      </c>
      <c r="F371" s="29">
        <v>1</v>
      </c>
      <c r="G371" s="9">
        <v>1</v>
      </c>
      <c r="H371" s="9">
        <v>1</v>
      </c>
      <c r="I371" s="9">
        <v>2</v>
      </c>
      <c r="J371" s="9">
        <v>2</v>
      </c>
      <c r="K371" s="160">
        <f t="shared" si="5"/>
        <v>0.35859414261160716</v>
      </c>
      <c r="L371" s="52" t="s">
        <v>111</v>
      </c>
    </row>
    <row r="372" spans="1:12">
      <c r="A372" s="152" t="s">
        <v>114</v>
      </c>
      <c r="B372" s="59">
        <v>2011</v>
      </c>
      <c r="C372" s="344" t="s">
        <v>85</v>
      </c>
      <c r="D372" s="59">
        <v>3130</v>
      </c>
      <c r="E372" s="344" t="s">
        <v>126</v>
      </c>
      <c r="F372" s="29">
        <v>1</v>
      </c>
      <c r="G372" s="9">
        <v>1</v>
      </c>
      <c r="H372" s="9">
        <v>1</v>
      </c>
      <c r="I372" s="9">
        <v>2</v>
      </c>
      <c r="J372" s="9">
        <v>2</v>
      </c>
      <c r="K372" s="160">
        <f t="shared" si="5"/>
        <v>0.35859414261160716</v>
      </c>
      <c r="L372" s="52" t="s">
        <v>111</v>
      </c>
    </row>
    <row r="373" spans="1:12">
      <c r="A373" s="152" t="s">
        <v>114</v>
      </c>
      <c r="B373" s="59">
        <v>2011</v>
      </c>
      <c r="C373" s="344" t="s">
        <v>86</v>
      </c>
      <c r="D373" s="59">
        <v>1771</v>
      </c>
      <c r="E373" s="344" t="s">
        <v>126</v>
      </c>
      <c r="F373" s="29">
        <v>1</v>
      </c>
      <c r="G373" s="9">
        <v>1</v>
      </c>
      <c r="H373" s="9">
        <v>1</v>
      </c>
      <c r="I373" s="9">
        <v>2</v>
      </c>
      <c r="J373" s="9">
        <v>2</v>
      </c>
      <c r="K373" s="160">
        <f t="shared" si="5"/>
        <v>0.35859414261160716</v>
      </c>
      <c r="L373" s="52" t="s">
        <v>111</v>
      </c>
    </row>
    <row r="374" spans="1:12">
      <c r="A374" s="152" t="s">
        <v>114</v>
      </c>
      <c r="B374" s="59">
        <v>2011</v>
      </c>
      <c r="C374" s="344" t="s">
        <v>87</v>
      </c>
      <c r="D374" s="59">
        <v>1720</v>
      </c>
      <c r="E374" s="344" t="s">
        <v>126</v>
      </c>
      <c r="F374" s="29">
        <v>1</v>
      </c>
      <c r="G374" s="9">
        <v>1</v>
      </c>
      <c r="H374" s="9">
        <v>1</v>
      </c>
      <c r="I374" s="9">
        <v>2</v>
      </c>
      <c r="J374" s="9">
        <v>2</v>
      </c>
      <c r="K374" s="160">
        <f t="shared" si="5"/>
        <v>0.35859414261160716</v>
      </c>
      <c r="L374" s="52" t="s">
        <v>111</v>
      </c>
    </row>
    <row r="375" spans="1:12">
      <c r="A375" s="152" t="s">
        <v>114</v>
      </c>
      <c r="B375" s="59">
        <v>2011</v>
      </c>
      <c r="C375" s="344" t="s">
        <v>88</v>
      </c>
      <c r="D375" s="59">
        <v>83</v>
      </c>
      <c r="E375" s="344" t="s">
        <v>126</v>
      </c>
      <c r="F375" s="29">
        <v>1</v>
      </c>
      <c r="G375" s="9">
        <v>1</v>
      </c>
      <c r="H375" s="9">
        <v>1</v>
      </c>
      <c r="I375" s="9">
        <v>2</v>
      </c>
      <c r="J375" s="9">
        <v>2</v>
      </c>
      <c r="K375" s="160">
        <f t="shared" si="5"/>
        <v>0.35859414261160716</v>
      </c>
      <c r="L375" s="52" t="s">
        <v>111</v>
      </c>
    </row>
    <row r="376" spans="1:12">
      <c r="A376" s="152" t="s">
        <v>114</v>
      </c>
      <c r="B376" s="59">
        <v>2011</v>
      </c>
      <c r="C376" s="344" t="s">
        <v>89</v>
      </c>
      <c r="D376" s="59">
        <v>173</v>
      </c>
      <c r="E376" s="344" t="s">
        <v>126</v>
      </c>
      <c r="F376" s="29">
        <v>1</v>
      </c>
      <c r="G376" s="9">
        <v>1</v>
      </c>
      <c r="H376" s="9">
        <v>1</v>
      </c>
      <c r="I376" s="9">
        <v>2</v>
      </c>
      <c r="J376" s="9">
        <v>2</v>
      </c>
      <c r="K376" s="160">
        <f t="shared" si="5"/>
        <v>0.35859414261160716</v>
      </c>
      <c r="L376" s="52" t="s">
        <v>111</v>
      </c>
    </row>
    <row r="377" spans="1:12">
      <c r="A377" s="152" t="s">
        <v>114</v>
      </c>
      <c r="B377" s="59">
        <v>2011</v>
      </c>
      <c r="C377" s="344" t="s">
        <v>90</v>
      </c>
      <c r="D377" s="59">
        <v>599</v>
      </c>
      <c r="E377" s="344" t="s">
        <v>126</v>
      </c>
      <c r="F377" s="29">
        <v>1</v>
      </c>
      <c r="G377" s="9">
        <v>1</v>
      </c>
      <c r="H377" s="9">
        <v>1</v>
      </c>
      <c r="I377" s="9">
        <v>2</v>
      </c>
      <c r="J377" s="9">
        <v>2</v>
      </c>
      <c r="K377" s="160">
        <f t="shared" ref="K377:K440" si="6">IF( OR( ISBLANK(F377),ISBLANK(G377), ISBLANK(H377), ISBLANK(I377), ISBLANK(J377) ), "", 1.5*SQRT(   EXP(2.21*(F377-1)) + EXP(2.21*(G377-1)) + EXP(2.21*(H377-1)) + EXP(2.21*(I377-1)) + EXP(2.21*J377)   )/100*2.45 )</f>
        <v>0.35859414261160716</v>
      </c>
      <c r="L377" s="52" t="s">
        <v>111</v>
      </c>
    </row>
    <row r="378" spans="1:12">
      <c r="A378" s="152" t="s">
        <v>114</v>
      </c>
      <c r="B378" s="59">
        <v>2011</v>
      </c>
      <c r="C378" s="344" t="s">
        <v>91</v>
      </c>
      <c r="D378" s="59">
        <v>1095</v>
      </c>
      <c r="E378" s="344" t="s">
        <v>126</v>
      </c>
      <c r="F378" s="29">
        <v>1</v>
      </c>
      <c r="G378" s="9">
        <v>1</v>
      </c>
      <c r="H378" s="9">
        <v>1</v>
      </c>
      <c r="I378" s="9">
        <v>2</v>
      </c>
      <c r="J378" s="9">
        <v>2</v>
      </c>
      <c r="K378" s="160">
        <f t="shared" si="6"/>
        <v>0.35859414261160716</v>
      </c>
      <c r="L378" s="52" t="s">
        <v>111</v>
      </c>
    </row>
    <row r="379" spans="1:12">
      <c r="A379" s="152" t="s">
        <v>114</v>
      </c>
      <c r="B379" s="59">
        <v>2011</v>
      </c>
      <c r="C379" s="344" t="s">
        <v>94</v>
      </c>
      <c r="D379" s="59">
        <v>225</v>
      </c>
      <c r="E379" s="344" t="s">
        <v>126</v>
      </c>
      <c r="F379" s="29">
        <v>1</v>
      </c>
      <c r="G379" s="9">
        <v>1</v>
      </c>
      <c r="H379" s="9">
        <v>1</v>
      </c>
      <c r="I379" s="9">
        <v>2</v>
      </c>
      <c r="J379" s="9">
        <v>2</v>
      </c>
      <c r="K379" s="160">
        <f t="shared" si="6"/>
        <v>0.35859414261160716</v>
      </c>
      <c r="L379" s="52" t="s">
        <v>111</v>
      </c>
    </row>
    <row r="380" spans="1:12">
      <c r="A380" s="152" t="s">
        <v>114</v>
      </c>
      <c r="B380" s="59">
        <v>2011</v>
      </c>
      <c r="C380" s="344" t="s">
        <v>96</v>
      </c>
      <c r="D380" s="59">
        <v>142</v>
      </c>
      <c r="E380" s="344" t="s">
        <v>126</v>
      </c>
      <c r="F380" s="29">
        <v>1</v>
      </c>
      <c r="G380" s="9">
        <v>1</v>
      </c>
      <c r="H380" s="9">
        <v>1</v>
      </c>
      <c r="I380" s="9">
        <v>2</v>
      </c>
      <c r="J380" s="9">
        <v>2</v>
      </c>
      <c r="K380" s="160">
        <f t="shared" si="6"/>
        <v>0.35859414261160716</v>
      </c>
      <c r="L380" s="52" t="s">
        <v>111</v>
      </c>
    </row>
    <row r="381" spans="1:12">
      <c r="A381" s="152" t="s">
        <v>114</v>
      </c>
      <c r="B381" s="59">
        <v>2011</v>
      </c>
      <c r="C381" s="344" t="s">
        <v>97</v>
      </c>
      <c r="D381" s="59">
        <v>545</v>
      </c>
      <c r="E381" s="344" t="s">
        <v>126</v>
      </c>
      <c r="F381" s="29">
        <v>1</v>
      </c>
      <c r="G381" s="9">
        <v>1</v>
      </c>
      <c r="H381" s="9">
        <v>1</v>
      </c>
      <c r="I381" s="9">
        <v>2</v>
      </c>
      <c r="J381" s="9">
        <v>2</v>
      </c>
      <c r="K381" s="160">
        <f t="shared" si="6"/>
        <v>0.35859414261160716</v>
      </c>
      <c r="L381" s="52" t="s">
        <v>111</v>
      </c>
    </row>
    <row r="382" spans="1:12">
      <c r="A382" s="152" t="s">
        <v>114</v>
      </c>
      <c r="B382" s="59">
        <v>2011</v>
      </c>
      <c r="C382" s="344" t="s">
        <v>95</v>
      </c>
      <c r="D382" s="59">
        <v>339</v>
      </c>
      <c r="E382" s="344" t="s">
        <v>126</v>
      </c>
      <c r="F382" s="29">
        <v>1</v>
      </c>
      <c r="G382" s="9">
        <v>1</v>
      </c>
      <c r="H382" s="9">
        <v>1</v>
      </c>
      <c r="I382" s="9">
        <v>2</v>
      </c>
      <c r="J382" s="9">
        <v>2</v>
      </c>
      <c r="K382" s="160">
        <f t="shared" si="6"/>
        <v>0.35859414261160716</v>
      </c>
      <c r="L382" s="52" t="s">
        <v>111</v>
      </c>
    </row>
    <row r="383" spans="1:12">
      <c r="A383" s="152" t="s">
        <v>114</v>
      </c>
      <c r="B383" s="59">
        <v>2011</v>
      </c>
      <c r="C383" s="344" t="s">
        <v>93</v>
      </c>
      <c r="D383" s="59">
        <v>82</v>
      </c>
      <c r="E383" s="344" t="s">
        <v>126</v>
      </c>
      <c r="F383" s="29">
        <v>1</v>
      </c>
      <c r="G383" s="9">
        <v>1</v>
      </c>
      <c r="H383" s="9">
        <v>1</v>
      </c>
      <c r="I383" s="9">
        <v>2</v>
      </c>
      <c r="J383" s="9">
        <v>2</v>
      </c>
      <c r="K383" s="160">
        <f t="shared" si="6"/>
        <v>0.35859414261160716</v>
      </c>
      <c r="L383" s="52" t="s">
        <v>111</v>
      </c>
    </row>
    <row r="384" spans="1:12">
      <c r="A384" s="152" t="s">
        <v>114</v>
      </c>
      <c r="B384" s="59">
        <v>2011</v>
      </c>
      <c r="C384" s="344" t="s">
        <v>98</v>
      </c>
      <c r="D384" s="59">
        <v>3989</v>
      </c>
      <c r="E384" s="344" t="s">
        <v>126</v>
      </c>
      <c r="F384" s="29">
        <v>1</v>
      </c>
      <c r="G384" s="9">
        <v>1</v>
      </c>
      <c r="H384" s="9">
        <v>1</v>
      </c>
      <c r="I384" s="9">
        <v>2</v>
      </c>
      <c r="J384" s="9">
        <v>2</v>
      </c>
      <c r="K384" s="160">
        <f t="shared" si="6"/>
        <v>0.35859414261160716</v>
      </c>
      <c r="L384" s="52" t="s">
        <v>111</v>
      </c>
    </row>
    <row r="385" spans="1:12">
      <c r="A385" s="152" t="s">
        <v>114</v>
      </c>
      <c r="B385" s="59">
        <v>2012</v>
      </c>
      <c r="C385" s="344" t="s">
        <v>85</v>
      </c>
      <c r="D385" s="59">
        <v>2747</v>
      </c>
      <c r="E385" s="344" t="s">
        <v>126</v>
      </c>
      <c r="F385" s="29">
        <v>1</v>
      </c>
      <c r="G385" s="9">
        <v>1</v>
      </c>
      <c r="H385" s="9">
        <v>1</v>
      </c>
      <c r="I385" s="9">
        <v>2</v>
      </c>
      <c r="J385" s="9">
        <v>2</v>
      </c>
      <c r="K385" s="160">
        <f t="shared" si="6"/>
        <v>0.35859414261160716</v>
      </c>
      <c r="L385" s="52" t="s">
        <v>111</v>
      </c>
    </row>
    <row r="386" spans="1:12">
      <c r="A386" s="152" t="s">
        <v>114</v>
      </c>
      <c r="B386" s="59">
        <v>2012</v>
      </c>
      <c r="C386" s="344" t="s">
        <v>86</v>
      </c>
      <c r="D386" s="59">
        <v>918</v>
      </c>
      <c r="E386" s="344" t="s">
        <v>126</v>
      </c>
      <c r="F386" s="29">
        <v>1</v>
      </c>
      <c r="G386" s="9">
        <v>1</v>
      </c>
      <c r="H386" s="9">
        <v>1</v>
      </c>
      <c r="I386" s="9">
        <v>2</v>
      </c>
      <c r="J386" s="9">
        <v>2</v>
      </c>
      <c r="K386" s="160">
        <f t="shared" si="6"/>
        <v>0.35859414261160716</v>
      </c>
      <c r="L386" s="52" t="s">
        <v>111</v>
      </c>
    </row>
    <row r="387" spans="1:12">
      <c r="A387" s="152" t="s">
        <v>114</v>
      </c>
      <c r="B387" s="59">
        <v>2012</v>
      </c>
      <c r="C387" s="344" t="s">
        <v>87</v>
      </c>
      <c r="D387" s="59">
        <v>571</v>
      </c>
      <c r="E387" s="344" t="s">
        <v>126</v>
      </c>
      <c r="F387" s="29">
        <v>1</v>
      </c>
      <c r="G387" s="9">
        <v>1</v>
      </c>
      <c r="H387" s="9">
        <v>1</v>
      </c>
      <c r="I387" s="9">
        <v>2</v>
      </c>
      <c r="J387" s="9">
        <v>2</v>
      </c>
      <c r="K387" s="160">
        <f t="shared" si="6"/>
        <v>0.35859414261160716</v>
      </c>
      <c r="L387" s="52" t="s">
        <v>111</v>
      </c>
    </row>
    <row r="388" spans="1:12">
      <c r="A388" s="152" t="s">
        <v>114</v>
      </c>
      <c r="B388" s="59">
        <v>2012</v>
      </c>
      <c r="C388" s="344" t="s">
        <v>88</v>
      </c>
      <c r="D388" s="59">
        <v>128</v>
      </c>
      <c r="E388" s="344" t="s">
        <v>126</v>
      </c>
      <c r="F388" s="29">
        <v>1</v>
      </c>
      <c r="G388" s="9">
        <v>1</v>
      </c>
      <c r="H388" s="9">
        <v>1</v>
      </c>
      <c r="I388" s="9">
        <v>2</v>
      </c>
      <c r="J388" s="9">
        <v>2</v>
      </c>
      <c r="K388" s="160">
        <f t="shared" si="6"/>
        <v>0.35859414261160716</v>
      </c>
      <c r="L388" s="52" t="s">
        <v>111</v>
      </c>
    </row>
    <row r="389" spans="1:12">
      <c r="A389" s="152" t="s">
        <v>114</v>
      </c>
      <c r="B389" s="59">
        <v>2012</v>
      </c>
      <c r="C389" s="344" t="s">
        <v>89</v>
      </c>
      <c r="D389" s="59">
        <v>95</v>
      </c>
      <c r="E389" s="344" t="s">
        <v>126</v>
      </c>
      <c r="F389" s="29">
        <v>1</v>
      </c>
      <c r="G389" s="9">
        <v>1</v>
      </c>
      <c r="H389" s="9">
        <v>1</v>
      </c>
      <c r="I389" s="9">
        <v>2</v>
      </c>
      <c r="J389" s="9">
        <v>2</v>
      </c>
      <c r="K389" s="160">
        <f t="shared" si="6"/>
        <v>0.35859414261160716</v>
      </c>
      <c r="L389" s="52" t="s">
        <v>111</v>
      </c>
    </row>
    <row r="390" spans="1:12">
      <c r="A390" s="152" t="s">
        <v>114</v>
      </c>
      <c r="B390" s="59">
        <v>2012</v>
      </c>
      <c r="C390" s="344" t="s">
        <v>90</v>
      </c>
      <c r="D390" s="59">
        <v>408</v>
      </c>
      <c r="E390" s="344" t="s">
        <v>126</v>
      </c>
      <c r="F390" s="29">
        <v>1</v>
      </c>
      <c r="G390" s="9">
        <v>1</v>
      </c>
      <c r="H390" s="9">
        <v>1</v>
      </c>
      <c r="I390" s="9">
        <v>2</v>
      </c>
      <c r="J390" s="9">
        <v>2</v>
      </c>
      <c r="K390" s="160">
        <f t="shared" si="6"/>
        <v>0.35859414261160716</v>
      </c>
      <c r="L390" s="52" t="s">
        <v>111</v>
      </c>
    </row>
    <row r="391" spans="1:12">
      <c r="A391" s="152" t="s">
        <v>114</v>
      </c>
      <c r="B391" s="59">
        <v>2012</v>
      </c>
      <c r="C391" s="344" t="s">
        <v>91</v>
      </c>
      <c r="D391" s="59">
        <v>879</v>
      </c>
      <c r="E391" s="344" t="s">
        <v>126</v>
      </c>
      <c r="F391" s="29">
        <v>1</v>
      </c>
      <c r="G391" s="9">
        <v>1</v>
      </c>
      <c r="H391" s="9">
        <v>1</v>
      </c>
      <c r="I391" s="9">
        <v>2</v>
      </c>
      <c r="J391" s="9">
        <v>2</v>
      </c>
      <c r="K391" s="160">
        <f t="shared" si="6"/>
        <v>0.35859414261160716</v>
      </c>
      <c r="L391" s="52" t="s">
        <v>111</v>
      </c>
    </row>
    <row r="392" spans="1:12">
      <c r="A392" s="152" t="s">
        <v>114</v>
      </c>
      <c r="B392" s="59">
        <v>2012</v>
      </c>
      <c r="C392" s="344" t="s">
        <v>94</v>
      </c>
      <c r="D392" s="59">
        <v>237</v>
      </c>
      <c r="E392" s="344" t="s">
        <v>126</v>
      </c>
      <c r="F392" s="29">
        <v>1</v>
      </c>
      <c r="G392" s="9">
        <v>1</v>
      </c>
      <c r="H392" s="9">
        <v>1</v>
      </c>
      <c r="I392" s="9">
        <v>2</v>
      </c>
      <c r="J392" s="9">
        <v>2</v>
      </c>
      <c r="K392" s="160">
        <f t="shared" si="6"/>
        <v>0.35859414261160716</v>
      </c>
      <c r="L392" s="52" t="s">
        <v>111</v>
      </c>
    </row>
    <row r="393" spans="1:12">
      <c r="A393" s="152" t="s">
        <v>114</v>
      </c>
      <c r="B393" s="59">
        <v>2012</v>
      </c>
      <c r="C393" s="344" t="s">
        <v>96</v>
      </c>
      <c r="D393" s="59">
        <v>109</v>
      </c>
      <c r="E393" s="344" t="s">
        <v>126</v>
      </c>
      <c r="F393" s="29">
        <v>1</v>
      </c>
      <c r="G393" s="9">
        <v>1</v>
      </c>
      <c r="H393" s="9">
        <v>1</v>
      </c>
      <c r="I393" s="9">
        <v>2</v>
      </c>
      <c r="J393" s="9">
        <v>2</v>
      </c>
      <c r="K393" s="160">
        <f t="shared" si="6"/>
        <v>0.35859414261160716</v>
      </c>
      <c r="L393" s="52" t="s">
        <v>111</v>
      </c>
    </row>
    <row r="394" spans="1:12">
      <c r="A394" s="152" t="s">
        <v>114</v>
      </c>
      <c r="B394" s="59">
        <v>2012</v>
      </c>
      <c r="C394" s="344" t="s">
        <v>97</v>
      </c>
      <c r="D394" s="59">
        <v>348</v>
      </c>
      <c r="E394" s="344" t="s">
        <v>126</v>
      </c>
      <c r="F394" s="29">
        <v>1</v>
      </c>
      <c r="G394" s="9">
        <v>1</v>
      </c>
      <c r="H394" s="9">
        <v>1</v>
      </c>
      <c r="I394" s="9">
        <v>2</v>
      </c>
      <c r="J394" s="9">
        <v>2</v>
      </c>
      <c r="K394" s="160">
        <f t="shared" si="6"/>
        <v>0.35859414261160716</v>
      </c>
      <c r="L394" s="52" t="s">
        <v>111</v>
      </c>
    </row>
    <row r="395" spans="1:12">
      <c r="A395" s="152" t="s">
        <v>114</v>
      </c>
      <c r="B395" s="59">
        <v>2012</v>
      </c>
      <c r="C395" s="344" t="s">
        <v>95</v>
      </c>
      <c r="D395" s="59">
        <v>311</v>
      </c>
      <c r="E395" s="344" t="s">
        <v>126</v>
      </c>
      <c r="F395" s="29">
        <v>1</v>
      </c>
      <c r="G395" s="9">
        <v>1</v>
      </c>
      <c r="H395" s="9">
        <v>1</v>
      </c>
      <c r="I395" s="9">
        <v>2</v>
      </c>
      <c r="J395" s="9">
        <v>2</v>
      </c>
      <c r="K395" s="160">
        <f t="shared" si="6"/>
        <v>0.35859414261160716</v>
      </c>
      <c r="L395" s="52" t="s">
        <v>111</v>
      </c>
    </row>
    <row r="396" spans="1:12">
      <c r="A396" s="152" t="s">
        <v>114</v>
      </c>
      <c r="B396" s="59">
        <v>2012</v>
      </c>
      <c r="C396" s="344" t="s">
        <v>93</v>
      </c>
      <c r="D396" s="59">
        <v>80</v>
      </c>
      <c r="E396" s="344" t="s">
        <v>126</v>
      </c>
      <c r="F396" s="29">
        <v>1</v>
      </c>
      <c r="G396" s="9">
        <v>1</v>
      </c>
      <c r="H396" s="9">
        <v>1</v>
      </c>
      <c r="I396" s="9">
        <v>2</v>
      </c>
      <c r="J396" s="9">
        <v>2</v>
      </c>
      <c r="K396" s="160">
        <f t="shared" si="6"/>
        <v>0.35859414261160716</v>
      </c>
      <c r="L396" s="52" t="s">
        <v>111</v>
      </c>
    </row>
    <row r="397" spans="1:12">
      <c r="A397" s="152" t="s">
        <v>114</v>
      </c>
      <c r="B397" s="59">
        <v>2012</v>
      </c>
      <c r="C397" s="344" t="s">
        <v>98</v>
      </c>
      <c r="D397" s="59">
        <v>1624</v>
      </c>
      <c r="E397" s="344" t="s">
        <v>126</v>
      </c>
      <c r="F397" s="29">
        <v>1</v>
      </c>
      <c r="G397" s="9">
        <v>1</v>
      </c>
      <c r="H397" s="9">
        <v>1</v>
      </c>
      <c r="I397" s="9">
        <v>2</v>
      </c>
      <c r="J397" s="9">
        <v>2</v>
      </c>
      <c r="K397" s="160">
        <f t="shared" si="6"/>
        <v>0.35859414261160716</v>
      </c>
      <c r="L397" s="52" t="s">
        <v>111</v>
      </c>
    </row>
    <row r="398" spans="1:12">
      <c r="A398" s="152" t="s">
        <v>114</v>
      </c>
      <c r="B398" s="59">
        <v>2013</v>
      </c>
      <c r="C398" s="344" t="s">
        <v>85</v>
      </c>
      <c r="D398" s="59">
        <v>2361</v>
      </c>
      <c r="E398" s="344" t="s">
        <v>126</v>
      </c>
      <c r="F398" s="29">
        <v>1</v>
      </c>
      <c r="G398" s="9">
        <v>1</v>
      </c>
      <c r="H398" s="9">
        <v>1</v>
      </c>
      <c r="I398" s="9">
        <v>2</v>
      </c>
      <c r="J398" s="9">
        <v>2</v>
      </c>
      <c r="K398" s="160">
        <f t="shared" si="6"/>
        <v>0.35859414261160716</v>
      </c>
      <c r="L398" s="52" t="s">
        <v>111</v>
      </c>
    </row>
    <row r="399" spans="1:12">
      <c r="A399" s="152" t="s">
        <v>114</v>
      </c>
      <c r="B399" s="59">
        <v>2013</v>
      </c>
      <c r="C399" s="344" t="s">
        <v>86</v>
      </c>
      <c r="D399" s="59">
        <v>998</v>
      </c>
      <c r="E399" s="344" t="s">
        <v>126</v>
      </c>
      <c r="F399" s="29">
        <v>1</v>
      </c>
      <c r="G399" s="9">
        <v>1</v>
      </c>
      <c r="H399" s="9">
        <v>1</v>
      </c>
      <c r="I399" s="9">
        <v>2</v>
      </c>
      <c r="J399" s="9">
        <v>2</v>
      </c>
      <c r="K399" s="160">
        <f t="shared" si="6"/>
        <v>0.35859414261160716</v>
      </c>
      <c r="L399" s="52" t="s">
        <v>111</v>
      </c>
    </row>
    <row r="400" spans="1:12">
      <c r="A400" s="152" t="s">
        <v>114</v>
      </c>
      <c r="B400" s="59">
        <v>2013</v>
      </c>
      <c r="C400" s="344" t="s">
        <v>87</v>
      </c>
      <c r="D400" s="59">
        <v>487</v>
      </c>
      <c r="E400" s="344" t="s">
        <v>126</v>
      </c>
      <c r="F400" s="29">
        <v>1</v>
      </c>
      <c r="G400" s="9">
        <v>1</v>
      </c>
      <c r="H400" s="9">
        <v>1</v>
      </c>
      <c r="I400" s="9">
        <v>2</v>
      </c>
      <c r="J400" s="9">
        <v>2</v>
      </c>
      <c r="K400" s="160">
        <f t="shared" si="6"/>
        <v>0.35859414261160716</v>
      </c>
      <c r="L400" s="52" t="s">
        <v>111</v>
      </c>
    </row>
    <row r="401" spans="1:12">
      <c r="A401" s="152" t="s">
        <v>114</v>
      </c>
      <c r="B401" s="59">
        <v>2013</v>
      </c>
      <c r="C401" s="344" t="s">
        <v>88</v>
      </c>
      <c r="D401" s="59">
        <v>97</v>
      </c>
      <c r="E401" s="344" t="s">
        <v>126</v>
      </c>
      <c r="F401" s="29">
        <v>1</v>
      </c>
      <c r="G401" s="9">
        <v>1</v>
      </c>
      <c r="H401" s="9">
        <v>1</v>
      </c>
      <c r="I401" s="9">
        <v>2</v>
      </c>
      <c r="J401" s="9">
        <v>2</v>
      </c>
      <c r="K401" s="160">
        <f t="shared" si="6"/>
        <v>0.35859414261160716</v>
      </c>
      <c r="L401" s="52" t="s">
        <v>111</v>
      </c>
    </row>
    <row r="402" spans="1:12">
      <c r="A402" s="152" t="s">
        <v>114</v>
      </c>
      <c r="B402" s="59">
        <v>2013</v>
      </c>
      <c r="C402" s="344" t="s">
        <v>89</v>
      </c>
      <c r="D402" s="59">
        <v>71</v>
      </c>
      <c r="E402" s="344" t="s">
        <v>126</v>
      </c>
      <c r="F402" s="29">
        <v>1</v>
      </c>
      <c r="G402" s="9">
        <v>1</v>
      </c>
      <c r="H402" s="9">
        <v>1</v>
      </c>
      <c r="I402" s="9">
        <v>2</v>
      </c>
      <c r="J402" s="9">
        <v>2</v>
      </c>
      <c r="K402" s="160">
        <f t="shared" si="6"/>
        <v>0.35859414261160716</v>
      </c>
      <c r="L402" s="52" t="s">
        <v>111</v>
      </c>
    </row>
    <row r="403" spans="1:12">
      <c r="A403" s="152" t="s">
        <v>114</v>
      </c>
      <c r="B403" s="59">
        <v>2013</v>
      </c>
      <c r="C403" s="344" t="s">
        <v>90</v>
      </c>
      <c r="D403" s="59">
        <v>392</v>
      </c>
      <c r="E403" s="344" t="s">
        <v>126</v>
      </c>
      <c r="F403" s="29">
        <v>1</v>
      </c>
      <c r="G403" s="9">
        <v>1</v>
      </c>
      <c r="H403" s="9">
        <v>1</v>
      </c>
      <c r="I403" s="9">
        <v>2</v>
      </c>
      <c r="J403" s="9">
        <v>2</v>
      </c>
      <c r="K403" s="160">
        <f t="shared" si="6"/>
        <v>0.35859414261160716</v>
      </c>
      <c r="L403" s="52" t="s">
        <v>111</v>
      </c>
    </row>
    <row r="404" spans="1:12">
      <c r="A404" s="152" t="s">
        <v>114</v>
      </c>
      <c r="B404" s="59">
        <v>2013</v>
      </c>
      <c r="C404" s="344" t="s">
        <v>91</v>
      </c>
      <c r="D404" s="59">
        <v>1106</v>
      </c>
      <c r="E404" s="344" t="s">
        <v>126</v>
      </c>
      <c r="F404" s="29">
        <v>1</v>
      </c>
      <c r="G404" s="9">
        <v>1</v>
      </c>
      <c r="H404" s="9">
        <v>1</v>
      </c>
      <c r="I404" s="9">
        <v>2</v>
      </c>
      <c r="J404" s="9">
        <v>2</v>
      </c>
      <c r="K404" s="160">
        <f t="shared" si="6"/>
        <v>0.35859414261160716</v>
      </c>
      <c r="L404" s="52" t="s">
        <v>111</v>
      </c>
    </row>
    <row r="405" spans="1:12">
      <c r="A405" s="152" t="s">
        <v>114</v>
      </c>
      <c r="B405" s="59">
        <v>2013</v>
      </c>
      <c r="C405" s="344" t="s">
        <v>94</v>
      </c>
      <c r="D405" s="59">
        <v>172</v>
      </c>
      <c r="E405" s="344" t="s">
        <v>126</v>
      </c>
      <c r="F405" s="29">
        <v>1</v>
      </c>
      <c r="G405" s="9">
        <v>1</v>
      </c>
      <c r="H405" s="9">
        <v>1</v>
      </c>
      <c r="I405" s="9">
        <v>2</v>
      </c>
      <c r="J405" s="9">
        <v>2</v>
      </c>
      <c r="K405" s="160">
        <f t="shared" si="6"/>
        <v>0.35859414261160716</v>
      </c>
      <c r="L405" s="52" t="s">
        <v>111</v>
      </c>
    </row>
    <row r="406" spans="1:12">
      <c r="A406" s="152" t="s">
        <v>114</v>
      </c>
      <c r="B406" s="59">
        <v>2013</v>
      </c>
      <c r="C406" s="344" t="s">
        <v>96</v>
      </c>
      <c r="D406" s="59">
        <v>65</v>
      </c>
      <c r="E406" s="344" t="s">
        <v>126</v>
      </c>
      <c r="F406" s="29">
        <v>1</v>
      </c>
      <c r="G406" s="9">
        <v>1</v>
      </c>
      <c r="H406" s="9">
        <v>1</v>
      </c>
      <c r="I406" s="9">
        <v>2</v>
      </c>
      <c r="J406" s="9">
        <v>2</v>
      </c>
      <c r="K406" s="160">
        <f t="shared" si="6"/>
        <v>0.35859414261160716</v>
      </c>
      <c r="L406" s="52" t="s">
        <v>111</v>
      </c>
    </row>
    <row r="407" spans="1:12">
      <c r="A407" s="152" t="s">
        <v>114</v>
      </c>
      <c r="B407" s="59">
        <v>2013</v>
      </c>
      <c r="C407" s="344" t="s">
        <v>97</v>
      </c>
      <c r="D407" s="59">
        <v>285</v>
      </c>
      <c r="E407" s="344" t="s">
        <v>126</v>
      </c>
      <c r="F407" s="29">
        <v>1</v>
      </c>
      <c r="G407" s="9">
        <v>1</v>
      </c>
      <c r="H407" s="9">
        <v>1</v>
      </c>
      <c r="I407" s="9">
        <v>2</v>
      </c>
      <c r="J407" s="9">
        <v>2</v>
      </c>
      <c r="K407" s="160">
        <f t="shared" si="6"/>
        <v>0.35859414261160716</v>
      </c>
      <c r="L407" s="52" t="s">
        <v>111</v>
      </c>
    </row>
    <row r="408" spans="1:12">
      <c r="A408" s="152" t="s">
        <v>114</v>
      </c>
      <c r="B408" s="59">
        <v>2013</v>
      </c>
      <c r="C408" s="344" t="s">
        <v>95</v>
      </c>
      <c r="D408" s="59">
        <v>169</v>
      </c>
      <c r="E408" s="344" t="s">
        <v>126</v>
      </c>
      <c r="F408" s="29">
        <v>1</v>
      </c>
      <c r="G408" s="9">
        <v>1</v>
      </c>
      <c r="H408" s="9">
        <v>1</v>
      </c>
      <c r="I408" s="9">
        <v>2</v>
      </c>
      <c r="J408" s="9">
        <v>2</v>
      </c>
      <c r="K408" s="160">
        <f t="shared" si="6"/>
        <v>0.35859414261160716</v>
      </c>
      <c r="L408" s="52" t="s">
        <v>111</v>
      </c>
    </row>
    <row r="409" spans="1:12">
      <c r="A409" s="152" t="s">
        <v>114</v>
      </c>
      <c r="B409" s="59">
        <v>2013</v>
      </c>
      <c r="C409" s="344" t="s">
        <v>93</v>
      </c>
      <c r="D409" s="59">
        <v>61</v>
      </c>
      <c r="E409" s="344" t="s">
        <v>126</v>
      </c>
      <c r="F409" s="29">
        <v>1</v>
      </c>
      <c r="G409" s="9">
        <v>1</v>
      </c>
      <c r="H409" s="9">
        <v>1</v>
      </c>
      <c r="I409" s="9">
        <v>2</v>
      </c>
      <c r="J409" s="9">
        <v>2</v>
      </c>
      <c r="K409" s="160">
        <f t="shared" si="6"/>
        <v>0.35859414261160716</v>
      </c>
      <c r="L409" s="52" t="s">
        <v>111</v>
      </c>
    </row>
    <row r="410" spans="1:12">
      <c r="A410" s="152" t="s">
        <v>114</v>
      </c>
      <c r="B410" s="59">
        <v>2013</v>
      </c>
      <c r="C410" s="344" t="s">
        <v>98</v>
      </c>
      <c r="D410" s="59">
        <v>1270</v>
      </c>
      <c r="E410" s="344" t="s">
        <v>126</v>
      </c>
      <c r="F410" s="29">
        <v>1</v>
      </c>
      <c r="G410" s="9">
        <v>1</v>
      </c>
      <c r="H410" s="9">
        <v>1</v>
      </c>
      <c r="I410" s="9">
        <v>2</v>
      </c>
      <c r="J410" s="9">
        <v>2</v>
      </c>
      <c r="K410" s="160">
        <f t="shared" si="6"/>
        <v>0.35859414261160716</v>
      </c>
      <c r="L410" s="52" t="s">
        <v>111</v>
      </c>
    </row>
    <row r="411" spans="1:12">
      <c r="A411" s="152" t="s">
        <v>114</v>
      </c>
      <c r="B411" s="59">
        <v>2014</v>
      </c>
      <c r="C411" s="344" t="s">
        <v>85</v>
      </c>
      <c r="D411" s="59">
        <v>3216</v>
      </c>
      <c r="E411" s="344" t="s">
        <v>126</v>
      </c>
      <c r="F411" s="29">
        <v>1</v>
      </c>
      <c r="G411" s="9">
        <v>1</v>
      </c>
      <c r="H411" s="9">
        <v>1</v>
      </c>
      <c r="I411" s="9">
        <v>2</v>
      </c>
      <c r="J411" s="9">
        <v>2</v>
      </c>
      <c r="K411" s="160">
        <f t="shared" si="6"/>
        <v>0.35859414261160716</v>
      </c>
      <c r="L411" s="52" t="s">
        <v>111</v>
      </c>
    </row>
    <row r="412" spans="1:12">
      <c r="A412" s="152" t="s">
        <v>114</v>
      </c>
      <c r="B412" s="59">
        <v>2014</v>
      </c>
      <c r="C412" s="344" t="s">
        <v>86</v>
      </c>
      <c r="D412" s="59">
        <v>1112</v>
      </c>
      <c r="E412" s="344" t="s">
        <v>126</v>
      </c>
      <c r="F412" s="29">
        <v>1</v>
      </c>
      <c r="G412" s="9">
        <v>1</v>
      </c>
      <c r="H412" s="9">
        <v>1</v>
      </c>
      <c r="I412" s="9">
        <v>2</v>
      </c>
      <c r="J412" s="9">
        <v>2</v>
      </c>
      <c r="K412" s="160">
        <f t="shared" si="6"/>
        <v>0.35859414261160716</v>
      </c>
      <c r="L412" s="52" t="s">
        <v>111</v>
      </c>
    </row>
    <row r="413" spans="1:12">
      <c r="A413" s="152" t="s">
        <v>114</v>
      </c>
      <c r="B413" s="59">
        <v>2014</v>
      </c>
      <c r="C413" s="344" t="s">
        <v>87</v>
      </c>
      <c r="D413" s="59">
        <v>718</v>
      </c>
      <c r="E413" s="344" t="s">
        <v>126</v>
      </c>
      <c r="F413" s="29">
        <v>1</v>
      </c>
      <c r="G413" s="9">
        <v>1</v>
      </c>
      <c r="H413" s="9">
        <v>1</v>
      </c>
      <c r="I413" s="9">
        <v>2</v>
      </c>
      <c r="J413" s="9">
        <v>2</v>
      </c>
      <c r="K413" s="160">
        <f t="shared" si="6"/>
        <v>0.35859414261160716</v>
      </c>
      <c r="L413" s="52" t="s">
        <v>111</v>
      </c>
    </row>
    <row r="414" spans="1:12">
      <c r="A414" s="152" t="s">
        <v>114</v>
      </c>
      <c r="B414" s="59">
        <v>2014</v>
      </c>
      <c r="C414" s="344" t="s">
        <v>88</v>
      </c>
      <c r="D414" s="59">
        <v>68</v>
      </c>
      <c r="E414" s="344" t="s">
        <v>126</v>
      </c>
      <c r="F414" s="29">
        <v>1</v>
      </c>
      <c r="G414" s="9">
        <v>1</v>
      </c>
      <c r="H414" s="9">
        <v>1</v>
      </c>
      <c r="I414" s="9">
        <v>2</v>
      </c>
      <c r="J414" s="9">
        <v>2</v>
      </c>
      <c r="K414" s="160">
        <f t="shared" si="6"/>
        <v>0.35859414261160716</v>
      </c>
      <c r="L414" s="52" t="s">
        <v>111</v>
      </c>
    </row>
    <row r="415" spans="1:12">
      <c r="A415" s="152" t="s">
        <v>114</v>
      </c>
      <c r="B415" s="59">
        <v>2014</v>
      </c>
      <c r="C415" s="344" t="s">
        <v>89</v>
      </c>
      <c r="D415" s="59">
        <v>58</v>
      </c>
      <c r="E415" s="344" t="s">
        <v>126</v>
      </c>
      <c r="F415" s="29">
        <v>1</v>
      </c>
      <c r="G415" s="9">
        <v>1</v>
      </c>
      <c r="H415" s="9">
        <v>1</v>
      </c>
      <c r="I415" s="9">
        <v>2</v>
      </c>
      <c r="J415" s="9">
        <v>2</v>
      </c>
      <c r="K415" s="160">
        <f t="shared" si="6"/>
        <v>0.35859414261160716</v>
      </c>
      <c r="L415" s="52" t="s">
        <v>111</v>
      </c>
    </row>
    <row r="416" spans="1:12">
      <c r="A416" s="152" t="s">
        <v>114</v>
      </c>
      <c r="B416" s="59">
        <v>2014</v>
      </c>
      <c r="C416" s="344" t="s">
        <v>90</v>
      </c>
      <c r="D416" s="59">
        <v>378</v>
      </c>
      <c r="E416" s="344" t="s">
        <v>126</v>
      </c>
      <c r="F416" s="29">
        <v>1</v>
      </c>
      <c r="G416" s="9">
        <v>1</v>
      </c>
      <c r="H416" s="9">
        <v>1</v>
      </c>
      <c r="I416" s="9">
        <v>2</v>
      </c>
      <c r="J416" s="9">
        <v>2</v>
      </c>
      <c r="K416" s="160">
        <f t="shared" si="6"/>
        <v>0.35859414261160716</v>
      </c>
      <c r="L416" s="52" t="s">
        <v>111</v>
      </c>
    </row>
    <row r="417" spans="1:12">
      <c r="A417" s="152" t="s">
        <v>114</v>
      </c>
      <c r="B417" s="59">
        <v>2014</v>
      </c>
      <c r="C417" s="344" t="s">
        <v>91</v>
      </c>
      <c r="D417" s="59">
        <v>960</v>
      </c>
      <c r="E417" s="344" t="s">
        <v>126</v>
      </c>
      <c r="F417" s="29">
        <v>1</v>
      </c>
      <c r="G417" s="9">
        <v>1</v>
      </c>
      <c r="H417" s="9">
        <v>1</v>
      </c>
      <c r="I417" s="9">
        <v>2</v>
      </c>
      <c r="J417" s="9">
        <v>2</v>
      </c>
      <c r="K417" s="160">
        <f t="shared" si="6"/>
        <v>0.35859414261160716</v>
      </c>
      <c r="L417" s="52" t="s">
        <v>111</v>
      </c>
    </row>
    <row r="418" spans="1:12">
      <c r="A418" s="152" t="s">
        <v>114</v>
      </c>
      <c r="B418" s="59">
        <v>2014</v>
      </c>
      <c r="C418" s="344" t="s">
        <v>94</v>
      </c>
      <c r="D418" s="59">
        <v>179</v>
      </c>
      <c r="E418" s="344" t="s">
        <v>126</v>
      </c>
      <c r="F418" s="29">
        <v>1</v>
      </c>
      <c r="G418" s="9">
        <v>1</v>
      </c>
      <c r="H418" s="9">
        <v>1</v>
      </c>
      <c r="I418" s="9">
        <v>2</v>
      </c>
      <c r="J418" s="9">
        <v>2</v>
      </c>
      <c r="K418" s="160">
        <f t="shared" si="6"/>
        <v>0.35859414261160716</v>
      </c>
      <c r="L418" s="52" t="s">
        <v>111</v>
      </c>
    </row>
    <row r="419" spans="1:12">
      <c r="A419" s="152" t="s">
        <v>114</v>
      </c>
      <c r="B419" s="59">
        <v>2014</v>
      </c>
      <c r="C419" s="344" t="s">
        <v>96</v>
      </c>
      <c r="D419" s="59">
        <v>95</v>
      </c>
      <c r="E419" s="344" t="s">
        <v>126</v>
      </c>
      <c r="F419" s="29">
        <v>1</v>
      </c>
      <c r="G419" s="9">
        <v>1</v>
      </c>
      <c r="H419" s="9">
        <v>1</v>
      </c>
      <c r="I419" s="9">
        <v>2</v>
      </c>
      <c r="J419" s="9">
        <v>2</v>
      </c>
      <c r="K419" s="160">
        <f t="shared" si="6"/>
        <v>0.35859414261160716</v>
      </c>
      <c r="L419" s="52" t="s">
        <v>111</v>
      </c>
    </row>
    <row r="420" spans="1:12">
      <c r="A420" s="152" t="s">
        <v>114</v>
      </c>
      <c r="B420" s="59">
        <v>2014</v>
      </c>
      <c r="C420" s="344" t="s">
        <v>97</v>
      </c>
      <c r="D420" s="59">
        <v>329</v>
      </c>
      <c r="E420" s="344" t="s">
        <v>126</v>
      </c>
      <c r="F420" s="29">
        <v>1</v>
      </c>
      <c r="G420" s="9">
        <v>1</v>
      </c>
      <c r="H420" s="9">
        <v>1</v>
      </c>
      <c r="I420" s="9">
        <v>2</v>
      </c>
      <c r="J420" s="9">
        <v>2</v>
      </c>
      <c r="K420" s="160">
        <f t="shared" si="6"/>
        <v>0.35859414261160716</v>
      </c>
      <c r="L420" s="52" t="s">
        <v>111</v>
      </c>
    </row>
    <row r="421" spans="1:12">
      <c r="A421" s="152" t="s">
        <v>114</v>
      </c>
      <c r="B421" s="59">
        <v>2014</v>
      </c>
      <c r="C421" s="344" t="s">
        <v>95</v>
      </c>
      <c r="D421" s="59">
        <v>214</v>
      </c>
      <c r="E421" s="344" t="s">
        <v>126</v>
      </c>
      <c r="F421" s="29">
        <v>1</v>
      </c>
      <c r="G421" s="9">
        <v>1</v>
      </c>
      <c r="H421" s="9">
        <v>1</v>
      </c>
      <c r="I421" s="9">
        <v>2</v>
      </c>
      <c r="J421" s="9">
        <v>2</v>
      </c>
      <c r="K421" s="160">
        <f t="shared" si="6"/>
        <v>0.35859414261160716</v>
      </c>
      <c r="L421" s="52" t="s">
        <v>111</v>
      </c>
    </row>
    <row r="422" spans="1:12">
      <c r="A422" s="152" t="s">
        <v>114</v>
      </c>
      <c r="B422" s="59">
        <v>2014</v>
      </c>
      <c r="C422" s="344" t="s">
        <v>93</v>
      </c>
      <c r="D422" s="59">
        <v>66</v>
      </c>
      <c r="E422" s="344" t="s">
        <v>126</v>
      </c>
      <c r="F422" s="29">
        <v>1</v>
      </c>
      <c r="G422" s="9">
        <v>1</v>
      </c>
      <c r="H422" s="9">
        <v>1</v>
      </c>
      <c r="I422" s="9">
        <v>2</v>
      </c>
      <c r="J422" s="9">
        <v>2</v>
      </c>
      <c r="K422" s="160">
        <f t="shared" si="6"/>
        <v>0.35859414261160716</v>
      </c>
      <c r="L422" s="52" t="s">
        <v>111</v>
      </c>
    </row>
    <row r="423" spans="1:12">
      <c r="A423" s="152" t="s">
        <v>114</v>
      </c>
      <c r="B423" s="59">
        <v>2014</v>
      </c>
      <c r="C423" s="344" t="s">
        <v>98</v>
      </c>
      <c r="D423" s="59">
        <v>1633</v>
      </c>
      <c r="E423" s="344" t="s">
        <v>126</v>
      </c>
      <c r="F423" s="29">
        <v>1</v>
      </c>
      <c r="G423" s="9">
        <v>1</v>
      </c>
      <c r="H423" s="9">
        <v>1</v>
      </c>
      <c r="I423" s="9">
        <v>2</v>
      </c>
      <c r="J423" s="9">
        <v>2</v>
      </c>
      <c r="K423" s="160">
        <f t="shared" si="6"/>
        <v>0.35859414261160716</v>
      </c>
      <c r="L423" s="52" t="s">
        <v>111</v>
      </c>
    </row>
    <row r="424" spans="1:12">
      <c r="A424" s="152" t="s">
        <v>114</v>
      </c>
      <c r="B424" s="59">
        <v>2015</v>
      </c>
      <c r="C424" s="344" t="s">
        <v>85</v>
      </c>
      <c r="D424" s="59">
        <v>3427</v>
      </c>
      <c r="E424" s="344" t="s">
        <v>126</v>
      </c>
      <c r="F424" s="29">
        <v>1</v>
      </c>
      <c r="G424" s="9">
        <v>1</v>
      </c>
      <c r="H424" s="9">
        <v>1</v>
      </c>
      <c r="I424" s="9">
        <v>2</v>
      </c>
      <c r="J424" s="9">
        <v>2</v>
      </c>
      <c r="K424" s="160">
        <f t="shared" si="6"/>
        <v>0.35859414261160716</v>
      </c>
      <c r="L424" s="52" t="s">
        <v>111</v>
      </c>
    </row>
    <row r="425" spans="1:12">
      <c r="A425" s="152" t="s">
        <v>114</v>
      </c>
      <c r="B425" s="59">
        <v>2015</v>
      </c>
      <c r="C425" s="344" t="s">
        <v>86</v>
      </c>
      <c r="D425" s="59">
        <v>1146</v>
      </c>
      <c r="E425" s="344" t="s">
        <v>126</v>
      </c>
      <c r="F425" s="29">
        <v>1</v>
      </c>
      <c r="G425" s="9">
        <v>1</v>
      </c>
      <c r="H425" s="9">
        <v>1</v>
      </c>
      <c r="I425" s="9">
        <v>2</v>
      </c>
      <c r="J425" s="9">
        <v>2</v>
      </c>
      <c r="K425" s="160">
        <f t="shared" si="6"/>
        <v>0.35859414261160716</v>
      </c>
      <c r="L425" s="52" t="s">
        <v>111</v>
      </c>
    </row>
    <row r="426" spans="1:12">
      <c r="A426" s="152" t="s">
        <v>114</v>
      </c>
      <c r="B426" s="59">
        <v>2015</v>
      </c>
      <c r="C426" s="344" t="s">
        <v>87</v>
      </c>
      <c r="D426" s="59">
        <v>886</v>
      </c>
      <c r="E426" s="344" t="s">
        <v>126</v>
      </c>
      <c r="F426" s="29">
        <v>1</v>
      </c>
      <c r="G426" s="9">
        <v>1</v>
      </c>
      <c r="H426" s="9">
        <v>1</v>
      </c>
      <c r="I426" s="9">
        <v>2</v>
      </c>
      <c r="J426" s="9">
        <v>2</v>
      </c>
      <c r="K426" s="160">
        <f t="shared" si="6"/>
        <v>0.35859414261160716</v>
      </c>
      <c r="L426" s="52" t="s">
        <v>111</v>
      </c>
    </row>
    <row r="427" spans="1:12">
      <c r="A427" s="152" t="s">
        <v>114</v>
      </c>
      <c r="B427" s="59">
        <v>2015</v>
      </c>
      <c r="C427" s="344" t="s">
        <v>88</v>
      </c>
      <c r="D427" s="59">
        <v>93</v>
      </c>
      <c r="E427" s="344" t="s">
        <v>126</v>
      </c>
      <c r="F427" s="29">
        <v>1</v>
      </c>
      <c r="G427" s="9">
        <v>1</v>
      </c>
      <c r="H427" s="9">
        <v>1</v>
      </c>
      <c r="I427" s="9">
        <v>2</v>
      </c>
      <c r="J427" s="9">
        <v>2</v>
      </c>
      <c r="K427" s="160">
        <f t="shared" si="6"/>
        <v>0.35859414261160716</v>
      </c>
      <c r="L427" s="52" t="s">
        <v>111</v>
      </c>
    </row>
    <row r="428" spans="1:12">
      <c r="A428" s="152" t="s">
        <v>114</v>
      </c>
      <c r="B428" s="59">
        <v>2015</v>
      </c>
      <c r="C428" s="344" t="s">
        <v>89</v>
      </c>
      <c r="D428" s="59">
        <v>72</v>
      </c>
      <c r="E428" s="344" t="s">
        <v>126</v>
      </c>
      <c r="F428" s="29">
        <v>1</v>
      </c>
      <c r="G428" s="9">
        <v>1</v>
      </c>
      <c r="H428" s="9">
        <v>1</v>
      </c>
      <c r="I428" s="9">
        <v>2</v>
      </c>
      <c r="J428" s="9">
        <v>2</v>
      </c>
      <c r="K428" s="160">
        <f t="shared" si="6"/>
        <v>0.35859414261160716</v>
      </c>
      <c r="L428" s="52" t="s">
        <v>111</v>
      </c>
    </row>
    <row r="429" spans="1:12">
      <c r="A429" s="152" t="s">
        <v>114</v>
      </c>
      <c r="B429" s="59">
        <v>2015</v>
      </c>
      <c r="C429" s="344" t="s">
        <v>90</v>
      </c>
      <c r="D429" s="59">
        <v>388</v>
      </c>
      <c r="E429" s="344" t="s">
        <v>126</v>
      </c>
      <c r="F429" s="29">
        <v>1</v>
      </c>
      <c r="G429" s="9">
        <v>1</v>
      </c>
      <c r="H429" s="9">
        <v>1</v>
      </c>
      <c r="I429" s="9">
        <v>2</v>
      </c>
      <c r="J429" s="9">
        <v>2</v>
      </c>
      <c r="K429" s="160">
        <f t="shared" si="6"/>
        <v>0.35859414261160716</v>
      </c>
      <c r="L429" s="52" t="s">
        <v>111</v>
      </c>
    </row>
    <row r="430" spans="1:12">
      <c r="A430" s="152" t="s">
        <v>114</v>
      </c>
      <c r="B430" s="59">
        <v>2015</v>
      </c>
      <c r="C430" s="344" t="s">
        <v>91</v>
      </c>
      <c r="D430" s="59">
        <v>871</v>
      </c>
      <c r="E430" s="344" t="s">
        <v>126</v>
      </c>
      <c r="F430" s="29">
        <v>1</v>
      </c>
      <c r="G430" s="9">
        <v>1</v>
      </c>
      <c r="H430" s="9">
        <v>1</v>
      </c>
      <c r="I430" s="9">
        <v>2</v>
      </c>
      <c r="J430" s="9">
        <v>2</v>
      </c>
      <c r="K430" s="160">
        <f t="shared" si="6"/>
        <v>0.35859414261160716</v>
      </c>
      <c r="L430" s="52" t="s">
        <v>111</v>
      </c>
    </row>
    <row r="431" spans="1:12">
      <c r="A431" s="152" t="s">
        <v>114</v>
      </c>
      <c r="B431" s="59">
        <v>2015</v>
      </c>
      <c r="C431" s="344" t="s">
        <v>94</v>
      </c>
      <c r="D431" s="59">
        <v>163</v>
      </c>
      <c r="E431" s="344" t="s">
        <v>126</v>
      </c>
      <c r="F431" s="29">
        <v>1</v>
      </c>
      <c r="G431" s="9">
        <v>1</v>
      </c>
      <c r="H431" s="9">
        <v>1</v>
      </c>
      <c r="I431" s="9">
        <v>2</v>
      </c>
      <c r="J431" s="9">
        <v>2</v>
      </c>
      <c r="K431" s="160">
        <f t="shared" si="6"/>
        <v>0.35859414261160716</v>
      </c>
      <c r="L431" s="52" t="s">
        <v>111</v>
      </c>
    </row>
    <row r="432" spans="1:12">
      <c r="A432" s="152" t="s">
        <v>114</v>
      </c>
      <c r="B432" s="59">
        <v>2015</v>
      </c>
      <c r="C432" s="344" t="s">
        <v>96</v>
      </c>
      <c r="D432" s="59">
        <v>82</v>
      </c>
      <c r="E432" s="344" t="s">
        <v>126</v>
      </c>
      <c r="F432" s="29">
        <v>1</v>
      </c>
      <c r="G432" s="9">
        <v>1</v>
      </c>
      <c r="H432" s="9">
        <v>1</v>
      </c>
      <c r="I432" s="9">
        <v>2</v>
      </c>
      <c r="J432" s="9">
        <v>2</v>
      </c>
      <c r="K432" s="160">
        <f t="shared" si="6"/>
        <v>0.35859414261160716</v>
      </c>
      <c r="L432" s="52" t="s">
        <v>111</v>
      </c>
    </row>
    <row r="433" spans="1:12">
      <c r="A433" s="152" t="s">
        <v>114</v>
      </c>
      <c r="B433" s="59">
        <v>2015</v>
      </c>
      <c r="C433" s="344" t="s">
        <v>97</v>
      </c>
      <c r="D433" s="59">
        <v>324</v>
      </c>
      <c r="E433" s="344" t="s">
        <v>126</v>
      </c>
      <c r="F433" s="29">
        <v>1</v>
      </c>
      <c r="G433" s="9">
        <v>1</v>
      </c>
      <c r="H433" s="9">
        <v>1</v>
      </c>
      <c r="I433" s="9">
        <v>2</v>
      </c>
      <c r="J433" s="9">
        <v>2</v>
      </c>
      <c r="K433" s="160">
        <f t="shared" si="6"/>
        <v>0.35859414261160716</v>
      </c>
      <c r="L433" s="52" t="s">
        <v>111</v>
      </c>
    </row>
    <row r="434" spans="1:12">
      <c r="A434" s="152" t="s">
        <v>114</v>
      </c>
      <c r="B434" s="59">
        <v>2015</v>
      </c>
      <c r="C434" s="344" t="s">
        <v>95</v>
      </c>
      <c r="D434" s="59">
        <v>236</v>
      </c>
      <c r="E434" s="344" t="s">
        <v>126</v>
      </c>
      <c r="F434" s="29">
        <v>1</v>
      </c>
      <c r="G434" s="9">
        <v>1</v>
      </c>
      <c r="H434" s="9">
        <v>1</v>
      </c>
      <c r="I434" s="9">
        <v>2</v>
      </c>
      <c r="J434" s="9">
        <v>2</v>
      </c>
      <c r="K434" s="160">
        <f t="shared" si="6"/>
        <v>0.35859414261160716</v>
      </c>
      <c r="L434" s="52" t="s">
        <v>111</v>
      </c>
    </row>
    <row r="435" spans="1:12">
      <c r="A435" s="152" t="s">
        <v>114</v>
      </c>
      <c r="B435" s="59">
        <v>2015</v>
      </c>
      <c r="C435" s="344" t="s">
        <v>93</v>
      </c>
      <c r="D435" s="59">
        <v>64</v>
      </c>
      <c r="E435" s="344" t="s">
        <v>126</v>
      </c>
      <c r="F435" s="29">
        <v>1</v>
      </c>
      <c r="G435" s="9">
        <v>1</v>
      </c>
      <c r="H435" s="9">
        <v>1</v>
      </c>
      <c r="I435" s="9">
        <v>2</v>
      </c>
      <c r="J435" s="9">
        <v>2</v>
      </c>
      <c r="K435" s="160">
        <f t="shared" si="6"/>
        <v>0.35859414261160716</v>
      </c>
      <c r="L435" s="52" t="s">
        <v>111</v>
      </c>
    </row>
    <row r="436" spans="1:12">
      <c r="A436" s="152" t="s">
        <v>114</v>
      </c>
      <c r="B436" s="59">
        <v>2015</v>
      </c>
      <c r="C436" s="344" t="s">
        <v>98</v>
      </c>
      <c r="D436" s="59">
        <v>1809</v>
      </c>
      <c r="E436" s="344" t="s">
        <v>126</v>
      </c>
      <c r="F436" s="29">
        <v>1</v>
      </c>
      <c r="G436" s="9">
        <v>1</v>
      </c>
      <c r="H436" s="9">
        <v>1</v>
      </c>
      <c r="I436" s="9">
        <v>2</v>
      </c>
      <c r="J436" s="9">
        <v>2</v>
      </c>
      <c r="K436" s="160">
        <f t="shared" si="6"/>
        <v>0.35859414261160716</v>
      </c>
      <c r="L436" s="52" t="s">
        <v>111</v>
      </c>
    </row>
    <row r="437" spans="1:12">
      <c r="A437" s="152" t="s">
        <v>114</v>
      </c>
      <c r="B437" s="59">
        <v>2016</v>
      </c>
      <c r="C437" s="344" t="s">
        <v>85</v>
      </c>
      <c r="D437" s="59">
        <v>3642</v>
      </c>
      <c r="E437" s="344" t="s">
        <v>126</v>
      </c>
      <c r="F437" s="29">
        <v>1</v>
      </c>
      <c r="G437" s="9">
        <v>1</v>
      </c>
      <c r="H437" s="9">
        <v>1</v>
      </c>
      <c r="I437" s="9">
        <v>2</v>
      </c>
      <c r="J437" s="9">
        <v>2</v>
      </c>
      <c r="K437" s="160">
        <f t="shared" si="6"/>
        <v>0.35859414261160716</v>
      </c>
      <c r="L437" s="52" t="s">
        <v>111</v>
      </c>
    </row>
    <row r="438" spans="1:12">
      <c r="A438" s="152" t="s">
        <v>114</v>
      </c>
      <c r="B438" s="59">
        <v>2016</v>
      </c>
      <c r="C438" s="344" t="s">
        <v>86</v>
      </c>
      <c r="D438" s="59">
        <v>1070</v>
      </c>
      <c r="E438" s="344" t="s">
        <v>126</v>
      </c>
      <c r="F438" s="29">
        <v>1</v>
      </c>
      <c r="G438" s="9">
        <v>1</v>
      </c>
      <c r="H438" s="9">
        <v>1</v>
      </c>
      <c r="I438" s="9">
        <v>2</v>
      </c>
      <c r="J438" s="9">
        <v>2</v>
      </c>
      <c r="K438" s="160">
        <f t="shared" si="6"/>
        <v>0.35859414261160716</v>
      </c>
      <c r="L438" s="52" t="s">
        <v>111</v>
      </c>
    </row>
    <row r="439" spans="1:12">
      <c r="A439" s="152" t="s">
        <v>114</v>
      </c>
      <c r="B439" s="59">
        <v>2016</v>
      </c>
      <c r="C439" s="344" t="s">
        <v>87</v>
      </c>
      <c r="D439" s="59">
        <v>968</v>
      </c>
      <c r="E439" s="344" t="s">
        <v>126</v>
      </c>
      <c r="F439" s="29">
        <v>1</v>
      </c>
      <c r="G439" s="9">
        <v>1</v>
      </c>
      <c r="H439" s="9">
        <v>1</v>
      </c>
      <c r="I439" s="9">
        <v>2</v>
      </c>
      <c r="J439" s="9">
        <v>2</v>
      </c>
      <c r="K439" s="160">
        <f t="shared" si="6"/>
        <v>0.35859414261160716</v>
      </c>
      <c r="L439" s="52" t="s">
        <v>111</v>
      </c>
    </row>
    <row r="440" spans="1:12">
      <c r="A440" s="152" t="s">
        <v>114</v>
      </c>
      <c r="B440" s="59">
        <v>2016</v>
      </c>
      <c r="C440" s="344" t="s">
        <v>88</v>
      </c>
      <c r="D440" s="59">
        <v>63</v>
      </c>
      <c r="E440" s="344" t="s">
        <v>126</v>
      </c>
      <c r="F440" s="29">
        <v>1</v>
      </c>
      <c r="G440" s="9">
        <v>1</v>
      </c>
      <c r="H440" s="9">
        <v>1</v>
      </c>
      <c r="I440" s="9">
        <v>2</v>
      </c>
      <c r="J440" s="9">
        <v>2</v>
      </c>
      <c r="K440" s="160">
        <f t="shared" si="6"/>
        <v>0.35859414261160716</v>
      </c>
      <c r="L440" s="52" t="s">
        <v>111</v>
      </c>
    </row>
    <row r="441" spans="1:12">
      <c r="A441" s="152" t="s">
        <v>114</v>
      </c>
      <c r="B441" s="59">
        <v>2016</v>
      </c>
      <c r="C441" s="344" t="s">
        <v>89</v>
      </c>
      <c r="D441" s="59">
        <v>69</v>
      </c>
      <c r="E441" s="344" t="s">
        <v>126</v>
      </c>
      <c r="F441" s="29">
        <v>1</v>
      </c>
      <c r="G441" s="9">
        <v>1</v>
      </c>
      <c r="H441" s="9">
        <v>1</v>
      </c>
      <c r="I441" s="9">
        <v>2</v>
      </c>
      <c r="J441" s="9">
        <v>2</v>
      </c>
      <c r="K441" s="160">
        <f t="shared" ref="K441:K504" si="7">IF( OR( ISBLANK(F441),ISBLANK(G441), ISBLANK(H441), ISBLANK(I441), ISBLANK(J441) ), "", 1.5*SQRT(   EXP(2.21*(F441-1)) + EXP(2.21*(G441-1)) + EXP(2.21*(H441-1)) + EXP(2.21*(I441-1)) + EXP(2.21*J441)   )/100*2.45 )</f>
        <v>0.35859414261160716</v>
      </c>
      <c r="L441" s="52" t="s">
        <v>111</v>
      </c>
    </row>
    <row r="442" spans="1:12">
      <c r="A442" s="152" t="s">
        <v>114</v>
      </c>
      <c r="B442" s="59">
        <v>2016</v>
      </c>
      <c r="C442" s="344" t="s">
        <v>90</v>
      </c>
      <c r="D442" s="59">
        <v>316</v>
      </c>
      <c r="E442" s="344" t="s">
        <v>126</v>
      </c>
      <c r="F442" s="29">
        <v>1</v>
      </c>
      <c r="G442" s="9">
        <v>1</v>
      </c>
      <c r="H442" s="9">
        <v>1</v>
      </c>
      <c r="I442" s="9">
        <v>2</v>
      </c>
      <c r="J442" s="9">
        <v>2</v>
      </c>
      <c r="K442" s="160">
        <f t="shared" si="7"/>
        <v>0.35859414261160716</v>
      </c>
      <c r="L442" s="52" t="s">
        <v>111</v>
      </c>
    </row>
    <row r="443" spans="1:12">
      <c r="A443" s="152" t="s">
        <v>114</v>
      </c>
      <c r="B443" s="59">
        <v>2016</v>
      </c>
      <c r="C443" s="344" t="s">
        <v>91</v>
      </c>
      <c r="D443" s="59">
        <v>706</v>
      </c>
      <c r="E443" s="344" t="s">
        <v>126</v>
      </c>
      <c r="F443" s="29">
        <v>1</v>
      </c>
      <c r="G443" s="9">
        <v>1</v>
      </c>
      <c r="H443" s="9">
        <v>1</v>
      </c>
      <c r="I443" s="9">
        <v>2</v>
      </c>
      <c r="J443" s="9">
        <v>2</v>
      </c>
      <c r="K443" s="160">
        <f t="shared" si="7"/>
        <v>0.35859414261160716</v>
      </c>
      <c r="L443" s="52" t="s">
        <v>111</v>
      </c>
    </row>
    <row r="444" spans="1:12">
      <c r="A444" s="152" t="s">
        <v>114</v>
      </c>
      <c r="B444" s="59">
        <v>2016</v>
      </c>
      <c r="C444" s="344" t="s">
        <v>94</v>
      </c>
      <c r="D444" s="59">
        <v>158</v>
      </c>
      <c r="E444" s="344" t="s">
        <v>126</v>
      </c>
      <c r="F444" s="29">
        <v>1</v>
      </c>
      <c r="G444" s="9">
        <v>1</v>
      </c>
      <c r="H444" s="9">
        <v>1</v>
      </c>
      <c r="I444" s="9">
        <v>2</v>
      </c>
      <c r="J444" s="9">
        <v>2</v>
      </c>
      <c r="K444" s="160">
        <f t="shared" si="7"/>
        <v>0.35859414261160716</v>
      </c>
      <c r="L444" s="52" t="s">
        <v>111</v>
      </c>
    </row>
    <row r="445" spans="1:12">
      <c r="A445" s="152" t="s">
        <v>114</v>
      </c>
      <c r="B445" s="59">
        <v>2016</v>
      </c>
      <c r="C445" s="344" t="s">
        <v>96</v>
      </c>
      <c r="D445" s="59">
        <v>101</v>
      </c>
      <c r="E445" s="344" t="s">
        <v>126</v>
      </c>
      <c r="F445" s="29">
        <v>1</v>
      </c>
      <c r="G445" s="9">
        <v>1</v>
      </c>
      <c r="H445" s="9">
        <v>1</v>
      </c>
      <c r="I445" s="9">
        <v>2</v>
      </c>
      <c r="J445" s="9">
        <v>2</v>
      </c>
      <c r="K445" s="160">
        <f t="shared" si="7"/>
        <v>0.35859414261160716</v>
      </c>
      <c r="L445" s="52" t="s">
        <v>111</v>
      </c>
    </row>
    <row r="446" spans="1:12">
      <c r="A446" s="152" t="s">
        <v>114</v>
      </c>
      <c r="B446" s="59">
        <v>2016</v>
      </c>
      <c r="C446" s="344" t="s">
        <v>97</v>
      </c>
      <c r="D446" s="59">
        <v>309</v>
      </c>
      <c r="E446" s="344" t="s">
        <v>126</v>
      </c>
      <c r="F446" s="29">
        <v>1</v>
      </c>
      <c r="G446" s="9">
        <v>1</v>
      </c>
      <c r="H446" s="9">
        <v>1</v>
      </c>
      <c r="I446" s="9">
        <v>2</v>
      </c>
      <c r="J446" s="9">
        <v>2</v>
      </c>
      <c r="K446" s="160">
        <f t="shared" si="7"/>
        <v>0.35859414261160716</v>
      </c>
      <c r="L446" s="52" t="s">
        <v>111</v>
      </c>
    </row>
    <row r="447" spans="1:12">
      <c r="A447" s="152" t="s">
        <v>114</v>
      </c>
      <c r="B447" s="59">
        <v>2016</v>
      </c>
      <c r="C447" s="344" t="s">
        <v>95</v>
      </c>
      <c r="D447" s="59">
        <v>249</v>
      </c>
      <c r="E447" s="344" t="s">
        <v>126</v>
      </c>
      <c r="F447" s="29">
        <v>1</v>
      </c>
      <c r="G447" s="9">
        <v>1</v>
      </c>
      <c r="H447" s="9">
        <v>1</v>
      </c>
      <c r="I447" s="9">
        <v>2</v>
      </c>
      <c r="J447" s="9">
        <v>2</v>
      </c>
      <c r="K447" s="160">
        <f t="shared" si="7"/>
        <v>0.35859414261160716</v>
      </c>
      <c r="L447" s="52" t="s">
        <v>111</v>
      </c>
    </row>
    <row r="448" spans="1:12">
      <c r="A448" s="152" t="s">
        <v>114</v>
      </c>
      <c r="B448" s="59">
        <v>2016</v>
      </c>
      <c r="C448" s="344" t="s">
        <v>93</v>
      </c>
      <c r="D448" s="59">
        <v>55</v>
      </c>
      <c r="E448" s="344" t="s">
        <v>126</v>
      </c>
      <c r="F448" s="29">
        <v>1</v>
      </c>
      <c r="G448" s="9">
        <v>1</v>
      </c>
      <c r="H448" s="9">
        <v>1</v>
      </c>
      <c r="I448" s="9">
        <v>2</v>
      </c>
      <c r="J448" s="9">
        <v>2</v>
      </c>
      <c r="K448" s="160">
        <f t="shared" si="7"/>
        <v>0.35859414261160716</v>
      </c>
      <c r="L448" s="52" t="s">
        <v>111</v>
      </c>
    </row>
    <row r="449" spans="1:12">
      <c r="A449" s="152" t="s">
        <v>114</v>
      </c>
      <c r="B449" s="59">
        <v>2016</v>
      </c>
      <c r="C449" s="344" t="s">
        <v>98</v>
      </c>
      <c r="D449" s="59">
        <v>1838</v>
      </c>
      <c r="E449" s="344" t="s">
        <v>126</v>
      </c>
      <c r="F449" s="29">
        <v>1</v>
      </c>
      <c r="G449" s="9">
        <v>1</v>
      </c>
      <c r="H449" s="9">
        <v>1</v>
      </c>
      <c r="I449" s="9">
        <v>2</v>
      </c>
      <c r="J449" s="9">
        <v>2</v>
      </c>
      <c r="K449" s="160">
        <f t="shared" si="7"/>
        <v>0.35859414261160716</v>
      </c>
      <c r="L449" s="52" t="s">
        <v>111</v>
      </c>
    </row>
    <row r="450" spans="1:12">
      <c r="A450" s="152" t="s">
        <v>114</v>
      </c>
      <c r="B450" s="59">
        <v>2017</v>
      </c>
      <c r="C450" s="344" t="s">
        <v>85</v>
      </c>
      <c r="D450" s="59">
        <v>1911</v>
      </c>
      <c r="E450" s="344" t="s">
        <v>126</v>
      </c>
      <c r="F450" s="29">
        <v>1</v>
      </c>
      <c r="G450" s="9">
        <v>1</v>
      </c>
      <c r="H450" s="9">
        <v>1</v>
      </c>
      <c r="I450" s="9">
        <v>2</v>
      </c>
      <c r="J450" s="9">
        <v>2</v>
      </c>
      <c r="K450" s="160">
        <f t="shared" si="7"/>
        <v>0.35859414261160716</v>
      </c>
      <c r="L450" s="52" t="s">
        <v>111</v>
      </c>
    </row>
    <row r="451" spans="1:12">
      <c r="A451" s="152" t="s">
        <v>114</v>
      </c>
      <c r="B451" s="59">
        <v>2017</v>
      </c>
      <c r="C451" s="344" t="s">
        <v>86</v>
      </c>
      <c r="D451" s="59">
        <v>1075</v>
      </c>
      <c r="E451" s="344" t="s">
        <v>126</v>
      </c>
      <c r="F451" s="29">
        <v>1</v>
      </c>
      <c r="G451" s="9">
        <v>1</v>
      </c>
      <c r="H451" s="9">
        <v>1</v>
      </c>
      <c r="I451" s="9">
        <v>2</v>
      </c>
      <c r="J451" s="9">
        <v>2</v>
      </c>
      <c r="K451" s="160">
        <f t="shared" si="7"/>
        <v>0.35859414261160716</v>
      </c>
      <c r="L451" s="52" t="s">
        <v>111</v>
      </c>
    </row>
    <row r="452" spans="1:12">
      <c r="A452" s="152" t="s">
        <v>114</v>
      </c>
      <c r="B452" s="59">
        <v>2017</v>
      </c>
      <c r="C452" s="344" t="s">
        <v>87</v>
      </c>
      <c r="D452" s="59">
        <v>467</v>
      </c>
      <c r="E452" s="344" t="s">
        <v>126</v>
      </c>
      <c r="F452" s="29">
        <v>1</v>
      </c>
      <c r="G452" s="9">
        <v>1</v>
      </c>
      <c r="H452" s="9">
        <v>1</v>
      </c>
      <c r="I452" s="9">
        <v>2</v>
      </c>
      <c r="J452" s="9">
        <v>2</v>
      </c>
      <c r="K452" s="160">
        <f t="shared" si="7"/>
        <v>0.35859414261160716</v>
      </c>
      <c r="L452" s="52" t="s">
        <v>111</v>
      </c>
    </row>
    <row r="453" spans="1:12">
      <c r="A453" s="152" t="s">
        <v>114</v>
      </c>
      <c r="B453" s="59">
        <v>2017</v>
      </c>
      <c r="C453" s="344" t="s">
        <v>88</v>
      </c>
      <c r="D453" s="59">
        <v>216</v>
      </c>
      <c r="E453" s="344" t="s">
        <v>126</v>
      </c>
      <c r="F453" s="29">
        <v>1</v>
      </c>
      <c r="G453" s="9">
        <v>1</v>
      </c>
      <c r="H453" s="9">
        <v>1</v>
      </c>
      <c r="I453" s="9">
        <v>2</v>
      </c>
      <c r="J453" s="9">
        <v>2</v>
      </c>
      <c r="K453" s="160">
        <f t="shared" si="7"/>
        <v>0.35859414261160716</v>
      </c>
      <c r="L453" s="52" t="s">
        <v>111</v>
      </c>
    </row>
    <row r="454" spans="1:12">
      <c r="A454" s="152" t="s">
        <v>114</v>
      </c>
      <c r="B454" s="59">
        <v>2017</v>
      </c>
      <c r="C454" s="344" t="s">
        <v>89</v>
      </c>
      <c r="D454" s="59">
        <v>46</v>
      </c>
      <c r="E454" s="344" t="s">
        <v>126</v>
      </c>
      <c r="F454" s="29">
        <v>1</v>
      </c>
      <c r="G454" s="9">
        <v>1</v>
      </c>
      <c r="H454" s="9">
        <v>1</v>
      </c>
      <c r="I454" s="9">
        <v>2</v>
      </c>
      <c r="J454" s="9">
        <v>2</v>
      </c>
      <c r="K454" s="160">
        <f t="shared" si="7"/>
        <v>0.35859414261160716</v>
      </c>
      <c r="L454" s="52" t="s">
        <v>111</v>
      </c>
    </row>
    <row r="455" spans="1:12">
      <c r="A455" s="152" t="s">
        <v>114</v>
      </c>
      <c r="B455" s="59">
        <v>2017</v>
      </c>
      <c r="C455" s="344" t="s">
        <v>90</v>
      </c>
      <c r="D455" s="59">
        <v>297</v>
      </c>
      <c r="E455" s="344" t="s">
        <v>126</v>
      </c>
      <c r="F455" s="29">
        <v>1</v>
      </c>
      <c r="G455" s="9">
        <v>1</v>
      </c>
      <c r="H455" s="9">
        <v>1</v>
      </c>
      <c r="I455" s="9">
        <v>2</v>
      </c>
      <c r="J455" s="9">
        <v>2</v>
      </c>
      <c r="K455" s="160">
        <f t="shared" si="7"/>
        <v>0.35859414261160716</v>
      </c>
      <c r="L455" s="52" t="s">
        <v>111</v>
      </c>
    </row>
    <row r="456" spans="1:12">
      <c r="A456" s="152" t="s">
        <v>114</v>
      </c>
      <c r="B456" s="59">
        <v>2017</v>
      </c>
      <c r="C456" s="344" t="s">
        <v>91</v>
      </c>
      <c r="D456" s="59">
        <v>909</v>
      </c>
      <c r="E456" s="344" t="s">
        <v>126</v>
      </c>
      <c r="F456" s="29">
        <v>1</v>
      </c>
      <c r="G456" s="9">
        <v>1</v>
      </c>
      <c r="H456" s="9">
        <v>1</v>
      </c>
      <c r="I456" s="9">
        <v>2</v>
      </c>
      <c r="J456" s="9">
        <v>2</v>
      </c>
      <c r="K456" s="160">
        <f t="shared" si="7"/>
        <v>0.35859414261160716</v>
      </c>
      <c r="L456" s="52" t="s">
        <v>111</v>
      </c>
    </row>
    <row r="457" spans="1:12">
      <c r="A457" s="152" t="s">
        <v>114</v>
      </c>
      <c r="B457" s="59">
        <v>2017</v>
      </c>
      <c r="C457" s="344" t="s">
        <v>94</v>
      </c>
      <c r="D457" s="59">
        <v>213</v>
      </c>
      <c r="E457" s="344" t="s">
        <v>126</v>
      </c>
      <c r="F457" s="29">
        <v>1</v>
      </c>
      <c r="G457" s="9">
        <v>1</v>
      </c>
      <c r="H457" s="9">
        <v>1</v>
      </c>
      <c r="I457" s="9">
        <v>2</v>
      </c>
      <c r="J457" s="9">
        <v>2</v>
      </c>
      <c r="K457" s="160">
        <f t="shared" si="7"/>
        <v>0.35859414261160716</v>
      </c>
      <c r="L457" s="52" t="s">
        <v>111</v>
      </c>
    </row>
    <row r="458" spans="1:12">
      <c r="A458" s="152" t="s">
        <v>114</v>
      </c>
      <c r="B458" s="59">
        <v>2017</v>
      </c>
      <c r="C458" s="344" t="s">
        <v>96</v>
      </c>
      <c r="D458" s="59">
        <v>106</v>
      </c>
      <c r="E458" s="344" t="s">
        <v>126</v>
      </c>
      <c r="F458" s="29">
        <v>1</v>
      </c>
      <c r="G458" s="9">
        <v>1</v>
      </c>
      <c r="H458" s="9">
        <v>1</v>
      </c>
      <c r="I458" s="9">
        <v>2</v>
      </c>
      <c r="J458" s="9">
        <v>2</v>
      </c>
      <c r="K458" s="160">
        <f t="shared" si="7"/>
        <v>0.35859414261160716</v>
      </c>
      <c r="L458" s="52" t="s">
        <v>111</v>
      </c>
    </row>
    <row r="459" spans="1:12">
      <c r="A459" s="152" t="s">
        <v>114</v>
      </c>
      <c r="B459" s="59">
        <v>2017</v>
      </c>
      <c r="C459" s="344" t="s">
        <v>97</v>
      </c>
      <c r="D459" s="59">
        <v>306</v>
      </c>
      <c r="E459" s="344" t="s">
        <v>126</v>
      </c>
      <c r="F459" s="29">
        <v>1</v>
      </c>
      <c r="G459" s="9">
        <v>1</v>
      </c>
      <c r="H459" s="9">
        <v>1</v>
      </c>
      <c r="I459" s="9">
        <v>2</v>
      </c>
      <c r="J459" s="9">
        <v>2</v>
      </c>
      <c r="K459" s="160">
        <f t="shared" si="7"/>
        <v>0.35859414261160716</v>
      </c>
      <c r="L459" s="52" t="s">
        <v>111</v>
      </c>
    </row>
    <row r="460" spans="1:12">
      <c r="A460" s="152" t="s">
        <v>114</v>
      </c>
      <c r="B460" s="59">
        <v>2017</v>
      </c>
      <c r="C460" s="344" t="s">
        <v>95</v>
      </c>
      <c r="D460" s="59">
        <v>214</v>
      </c>
      <c r="E460" s="344" t="s">
        <v>126</v>
      </c>
      <c r="F460" s="29">
        <v>1</v>
      </c>
      <c r="G460" s="9">
        <v>1</v>
      </c>
      <c r="H460" s="9">
        <v>1</v>
      </c>
      <c r="I460" s="9">
        <v>2</v>
      </c>
      <c r="J460" s="9">
        <v>2</v>
      </c>
      <c r="K460" s="160">
        <f t="shared" si="7"/>
        <v>0.35859414261160716</v>
      </c>
      <c r="L460" s="52" t="s">
        <v>111</v>
      </c>
    </row>
    <row r="461" spans="1:12">
      <c r="A461" s="152" t="s">
        <v>114</v>
      </c>
      <c r="B461" s="59">
        <v>2017</v>
      </c>
      <c r="C461" s="344" t="s">
        <v>93</v>
      </c>
      <c r="D461" s="59">
        <v>52</v>
      </c>
      <c r="E461" s="344" t="s">
        <v>126</v>
      </c>
      <c r="F461" s="29">
        <v>1</v>
      </c>
      <c r="G461" s="9">
        <v>1</v>
      </c>
      <c r="H461" s="9">
        <v>1</v>
      </c>
      <c r="I461" s="9">
        <v>2</v>
      </c>
      <c r="J461" s="9">
        <v>2</v>
      </c>
      <c r="K461" s="160">
        <f t="shared" si="7"/>
        <v>0.35859414261160716</v>
      </c>
      <c r="L461" s="52" t="s">
        <v>111</v>
      </c>
    </row>
    <row r="462" spans="1:12">
      <c r="A462" s="152" t="s">
        <v>114</v>
      </c>
      <c r="B462" s="59">
        <v>2017</v>
      </c>
      <c r="C462" s="344" t="s">
        <v>98</v>
      </c>
      <c r="D462" s="59">
        <v>1465</v>
      </c>
      <c r="E462" s="344" t="s">
        <v>126</v>
      </c>
      <c r="F462" s="29">
        <v>1</v>
      </c>
      <c r="G462" s="9">
        <v>1</v>
      </c>
      <c r="H462" s="9">
        <v>1</v>
      </c>
      <c r="I462" s="9">
        <v>2</v>
      </c>
      <c r="J462" s="9">
        <v>2</v>
      </c>
      <c r="K462" s="160">
        <f t="shared" si="7"/>
        <v>0.35859414261160716</v>
      </c>
      <c r="L462" s="52" t="s">
        <v>111</v>
      </c>
    </row>
    <row r="463" spans="1:12">
      <c r="A463" s="152" t="s">
        <v>114</v>
      </c>
      <c r="B463" s="59">
        <v>2018</v>
      </c>
      <c r="C463" s="344" t="s">
        <v>85</v>
      </c>
      <c r="D463" s="59">
        <v>2104</v>
      </c>
      <c r="E463" s="344" t="s">
        <v>126</v>
      </c>
      <c r="F463" s="29">
        <v>1</v>
      </c>
      <c r="G463" s="9">
        <v>1</v>
      </c>
      <c r="H463" s="9">
        <v>1</v>
      </c>
      <c r="I463" s="9">
        <v>2</v>
      </c>
      <c r="J463" s="9">
        <v>2</v>
      </c>
      <c r="K463" s="160">
        <f t="shared" si="7"/>
        <v>0.35859414261160716</v>
      </c>
      <c r="L463" s="52" t="s">
        <v>111</v>
      </c>
    </row>
    <row r="464" spans="1:12">
      <c r="A464" s="152" t="s">
        <v>114</v>
      </c>
      <c r="B464" s="59">
        <v>2018</v>
      </c>
      <c r="C464" s="344" t="s">
        <v>86</v>
      </c>
      <c r="D464" s="59">
        <v>967</v>
      </c>
      <c r="E464" s="344" t="s">
        <v>126</v>
      </c>
      <c r="F464" s="29">
        <v>1</v>
      </c>
      <c r="G464" s="9">
        <v>1</v>
      </c>
      <c r="H464" s="9">
        <v>1</v>
      </c>
      <c r="I464" s="9">
        <v>2</v>
      </c>
      <c r="J464" s="9">
        <v>2</v>
      </c>
      <c r="K464" s="160">
        <f t="shared" si="7"/>
        <v>0.35859414261160716</v>
      </c>
      <c r="L464" s="52" t="s">
        <v>111</v>
      </c>
    </row>
    <row r="465" spans="1:12">
      <c r="A465" s="152" t="s">
        <v>114</v>
      </c>
      <c r="B465" s="59">
        <v>2018</v>
      </c>
      <c r="C465" s="344" t="s">
        <v>87</v>
      </c>
      <c r="D465" s="59">
        <v>423</v>
      </c>
      <c r="E465" s="344" t="s">
        <v>126</v>
      </c>
      <c r="F465" s="29">
        <v>1</v>
      </c>
      <c r="G465" s="9">
        <v>1</v>
      </c>
      <c r="H465" s="9">
        <v>1</v>
      </c>
      <c r="I465" s="9">
        <v>2</v>
      </c>
      <c r="J465" s="9">
        <v>2</v>
      </c>
      <c r="K465" s="160">
        <f t="shared" si="7"/>
        <v>0.35859414261160716</v>
      </c>
      <c r="L465" s="52" t="s">
        <v>111</v>
      </c>
    </row>
    <row r="466" spans="1:12">
      <c r="A466" s="152" t="s">
        <v>114</v>
      </c>
      <c r="B466" s="59">
        <v>2018</v>
      </c>
      <c r="C466" s="344" t="s">
        <v>88</v>
      </c>
      <c r="D466" s="59">
        <v>198</v>
      </c>
      <c r="E466" s="344" t="s">
        <v>126</v>
      </c>
      <c r="F466" s="29">
        <v>1</v>
      </c>
      <c r="G466" s="9">
        <v>1</v>
      </c>
      <c r="H466" s="9">
        <v>1</v>
      </c>
      <c r="I466" s="9">
        <v>2</v>
      </c>
      <c r="J466" s="9">
        <v>2</v>
      </c>
      <c r="K466" s="160">
        <f t="shared" si="7"/>
        <v>0.35859414261160716</v>
      </c>
      <c r="L466" s="52" t="s">
        <v>111</v>
      </c>
    </row>
    <row r="467" spans="1:12">
      <c r="A467" s="152" t="s">
        <v>114</v>
      </c>
      <c r="B467" s="59">
        <v>2018</v>
      </c>
      <c r="C467" s="344" t="s">
        <v>89</v>
      </c>
      <c r="D467" s="59">
        <v>48</v>
      </c>
      <c r="E467" s="344" t="s">
        <v>126</v>
      </c>
      <c r="F467" s="29">
        <v>1</v>
      </c>
      <c r="G467" s="9">
        <v>1</v>
      </c>
      <c r="H467" s="9">
        <v>1</v>
      </c>
      <c r="I467" s="9">
        <v>2</v>
      </c>
      <c r="J467" s="9">
        <v>2</v>
      </c>
      <c r="K467" s="160">
        <f t="shared" si="7"/>
        <v>0.35859414261160716</v>
      </c>
      <c r="L467" s="52" t="s">
        <v>111</v>
      </c>
    </row>
    <row r="468" spans="1:12">
      <c r="A468" s="152" t="s">
        <v>114</v>
      </c>
      <c r="B468" s="59">
        <v>2018</v>
      </c>
      <c r="C468" s="344" t="s">
        <v>90</v>
      </c>
      <c r="D468" s="59">
        <v>267</v>
      </c>
      <c r="E468" s="344" t="s">
        <v>126</v>
      </c>
      <c r="F468" s="29">
        <v>1</v>
      </c>
      <c r="G468" s="9">
        <v>1</v>
      </c>
      <c r="H468" s="9">
        <v>1</v>
      </c>
      <c r="I468" s="9">
        <v>2</v>
      </c>
      <c r="J468" s="9">
        <v>2</v>
      </c>
      <c r="K468" s="160">
        <f t="shared" si="7"/>
        <v>0.35859414261160716</v>
      </c>
      <c r="L468" s="52" t="s">
        <v>111</v>
      </c>
    </row>
    <row r="469" spans="1:12">
      <c r="A469" s="152" t="s">
        <v>114</v>
      </c>
      <c r="B469" s="59">
        <v>2018</v>
      </c>
      <c r="C469" s="344" t="s">
        <v>91</v>
      </c>
      <c r="D469" s="59">
        <v>831</v>
      </c>
      <c r="E469" s="344" t="s">
        <v>126</v>
      </c>
      <c r="F469" s="29">
        <v>1</v>
      </c>
      <c r="G469" s="9">
        <v>1</v>
      </c>
      <c r="H469" s="9">
        <v>1</v>
      </c>
      <c r="I469" s="9">
        <v>2</v>
      </c>
      <c r="J469" s="9">
        <v>2</v>
      </c>
      <c r="K469" s="160">
        <f t="shared" si="7"/>
        <v>0.35859414261160716</v>
      </c>
      <c r="L469" s="52" t="s">
        <v>111</v>
      </c>
    </row>
    <row r="470" spans="1:12">
      <c r="A470" s="152" t="s">
        <v>114</v>
      </c>
      <c r="B470" s="59">
        <v>2018</v>
      </c>
      <c r="C470" s="344" t="s">
        <v>94</v>
      </c>
      <c r="D470" s="59">
        <v>194</v>
      </c>
      <c r="E470" s="344" t="s">
        <v>126</v>
      </c>
      <c r="F470" s="29">
        <v>1</v>
      </c>
      <c r="G470" s="9">
        <v>1</v>
      </c>
      <c r="H470" s="9">
        <v>1</v>
      </c>
      <c r="I470" s="9">
        <v>2</v>
      </c>
      <c r="J470" s="9">
        <v>2</v>
      </c>
      <c r="K470" s="160">
        <f t="shared" si="7"/>
        <v>0.35859414261160716</v>
      </c>
      <c r="L470" s="52" t="s">
        <v>111</v>
      </c>
    </row>
    <row r="471" spans="1:12">
      <c r="A471" s="152" t="s">
        <v>114</v>
      </c>
      <c r="B471" s="59">
        <v>2018</v>
      </c>
      <c r="C471" s="344" t="s">
        <v>96</v>
      </c>
      <c r="D471" s="59">
        <v>103</v>
      </c>
      <c r="E471" s="344" t="s">
        <v>126</v>
      </c>
      <c r="F471" s="29">
        <v>1</v>
      </c>
      <c r="G471" s="9">
        <v>1</v>
      </c>
      <c r="H471" s="9">
        <v>1</v>
      </c>
      <c r="I471" s="9">
        <v>2</v>
      </c>
      <c r="J471" s="9">
        <v>2</v>
      </c>
      <c r="K471" s="160">
        <f t="shared" si="7"/>
        <v>0.35859414261160716</v>
      </c>
      <c r="L471" s="52" t="s">
        <v>111</v>
      </c>
    </row>
    <row r="472" spans="1:12">
      <c r="A472" s="152" t="s">
        <v>114</v>
      </c>
      <c r="B472" s="59">
        <v>2018</v>
      </c>
      <c r="C472" s="344" t="s">
        <v>97</v>
      </c>
      <c r="D472" s="59">
        <v>489</v>
      </c>
      <c r="E472" s="344" t="s">
        <v>126</v>
      </c>
      <c r="F472" s="29">
        <v>1</v>
      </c>
      <c r="G472" s="9">
        <v>1</v>
      </c>
      <c r="H472" s="9">
        <v>1</v>
      </c>
      <c r="I472" s="9">
        <v>2</v>
      </c>
      <c r="J472" s="9">
        <v>2</v>
      </c>
      <c r="K472" s="160">
        <f t="shared" si="7"/>
        <v>0.35859414261160716</v>
      </c>
      <c r="L472" s="52" t="s">
        <v>111</v>
      </c>
    </row>
    <row r="473" spans="1:12">
      <c r="A473" s="152" t="s">
        <v>114</v>
      </c>
      <c r="B473" s="59">
        <v>2018</v>
      </c>
      <c r="C473" s="344" t="s">
        <v>95</v>
      </c>
      <c r="D473" s="59">
        <v>242</v>
      </c>
      <c r="E473" s="344" t="s">
        <v>126</v>
      </c>
      <c r="F473" s="29">
        <v>1</v>
      </c>
      <c r="G473" s="9">
        <v>1</v>
      </c>
      <c r="H473" s="9">
        <v>1</v>
      </c>
      <c r="I473" s="9">
        <v>2</v>
      </c>
      <c r="J473" s="9">
        <v>2</v>
      </c>
      <c r="K473" s="160">
        <f t="shared" si="7"/>
        <v>0.35859414261160716</v>
      </c>
      <c r="L473" s="52" t="s">
        <v>111</v>
      </c>
    </row>
    <row r="474" spans="1:12">
      <c r="A474" s="152" t="s">
        <v>114</v>
      </c>
      <c r="B474" s="59">
        <v>2018</v>
      </c>
      <c r="C474" s="344" t="s">
        <v>93</v>
      </c>
      <c r="D474" s="59">
        <v>56</v>
      </c>
      <c r="E474" s="344" t="s">
        <v>126</v>
      </c>
      <c r="F474" s="29">
        <v>1</v>
      </c>
      <c r="G474" s="9">
        <v>1</v>
      </c>
      <c r="H474" s="9">
        <v>1</v>
      </c>
      <c r="I474" s="9">
        <v>2</v>
      </c>
      <c r="J474" s="9">
        <v>2</v>
      </c>
      <c r="K474" s="160">
        <f t="shared" si="7"/>
        <v>0.35859414261160716</v>
      </c>
      <c r="L474" s="52" t="s">
        <v>111</v>
      </c>
    </row>
    <row r="475" spans="1:12">
      <c r="A475" s="152" t="s">
        <v>114</v>
      </c>
      <c r="B475" s="59">
        <v>2018</v>
      </c>
      <c r="C475" s="344" t="s">
        <v>98</v>
      </c>
      <c r="D475" s="59">
        <v>1475</v>
      </c>
      <c r="E475" s="344" t="s">
        <v>126</v>
      </c>
      <c r="F475" s="29">
        <v>1</v>
      </c>
      <c r="G475" s="9">
        <v>1</v>
      </c>
      <c r="H475" s="9">
        <v>1</v>
      </c>
      <c r="I475" s="9">
        <v>2</v>
      </c>
      <c r="J475" s="9">
        <v>2</v>
      </c>
      <c r="K475" s="160">
        <f t="shared" si="7"/>
        <v>0.35859414261160716</v>
      </c>
      <c r="L475" s="52" t="s">
        <v>111</v>
      </c>
    </row>
    <row r="476" spans="1:12">
      <c r="A476" s="152" t="s">
        <v>114</v>
      </c>
      <c r="B476" s="59">
        <v>2019</v>
      </c>
      <c r="C476" s="344" t="s">
        <v>85</v>
      </c>
      <c r="D476" s="59">
        <v>3179</v>
      </c>
      <c r="E476" s="344" t="s">
        <v>126</v>
      </c>
      <c r="F476" s="29">
        <v>1</v>
      </c>
      <c r="G476" s="9">
        <v>1</v>
      </c>
      <c r="H476" s="9">
        <v>1</v>
      </c>
      <c r="I476" s="9">
        <v>2</v>
      </c>
      <c r="J476" s="9">
        <v>2</v>
      </c>
      <c r="K476" s="160">
        <f t="shared" si="7"/>
        <v>0.35859414261160716</v>
      </c>
      <c r="L476" s="52" t="s">
        <v>111</v>
      </c>
    </row>
    <row r="477" spans="1:12">
      <c r="A477" s="152" t="s">
        <v>114</v>
      </c>
      <c r="B477" s="59">
        <v>2019</v>
      </c>
      <c r="C477" s="344" t="s">
        <v>86</v>
      </c>
      <c r="D477" s="59">
        <v>1314</v>
      </c>
      <c r="E477" s="344" t="s">
        <v>126</v>
      </c>
      <c r="F477" s="29">
        <v>1</v>
      </c>
      <c r="G477" s="9">
        <v>1</v>
      </c>
      <c r="H477" s="9">
        <v>1</v>
      </c>
      <c r="I477" s="9">
        <v>2</v>
      </c>
      <c r="J477" s="9">
        <v>2</v>
      </c>
      <c r="K477" s="160">
        <f t="shared" si="7"/>
        <v>0.35859414261160716</v>
      </c>
      <c r="L477" s="52" t="s">
        <v>111</v>
      </c>
    </row>
    <row r="478" spans="1:12">
      <c r="A478" s="152" t="s">
        <v>114</v>
      </c>
      <c r="B478" s="59">
        <v>2019</v>
      </c>
      <c r="C478" s="344" t="s">
        <v>87</v>
      </c>
      <c r="D478" s="59">
        <v>938</v>
      </c>
      <c r="E478" s="344" t="s">
        <v>126</v>
      </c>
      <c r="F478" s="29">
        <v>1</v>
      </c>
      <c r="G478" s="9">
        <v>1</v>
      </c>
      <c r="H478" s="9">
        <v>1</v>
      </c>
      <c r="I478" s="9">
        <v>2</v>
      </c>
      <c r="J478" s="9">
        <v>2</v>
      </c>
      <c r="K478" s="160">
        <f t="shared" si="7"/>
        <v>0.35859414261160716</v>
      </c>
      <c r="L478" s="52" t="s">
        <v>111</v>
      </c>
    </row>
    <row r="479" spans="1:12">
      <c r="A479" s="152" t="s">
        <v>114</v>
      </c>
      <c r="B479" s="59">
        <v>2019</v>
      </c>
      <c r="C479" s="344" t="s">
        <v>88</v>
      </c>
      <c r="D479" s="59">
        <v>127</v>
      </c>
      <c r="E479" s="344" t="s">
        <v>126</v>
      </c>
      <c r="F479" s="29">
        <v>1</v>
      </c>
      <c r="G479" s="9">
        <v>1</v>
      </c>
      <c r="H479" s="9">
        <v>1</v>
      </c>
      <c r="I479" s="9">
        <v>2</v>
      </c>
      <c r="J479" s="9">
        <v>2</v>
      </c>
      <c r="K479" s="160">
        <f t="shared" si="7"/>
        <v>0.35859414261160716</v>
      </c>
      <c r="L479" s="52" t="s">
        <v>111</v>
      </c>
    </row>
    <row r="480" spans="1:12">
      <c r="A480" s="152" t="s">
        <v>114</v>
      </c>
      <c r="B480" s="59">
        <v>2019</v>
      </c>
      <c r="C480" s="344" t="s">
        <v>89</v>
      </c>
      <c r="D480" s="59">
        <v>78</v>
      </c>
      <c r="E480" s="344" t="s">
        <v>126</v>
      </c>
      <c r="F480" s="29">
        <v>1</v>
      </c>
      <c r="G480" s="9">
        <v>1</v>
      </c>
      <c r="H480" s="9">
        <v>1</v>
      </c>
      <c r="I480" s="9">
        <v>2</v>
      </c>
      <c r="J480" s="9">
        <v>2</v>
      </c>
      <c r="K480" s="160">
        <f t="shared" si="7"/>
        <v>0.35859414261160716</v>
      </c>
      <c r="L480" s="52" t="s">
        <v>111</v>
      </c>
    </row>
    <row r="481" spans="1:12">
      <c r="A481" s="152" t="s">
        <v>114</v>
      </c>
      <c r="B481" s="59">
        <v>2019</v>
      </c>
      <c r="C481" s="344" t="s">
        <v>90</v>
      </c>
      <c r="D481" s="59">
        <v>438</v>
      </c>
      <c r="E481" s="344" t="s">
        <v>126</v>
      </c>
      <c r="F481" s="29">
        <v>1</v>
      </c>
      <c r="G481" s="9">
        <v>1</v>
      </c>
      <c r="H481" s="9">
        <v>1</v>
      </c>
      <c r="I481" s="9">
        <v>2</v>
      </c>
      <c r="J481" s="9">
        <v>2</v>
      </c>
      <c r="K481" s="160">
        <f t="shared" si="7"/>
        <v>0.35859414261160716</v>
      </c>
      <c r="L481" s="52" t="s">
        <v>111</v>
      </c>
    </row>
    <row r="482" spans="1:12">
      <c r="A482" s="152" t="s">
        <v>114</v>
      </c>
      <c r="B482" s="59">
        <v>2019</v>
      </c>
      <c r="C482" s="344" t="s">
        <v>91</v>
      </c>
      <c r="D482" s="59">
        <v>980</v>
      </c>
      <c r="E482" s="344" t="s">
        <v>126</v>
      </c>
      <c r="F482" s="29">
        <v>1</v>
      </c>
      <c r="G482" s="9">
        <v>1</v>
      </c>
      <c r="H482" s="9">
        <v>1</v>
      </c>
      <c r="I482" s="9">
        <v>2</v>
      </c>
      <c r="J482" s="9">
        <v>2</v>
      </c>
      <c r="K482" s="160">
        <f t="shared" si="7"/>
        <v>0.35859414261160716</v>
      </c>
      <c r="L482" s="52" t="s">
        <v>111</v>
      </c>
    </row>
    <row r="483" spans="1:12">
      <c r="A483" s="152" t="s">
        <v>114</v>
      </c>
      <c r="B483" s="59">
        <v>2019</v>
      </c>
      <c r="C483" s="344" t="s">
        <v>94</v>
      </c>
      <c r="D483" s="59">
        <v>203</v>
      </c>
      <c r="E483" s="344" t="s">
        <v>126</v>
      </c>
      <c r="F483" s="29">
        <v>1</v>
      </c>
      <c r="G483" s="9">
        <v>1</v>
      </c>
      <c r="H483" s="9">
        <v>1</v>
      </c>
      <c r="I483" s="9">
        <v>2</v>
      </c>
      <c r="J483" s="9">
        <v>2</v>
      </c>
      <c r="K483" s="160">
        <f t="shared" si="7"/>
        <v>0.35859414261160716</v>
      </c>
      <c r="L483" s="52" t="s">
        <v>111</v>
      </c>
    </row>
    <row r="484" spans="1:12">
      <c r="A484" s="152" t="s">
        <v>114</v>
      </c>
      <c r="B484" s="59">
        <v>2019</v>
      </c>
      <c r="C484" s="344" t="s">
        <v>96</v>
      </c>
      <c r="D484" s="59">
        <v>95</v>
      </c>
      <c r="E484" s="344" t="s">
        <v>126</v>
      </c>
      <c r="F484" s="29">
        <v>1</v>
      </c>
      <c r="G484" s="9">
        <v>1</v>
      </c>
      <c r="H484" s="9">
        <v>1</v>
      </c>
      <c r="I484" s="9">
        <v>2</v>
      </c>
      <c r="J484" s="9">
        <v>2</v>
      </c>
      <c r="K484" s="160">
        <f t="shared" si="7"/>
        <v>0.35859414261160716</v>
      </c>
      <c r="L484" s="52" t="s">
        <v>111</v>
      </c>
    </row>
    <row r="485" spans="1:12">
      <c r="A485" s="152" t="s">
        <v>114</v>
      </c>
      <c r="B485" s="59">
        <v>2019</v>
      </c>
      <c r="C485" s="344" t="s">
        <v>97</v>
      </c>
      <c r="D485" s="59">
        <v>394</v>
      </c>
      <c r="E485" s="344" t="s">
        <v>126</v>
      </c>
      <c r="F485" s="29">
        <v>1</v>
      </c>
      <c r="G485" s="9">
        <v>1</v>
      </c>
      <c r="H485" s="9">
        <v>1</v>
      </c>
      <c r="I485" s="9">
        <v>2</v>
      </c>
      <c r="J485" s="9">
        <v>2</v>
      </c>
      <c r="K485" s="160">
        <f t="shared" si="7"/>
        <v>0.35859414261160716</v>
      </c>
      <c r="L485" s="52" t="s">
        <v>111</v>
      </c>
    </row>
    <row r="486" spans="1:12">
      <c r="A486" s="152" t="s">
        <v>114</v>
      </c>
      <c r="B486" s="59">
        <v>2019</v>
      </c>
      <c r="C486" s="344" t="s">
        <v>95</v>
      </c>
      <c r="D486" s="59">
        <v>280</v>
      </c>
      <c r="E486" s="344" t="s">
        <v>126</v>
      </c>
      <c r="F486" s="29">
        <v>1</v>
      </c>
      <c r="G486" s="9">
        <v>1</v>
      </c>
      <c r="H486" s="9">
        <v>1</v>
      </c>
      <c r="I486" s="9">
        <v>2</v>
      </c>
      <c r="J486" s="9">
        <v>2</v>
      </c>
      <c r="K486" s="160">
        <f t="shared" si="7"/>
        <v>0.35859414261160716</v>
      </c>
      <c r="L486" s="52" t="s">
        <v>111</v>
      </c>
    </row>
    <row r="487" spans="1:12">
      <c r="A487" s="152" t="s">
        <v>114</v>
      </c>
      <c r="B487" s="59">
        <v>2019</v>
      </c>
      <c r="C487" s="344" t="s">
        <v>93</v>
      </c>
      <c r="D487" s="59">
        <v>68</v>
      </c>
      <c r="E487" s="344" t="s">
        <v>126</v>
      </c>
      <c r="F487" s="29">
        <v>1</v>
      </c>
      <c r="G487" s="9">
        <v>1</v>
      </c>
      <c r="H487" s="9">
        <v>1</v>
      </c>
      <c r="I487" s="9">
        <v>2</v>
      </c>
      <c r="J487" s="9">
        <v>2</v>
      </c>
      <c r="K487" s="160">
        <f t="shared" si="7"/>
        <v>0.35859414261160716</v>
      </c>
      <c r="L487" s="52" t="s">
        <v>111</v>
      </c>
    </row>
    <row r="488" spans="1:12">
      <c r="A488" s="152" t="s">
        <v>114</v>
      </c>
      <c r="B488" s="59">
        <v>2019</v>
      </c>
      <c r="C488" s="344" t="s">
        <v>98</v>
      </c>
      <c r="D488" s="59">
        <v>2300</v>
      </c>
      <c r="E488" s="344" t="s">
        <v>126</v>
      </c>
      <c r="F488" s="29">
        <v>1</v>
      </c>
      <c r="G488" s="9">
        <v>1</v>
      </c>
      <c r="H488" s="9">
        <v>1</v>
      </c>
      <c r="I488" s="9">
        <v>2</v>
      </c>
      <c r="J488" s="9">
        <v>2</v>
      </c>
      <c r="K488" s="160">
        <f t="shared" si="7"/>
        <v>0.35859414261160716</v>
      </c>
      <c r="L488" s="52" t="s">
        <v>111</v>
      </c>
    </row>
    <row r="489" spans="1:12">
      <c r="A489" s="152" t="s">
        <v>114</v>
      </c>
      <c r="B489" s="59">
        <v>2020</v>
      </c>
      <c r="C489" s="344" t="s">
        <v>85</v>
      </c>
      <c r="D489" s="59">
        <v>2799</v>
      </c>
      <c r="E489" s="344" t="s">
        <v>126</v>
      </c>
      <c r="F489" s="29">
        <v>1</v>
      </c>
      <c r="G489" s="9">
        <v>1</v>
      </c>
      <c r="H489" s="9">
        <v>1</v>
      </c>
      <c r="I489" s="9">
        <v>2</v>
      </c>
      <c r="J489" s="9">
        <v>2</v>
      </c>
      <c r="K489" s="160">
        <f t="shared" si="7"/>
        <v>0.35859414261160716</v>
      </c>
      <c r="L489" s="52" t="s">
        <v>111</v>
      </c>
    </row>
    <row r="490" spans="1:12">
      <c r="A490" s="152" t="s">
        <v>114</v>
      </c>
      <c r="B490" s="59">
        <v>2020</v>
      </c>
      <c r="C490" s="344" t="s">
        <v>86</v>
      </c>
      <c r="D490" s="59">
        <v>971</v>
      </c>
      <c r="E490" s="344" t="s">
        <v>126</v>
      </c>
      <c r="F490" s="29">
        <v>1</v>
      </c>
      <c r="G490" s="9">
        <v>1</v>
      </c>
      <c r="H490" s="9">
        <v>1</v>
      </c>
      <c r="I490" s="9">
        <v>2</v>
      </c>
      <c r="J490" s="9">
        <v>2</v>
      </c>
      <c r="K490" s="160">
        <f t="shared" si="7"/>
        <v>0.35859414261160716</v>
      </c>
      <c r="L490" s="52" t="s">
        <v>111</v>
      </c>
    </row>
    <row r="491" spans="1:12">
      <c r="A491" s="152" t="s">
        <v>114</v>
      </c>
      <c r="B491" s="59">
        <v>2020</v>
      </c>
      <c r="C491" s="344" t="s">
        <v>87</v>
      </c>
      <c r="D491" s="59">
        <v>490</v>
      </c>
      <c r="E491" s="344" t="s">
        <v>126</v>
      </c>
      <c r="F491" s="29">
        <v>1</v>
      </c>
      <c r="G491" s="9">
        <v>1</v>
      </c>
      <c r="H491" s="9">
        <v>1</v>
      </c>
      <c r="I491" s="9">
        <v>2</v>
      </c>
      <c r="J491" s="9">
        <v>2</v>
      </c>
      <c r="K491" s="160">
        <f t="shared" si="7"/>
        <v>0.35859414261160716</v>
      </c>
      <c r="L491" s="52" t="s">
        <v>111</v>
      </c>
    </row>
    <row r="492" spans="1:12">
      <c r="A492" s="152" t="s">
        <v>114</v>
      </c>
      <c r="B492" s="59">
        <v>2020</v>
      </c>
      <c r="C492" s="344" t="s">
        <v>88</v>
      </c>
      <c r="D492" s="59">
        <v>149</v>
      </c>
      <c r="E492" s="344" t="s">
        <v>126</v>
      </c>
      <c r="F492" s="29">
        <v>1</v>
      </c>
      <c r="G492" s="9">
        <v>1</v>
      </c>
      <c r="H492" s="9">
        <v>1</v>
      </c>
      <c r="I492" s="9">
        <v>2</v>
      </c>
      <c r="J492" s="9">
        <v>2</v>
      </c>
      <c r="K492" s="160">
        <f t="shared" si="7"/>
        <v>0.35859414261160716</v>
      </c>
      <c r="L492" s="52" t="s">
        <v>111</v>
      </c>
    </row>
    <row r="493" spans="1:12">
      <c r="A493" s="152" t="s">
        <v>114</v>
      </c>
      <c r="B493" s="59">
        <v>2020</v>
      </c>
      <c r="C493" s="344" t="s">
        <v>89</v>
      </c>
      <c r="D493" s="59">
        <v>62</v>
      </c>
      <c r="E493" s="344" t="s">
        <v>126</v>
      </c>
      <c r="F493" s="29">
        <v>1</v>
      </c>
      <c r="G493" s="9">
        <v>1</v>
      </c>
      <c r="H493" s="9">
        <v>1</v>
      </c>
      <c r="I493" s="9">
        <v>2</v>
      </c>
      <c r="J493" s="9">
        <v>2</v>
      </c>
      <c r="K493" s="160">
        <f t="shared" si="7"/>
        <v>0.35859414261160716</v>
      </c>
      <c r="L493" s="52" t="s">
        <v>111</v>
      </c>
    </row>
    <row r="494" spans="1:12">
      <c r="A494" s="152" t="s">
        <v>114</v>
      </c>
      <c r="B494" s="59">
        <v>2020</v>
      </c>
      <c r="C494" s="344" t="s">
        <v>90</v>
      </c>
      <c r="D494" s="59">
        <v>378</v>
      </c>
      <c r="E494" s="344" t="s">
        <v>126</v>
      </c>
      <c r="F494" s="29">
        <v>1</v>
      </c>
      <c r="G494" s="9">
        <v>1</v>
      </c>
      <c r="H494" s="9">
        <v>1</v>
      </c>
      <c r="I494" s="9">
        <v>2</v>
      </c>
      <c r="J494" s="9">
        <v>2</v>
      </c>
      <c r="K494" s="160">
        <f t="shared" si="7"/>
        <v>0.35859414261160716</v>
      </c>
      <c r="L494" s="52" t="s">
        <v>111</v>
      </c>
    </row>
    <row r="495" spans="1:12">
      <c r="A495" s="152" t="s">
        <v>114</v>
      </c>
      <c r="B495" s="59">
        <v>2020</v>
      </c>
      <c r="C495" s="344" t="s">
        <v>91</v>
      </c>
      <c r="D495" s="59">
        <v>853</v>
      </c>
      <c r="E495" s="344" t="s">
        <v>126</v>
      </c>
      <c r="F495" s="29">
        <v>1</v>
      </c>
      <c r="G495" s="9">
        <v>1</v>
      </c>
      <c r="H495" s="9">
        <v>1</v>
      </c>
      <c r="I495" s="9">
        <v>2</v>
      </c>
      <c r="J495" s="9">
        <v>2</v>
      </c>
      <c r="K495" s="160">
        <f t="shared" si="7"/>
        <v>0.35859414261160716</v>
      </c>
      <c r="L495" s="52" t="s">
        <v>111</v>
      </c>
    </row>
    <row r="496" spans="1:12">
      <c r="A496" s="152" t="s">
        <v>114</v>
      </c>
      <c r="B496" s="59">
        <v>2020</v>
      </c>
      <c r="C496" s="344" t="s">
        <v>94</v>
      </c>
      <c r="D496" s="59">
        <v>172</v>
      </c>
      <c r="E496" s="344" t="s">
        <v>126</v>
      </c>
      <c r="F496" s="29">
        <v>1</v>
      </c>
      <c r="G496" s="9">
        <v>1</v>
      </c>
      <c r="H496" s="9">
        <v>1</v>
      </c>
      <c r="I496" s="9">
        <v>2</v>
      </c>
      <c r="J496" s="9">
        <v>2</v>
      </c>
      <c r="K496" s="160">
        <f t="shared" si="7"/>
        <v>0.35859414261160716</v>
      </c>
      <c r="L496" s="52" t="s">
        <v>111</v>
      </c>
    </row>
    <row r="497" spans="1:12">
      <c r="A497" s="152" t="s">
        <v>114</v>
      </c>
      <c r="B497" s="59">
        <v>2020</v>
      </c>
      <c r="C497" s="344" t="s">
        <v>96</v>
      </c>
      <c r="D497" s="59">
        <v>88</v>
      </c>
      <c r="E497" s="344" t="s">
        <v>126</v>
      </c>
      <c r="F497" s="29">
        <v>1</v>
      </c>
      <c r="G497" s="9">
        <v>1</v>
      </c>
      <c r="H497" s="9">
        <v>1</v>
      </c>
      <c r="I497" s="9">
        <v>2</v>
      </c>
      <c r="J497" s="9">
        <v>2</v>
      </c>
      <c r="K497" s="160">
        <f t="shared" si="7"/>
        <v>0.35859414261160716</v>
      </c>
      <c r="L497" s="52" t="s">
        <v>111</v>
      </c>
    </row>
    <row r="498" spans="1:12">
      <c r="A498" s="152" t="s">
        <v>114</v>
      </c>
      <c r="B498" s="59">
        <v>2020</v>
      </c>
      <c r="C498" s="344" t="s">
        <v>97</v>
      </c>
      <c r="D498" s="59">
        <v>418</v>
      </c>
      <c r="E498" s="344" t="s">
        <v>126</v>
      </c>
      <c r="F498" s="29">
        <v>1</v>
      </c>
      <c r="G498" s="9">
        <v>1</v>
      </c>
      <c r="H498" s="9">
        <v>1</v>
      </c>
      <c r="I498" s="9">
        <v>2</v>
      </c>
      <c r="J498" s="9">
        <v>2</v>
      </c>
      <c r="K498" s="160">
        <f t="shared" si="7"/>
        <v>0.35859414261160716</v>
      </c>
      <c r="L498" s="52" t="s">
        <v>111</v>
      </c>
    </row>
    <row r="499" spans="1:12">
      <c r="A499" s="152" t="s">
        <v>114</v>
      </c>
      <c r="B499" s="59">
        <v>2020</v>
      </c>
      <c r="C499" s="344" t="s">
        <v>95</v>
      </c>
      <c r="D499" s="59">
        <v>292</v>
      </c>
      <c r="E499" s="344" t="s">
        <v>126</v>
      </c>
      <c r="F499" s="29">
        <v>1</v>
      </c>
      <c r="G499" s="9">
        <v>1</v>
      </c>
      <c r="H499" s="9">
        <v>1</v>
      </c>
      <c r="I499" s="9">
        <v>2</v>
      </c>
      <c r="J499" s="9">
        <v>2</v>
      </c>
      <c r="K499" s="160">
        <f t="shared" si="7"/>
        <v>0.35859414261160716</v>
      </c>
      <c r="L499" s="52" t="s">
        <v>111</v>
      </c>
    </row>
    <row r="500" spans="1:12">
      <c r="A500" s="152" t="s">
        <v>114</v>
      </c>
      <c r="B500" s="59">
        <v>2020</v>
      </c>
      <c r="C500" s="344" t="s">
        <v>93</v>
      </c>
      <c r="D500" s="59">
        <v>66</v>
      </c>
      <c r="E500" s="344" t="s">
        <v>126</v>
      </c>
      <c r="F500" s="29">
        <v>1</v>
      </c>
      <c r="G500" s="9">
        <v>1</v>
      </c>
      <c r="H500" s="9">
        <v>1</v>
      </c>
      <c r="I500" s="9">
        <v>2</v>
      </c>
      <c r="J500" s="9">
        <v>2</v>
      </c>
      <c r="K500" s="160">
        <f t="shared" si="7"/>
        <v>0.35859414261160716</v>
      </c>
      <c r="L500" s="52" t="s">
        <v>111</v>
      </c>
    </row>
    <row r="501" spans="1:12">
      <c r="A501" s="152" t="s">
        <v>114</v>
      </c>
      <c r="B501" s="59">
        <v>2020</v>
      </c>
      <c r="C501" s="344" t="s">
        <v>98</v>
      </c>
      <c r="D501" s="59">
        <v>1580</v>
      </c>
      <c r="E501" s="344" t="s">
        <v>126</v>
      </c>
      <c r="F501" s="29">
        <v>1</v>
      </c>
      <c r="G501" s="9">
        <v>1</v>
      </c>
      <c r="H501" s="9">
        <v>1</v>
      </c>
      <c r="I501" s="9">
        <v>2</v>
      </c>
      <c r="J501" s="9">
        <v>2</v>
      </c>
      <c r="K501" s="160">
        <f t="shared" si="7"/>
        <v>0.35859414261160716</v>
      </c>
      <c r="L501" s="52" t="s">
        <v>111</v>
      </c>
    </row>
    <row r="502" spans="1:12">
      <c r="A502" s="152" t="s">
        <v>114</v>
      </c>
      <c r="B502" s="59">
        <v>2021</v>
      </c>
      <c r="C502" s="344" t="s">
        <v>85</v>
      </c>
      <c r="D502" s="59">
        <v>2883</v>
      </c>
      <c r="E502" s="344" t="s">
        <v>126</v>
      </c>
      <c r="F502" s="29">
        <v>1</v>
      </c>
      <c r="G502" s="9">
        <v>1</v>
      </c>
      <c r="H502" s="9">
        <v>1</v>
      </c>
      <c r="I502" s="9">
        <v>2</v>
      </c>
      <c r="J502" s="9">
        <v>2</v>
      </c>
      <c r="K502" s="160">
        <f t="shared" si="7"/>
        <v>0.35859414261160716</v>
      </c>
      <c r="L502" s="52" t="s">
        <v>111</v>
      </c>
    </row>
    <row r="503" spans="1:12">
      <c r="A503" s="152" t="s">
        <v>114</v>
      </c>
      <c r="B503" s="59">
        <v>2021</v>
      </c>
      <c r="C503" s="344" t="s">
        <v>86</v>
      </c>
      <c r="D503" s="59">
        <v>1213</v>
      </c>
      <c r="E503" s="344" t="s">
        <v>126</v>
      </c>
      <c r="F503" s="29">
        <v>1</v>
      </c>
      <c r="G503" s="9">
        <v>1</v>
      </c>
      <c r="H503" s="9">
        <v>1</v>
      </c>
      <c r="I503" s="9">
        <v>2</v>
      </c>
      <c r="J503" s="9">
        <v>2</v>
      </c>
      <c r="K503" s="160">
        <f t="shared" si="7"/>
        <v>0.35859414261160716</v>
      </c>
      <c r="L503" s="52" t="s">
        <v>111</v>
      </c>
    </row>
    <row r="504" spans="1:12">
      <c r="A504" s="152" t="s">
        <v>114</v>
      </c>
      <c r="B504" s="59">
        <v>2021</v>
      </c>
      <c r="C504" s="344" t="s">
        <v>87</v>
      </c>
      <c r="D504" s="59">
        <v>617</v>
      </c>
      <c r="E504" s="344" t="s">
        <v>126</v>
      </c>
      <c r="F504" s="29">
        <v>1</v>
      </c>
      <c r="G504" s="9">
        <v>1</v>
      </c>
      <c r="H504" s="9">
        <v>1</v>
      </c>
      <c r="I504" s="9">
        <v>2</v>
      </c>
      <c r="J504" s="9">
        <v>2</v>
      </c>
      <c r="K504" s="160">
        <f t="shared" si="7"/>
        <v>0.35859414261160716</v>
      </c>
      <c r="L504" s="52" t="s">
        <v>111</v>
      </c>
    </row>
    <row r="505" spans="1:12">
      <c r="A505" s="152" t="s">
        <v>114</v>
      </c>
      <c r="B505" s="59">
        <v>2021</v>
      </c>
      <c r="C505" s="344" t="s">
        <v>88</v>
      </c>
      <c r="D505" s="59">
        <v>117</v>
      </c>
      <c r="E505" s="344" t="s">
        <v>126</v>
      </c>
      <c r="F505" s="29">
        <v>1</v>
      </c>
      <c r="G505" s="9">
        <v>1</v>
      </c>
      <c r="H505" s="9">
        <v>1</v>
      </c>
      <c r="I505" s="9">
        <v>2</v>
      </c>
      <c r="J505" s="9">
        <v>2</v>
      </c>
      <c r="K505" s="160">
        <f t="shared" ref="K505:K568" si="8">IF( OR( ISBLANK(F505),ISBLANK(G505), ISBLANK(H505), ISBLANK(I505), ISBLANK(J505) ), "", 1.5*SQRT(   EXP(2.21*(F505-1)) + EXP(2.21*(G505-1)) + EXP(2.21*(H505-1)) + EXP(2.21*(I505-1)) + EXP(2.21*J505)   )/100*2.45 )</f>
        <v>0.35859414261160716</v>
      </c>
      <c r="L505" s="52" t="s">
        <v>111</v>
      </c>
    </row>
    <row r="506" spans="1:12">
      <c r="A506" s="152" t="s">
        <v>114</v>
      </c>
      <c r="B506" s="59">
        <v>2021</v>
      </c>
      <c r="C506" s="344" t="s">
        <v>89</v>
      </c>
      <c r="D506" s="59">
        <v>180</v>
      </c>
      <c r="E506" s="344" t="s">
        <v>126</v>
      </c>
      <c r="F506" s="29">
        <v>1</v>
      </c>
      <c r="G506" s="9">
        <v>1</v>
      </c>
      <c r="H506" s="9">
        <v>1</v>
      </c>
      <c r="I506" s="9">
        <v>2</v>
      </c>
      <c r="J506" s="9">
        <v>2</v>
      </c>
      <c r="K506" s="160">
        <f t="shared" si="8"/>
        <v>0.35859414261160716</v>
      </c>
      <c r="L506" s="52" t="s">
        <v>111</v>
      </c>
    </row>
    <row r="507" spans="1:12">
      <c r="A507" s="152" t="s">
        <v>114</v>
      </c>
      <c r="B507" s="59">
        <v>2021</v>
      </c>
      <c r="C507" s="344" t="s">
        <v>90</v>
      </c>
      <c r="D507" s="59">
        <v>508</v>
      </c>
      <c r="E507" s="344" t="s">
        <v>126</v>
      </c>
      <c r="F507" s="29">
        <v>1</v>
      </c>
      <c r="G507" s="9">
        <v>1</v>
      </c>
      <c r="H507" s="9">
        <v>1</v>
      </c>
      <c r="I507" s="9">
        <v>2</v>
      </c>
      <c r="J507" s="9">
        <v>2</v>
      </c>
      <c r="K507" s="160">
        <f t="shared" si="8"/>
        <v>0.35859414261160716</v>
      </c>
      <c r="L507" s="52" t="s">
        <v>111</v>
      </c>
    </row>
    <row r="508" spans="1:12">
      <c r="A508" s="152" t="s">
        <v>114</v>
      </c>
      <c r="B508" s="59">
        <v>2021</v>
      </c>
      <c r="C508" s="344" t="s">
        <v>91</v>
      </c>
      <c r="D508" s="59">
        <v>824</v>
      </c>
      <c r="E508" s="344" t="s">
        <v>126</v>
      </c>
      <c r="F508" s="29">
        <v>1</v>
      </c>
      <c r="G508" s="9">
        <v>1</v>
      </c>
      <c r="H508" s="9">
        <v>1</v>
      </c>
      <c r="I508" s="9">
        <v>2</v>
      </c>
      <c r="J508" s="9">
        <v>2</v>
      </c>
      <c r="K508" s="160">
        <f t="shared" si="8"/>
        <v>0.35859414261160716</v>
      </c>
      <c r="L508" s="52" t="s">
        <v>111</v>
      </c>
    </row>
    <row r="509" spans="1:12">
      <c r="A509" s="152" t="s">
        <v>114</v>
      </c>
      <c r="B509" s="59">
        <v>2021</v>
      </c>
      <c r="C509" s="344" t="s">
        <v>94</v>
      </c>
      <c r="D509" s="59">
        <v>228</v>
      </c>
      <c r="E509" s="344" t="s">
        <v>126</v>
      </c>
      <c r="F509" s="29">
        <v>1</v>
      </c>
      <c r="G509" s="9">
        <v>1</v>
      </c>
      <c r="H509" s="9">
        <v>1</v>
      </c>
      <c r="I509" s="9">
        <v>2</v>
      </c>
      <c r="J509" s="9">
        <v>2</v>
      </c>
      <c r="K509" s="160">
        <f t="shared" si="8"/>
        <v>0.35859414261160716</v>
      </c>
      <c r="L509" s="52" t="s">
        <v>111</v>
      </c>
    </row>
    <row r="510" spans="1:12">
      <c r="A510" s="152" t="s">
        <v>114</v>
      </c>
      <c r="B510" s="59">
        <v>2021</v>
      </c>
      <c r="C510" s="344" t="s">
        <v>96</v>
      </c>
      <c r="D510" s="59">
        <v>103</v>
      </c>
      <c r="E510" s="344" t="s">
        <v>126</v>
      </c>
      <c r="F510" s="29">
        <v>1</v>
      </c>
      <c r="G510" s="9">
        <v>1</v>
      </c>
      <c r="H510" s="9">
        <v>1</v>
      </c>
      <c r="I510" s="9">
        <v>2</v>
      </c>
      <c r="J510" s="9">
        <v>2</v>
      </c>
      <c r="K510" s="160">
        <f t="shared" si="8"/>
        <v>0.35859414261160716</v>
      </c>
      <c r="L510" s="52" t="s">
        <v>111</v>
      </c>
    </row>
    <row r="511" spans="1:12">
      <c r="A511" s="152" t="s">
        <v>114</v>
      </c>
      <c r="B511" s="59">
        <v>2021</v>
      </c>
      <c r="C511" s="344" t="s">
        <v>97</v>
      </c>
      <c r="D511" s="59">
        <v>408</v>
      </c>
      <c r="E511" s="344" t="s">
        <v>126</v>
      </c>
      <c r="F511" s="29">
        <v>1</v>
      </c>
      <c r="G511" s="9">
        <v>1</v>
      </c>
      <c r="H511" s="9">
        <v>1</v>
      </c>
      <c r="I511" s="9">
        <v>2</v>
      </c>
      <c r="J511" s="9">
        <v>2</v>
      </c>
      <c r="K511" s="160">
        <f t="shared" si="8"/>
        <v>0.35859414261160716</v>
      </c>
      <c r="L511" s="52" t="s">
        <v>111</v>
      </c>
    </row>
    <row r="512" spans="1:12">
      <c r="A512" s="152" t="s">
        <v>114</v>
      </c>
      <c r="B512" s="59">
        <v>2021</v>
      </c>
      <c r="C512" s="344" t="s">
        <v>95</v>
      </c>
      <c r="D512" s="59">
        <v>317</v>
      </c>
      <c r="E512" s="344" t="s">
        <v>126</v>
      </c>
      <c r="F512" s="29">
        <v>1</v>
      </c>
      <c r="G512" s="9">
        <v>1</v>
      </c>
      <c r="H512" s="9">
        <v>1</v>
      </c>
      <c r="I512" s="9">
        <v>2</v>
      </c>
      <c r="J512" s="9">
        <v>2</v>
      </c>
      <c r="K512" s="160">
        <f t="shared" si="8"/>
        <v>0.35859414261160716</v>
      </c>
      <c r="L512" s="52" t="s">
        <v>111</v>
      </c>
    </row>
    <row r="513" spans="1:12">
      <c r="A513" s="152" t="s">
        <v>114</v>
      </c>
      <c r="B513" s="59">
        <v>2021</v>
      </c>
      <c r="C513" s="344" t="s">
        <v>93</v>
      </c>
      <c r="D513" s="59">
        <v>72</v>
      </c>
      <c r="E513" s="344" t="s">
        <v>126</v>
      </c>
      <c r="F513" s="29">
        <v>1</v>
      </c>
      <c r="G513" s="9">
        <v>1</v>
      </c>
      <c r="H513" s="9">
        <v>1</v>
      </c>
      <c r="I513" s="9">
        <v>2</v>
      </c>
      <c r="J513" s="9">
        <v>2</v>
      </c>
      <c r="K513" s="160">
        <f t="shared" si="8"/>
        <v>0.35859414261160716</v>
      </c>
      <c r="L513" s="52" t="s">
        <v>111</v>
      </c>
    </row>
    <row r="514" spans="1:12" ht="15.75" thickBot="1">
      <c r="A514" s="230" t="s">
        <v>114</v>
      </c>
      <c r="B514" s="821">
        <v>2021</v>
      </c>
      <c r="C514" s="659" t="s">
        <v>98</v>
      </c>
      <c r="D514" s="821">
        <v>1687</v>
      </c>
      <c r="E514" s="659" t="s">
        <v>126</v>
      </c>
      <c r="F514" s="155">
        <v>1</v>
      </c>
      <c r="G514" s="119">
        <v>1</v>
      </c>
      <c r="H514" s="119">
        <v>1</v>
      </c>
      <c r="I514" s="119">
        <v>2</v>
      </c>
      <c r="J514" s="119">
        <v>2</v>
      </c>
      <c r="K514" s="832">
        <f t="shared" si="8"/>
        <v>0.35859414261160716</v>
      </c>
      <c r="L514" s="61" t="s">
        <v>111</v>
      </c>
    </row>
    <row r="515" spans="1:12">
      <c r="A515" s="151" t="s">
        <v>37</v>
      </c>
      <c r="B515" s="234">
        <v>2020</v>
      </c>
      <c r="C515" s="39" t="s">
        <v>88</v>
      </c>
      <c r="D515" s="54">
        <f>Intentionally_produced_MPs!G57</f>
        <v>0</v>
      </c>
      <c r="E515" s="39" t="s">
        <v>116</v>
      </c>
      <c r="F515" s="28">
        <v>1</v>
      </c>
      <c r="G515" s="11">
        <v>1</v>
      </c>
      <c r="H515" s="11">
        <v>3</v>
      </c>
      <c r="I515" s="11">
        <v>1</v>
      </c>
      <c r="J515" s="11">
        <v>1</v>
      </c>
      <c r="K515" s="159">
        <f t="shared" si="8"/>
        <v>0.35859414261160716</v>
      </c>
      <c r="L515" s="51"/>
    </row>
    <row r="516" spans="1:12">
      <c r="A516" s="152" t="s">
        <v>37</v>
      </c>
      <c r="B516" s="235">
        <v>2020</v>
      </c>
      <c r="C516" s="40" t="s">
        <v>89</v>
      </c>
      <c r="D516" s="55">
        <f>Intentionally_produced_MPs!H57</f>
        <v>0</v>
      </c>
      <c r="E516" s="40" t="s">
        <v>116</v>
      </c>
      <c r="F516" s="29">
        <v>1</v>
      </c>
      <c r="G516" s="9">
        <v>1</v>
      </c>
      <c r="H516" s="9">
        <v>3</v>
      </c>
      <c r="I516" s="9">
        <v>1</v>
      </c>
      <c r="J516" s="9">
        <v>1</v>
      </c>
      <c r="K516" s="160">
        <f t="shared" si="8"/>
        <v>0.35859414261160716</v>
      </c>
      <c r="L516" s="52"/>
    </row>
    <row r="517" spans="1:12">
      <c r="A517" s="152" t="s">
        <v>37</v>
      </c>
      <c r="B517" s="235">
        <v>2020</v>
      </c>
      <c r="C517" s="40" t="s">
        <v>94</v>
      </c>
      <c r="D517" s="55">
        <f>Intentionally_produced_MPs!M57</f>
        <v>0</v>
      </c>
      <c r="E517" s="40" t="s">
        <v>116</v>
      </c>
      <c r="F517" s="29">
        <v>1</v>
      </c>
      <c r="G517" s="9">
        <v>1</v>
      </c>
      <c r="H517" s="9">
        <v>3</v>
      </c>
      <c r="I517" s="9">
        <v>1</v>
      </c>
      <c r="J517" s="9">
        <v>1</v>
      </c>
      <c r="K517" s="160">
        <f t="shared" si="8"/>
        <v>0.35859414261160716</v>
      </c>
      <c r="L517" s="52"/>
    </row>
    <row r="518" spans="1:12">
      <c r="A518" s="152" t="s">
        <v>37</v>
      </c>
      <c r="B518" s="235">
        <v>2020</v>
      </c>
      <c r="C518" s="40" t="s">
        <v>96</v>
      </c>
      <c r="D518" s="55">
        <f>Intentionally_produced_MPs!O57</f>
        <v>0</v>
      </c>
      <c r="E518" s="40" t="s">
        <v>116</v>
      </c>
      <c r="F518" s="29">
        <v>1</v>
      </c>
      <c r="G518" s="9">
        <v>1</v>
      </c>
      <c r="H518" s="9">
        <v>3</v>
      </c>
      <c r="I518" s="9">
        <v>1</v>
      </c>
      <c r="J518" s="9">
        <v>1</v>
      </c>
      <c r="K518" s="160">
        <f t="shared" si="8"/>
        <v>0.35859414261160716</v>
      </c>
      <c r="L518" s="52"/>
    </row>
    <row r="519" spans="1:12">
      <c r="A519" s="152" t="s">
        <v>37</v>
      </c>
      <c r="B519" s="235">
        <v>2020</v>
      </c>
      <c r="C519" s="40" t="s">
        <v>91</v>
      </c>
      <c r="D519" s="55">
        <f>Intentionally_produced_MPs!J57</f>
        <v>0.60256976333451073</v>
      </c>
      <c r="E519" s="40" t="s">
        <v>116</v>
      </c>
      <c r="F519" s="29">
        <v>1</v>
      </c>
      <c r="G519" s="9">
        <v>1</v>
      </c>
      <c r="H519" s="9">
        <v>3</v>
      </c>
      <c r="I519" s="9">
        <v>1</v>
      </c>
      <c r="J519" s="9">
        <v>1</v>
      </c>
      <c r="K519" s="160">
        <f t="shared" si="8"/>
        <v>0.35859414261160716</v>
      </c>
      <c r="L519" s="52"/>
    </row>
    <row r="520" spans="1:12">
      <c r="A520" s="152" t="s">
        <v>37</v>
      </c>
      <c r="B520" s="235">
        <v>2020</v>
      </c>
      <c r="C520" s="40" t="s">
        <v>87</v>
      </c>
      <c r="D520" s="55">
        <f>Intentionally_produced_MPs!F57</f>
        <v>1</v>
      </c>
      <c r="E520" s="40" t="s">
        <v>116</v>
      </c>
      <c r="F520" s="29">
        <v>1</v>
      </c>
      <c r="G520" s="9">
        <v>1</v>
      </c>
      <c r="H520" s="9">
        <v>3</v>
      </c>
      <c r="I520" s="9">
        <v>1</v>
      </c>
      <c r="J520" s="9">
        <v>1</v>
      </c>
      <c r="K520" s="160">
        <f t="shared" si="8"/>
        <v>0.35859414261160716</v>
      </c>
      <c r="L520" s="52"/>
    </row>
    <row r="521" spans="1:12">
      <c r="A521" s="152" t="s">
        <v>37</v>
      </c>
      <c r="B521" s="235">
        <v>2020</v>
      </c>
      <c r="C521" s="40" t="s">
        <v>85</v>
      </c>
      <c r="D521" s="55">
        <f>Intentionally_produced_MPs!D57</f>
        <v>1.125</v>
      </c>
      <c r="E521" s="40" t="s">
        <v>116</v>
      </c>
      <c r="F521" s="29">
        <v>1</v>
      </c>
      <c r="G521" s="9">
        <v>1</v>
      </c>
      <c r="H521" s="9">
        <v>3</v>
      </c>
      <c r="I521" s="9">
        <v>1</v>
      </c>
      <c r="J521" s="9">
        <v>1</v>
      </c>
      <c r="K521" s="160">
        <f t="shared" si="8"/>
        <v>0.35859414261160716</v>
      </c>
      <c r="L521" s="52"/>
    </row>
    <row r="522" spans="1:12">
      <c r="A522" s="152" t="s">
        <v>37</v>
      </c>
      <c r="B522" s="235">
        <v>2020</v>
      </c>
      <c r="C522" s="40" t="s">
        <v>90</v>
      </c>
      <c r="D522" s="55">
        <f>Intentionally_produced_MPs!I57</f>
        <v>1.125</v>
      </c>
      <c r="E522" s="40" t="s">
        <v>116</v>
      </c>
      <c r="F522" s="29">
        <v>1</v>
      </c>
      <c r="G522" s="9">
        <v>1</v>
      </c>
      <c r="H522" s="9">
        <v>3</v>
      </c>
      <c r="I522" s="9">
        <v>1</v>
      </c>
      <c r="J522" s="9">
        <v>1</v>
      </c>
      <c r="K522" s="160">
        <f t="shared" si="8"/>
        <v>0.35859414261160716</v>
      </c>
      <c r="L522" s="52"/>
    </row>
    <row r="523" spans="1:12">
      <c r="A523" s="152" t="s">
        <v>37</v>
      </c>
      <c r="B523" s="235">
        <v>2020</v>
      </c>
      <c r="C523" s="40" t="s">
        <v>97</v>
      </c>
      <c r="D523" s="55">
        <f>Intentionally_produced_MPs!P57</f>
        <v>1.6025697633345108</v>
      </c>
      <c r="E523" s="40" t="s">
        <v>116</v>
      </c>
      <c r="F523" s="29">
        <v>1</v>
      </c>
      <c r="G523" s="9">
        <v>1</v>
      </c>
      <c r="H523" s="9">
        <v>3</v>
      </c>
      <c r="I523" s="9">
        <v>1</v>
      </c>
      <c r="J523" s="9">
        <v>1</v>
      </c>
      <c r="K523" s="160">
        <f t="shared" si="8"/>
        <v>0.35859414261160716</v>
      </c>
      <c r="L523" s="52"/>
    </row>
    <row r="524" spans="1:12">
      <c r="A524" s="152" t="s">
        <v>37</v>
      </c>
      <c r="B524" s="235">
        <v>2020</v>
      </c>
      <c r="C524" s="40" t="s">
        <v>95</v>
      </c>
      <c r="D524" s="55">
        <f>Intentionally_produced_MPs!N57</f>
        <v>1.6163390373067874</v>
      </c>
      <c r="E524" s="40" t="s">
        <v>116</v>
      </c>
      <c r="F524" s="29">
        <v>1</v>
      </c>
      <c r="G524" s="9">
        <v>1</v>
      </c>
      <c r="H524" s="9">
        <v>3</v>
      </c>
      <c r="I524" s="9">
        <v>1</v>
      </c>
      <c r="J524" s="9">
        <v>1</v>
      </c>
      <c r="K524" s="160">
        <f t="shared" si="8"/>
        <v>0.35859414261160716</v>
      </c>
      <c r="L524" s="52"/>
    </row>
    <row r="525" spans="1:12">
      <c r="A525" s="152" t="s">
        <v>37</v>
      </c>
      <c r="B525" s="235">
        <v>2020</v>
      </c>
      <c r="C525" s="40" t="s">
        <v>86</v>
      </c>
      <c r="D525" s="55">
        <f>Intentionally_produced_MPs!E57</f>
        <v>8.4170262584018349</v>
      </c>
      <c r="E525" s="40" t="s">
        <v>116</v>
      </c>
      <c r="F525" s="29">
        <v>1</v>
      </c>
      <c r="G525" s="9">
        <v>1</v>
      </c>
      <c r="H525" s="9">
        <v>3</v>
      </c>
      <c r="I525" s="9">
        <v>1</v>
      </c>
      <c r="J525" s="9">
        <v>1</v>
      </c>
      <c r="K525" s="160">
        <f t="shared" si="8"/>
        <v>0.35859414261160716</v>
      </c>
      <c r="L525" s="52"/>
    </row>
    <row r="526" spans="1:12">
      <c r="A526" s="152" t="s">
        <v>37</v>
      </c>
      <c r="B526" s="235">
        <v>2020</v>
      </c>
      <c r="C526" s="40" t="s">
        <v>98</v>
      </c>
      <c r="D526" s="55">
        <f>Intentionally_produced_MPs!Q57</f>
        <v>9.6628389153492069</v>
      </c>
      <c r="E526" s="40" t="s">
        <v>116</v>
      </c>
      <c r="F526" s="29">
        <v>1</v>
      </c>
      <c r="G526" s="9">
        <v>1</v>
      </c>
      <c r="H526" s="9">
        <v>3</v>
      </c>
      <c r="I526" s="9">
        <v>1</v>
      </c>
      <c r="J526" s="9">
        <v>1</v>
      </c>
      <c r="K526" s="160">
        <f t="shared" si="8"/>
        <v>0.35859414261160716</v>
      </c>
      <c r="L526" s="52"/>
    </row>
    <row r="527" spans="1:12">
      <c r="A527" s="152" t="s">
        <v>37</v>
      </c>
      <c r="B527" s="235">
        <v>2020</v>
      </c>
      <c r="C527" s="40" t="s">
        <v>93</v>
      </c>
      <c r="D527" s="55">
        <f>Intentionally_produced_MPs!L57</f>
        <v>21.948661262273152</v>
      </c>
      <c r="E527" s="40" t="s">
        <v>116</v>
      </c>
      <c r="F527" s="29">
        <v>1</v>
      </c>
      <c r="G527" s="9">
        <v>1</v>
      </c>
      <c r="H527" s="9">
        <v>3</v>
      </c>
      <c r="I527" s="9">
        <v>1</v>
      </c>
      <c r="J527" s="9">
        <v>1</v>
      </c>
      <c r="K527" s="160">
        <f t="shared" si="8"/>
        <v>0.35859414261160716</v>
      </c>
      <c r="L527" s="52"/>
    </row>
    <row r="528" spans="1:12" ht="15.75" thickBot="1">
      <c r="A528" s="153" t="s">
        <v>37</v>
      </c>
      <c r="B528" s="236">
        <v>2020</v>
      </c>
      <c r="C528" s="41" t="s">
        <v>92</v>
      </c>
      <c r="D528" s="56">
        <f>Intentionally_produced_MPs!K57</f>
        <v>115.5</v>
      </c>
      <c r="E528" s="41" t="s">
        <v>116</v>
      </c>
      <c r="F528" s="30">
        <v>1</v>
      </c>
      <c r="G528" s="12">
        <v>1</v>
      </c>
      <c r="H528" s="12">
        <v>3</v>
      </c>
      <c r="I528" s="12">
        <v>1</v>
      </c>
      <c r="J528" s="12">
        <v>1</v>
      </c>
      <c r="K528" s="161">
        <f t="shared" si="8"/>
        <v>0.35859414261160716</v>
      </c>
      <c r="L528" s="53"/>
    </row>
    <row r="529" spans="1:12">
      <c r="A529" s="233" t="str">
        <f>Packaging!AF59</f>
        <v>Packaging</v>
      </c>
      <c r="B529" s="237">
        <f>Packaging!AG59</f>
        <v>2017</v>
      </c>
      <c r="C529" s="162" t="str">
        <f>Packaging!AI59</f>
        <v>EPS</v>
      </c>
      <c r="D529" s="158">
        <f>Packaging!AJ59</f>
        <v>196.16893694434862</v>
      </c>
      <c r="E529" s="162" t="s">
        <v>117</v>
      </c>
      <c r="F529" s="676">
        <v>1</v>
      </c>
      <c r="G529" s="118">
        <v>1</v>
      </c>
      <c r="H529" s="118">
        <v>2</v>
      </c>
      <c r="I529" s="118">
        <v>1</v>
      </c>
      <c r="J529" s="118">
        <v>2</v>
      </c>
      <c r="K529" s="834">
        <f t="shared" si="8"/>
        <v>0.35859414261160716</v>
      </c>
      <c r="L529" s="678"/>
    </row>
    <row r="530" spans="1:12">
      <c r="A530" s="152" t="str">
        <f>Packaging!AF51</f>
        <v>Packaging</v>
      </c>
      <c r="B530" s="235">
        <f>Packaging!AG51</f>
        <v>2018</v>
      </c>
      <c r="C530" s="40" t="str">
        <f>Packaging!AI51</f>
        <v>EPS</v>
      </c>
      <c r="D530" s="55">
        <f>Packaging!AJ51</f>
        <v>199.7502347440078</v>
      </c>
      <c r="E530" s="40" t="s">
        <v>117</v>
      </c>
      <c r="F530" s="29">
        <v>1</v>
      </c>
      <c r="G530" s="9">
        <v>1</v>
      </c>
      <c r="H530" s="9">
        <v>2</v>
      </c>
      <c r="I530" s="9">
        <v>1</v>
      </c>
      <c r="J530" s="9">
        <v>2</v>
      </c>
      <c r="K530" s="160">
        <f t="shared" si="8"/>
        <v>0.35859414261160716</v>
      </c>
      <c r="L530" s="52"/>
    </row>
    <row r="531" spans="1:12">
      <c r="A531" s="152" t="str">
        <f>Packaging!AF43</f>
        <v>Packaging</v>
      </c>
      <c r="B531" s="235">
        <f>Packaging!AG43</f>
        <v>2019</v>
      </c>
      <c r="C531" s="40" t="str">
        <f>Packaging!AI43</f>
        <v>EPS</v>
      </c>
      <c r="D531" s="55">
        <f>Packaging!AJ43</f>
        <v>205.7539301402723</v>
      </c>
      <c r="E531" s="40" t="s">
        <v>117</v>
      </c>
      <c r="F531" s="29">
        <v>1</v>
      </c>
      <c r="G531" s="9">
        <v>1</v>
      </c>
      <c r="H531" s="9">
        <v>2</v>
      </c>
      <c r="I531" s="9">
        <v>1</v>
      </c>
      <c r="J531" s="9">
        <v>2</v>
      </c>
      <c r="K531" s="160">
        <f t="shared" si="8"/>
        <v>0.35859414261160716</v>
      </c>
      <c r="L531" s="52"/>
    </row>
    <row r="532" spans="1:12">
      <c r="A532" s="152" t="str">
        <f>Packaging!AF35</f>
        <v>Packaging</v>
      </c>
      <c r="B532" s="235">
        <f>Packaging!AG35</f>
        <v>2020</v>
      </c>
      <c r="C532" s="40" t="str">
        <f>Packaging!AI35</f>
        <v>EPS</v>
      </c>
      <c r="D532" s="55">
        <f>Packaging!AJ35</f>
        <v>208.32709651874683</v>
      </c>
      <c r="E532" s="40" t="s">
        <v>117</v>
      </c>
      <c r="F532" s="29">
        <v>1</v>
      </c>
      <c r="G532" s="9">
        <v>1</v>
      </c>
      <c r="H532" s="9">
        <v>2</v>
      </c>
      <c r="I532" s="9">
        <v>1</v>
      </c>
      <c r="J532" s="9">
        <v>2</v>
      </c>
      <c r="K532" s="160">
        <f t="shared" si="8"/>
        <v>0.35859414261160716</v>
      </c>
      <c r="L532" s="63"/>
    </row>
    <row r="533" spans="1:12">
      <c r="A533" s="152" t="str">
        <f>Packaging!AF27</f>
        <v>Packaging</v>
      </c>
      <c r="B533" s="235">
        <f>Packaging!AG27</f>
        <v>2021</v>
      </c>
      <c r="C533" s="40" t="str">
        <f>Packaging!AI27</f>
        <v>EPS</v>
      </c>
      <c r="D533" s="55">
        <f>Packaging!AJ27</f>
        <v>216.38776664232742</v>
      </c>
      <c r="E533" s="40" t="s">
        <v>117</v>
      </c>
      <c r="F533" s="29">
        <v>1</v>
      </c>
      <c r="G533" s="9">
        <v>1</v>
      </c>
      <c r="H533" s="9">
        <v>2</v>
      </c>
      <c r="I533" s="9">
        <v>1</v>
      </c>
      <c r="J533" s="9">
        <v>2</v>
      </c>
      <c r="K533" s="160">
        <f t="shared" si="8"/>
        <v>0.35859414261160716</v>
      </c>
      <c r="L533" s="52"/>
    </row>
    <row r="534" spans="1:12">
      <c r="A534" s="152" t="str">
        <f>Packaging!AF60</f>
        <v>Packaging</v>
      </c>
      <c r="B534" s="235">
        <f>Packaging!AG60</f>
        <v>2017</v>
      </c>
      <c r="C534" s="40" t="str">
        <f>Packaging!AI60</f>
        <v>PVC</v>
      </c>
      <c r="D534" s="55">
        <f>Packaging!AJ60</f>
        <v>312.57448292752849</v>
      </c>
      <c r="E534" s="40" t="s">
        <v>117</v>
      </c>
      <c r="F534" s="29">
        <v>1</v>
      </c>
      <c r="G534" s="9">
        <v>1</v>
      </c>
      <c r="H534" s="9">
        <v>2</v>
      </c>
      <c r="I534" s="9">
        <v>1</v>
      </c>
      <c r="J534" s="9">
        <v>2</v>
      </c>
      <c r="K534" s="160">
        <f t="shared" si="8"/>
        <v>0.35859414261160716</v>
      </c>
      <c r="L534" s="52"/>
    </row>
    <row r="535" spans="1:12">
      <c r="A535" s="152" t="str">
        <f>Packaging!AF52</f>
        <v>Packaging</v>
      </c>
      <c r="B535" s="235">
        <f>Packaging!AG52</f>
        <v>2018</v>
      </c>
      <c r="C535" s="40" t="str">
        <f>Packaging!AI52</f>
        <v>PVC</v>
      </c>
      <c r="D535" s="55">
        <f>Packaging!AJ52</f>
        <v>318.28090273779407</v>
      </c>
      <c r="E535" s="40" t="s">
        <v>117</v>
      </c>
      <c r="F535" s="29">
        <v>1</v>
      </c>
      <c r="G535" s="9">
        <v>1</v>
      </c>
      <c r="H535" s="9">
        <v>2</v>
      </c>
      <c r="I535" s="9">
        <v>1</v>
      </c>
      <c r="J535" s="9">
        <v>2</v>
      </c>
      <c r="K535" s="160">
        <f t="shared" si="8"/>
        <v>0.35859414261160716</v>
      </c>
      <c r="L535" s="52"/>
    </row>
    <row r="536" spans="1:12">
      <c r="A536" s="152" t="str">
        <f>Packaging!AF44</f>
        <v>Packaging</v>
      </c>
      <c r="B536" s="235">
        <f>Packaging!AG44</f>
        <v>2019</v>
      </c>
      <c r="C536" s="40" t="str">
        <f>Packaging!AI44</f>
        <v>PVC</v>
      </c>
      <c r="D536" s="55">
        <f>Packaging!AJ44</f>
        <v>327.84715728029653</v>
      </c>
      <c r="E536" s="40" t="s">
        <v>117</v>
      </c>
      <c r="F536" s="29">
        <v>1</v>
      </c>
      <c r="G536" s="9">
        <v>1</v>
      </c>
      <c r="H536" s="9">
        <v>2</v>
      </c>
      <c r="I536" s="9">
        <v>1</v>
      </c>
      <c r="J536" s="9">
        <v>2</v>
      </c>
      <c r="K536" s="160">
        <f t="shared" si="8"/>
        <v>0.35859414261160716</v>
      </c>
      <c r="L536" s="52"/>
    </row>
    <row r="537" spans="1:12">
      <c r="A537" s="152" t="str">
        <f>Packaging!AF36</f>
        <v>Packaging</v>
      </c>
      <c r="B537" s="235">
        <f>Packaging!AG36</f>
        <v>2020</v>
      </c>
      <c r="C537" s="40" t="str">
        <f>Packaging!AI36</f>
        <v>PVC</v>
      </c>
      <c r="D537" s="55">
        <f>Packaging!AJ36</f>
        <v>331.94722614321932</v>
      </c>
      <c r="E537" s="40" t="s">
        <v>117</v>
      </c>
      <c r="F537" s="29">
        <v>1</v>
      </c>
      <c r="G537" s="9">
        <v>1</v>
      </c>
      <c r="H537" s="9">
        <v>2</v>
      </c>
      <c r="I537" s="9">
        <v>1</v>
      </c>
      <c r="J537" s="9">
        <v>2</v>
      </c>
      <c r="K537" s="160">
        <f t="shared" si="8"/>
        <v>0.35859414261160716</v>
      </c>
      <c r="L537" s="63"/>
    </row>
    <row r="538" spans="1:12">
      <c r="A538" s="152" t="str">
        <f>Packaging!AF28</f>
        <v>Packaging</v>
      </c>
      <c r="B538" s="235">
        <f>Packaging!AG28</f>
        <v>2021</v>
      </c>
      <c r="C538" s="40" t="str">
        <f>Packaging!AI28</f>
        <v>PVC</v>
      </c>
      <c r="D538" s="55">
        <f>Packaging!AJ28</f>
        <v>344.79105266934431</v>
      </c>
      <c r="E538" s="40" t="s">
        <v>117</v>
      </c>
      <c r="F538" s="29">
        <v>1</v>
      </c>
      <c r="G538" s="9">
        <v>1</v>
      </c>
      <c r="H538" s="9">
        <v>2</v>
      </c>
      <c r="I538" s="9">
        <v>1</v>
      </c>
      <c r="J538" s="9">
        <v>2</v>
      </c>
      <c r="K538" s="160">
        <f t="shared" si="8"/>
        <v>0.35859414261160716</v>
      </c>
      <c r="L538" s="52"/>
    </row>
    <row r="539" spans="1:12">
      <c r="A539" s="152" t="str">
        <f>Packaging!AF62</f>
        <v>Packaging</v>
      </c>
      <c r="B539" s="235">
        <f>Packaging!AG62</f>
        <v>2017</v>
      </c>
      <c r="C539" s="40" t="str">
        <f>Packaging!AI62</f>
        <v>OTHER</v>
      </c>
      <c r="D539" s="55">
        <f>Packaging!AJ62</f>
        <v>369.51335477026953</v>
      </c>
      <c r="E539" s="40" t="s">
        <v>117</v>
      </c>
      <c r="F539" s="29">
        <v>1</v>
      </c>
      <c r="G539" s="9">
        <v>1</v>
      </c>
      <c r="H539" s="9">
        <v>2</v>
      </c>
      <c r="I539" s="9">
        <v>1</v>
      </c>
      <c r="J539" s="9">
        <v>2</v>
      </c>
      <c r="K539" s="160">
        <f t="shared" si="8"/>
        <v>0.35859414261160716</v>
      </c>
      <c r="L539" s="52"/>
    </row>
    <row r="540" spans="1:12">
      <c r="A540" s="152" t="str">
        <f>Packaging!AF54</f>
        <v>Packaging</v>
      </c>
      <c r="B540" s="235">
        <f>Packaging!AG54</f>
        <v>2018</v>
      </c>
      <c r="C540" s="40" t="str">
        <f>Packaging!AI54</f>
        <v>OTHER</v>
      </c>
      <c r="D540" s="55">
        <f>Packaging!AJ54</f>
        <v>376.25926156365176</v>
      </c>
      <c r="E540" s="40" t="s">
        <v>117</v>
      </c>
      <c r="F540" s="29">
        <v>1</v>
      </c>
      <c r="G540" s="9">
        <v>1</v>
      </c>
      <c r="H540" s="9">
        <v>2</v>
      </c>
      <c r="I540" s="9">
        <v>1</v>
      </c>
      <c r="J540" s="9">
        <v>2</v>
      </c>
      <c r="K540" s="160">
        <f t="shared" si="8"/>
        <v>0.35859414261160716</v>
      </c>
      <c r="L540" s="52"/>
    </row>
    <row r="541" spans="1:12">
      <c r="A541" s="152" t="str">
        <f>Packaging!AF46</f>
        <v>Packaging</v>
      </c>
      <c r="B541" s="235">
        <f>Packaging!AG46</f>
        <v>2019</v>
      </c>
      <c r="C541" s="40" t="str">
        <f>Packaging!AI46</f>
        <v>OTHER</v>
      </c>
      <c r="D541" s="55">
        <f>Packaging!AJ46</f>
        <v>387.56811433845098</v>
      </c>
      <c r="E541" s="40" t="s">
        <v>117</v>
      </c>
      <c r="F541" s="29">
        <v>1</v>
      </c>
      <c r="G541" s="9">
        <v>1</v>
      </c>
      <c r="H541" s="9">
        <v>2</v>
      </c>
      <c r="I541" s="9">
        <v>1</v>
      </c>
      <c r="J541" s="9">
        <v>2</v>
      </c>
      <c r="K541" s="160">
        <f t="shared" si="8"/>
        <v>0.35859414261160716</v>
      </c>
      <c r="L541" s="52"/>
    </row>
    <row r="542" spans="1:12">
      <c r="A542" s="152" t="str">
        <f>Packaging!AF38</f>
        <v>Packaging</v>
      </c>
      <c r="B542" s="235">
        <f>Packaging!AG38</f>
        <v>2020</v>
      </c>
      <c r="C542" s="40" t="str">
        <f>Packaging!AI38</f>
        <v>OTHER</v>
      </c>
      <c r="D542" s="55">
        <f>Packaging!AJ38</f>
        <v>392.41505573346876</v>
      </c>
      <c r="E542" s="40" t="s">
        <v>117</v>
      </c>
      <c r="F542" s="29">
        <v>1</v>
      </c>
      <c r="G542" s="9">
        <v>1</v>
      </c>
      <c r="H542" s="9">
        <v>2</v>
      </c>
      <c r="I542" s="9">
        <v>1</v>
      </c>
      <c r="J542" s="9">
        <v>2</v>
      </c>
      <c r="K542" s="160">
        <f t="shared" si="8"/>
        <v>0.35859414261160716</v>
      </c>
      <c r="L542" s="63"/>
    </row>
    <row r="543" spans="1:12">
      <c r="A543" s="152" t="str">
        <f>Packaging!AF30</f>
        <v>Packaging</v>
      </c>
      <c r="B543" s="235">
        <f>Packaging!AG30</f>
        <v>2021</v>
      </c>
      <c r="C543" s="40" t="str">
        <f>Packaging!AI30</f>
        <v>OTHER</v>
      </c>
      <c r="D543" s="55">
        <f>Packaging!AJ30</f>
        <v>407.59852619243202</v>
      </c>
      <c r="E543" s="40" t="s">
        <v>117</v>
      </c>
      <c r="F543" s="29">
        <v>1</v>
      </c>
      <c r="G543" s="9">
        <v>1</v>
      </c>
      <c r="H543" s="9">
        <v>2</v>
      </c>
      <c r="I543" s="9">
        <v>1</v>
      </c>
      <c r="J543" s="9">
        <v>2</v>
      </c>
      <c r="K543" s="160">
        <f t="shared" si="8"/>
        <v>0.35859414261160716</v>
      </c>
      <c r="L543" s="52"/>
    </row>
    <row r="544" spans="1:12">
      <c r="A544" s="152" t="str">
        <f>Packaging!AF58</f>
        <v>Packaging</v>
      </c>
      <c r="B544" s="235">
        <f>Packaging!AG58</f>
        <v>2017</v>
      </c>
      <c r="C544" s="40" t="str">
        <f>Packaging!AI58</f>
        <v>PS</v>
      </c>
      <c r="D544" s="55">
        <f>Packaging!AJ58</f>
        <v>548.65033904328789</v>
      </c>
      <c r="E544" s="40" t="s">
        <v>117</v>
      </c>
      <c r="F544" s="29">
        <v>1</v>
      </c>
      <c r="G544" s="9">
        <v>1</v>
      </c>
      <c r="H544" s="9">
        <v>2</v>
      </c>
      <c r="I544" s="9">
        <v>1</v>
      </c>
      <c r="J544" s="9">
        <v>2</v>
      </c>
      <c r="K544" s="160">
        <f t="shared" si="8"/>
        <v>0.35859414261160716</v>
      </c>
      <c r="L544" s="52"/>
    </row>
    <row r="545" spans="1:12">
      <c r="A545" s="152" t="str">
        <f>Packaging!AF50</f>
        <v>Packaging</v>
      </c>
      <c r="B545" s="235">
        <f>Packaging!AG50</f>
        <v>2018</v>
      </c>
      <c r="C545" s="40" t="str">
        <f>Packaging!AI50</f>
        <v>PS</v>
      </c>
      <c r="D545" s="55">
        <f>Packaging!AJ50</f>
        <v>558.66660503628452</v>
      </c>
      <c r="E545" s="40" t="s">
        <v>117</v>
      </c>
      <c r="F545" s="29">
        <v>1</v>
      </c>
      <c r="G545" s="9">
        <v>1</v>
      </c>
      <c r="H545" s="9">
        <v>2</v>
      </c>
      <c r="I545" s="9">
        <v>1</v>
      </c>
      <c r="J545" s="9">
        <v>2</v>
      </c>
      <c r="K545" s="160">
        <f t="shared" si="8"/>
        <v>0.35859414261160716</v>
      </c>
      <c r="L545" s="52"/>
    </row>
    <row r="546" spans="1:12">
      <c r="A546" s="152" t="str">
        <f>Packaging!AF42</f>
        <v>Packaging</v>
      </c>
      <c r="B546" s="235">
        <f>Packaging!AG42</f>
        <v>2019</v>
      </c>
      <c r="C546" s="40" t="str">
        <f>Packaging!AI42</f>
        <v>PS</v>
      </c>
      <c r="D546" s="55">
        <f>Packaging!AJ42</f>
        <v>575.45789506406095</v>
      </c>
      <c r="E546" s="40" t="s">
        <v>117</v>
      </c>
      <c r="F546" s="29">
        <v>1</v>
      </c>
      <c r="G546" s="9">
        <v>1</v>
      </c>
      <c r="H546" s="9">
        <v>2</v>
      </c>
      <c r="I546" s="9">
        <v>1</v>
      </c>
      <c r="J546" s="9">
        <v>2</v>
      </c>
      <c r="K546" s="160">
        <f t="shared" si="8"/>
        <v>0.35859414261160716</v>
      </c>
      <c r="L546" s="52"/>
    </row>
    <row r="547" spans="1:12">
      <c r="A547" s="152" t="str">
        <f>Packaging!AF34</f>
        <v>Packaging</v>
      </c>
      <c r="B547" s="235">
        <f>Packaging!AG34</f>
        <v>2020</v>
      </c>
      <c r="C547" s="40" t="str">
        <f>Packaging!AI34</f>
        <v>PS</v>
      </c>
      <c r="D547" s="55">
        <f>Packaging!AJ34</f>
        <v>582.65459311399411</v>
      </c>
      <c r="E547" s="40" t="s">
        <v>117</v>
      </c>
      <c r="F547" s="29">
        <v>1</v>
      </c>
      <c r="G547" s="9">
        <v>1</v>
      </c>
      <c r="H547" s="9">
        <v>2</v>
      </c>
      <c r="I547" s="9">
        <v>1</v>
      </c>
      <c r="J547" s="9">
        <v>2</v>
      </c>
      <c r="K547" s="160">
        <f t="shared" si="8"/>
        <v>0.35859414261160716</v>
      </c>
      <c r="L547" s="63"/>
    </row>
    <row r="548" spans="1:12">
      <c r="A548" s="152" t="str">
        <f>Packaging!AF26</f>
        <v>Packaging</v>
      </c>
      <c r="B548" s="235">
        <f>Packaging!AG26</f>
        <v>2021</v>
      </c>
      <c r="C548" s="40" t="str">
        <f>Packaging!AI26</f>
        <v>PS</v>
      </c>
      <c r="D548" s="55">
        <f>Packaging!AJ26</f>
        <v>605.19888307705389</v>
      </c>
      <c r="E548" s="40" t="s">
        <v>117</v>
      </c>
      <c r="F548" s="29">
        <v>1</v>
      </c>
      <c r="G548" s="9">
        <v>1</v>
      </c>
      <c r="H548" s="9">
        <v>2</v>
      </c>
      <c r="I548" s="9">
        <v>1</v>
      </c>
      <c r="J548" s="9">
        <v>2</v>
      </c>
      <c r="K548" s="160">
        <f t="shared" si="8"/>
        <v>0.35859414261160716</v>
      </c>
      <c r="L548" s="52"/>
    </row>
    <row r="549" spans="1:12">
      <c r="A549" s="152" t="str">
        <f>Packaging!AF61</f>
        <v>Packaging</v>
      </c>
      <c r="B549" s="235">
        <f>Packaging!AG61</f>
        <v>2017</v>
      </c>
      <c r="C549" s="40" t="str">
        <f>Packaging!AI61</f>
        <v>PET</v>
      </c>
      <c r="D549" s="55">
        <f>Packaging!AJ61</f>
        <v>2670.371333170558</v>
      </c>
      <c r="E549" s="40" t="s">
        <v>117</v>
      </c>
      <c r="F549" s="29">
        <v>1</v>
      </c>
      <c r="G549" s="9">
        <v>1</v>
      </c>
      <c r="H549" s="9">
        <v>2</v>
      </c>
      <c r="I549" s="9">
        <v>1</v>
      </c>
      <c r="J549" s="9">
        <v>2</v>
      </c>
      <c r="K549" s="160">
        <f t="shared" si="8"/>
        <v>0.35859414261160716</v>
      </c>
      <c r="L549" s="52"/>
    </row>
    <row r="550" spans="1:12">
      <c r="A550" s="152" t="str">
        <f>Packaging!AF56</f>
        <v>Packaging</v>
      </c>
      <c r="B550" s="235">
        <f>Packaging!AG56</f>
        <v>2017</v>
      </c>
      <c r="C550" s="40" t="str">
        <f>Packaging!AI56</f>
        <v>HDPE</v>
      </c>
      <c r="D550" s="55">
        <f>Packaging!AJ56</f>
        <v>2679.9417770960026</v>
      </c>
      <c r="E550" s="40" t="s">
        <v>117</v>
      </c>
      <c r="F550" s="29">
        <v>1</v>
      </c>
      <c r="G550" s="9">
        <v>1</v>
      </c>
      <c r="H550" s="9">
        <v>2</v>
      </c>
      <c r="I550" s="9">
        <v>1</v>
      </c>
      <c r="J550" s="9">
        <v>2</v>
      </c>
      <c r="K550" s="160">
        <f t="shared" si="8"/>
        <v>0.35859414261160716</v>
      </c>
      <c r="L550" s="52"/>
    </row>
    <row r="551" spans="1:12">
      <c r="A551" s="152" t="str">
        <f>Packaging!AF53</f>
        <v>Packaging</v>
      </c>
      <c r="B551" s="235">
        <f>Packaging!AG53</f>
        <v>2018</v>
      </c>
      <c r="C551" s="40" t="str">
        <f>Packaging!AI53</f>
        <v>PET</v>
      </c>
      <c r="D551" s="55">
        <f>Packaging!AJ53</f>
        <v>2719.1221452446925</v>
      </c>
      <c r="E551" s="40" t="s">
        <v>117</v>
      </c>
      <c r="F551" s="29">
        <v>1</v>
      </c>
      <c r="G551" s="9">
        <v>1</v>
      </c>
      <c r="H551" s="9">
        <v>2</v>
      </c>
      <c r="I551" s="9">
        <v>1</v>
      </c>
      <c r="J551" s="9">
        <v>2</v>
      </c>
      <c r="K551" s="160">
        <f t="shared" si="8"/>
        <v>0.35859414261160716</v>
      </c>
      <c r="L551" s="52"/>
    </row>
    <row r="552" spans="1:12">
      <c r="A552" s="152" t="str">
        <f>Packaging!AF48</f>
        <v>Packaging</v>
      </c>
      <c r="B552" s="235">
        <f>Packaging!AG48</f>
        <v>2018</v>
      </c>
      <c r="C552" s="40" t="str">
        <f>Packaging!AI48</f>
        <v>HDPE</v>
      </c>
      <c r="D552" s="55">
        <f>Packaging!AJ48</f>
        <v>2728.8673090330567</v>
      </c>
      <c r="E552" s="40" t="s">
        <v>117</v>
      </c>
      <c r="F552" s="29">
        <v>1</v>
      </c>
      <c r="G552" s="9">
        <v>1</v>
      </c>
      <c r="H552" s="9">
        <v>2</v>
      </c>
      <c r="I552" s="9">
        <v>1</v>
      </c>
      <c r="J552" s="9">
        <v>2</v>
      </c>
      <c r="K552" s="160">
        <f t="shared" si="8"/>
        <v>0.35859414261160716</v>
      </c>
      <c r="L552" s="52"/>
    </row>
    <row r="553" spans="1:12">
      <c r="A553" s="152" t="str">
        <f>Packaging!AF45</f>
        <v>Packaging</v>
      </c>
      <c r="B553" s="235">
        <f>Packaging!AG45</f>
        <v>2019</v>
      </c>
      <c r="C553" s="40" t="str">
        <f>Packaging!AI45</f>
        <v>PET</v>
      </c>
      <c r="D553" s="55">
        <f>Packaging!AJ45</f>
        <v>2800.8481123065467</v>
      </c>
      <c r="E553" s="40" t="s">
        <v>117</v>
      </c>
      <c r="F553" s="29">
        <v>1</v>
      </c>
      <c r="G553" s="9">
        <v>1</v>
      </c>
      <c r="H553" s="9">
        <v>2</v>
      </c>
      <c r="I553" s="9">
        <v>1</v>
      </c>
      <c r="J553" s="9">
        <v>2</v>
      </c>
      <c r="K553" s="160">
        <f t="shared" si="8"/>
        <v>0.35859414261160716</v>
      </c>
      <c r="L553" s="52"/>
    </row>
    <row r="554" spans="1:12">
      <c r="A554" s="152" t="str">
        <f>Packaging!AF40</f>
        <v>Packaging</v>
      </c>
      <c r="B554" s="235">
        <f>Packaging!AG40</f>
        <v>2019</v>
      </c>
      <c r="C554" s="40" t="str">
        <f>Packaging!AI40</f>
        <v>HDPE</v>
      </c>
      <c r="D554" s="55">
        <f>Packaging!AJ40</f>
        <v>2810.8861768519337</v>
      </c>
      <c r="E554" s="40" t="s">
        <v>117</v>
      </c>
      <c r="F554" s="29">
        <v>1</v>
      </c>
      <c r="G554" s="9">
        <v>1</v>
      </c>
      <c r="H554" s="9">
        <v>2</v>
      </c>
      <c r="I554" s="9">
        <v>1</v>
      </c>
      <c r="J554" s="9">
        <v>2</v>
      </c>
      <c r="K554" s="160">
        <f t="shared" si="8"/>
        <v>0.35859414261160716</v>
      </c>
      <c r="L554" s="52"/>
    </row>
    <row r="555" spans="1:12">
      <c r="A555" s="152" t="str">
        <f>Packaging!AF37</f>
        <v>Packaging</v>
      </c>
      <c r="B555" s="235">
        <f>Packaging!AG37</f>
        <v>2020</v>
      </c>
      <c r="C555" s="40" t="str">
        <f>Packaging!AI37</f>
        <v>PET</v>
      </c>
      <c r="D555" s="55">
        <f>Packaging!AJ37</f>
        <v>2835.8756239992163</v>
      </c>
      <c r="E555" s="40" t="s">
        <v>117</v>
      </c>
      <c r="F555" s="29">
        <v>1</v>
      </c>
      <c r="G555" s="9">
        <v>1</v>
      </c>
      <c r="H555" s="9">
        <v>2</v>
      </c>
      <c r="I555" s="9">
        <v>1</v>
      </c>
      <c r="J555" s="9">
        <v>2</v>
      </c>
      <c r="K555" s="160">
        <f t="shared" si="8"/>
        <v>0.35859414261160716</v>
      </c>
      <c r="L555" s="63"/>
    </row>
    <row r="556" spans="1:12">
      <c r="A556" s="152" t="str">
        <f>Packaging!AF32</f>
        <v>Packaging</v>
      </c>
      <c r="B556" s="235">
        <f>Packaging!AG32</f>
        <v>2020</v>
      </c>
      <c r="C556" s="40" t="str">
        <f>Packaging!AI32</f>
        <v>HDPE</v>
      </c>
      <c r="D556" s="55">
        <f>Packaging!AJ32</f>
        <v>2846.0392249568386</v>
      </c>
      <c r="E556" s="40" t="s">
        <v>117</v>
      </c>
      <c r="F556" s="29">
        <v>1</v>
      </c>
      <c r="G556" s="9">
        <v>1</v>
      </c>
      <c r="H556" s="9">
        <v>2</v>
      </c>
      <c r="I556" s="9">
        <v>1</v>
      </c>
      <c r="J556" s="9">
        <v>2</v>
      </c>
      <c r="K556" s="160">
        <f t="shared" si="8"/>
        <v>0.35859414261160716</v>
      </c>
      <c r="L556" s="63"/>
    </row>
    <row r="557" spans="1:12">
      <c r="A557" s="152" t="str">
        <f>Packaging!AF29</f>
        <v>Packaging</v>
      </c>
      <c r="B557" s="235">
        <f>Packaging!AG29</f>
        <v>2021</v>
      </c>
      <c r="C557" s="40" t="str">
        <f>Packaging!AI29</f>
        <v>PET</v>
      </c>
      <c r="D557" s="55">
        <f>Packaging!AJ29</f>
        <v>2945.6023868569887</v>
      </c>
      <c r="E557" s="40" t="s">
        <v>117</v>
      </c>
      <c r="F557" s="29">
        <v>1</v>
      </c>
      <c r="G557" s="9">
        <v>1</v>
      </c>
      <c r="H557" s="9">
        <v>2</v>
      </c>
      <c r="I557" s="9">
        <v>1</v>
      </c>
      <c r="J557" s="9">
        <v>2</v>
      </c>
      <c r="K557" s="160">
        <f t="shared" si="8"/>
        <v>0.35859414261160716</v>
      </c>
      <c r="L557" s="52"/>
    </row>
    <row r="558" spans="1:12">
      <c r="A558" s="152" t="str">
        <f>Packaging!AF24</f>
        <v>Packaging</v>
      </c>
      <c r="B558" s="235">
        <f>Packaging!AG24</f>
        <v>2021</v>
      </c>
      <c r="C558" s="40" t="str">
        <f>Packaging!AI24</f>
        <v>HDPE</v>
      </c>
      <c r="D558" s="55">
        <f>Packaging!AJ24</f>
        <v>2956.1592416733561</v>
      </c>
      <c r="E558" s="40" t="s">
        <v>117</v>
      </c>
      <c r="F558" s="29">
        <v>1</v>
      </c>
      <c r="G558" s="9">
        <v>1</v>
      </c>
      <c r="H558" s="9">
        <v>2</v>
      </c>
      <c r="I558" s="9">
        <v>1</v>
      </c>
      <c r="J558" s="9">
        <v>2</v>
      </c>
      <c r="K558" s="160">
        <f t="shared" si="8"/>
        <v>0.35859414261160716</v>
      </c>
      <c r="L558" s="52"/>
    </row>
    <row r="559" spans="1:12">
      <c r="A559" s="152" t="str">
        <f>Packaging!AF57</f>
        <v>Packaging</v>
      </c>
      <c r="B559" s="235">
        <f>Packaging!AG57</f>
        <v>2017</v>
      </c>
      <c r="C559" s="40" t="str">
        <f>Packaging!AI57</f>
        <v>PP</v>
      </c>
      <c r="D559" s="55">
        <f>Packaging!AJ57</f>
        <v>3067.413114842308</v>
      </c>
      <c r="E559" s="40" t="s">
        <v>117</v>
      </c>
      <c r="F559" s="29">
        <v>1</v>
      </c>
      <c r="G559" s="9">
        <v>1</v>
      </c>
      <c r="H559" s="9">
        <v>2</v>
      </c>
      <c r="I559" s="9">
        <v>1</v>
      </c>
      <c r="J559" s="9">
        <v>2</v>
      </c>
      <c r="K559" s="160">
        <f t="shared" si="8"/>
        <v>0.35859414261160716</v>
      </c>
      <c r="L559" s="52"/>
    </row>
    <row r="560" spans="1:12">
      <c r="A560" s="152" t="str">
        <f>Packaging!AF49</f>
        <v>Packaging</v>
      </c>
      <c r="B560" s="235">
        <f>Packaging!AG49</f>
        <v>2018</v>
      </c>
      <c r="C560" s="40" t="str">
        <f>Packaging!AI49</f>
        <v>PP</v>
      </c>
      <c r="D560" s="55">
        <f>Packaging!AJ49</f>
        <v>3123.4123979599349</v>
      </c>
      <c r="E560" s="40" t="s">
        <v>117</v>
      </c>
      <c r="F560" s="29">
        <v>1</v>
      </c>
      <c r="G560" s="9">
        <v>1</v>
      </c>
      <c r="H560" s="9">
        <v>2</v>
      </c>
      <c r="I560" s="9">
        <v>1</v>
      </c>
      <c r="J560" s="9">
        <v>2</v>
      </c>
      <c r="K560" s="160">
        <f t="shared" si="8"/>
        <v>0.35859414261160716</v>
      </c>
      <c r="L560" s="52"/>
    </row>
    <row r="561" spans="1:12">
      <c r="A561" s="152" t="str">
        <f>Packaging!AF41</f>
        <v>Packaging</v>
      </c>
      <c r="B561" s="235">
        <f>Packaging!AG41</f>
        <v>2019</v>
      </c>
      <c r="C561" s="40" t="str">
        <f>Packaging!AI41</f>
        <v>PP</v>
      </c>
      <c r="D561" s="55">
        <f>Packaging!AJ41</f>
        <v>3217.2897175951252</v>
      </c>
      <c r="E561" s="40" t="s">
        <v>117</v>
      </c>
      <c r="F561" s="29">
        <v>1</v>
      </c>
      <c r="G561" s="9">
        <v>1</v>
      </c>
      <c r="H561" s="9">
        <v>2</v>
      </c>
      <c r="I561" s="9">
        <v>1</v>
      </c>
      <c r="J561" s="9">
        <v>2</v>
      </c>
      <c r="K561" s="160">
        <f t="shared" si="8"/>
        <v>0.35859414261160716</v>
      </c>
      <c r="L561" s="52"/>
    </row>
    <row r="562" spans="1:12">
      <c r="A562" s="152" t="str">
        <f>Packaging!AF33</f>
        <v>Packaging</v>
      </c>
      <c r="B562" s="235">
        <f>Packaging!AG33</f>
        <v>2020</v>
      </c>
      <c r="C562" s="40" t="str">
        <f>Packaging!AI33</f>
        <v>PP</v>
      </c>
      <c r="D562" s="55">
        <f>Packaging!AJ33</f>
        <v>3257.5252636451264</v>
      </c>
      <c r="E562" s="40" t="s">
        <v>117</v>
      </c>
      <c r="F562" s="29">
        <v>1</v>
      </c>
      <c r="G562" s="9">
        <v>1</v>
      </c>
      <c r="H562" s="9">
        <v>2</v>
      </c>
      <c r="I562" s="9">
        <v>1</v>
      </c>
      <c r="J562" s="9">
        <v>2</v>
      </c>
      <c r="K562" s="160">
        <f t="shared" si="8"/>
        <v>0.35859414261160716</v>
      </c>
      <c r="L562" s="63"/>
    </row>
    <row r="563" spans="1:12">
      <c r="A563" s="152" t="str">
        <f>Packaging!AF25</f>
        <v>Packaging</v>
      </c>
      <c r="B563" s="235">
        <f>Packaging!AG25</f>
        <v>2021</v>
      </c>
      <c r="C563" s="40" t="str">
        <f>Packaging!AI25</f>
        <v>PP</v>
      </c>
      <c r="D563" s="55">
        <f>Packaging!AJ25</f>
        <v>3383.566652443104</v>
      </c>
      <c r="E563" s="40" t="s">
        <v>117</v>
      </c>
      <c r="F563" s="29">
        <v>1</v>
      </c>
      <c r="G563" s="9">
        <v>1</v>
      </c>
      <c r="H563" s="9">
        <v>2</v>
      </c>
      <c r="I563" s="9">
        <v>1</v>
      </c>
      <c r="J563" s="9">
        <v>2</v>
      </c>
      <c r="K563" s="160">
        <f t="shared" si="8"/>
        <v>0.35859414261160716</v>
      </c>
      <c r="L563" s="52"/>
    </row>
    <row r="564" spans="1:12">
      <c r="A564" s="152" t="str">
        <f>Packaging!AF55</f>
        <v>Packaging</v>
      </c>
      <c r="B564" s="235">
        <f>Packaging!AG55</f>
        <v>2017</v>
      </c>
      <c r="C564" s="40" t="str">
        <f>Packaging!AI55</f>
        <v>LDPE</v>
      </c>
      <c r="D564" s="55">
        <f>Packaging!AJ55</f>
        <v>4707.1416612056973</v>
      </c>
      <c r="E564" s="40" t="s">
        <v>117</v>
      </c>
      <c r="F564" s="29">
        <v>1</v>
      </c>
      <c r="G564" s="9">
        <v>1</v>
      </c>
      <c r="H564" s="9">
        <v>2</v>
      </c>
      <c r="I564" s="9">
        <v>1</v>
      </c>
      <c r="J564" s="9">
        <v>2</v>
      </c>
      <c r="K564" s="160">
        <f t="shared" si="8"/>
        <v>0.35859414261160716</v>
      </c>
      <c r="L564" s="52"/>
    </row>
    <row r="565" spans="1:12">
      <c r="A565" s="152" t="str">
        <f>Packaging!AF47</f>
        <v>Packaging</v>
      </c>
      <c r="B565" s="235">
        <f>Packaging!AG47</f>
        <v>2018</v>
      </c>
      <c r="C565" s="40" t="str">
        <f>Packaging!AI47</f>
        <v>LDPE</v>
      </c>
      <c r="D565" s="55">
        <f>Packaging!AJ47</f>
        <v>4793.0761436805778</v>
      </c>
      <c r="E565" s="40" t="s">
        <v>117</v>
      </c>
      <c r="F565" s="29">
        <v>1</v>
      </c>
      <c r="G565" s="9">
        <v>1</v>
      </c>
      <c r="H565" s="9">
        <v>2</v>
      </c>
      <c r="I565" s="9">
        <v>1</v>
      </c>
      <c r="J565" s="9">
        <v>2</v>
      </c>
      <c r="K565" s="160">
        <f t="shared" si="8"/>
        <v>0.35859414261160716</v>
      </c>
      <c r="L565" s="52"/>
    </row>
    <row r="566" spans="1:12">
      <c r="A566" s="152" t="str">
        <f>Packaging!AF39</f>
        <v>Packaging</v>
      </c>
      <c r="B566" s="235">
        <f>Packaging!AG39</f>
        <v>2019</v>
      </c>
      <c r="C566" s="40" t="str">
        <f>Packaging!AI39</f>
        <v>LDPE</v>
      </c>
      <c r="D566" s="55">
        <f>Packaging!AJ39</f>
        <v>4937.1368964233152</v>
      </c>
      <c r="E566" s="40" t="s">
        <v>117</v>
      </c>
      <c r="F566" s="29">
        <v>1</v>
      </c>
      <c r="G566" s="9">
        <v>1</v>
      </c>
      <c r="H566" s="9">
        <v>2</v>
      </c>
      <c r="I566" s="9">
        <v>1</v>
      </c>
      <c r="J566" s="9">
        <v>2</v>
      </c>
      <c r="K566" s="160">
        <f t="shared" si="8"/>
        <v>0.35859414261160716</v>
      </c>
      <c r="L566" s="52"/>
    </row>
    <row r="567" spans="1:12">
      <c r="A567" s="152" t="str">
        <f>Packaging!AF31</f>
        <v>Packaging</v>
      </c>
      <c r="B567" s="235">
        <f>Packaging!AG31</f>
        <v>2020</v>
      </c>
      <c r="C567" s="40" t="str">
        <f>Packaging!AI31</f>
        <v>LDPE</v>
      </c>
      <c r="D567" s="55">
        <f>Packaging!AJ31</f>
        <v>4998.880915889391</v>
      </c>
      <c r="E567" s="40" t="s">
        <v>117</v>
      </c>
      <c r="F567" s="29">
        <v>1</v>
      </c>
      <c r="G567" s="9">
        <v>1</v>
      </c>
      <c r="H567" s="9">
        <v>2</v>
      </c>
      <c r="I567" s="9">
        <v>1</v>
      </c>
      <c r="J567" s="9">
        <v>2</v>
      </c>
      <c r="K567" s="160">
        <f t="shared" si="8"/>
        <v>0.35859414261160716</v>
      </c>
      <c r="L567" s="63"/>
    </row>
    <row r="568" spans="1:12" ht="15.75" thickBot="1">
      <c r="A568" s="230" t="str">
        <f>Packaging!AF23</f>
        <v>Packaging</v>
      </c>
      <c r="B568" s="238">
        <f>Packaging!AG23</f>
        <v>2021</v>
      </c>
      <c r="C568" s="154" t="str">
        <f>Packaging!AI23</f>
        <v>LDPE</v>
      </c>
      <c r="D568" s="157">
        <f>Packaging!AJ23</f>
        <v>5192.2994904453935</v>
      </c>
      <c r="E568" s="154" t="s">
        <v>117</v>
      </c>
      <c r="F568" s="155">
        <v>1</v>
      </c>
      <c r="G568" s="119">
        <v>1</v>
      </c>
      <c r="H568" s="119">
        <v>2</v>
      </c>
      <c r="I568" s="119">
        <v>1</v>
      </c>
      <c r="J568" s="119">
        <v>2</v>
      </c>
      <c r="K568" s="832">
        <f t="shared" si="8"/>
        <v>0.35859414261160716</v>
      </c>
      <c r="L568" s="61"/>
    </row>
    <row r="569" spans="1:12" ht="15.75" thickBot="1">
      <c r="A569" s="231" t="s">
        <v>118</v>
      </c>
      <c r="B569" s="239">
        <v>2019</v>
      </c>
      <c r="C569" s="167" t="s">
        <v>99</v>
      </c>
      <c r="D569" s="589">
        <v>2326</v>
      </c>
      <c r="E569" s="167" t="s">
        <v>128</v>
      </c>
      <c r="F569" s="798">
        <v>1</v>
      </c>
      <c r="G569" s="769">
        <v>1</v>
      </c>
      <c r="H569" s="769">
        <v>3</v>
      </c>
      <c r="I569" s="769">
        <v>1</v>
      </c>
      <c r="J569" s="769">
        <v>2</v>
      </c>
      <c r="K569" s="835">
        <f t="shared" ref="K569:K578" si="9">IF( OR( ISBLANK(F569),ISBLANK(G569), ISBLANK(H569), ISBLANK(I569), ISBLANK(J569) ), "", 1.5*SQRT(   EXP(2.21*(F569-1)) + EXP(2.21*(G569-1)) + EXP(2.21*(H569-1)) + EXP(2.21*(I569-1)) + EXP(2.21*J569)   )/100*2.45 )</f>
        <v>0.47802211380704585</v>
      </c>
      <c r="L569" s="836"/>
    </row>
    <row r="570" spans="1:12">
      <c r="A570" s="233" t="s">
        <v>121</v>
      </c>
      <c r="B570" s="237">
        <v>2017</v>
      </c>
      <c r="C570" s="162" t="s">
        <v>85</v>
      </c>
      <c r="D570" s="824">
        <v>0</v>
      </c>
      <c r="E570" s="833" t="s">
        <v>124</v>
      </c>
      <c r="F570" s="676">
        <v>1</v>
      </c>
      <c r="G570" s="118">
        <v>1</v>
      </c>
      <c r="H570" s="118">
        <v>3</v>
      </c>
      <c r="I570" s="118">
        <v>1</v>
      </c>
      <c r="J570" s="118">
        <v>2</v>
      </c>
      <c r="K570" s="834">
        <f t="shared" si="9"/>
        <v>0.47802211380704585</v>
      </c>
      <c r="L570" s="232" t="s">
        <v>125</v>
      </c>
    </row>
    <row r="571" spans="1:12">
      <c r="A571" s="152" t="s">
        <v>121</v>
      </c>
      <c r="B571" s="235">
        <v>2017</v>
      </c>
      <c r="C571" s="40" t="s">
        <v>86</v>
      </c>
      <c r="D571" s="59">
        <v>4</v>
      </c>
      <c r="E571" s="809" t="s">
        <v>124</v>
      </c>
      <c r="F571" s="29">
        <v>1</v>
      </c>
      <c r="G571" s="9">
        <v>1</v>
      </c>
      <c r="H571" s="9">
        <v>3</v>
      </c>
      <c r="I571" s="9">
        <v>1</v>
      </c>
      <c r="J571" s="9">
        <v>2</v>
      </c>
      <c r="K571" s="160">
        <f t="shared" si="9"/>
        <v>0.47802211380704585</v>
      </c>
      <c r="L571" s="63" t="s">
        <v>125</v>
      </c>
    </row>
    <row r="572" spans="1:12">
      <c r="A572" s="152" t="s">
        <v>121</v>
      </c>
      <c r="B572" s="235">
        <v>2017</v>
      </c>
      <c r="C572" s="40" t="s">
        <v>87</v>
      </c>
      <c r="D572" s="59">
        <v>1903.3411817515153</v>
      </c>
      <c r="E572" s="809" t="s">
        <v>124</v>
      </c>
      <c r="F572" s="29">
        <v>1</v>
      </c>
      <c r="G572" s="9">
        <v>1</v>
      </c>
      <c r="H572" s="9">
        <v>3</v>
      </c>
      <c r="I572" s="9">
        <v>1</v>
      </c>
      <c r="J572" s="9">
        <v>2</v>
      </c>
      <c r="K572" s="160">
        <f t="shared" si="9"/>
        <v>0.47802211380704585</v>
      </c>
      <c r="L572" s="63" t="s">
        <v>125</v>
      </c>
    </row>
    <row r="573" spans="1:12">
      <c r="A573" s="152" t="s">
        <v>121</v>
      </c>
      <c r="B573" s="235">
        <v>2017</v>
      </c>
      <c r="C573" s="40" t="s">
        <v>88</v>
      </c>
      <c r="D573" s="59">
        <v>0</v>
      </c>
      <c r="E573" s="809" t="s">
        <v>124</v>
      </c>
      <c r="F573" s="29">
        <v>1</v>
      </c>
      <c r="G573" s="9">
        <v>1</v>
      </c>
      <c r="H573" s="9">
        <v>3</v>
      </c>
      <c r="I573" s="9">
        <v>1</v>
      </c>
      <c r="J573" s="9">
        <v>2</v>
      </c>
      <c r="K573" s="160">
        <f t="shared" si="9"/>
        <v>0.47802211380704585</v>
      </c>
      <c r="L573" s="63" t="s">
        <v>125</v>
      </c>
    </row>
    <row r="574" spans="1:12">
      <c r="A574" s="152" t="s">
        <v>121</v>
      </c>
      <c r="B574" s="235">
        <v>2017</v>
      </c>
      <c r="C574" s="40" t="s">
        <v>89</v>
      </c>
      <c r="D574" s="59">
        <v>0</v>
      </c>
      <c r="E574" s="809" t="s">
        <v>124</v>
      </c>
      <c r="F574" s="29">
        <v>1</v>
      </c>
      <c r="G574" s="9">
        <v>1</v>
      </c>
      <c r="H574" s="9">
        <v>3</v>
      </c>
      <c r="I574" s="9">
        <v>1</v>
      </c>
      <c r="J574" s="9">
        <v>2</v>
      </c>
      <c r="K574" s="160">
        <f t="shared" si="9"/>
        <v>0.47802211380704585</v>
      </c>
      <c r="L574" s="63" t="s">
        <v>125</v>
      </c>
    </row>
    <row r="575" spans="1:12">
      <c r="A575" s="152" t="s">
        <v>121</v>
      </c>
      <c r="B575" s="235">
        <v>2017</v>
      </c>
      <c r="C575" s="40" t="s">
        <v>90</v>
      </c>
      <c r="D575" s="59">
        <v>208.87860763636365</v>
      </c>
      <c r="E575" s="809" t="s">
        <v>124</v>
      </c>
      <c r="F575" s="29">
        <v>1</v>
      </c>
      <c r="G575" s="9">
        <v>1</v>
      </c>
      <c r="H575" s="9">
        <v>3</v>
      </c>
      <c r="I575" s="9">
        <v>1</v>
      </c>
      <c r="J575" s="9">
        <v>2</v>
      </c>
      <c r="K575" s="160">
        <f t="shared" si="9"/>
        <v>0.47802211380704585</v>
      </c>
      <c r="L575" s="63" t="s">
        <v>125</v>
      </c>
    </row>
    <row r="576" spans="1:12">
      <c r="A576" s="152" t="s">
        <v>121</v>
      </c>
      <c r="B576" s="235">
        <v>2017</v>
      </c>
      <c r="C576" s="40" t="s">
        <v>91</v>
      </c>
      <c r="D576" s="59">
        <v>1840.5618588333332</v>
      </c>
      <c r="E576" s="809" t="s">
        <v>124</v>
      </c>
      <c r="F576" s="29">
        <v>1</v>
      </c>
      <c r="G576" s="9">
        <v>1</v>
      </c>
      <c r="H576" s="9">
        <v>3</v>
      </c>
      <c r="I576" s="9">
        <v>1</v>
      </c>
      <c r="J576" s="9">
        <v>2</v>
      </c>
      <c r="K576" s="160">
        <f t="shared" si="9"/>
        <v>0.47802211380704585</v>
      </c>
      <c r="L576" s="63" t="s">
        <v>125</v>
      </c>
    </row>
    <row r="577" spans="1:12">
      <c r="A577" s="152" t="s">
        <v>121</v>
      </c>
      <c r="B577" s="235">
        <v>2017</v>
      </c>
      <c r="C577" s="40" t="s">
        <v>95</v>
      </c>
      <c r="D577" s="59">
        <v>2388.6652442424243</v>
      </c>
      <c r="E577" s="809" t="s">
        <v>124</v>
      </c>
      <c r="F577" s="29">
        <v>1</v>
      </c>
      <c r="G577" s="9">
        <v>1</v>
      </c>
      <c r="H577" s="9">
        <v>3</v>
      </c>
      <c r="I577" s="9">
        <v>1</v>
      </c>
      <c r="J577" s="9">
        <v>2</v>
      </c>
      <c r="K577" s="160">
        <f t="shared" si="9"/>
        <v>0.47802211380704585</v>
      </c>
      <c r="L577" s="63" t="s">
        <v>125</v>
      </c>
    </row>
    <row r="578" spans="1:12" ht="15.75" thickBot="1">
      <c r="A578" s="230" t="s">
        <v>121</v>
      </c>
      <c r="B578" s="238">
        <v>2017</v>
      </c>
      <c r="C578" s="154" t="s">
        <v>99</v>
      </c>
      <c r="D578" s="821">
        <v>403.50709808181819</v>
      </c>
      <c r="E578" s="831" t="s">
        <v>124</v>
      </c>
      <c r="F578" s="155">
        <v>1</v>
      </c>
      <c r="G578" s="119">
        <v>1</v>
      </c>
      <c r="H578" s="119">
        <v>3</v>
      </c>
      <c r="I578" s="119">
        <v>1</v>
      </c>
      <c r="J578" s="119">
        <v>2</v>
      </c>
      <c r="K578" s="832">
        <f t="shared" si="9"/>
        <v>0.47802211380704585</v>
      </c>
      <c r="L578" s="512" t="s">
        <v>125</v>
      </c>
    </row>
    <row r="579" spans="1:12">
      <c r="A579" s="825" t="str">
        <f>'Tyre wear'!B46</f>
        <v>Tyre wear</v>
      </c>
      <c r="B579" s="234">
        <f>'Tyre wear'!C46</f>
        <v>1990</v>
      </c>
      <c r="C579" s="39" t="str">
        <f>'Tyre wear'!D46</f>
        <v>RUBBER</v>
      </c>
      <c r="D579" s="54">
        <f>'Tyre wear'!E46</f>
        <v>274.36551667214508</v>
      </c>
      <c r="E579" s="39" t="str">
        <f>'Tyre wear'!F46</f>
        <v>LOW - Scaling from NL to EU using population</v>
      </c>
      <c r="F579" s="28">
        <f>'Tyre wear'!G46</f>
        <v>1</v>
      </c>
      <c r="G579" s="11">
        <f>'Tyre wear'!H46</f>
        <v>1</v>
      </c>
      <c r="H579" s="11">
        <f>'Tyre wear'!I46</f>
        <v>1</v>
      </c>
      <c r="I579" s="11">
        <f>'Tyre wear'!J46</f>
        <v>1</v>
      </c>
      <c r="J579" s="11">
        <f>'Tyre wear'!K46</f>
        <v>2</v>
      </c>
      <c r="K579" s="159">
        <f>'Tyre wear'!L46</f>
        <v>0.2160744213792255</v>
      </c>
      <c r="L579" s="51"/>
    </row>
    <row r="580" spans="1:12">
      <c r="A580" s="625" t="str">
        <f>'Tyre wear'!B47</f>
        <v>Tyre wear</v>
      </c>
      <c r="B580" s="235">
        <f>'Tyre wear'!C47</f>
        <v>1995</v>
      </c>
      <c r="C580" s="40" t="str">
        <f>'Tyre wear'!D47</f>
        <v>RUBBER</v>
      </c>
      <c r="D580" s="55">
        <f>'Tyre wear'!E47</f>
        <v>289.04881285533907</v>
      </c>
      <c r="E580" s="40" t="str">
        <f>'Tyre wear'!F47</f>
        <v>LOW - Scaling from NL to EU using population</v>
      </c>
      <c r="F580" s="29">
        <f>'Tyre wear'!G47</f>
        <v>1</v>
      </c>
      <c r="G580" s="9">
        <f>'Tyre wear'!H47</f>
        <v>1</v>
      </c>
      <c r="H580" s="9">
        <f>'Tyre wear'!I47</f>
        <v>1</v>
      </c>
      <c r="I580" s="9">
        <f>'Tyre wear'!J47</f>
        <v>1</v>
      </c>
      <c r="J580" s="9">
        <f>'Tyre wear'!K47</f>
        <v>2</v>
      </c>
      <c r="K580" s="160">
        <f>'Tyre wear'!L47</f>
        <v>0.2160744213792255</v>
      </c>
      <c r="L580" s="52"/>
    </row>
    <row r="581" spans="1:12">
      <c r="A581" s="625" t="str">
        <f>'Tyre wear'!B53</f>
        <v>Tyre wear</v>
      </c>
      <c r="B581" s="235">
        <f>'Tyre wear'!C53</f>
        <v>2020</v>
      </c>
      <c r="C581" s="40" t="str">
        <f>'Tyre wear'!D53</f>
        <v>RUBBER</v>
      </c>
      <c r="D581" s="55">
        <f>'Tyre wear'!E53</f>
        <v>299.66901592225156</v>
      </c>
      <c r="E581" s="40" t="str">
        <f>'Tyre wear'!F53</f>
        <v>LOW - Scaling from NL to EU using population</v>
      </c>
      <c r="F581" s="29">
        <f>'Tyre wear'!G53</f>
        <v>1</v>
      </c>
      <c r="G581" s="9">
        <f>'Tyre wear'!H53</f>
        <v>1</v>
      </c>
      <c r="H581" s="9">
        <f>'Tyre wear'!I53</f>
        <v>1</v>
      </c>
      <c r="I581" s="9">
        <f>'Tyre wear'!J53</f>
        <v>1</v>
      </c>
      <c r="J581" s="9">
        <f>'Tyre wear'!K53</f>
        <v>2</v>
      </c>
      <c r="K581" s="160">
        <f>'Tyre wear'!L53</f>
        <v>0.2160744213792255</v>
      </c>
      <c r="L581" s="52"/>
    </row>
    <row r="582" spans="1:12">
      <c r="A582" s="625" t="str">
        <f>'Tyre wear'!B48</f>
        <v>Tyre wear</v>
      </c>
      <c r="B582" s="235">
        <f>'Tyre wear'!C48</f>
        <v>2000</v>
      </c>
      <c r="C582" s="40" t="str">
        <f>'Tyre wear'!D48</f>
        <v>RUBBER</v>
      </c>
      <c r="D582" s="55">
        <f>'Tyre wear'!E48</f>
        <v>315.12798141039013</v>
      </c>
      <c r="E582" s="40" t="str">
        <f>'Tyre wear'!F48</f>
        <v>LOW - Scaling from NL to EU using population</v>
      </c>
      <c r="F582" s="29">
        <f>'Tyre wear'!G48</f>
        <v>1</v>
      </c>
      <c r="G582" s="9">
        <f>'Tyre wear'!H48</f>
        <v>1</v>
      </c>
      <c r="H582" s="9">
        <f>'Tyre wear'!I48</f>
        <v>1</v>
      </c>
      <c r="I582" s="9">
        <f>'Tyre wear'!J48</f>
        <v>1</v>
      </c>
      <c r="J582" s="9">
        <f>'Tyre wear'!K48</f>
        <v>2</v>
      </c>
      <c r="K582" s="160">
        <f>'Tyre wear'!L48</f>
        <v>0.2160744213792255</v>
      </c>
      <c r="L582" s="52"/>
    </row>
    <row r="583" spans="1:12">
      <c r="A583" s="625" t="str">
        <f>'Tyre wear'!B49</f>
        <v>Tyre wear</v>
      </c>
      <c r="B583" s="235">
        <f>'Tyre wear'!C49</f>
        <v>2005</v>
      </c>
      <c r="C583" s="40" t="str">
        <f>'Tyre wear'!D49</f>
        <v>RUBBER</v>
      </c>
      <c r="D583" s="55">
        <f>'Tyre wear'!E49</f>
        <v>330.49692430627994</v>
      </c>
      <c r="E583" s="40" t="str">
        <f>'Tyre wear'!F49</f>
        <v>LOW - Scaling from NL to EU using population</v>
      </c>
      <c r="F583" s="29">
        <f>'Tyre wear'!G49</f>
        <v>1</v>
      </c>
      <c r="G583" s="9">
        <f>'Tyre wear'!H49</f>
        <v>1</v>
      </c>
      <c r="H583" s="9">
        <f>'Tyre wear'!I49</f>
        <v>1</v>
      </c>
      <c r="I583" s="9">
        <f>'Tyre wear'!J49</f>
        <v>1</v>
      </c>
      <c r="J583" s="9">
        <f>'Tyre wear'!K49</f>
        <v>2</v>
      </c>
      <c r="K583" s="160">
        <f>'Tyre wear'!L49</f>
        <v>0.2160744213792255</v>
      </c>
      <c r="L583" s="52"/>
    </row>
    <row r="584" spans="1:12">
      <c r="A584" s="625" t="str">
        <f>'Tyre wear'!B51</f>
        <v>Tyre wear</v>
      </c>
      <c r="B584" s="235">
        <f>'Tyre wear'!C51</f>
        <v>2015</v>
      </c>
      <c r="C584" s="40" t="str">
        <f>'Tyre wear'!D51</f>
        <v>RUBBER</v>
      </c>
      <c r="D584" s="55">
        <f>'Tyre wear'!E51</f>
        <v>333.36119378416316</v>
      </c>
      <c r="E584" s="40" t="str">
        <f>'Tyre wear'!F51</f>
        <v>LOW - Scaling from NL to EU using population</v>
      </c>
      <c r="F584" s="29">
        <f>'Tyre wear'!G51</f>
        <v>1</v>
      </c>
      <c r="G584" s="9">
        <f>'Tyre wear'!H51</f>
        <v>1</v>
      </c>
      <c r="H584" s="9">
        <f>'Tyre wear'!I51</f>
        <v>1</v>
      </c>
      <c r="I584" s="9">
        <f>'Tyre wear'!J51</f>
        <v>1</v>
      </c>
      <c r="J584" s="9">
        <f>'Tyre wear'!K51</f>
        <v>2</v>
      </c>
      <c r="K584" s="160">
        <f>'Tyre wear'!L51</f>
        <v>0.2160744213792255</v>
      </c>
      <c r="L584" s="52"/>
    </row>
    <row r="585" spans="1:12">
      <c r="A585" s="625" t="str">
        <f>'Tyre wear'!B50</f>
        <v>Tyre wear</v>
      </c>
      <c r="B585" s="235">
        <f>'Tyre wear'!C50</f>
        <v>2010</v>
      </c>
      <c r="C585" s="40" t="str">
        <f>'Tyre wear'!D50</f>
        <v>RUBBER</v>
      </c>
      <c r="D585" s="55">
        <f>'Tyre wear'!E50</f>
        <v>333.95978463908972</v>
      </c>
      <c r="E585" s="40" t="str">
        <f>'Tyre wear'!F50</f>
        <v>LOW - Scaling from NL to EU using population</v>
      </c>
      <c r="F585" s="29">
        <f>'Tyre wear'!G50</f>
        <v>1</v>
      </c>
      <c r="G585" s="9">
        <f>'Tyre wear'!H50</f>
        <v>1</v>
      </c>
      <c r="H585" s="9">
        <f>'Tyre wear'!I50</f>
        <v>1</v>
      </c>
      <c r="I585" s="9">
        <f>'Tyre wear'!J50</f>
        <v>1</v>
      </c>
      <c r="J585" s="9">
        <f>'Tyre wear'!K50</f>
        <v>2</v>
      </c>
      <c r="K585" s="160">
        <f>'Tyre wear'!L50</f>
        <v>0.2160744213792255</v>
      </c>
      <c r="L585" s="52"/>
    </row>
    <row r="586" spans="1:12">
      <c r="A586" s="625" t="str">
        <f>'Tyre wear'!B52</f>
        <v>Tyre wear</v>
      </c>
      <c r="B586" s="235">
        <f>'Tyre wear'!C52</f>
        <v>2019</v>
      </c>
      <c r="C586" s="40" t="str">
        <f>'Tyre wear'!D52</f>
        <v>RUBBER</v>
      </c>
      <c r="D586" s="55">
        <f>'Tyre wear'!E52</f>
        <v>347.5284875289928</v>
      </c>
      <c r="E586" s="40" t="str">
        <f>'Tyre wear'!F52</f>
        <v>LOW - Scaling from NL to EU using population</v>
      </c>
      <c r="F586" s="29">
        <f>'Tyre wear'!G52</f>
        <v>1</v>
      </c>
      <c r="G586" s="9">
        <f>'Tyre wear'!H52</f>
        <v>1</v>
      </c>
      <c r="H586" s="9">
        <f>'Tyre wear'!I52</f>
        <v>1</v>
      </c>
      <c r="I586" s="9">
        <f>'Tyre wear'!J52</f>
        <v>1</v>
      </c>
      <c r="J586" s="9">
        <f>'Tyre wear'!K52</f>
        <v>2</v>
      </c>
      <c r="K586" s="160">
        <f>'Tyre wear'!L52</f>
        <v>0.2160744213792255</v>
      </c>
      <c r="L586" s="52"/>
    </row>
    <row r="587" spans="1:12">
      <c r="A587" s="625" t="str">
        <f>'Tyre wear'!B55</f>
        <v>Tyre wear</v>
      </c>
      <c r="B587" s="235">
        <f>'Tyre wear'!C55</f>
        <v>1990</v>
      </c>
      <c r="C587" s="40" t="str">
        <f>'Tyre wear'!D55</f>
        <v>RUBBER</v>
      </c>
      <c r="D587" s="55">
        <f>'Tyre wear'!E55</f>
        <v>505.23406118894758</v>
      </c>
      <c r="E587" s="40" t="str">
        <f>'Tyre wear'!F55</f>
        <v>HIGH - Scaling from NL to EU using population</v>
      </c>
      <c r="F587" s="29">
        <f>'Tyre wear'!G55</f>
        <v>1</v>
      </c>
      <c r="G587" s="9">
        <f>'Tyre wear'!H55</f>
        <v>1</v>
      </c>
      <c r="H587" s="9">
        <f>'Tyre wear'!I55</f>
        <v>1</v>
      </c>
      <c r="I587" s="9">
        <f>'Tyre wear'!J55</f>
        <v>1</v>
      </c>
      <c r="J587" s="9">
        <f>'Tyre wear'!K55</f>
        <v>2</v>
      </c>
      <c r="K587" s="160">
        <v>0.61786151866399042</v>
      </c>
      <c r="L587" s="52"/>
    </row>
    <row r="588" spans="1:12">
      <c r="A588" s="625" t="str">
        <f>'Tyre wear'!B56</f>
        <v>Tyre wear</v>
      </c>
      <c r="B588" s="235">
        <f>'Tyre wear'!C56</f>
        <v>1995</v>
      </c>
      <c r="C588" s="40" t="str">
        <f>'Tyre wear'!D56</f>
        <v>RUBBER</v>
      </c>
      <c r="D588" s="55">
        <f>'Tyre wear'!E56</f>
        <v>532.27281391654117</v>
      </c>
      <c r="E588" s="40" t="str">
        <f>'Tyre wear'!F56</f>
        <v>HIGH - Scaling from NL to EU using population</v>
      </c>
      <c r="F588" s="29">
        <f>'Tyre wear'!G56</f>
        <v>1</v>
      </c>
      <c r="G588" s="9">
        <f>'Tyre wear'!H56</f>
        <v>1</v>
      </c>
      <c r="H588" s="9">
        <f>'Tyre wear'!I56</f>
        <v>1</v>
      </c>
      <c r="I588" s="9">
        <f>'Tyre wear'!J56</f>
        <v>1</v>
      </c>
      <c r="J588" s="9">
        <f>'Tyre wear'!K56</f>
        <v>2</v>
      </c>
      <c r="K588" s="160">
        <v>0.61786151866399042</v>
      </c>
      <c r="L588" s="52"/>
    </row>
    <row r="589" spans="1:12">
      <c r="A589" s="625" t="str">
        <f>'Tyre wear'!B62</f>
        <v>Tyre wear</v>
      </c>
      <c r="B589" s="235">
        <f>'Tyre wear'!C62</f>
        <v>2020</v>
      </c>
      <c r="C589" s="40" t="str">
        <f>'Tyre wear'!D62</f>
        <v>RUBBER</v>
      </c>
      <c r="D589" s="55">
        <f>'Tyre wear'!E62</f>
        <v>551.8295293202433</v>
      </c>
      <c r="E589" s="40" t="str">
        <f>'Tyre wear'!F62</f>
        <v>HIGH - Scaling from NL to EU using population</v>
      </c>
      <c r="F589" s="29">
        <f>'Tyre wear'!G62</f>
        <v>1</v>
      </c>
      <c r="G589" s="9">
        <f>'Tyre wear'!H62</f>
        <v>1</v>
      </c>
      <c r="H589" s="9">
        <f>'Tyre wear'!I62</f>
        <v>1</v>
      </c>
      <c r="I589" s="9">
        <f>'Tyre wear'!J62</f>
        <v>1</v>
      </c>
      <c r="J589" s="9">
        <f>'Tyre wear'!K62</f>
        <v>2</v>
      </c>
      <c r="K589" s="160">
        <v>0.61786151866399042</v>
      </c>
      <c r="L589" s="52"/>
    </row>
    <row r="590" spans="1:12">
      <c r="A590" s="625" t="str">
        <f>'Tyre wear'!B57</f>
        <v>Tyre wear</v>
      </c>
      <c r="B590" s="235">
        <f>'Tyre wear'!C57</f>
        <v>2000</v>
      </c>
      <c r="C590" s="40" t="str">
        <f>'Tyre wear'!D57</f>
        <v>RUBBER</v>
      </c>
      <c r="D590" s="55">
        <f>'Tyre wear'!E57</f>
        <v>580.29664869474288</v>
      </c>
      <c r="E590" s="40" t="str">
        <f>'Tyre wear'!F57</f>
        <v>HIGH - Scaling from NL to EU using population</v>
      </c>
      <c r="F590" s="29">
        <f>'Tyre wear'!G57</f>
        <v>1</v>
      </c>
      <c r="G590" s="9">
        <f>'Tyre wear'!H57</f>
        <v>1</v>
      </c>
      <c r="H590" s="9">
        <f>'Tyre wear'!I57</f>
        <v>1</v>
      </c>
      <c r="I590" s="9">
        <f>'Tyre wear'!J57</f>
        <v>1</v>
      </c>
      <c r="J590" s="9">
        <f>'Tyre wear'!K57</f>
        <v>2</v>
      </c>
      <c r="K590" s="160">
        <v>0.61786151866399042</v>
      </c>
      <c r="L590" s="52"/>
    </row>
    <row r="591" spans="1:12">
      <c r="A591" s="625" t="str">
        <f>'Tyre wear'!B58</f>
        <v>Tyre wear</v>
      </c>
      <c r="B591" s="235">
        <f>'Tyre wear'!C58</f>
        <v>2005</v>
      </c>
      <c r="C591" s="40" t="str">
        <f>'Tyre wear'!D58</f>
        <v>RUBBER</v>
      </c>
      <c r="D591" s="55">
        <f>'Tyre wear'!E58</f>
        <v>608.59799475912735</v>
      </c>
      <c r="E591" s="40" t="str">
        <f>'Tyre wear'!F58</f>
        <v>HIGH - Scaling from NL to EU using population</v>
      </c>
      <c r="F591" s="29">
        <f>'Tyre wear'!G58</f>
        <v>1</v>
      </c>
      <c r="G591" s="9">
        <f>'Tyre wear'!H58</f>
        <v>1</v>
      </c>
      <c r="H591" s="9">
        <f>'Tyre wear'!I58</f>
        <v>1</v>
      </c>
      <c r="I591" s="9">
        <f>'Tyre wear'!J58</f>
        <v>1</v>
      </c>
      <c r="J591" s="9">
        <f>'Tyre wear'!K58</f>
        <v>2</v>
      </c>
      <c r="K591" s="160">
        <v>0.61786151866399042</v>
      </c>
      <c r="L591" s="52"/>
    </row>
    <row r="592" spans="1:12">
      <c r="A592" s="625" t="str">
        <f>'Tyre wear'!B60</f>
        <v>Tyre wear</v>
      </c>
      <c r="B592" s="235">
        <f>'Tyre wear'!C60</f>
        <v>2015</v>
      </c>
      <c r="C592" s="40" t="str">
        <f>'Tyre wear'!D60</f>
        <v>RUBBER</v>
      </c>
      <c r="D592" s="55">
        <f>'Tyre wear'!E60</f>
        <v>613.87244221230344</v>
      </c>
      <c r="E592" s="40" t="str">
        <f>'Tyre wear'!F60</f>
        <v>HIGH - Scaling from NL to EU using population</v>
      </c>
      <c r="F592" s="29">
        <f>'Tyre wear'!G60</f>
        <v>1</v>
      </c>
      <c r="G592" s="9">
        <f>'Tyre wear'!H60</f>
        <v>1</v>
      </c>
      <c r="H592" s="9">
        <f>'Tyre wear'!I60</f>
        <v>1</v>
      </c>
      <c r="I592" s="9">
        <f>'Tyre wear'!J60</f>
        <v>1</v>
      </c>
      <c r="J592" s="9">
        <f>'Tyre wear'!K60</f>
        <v>2</v>
      </c>
      <c r="K592" s="160">
        <v>0.61786151866399042</v>
      </c>
      <c r="L592" s="52"/>
    </row>
    <row r="593" spans="1:12">
      <c r="A593" s="625" t="str">
        <f>'Tyre wear'!B59</f>
        <v>Tyre wear</v>
      </c>
      <c r="B593" s="235">
        <f>'Tyre wear'!C59</f>
        <v>2010</v>
      </c>
      <c r="C593" s="40" t="str">
        <f>'Tyre wear'!D59</f>
        <v>RUBBER</v>
      </c>
      <c r="D593" s="55">
        <f>'Tyre wear'!E59</f>
        <v>614.97472537198053</v>
      </c>
      <c r="E593" s="40" t="str">
        <f>'Tyre wear'!F59</f>
        <v>HIGH - Scaling from NL to EU using population</v>
      </c>
      <c r="F593" s="29">
        <f>'Tyre wear'!G59</f>
        <v>1</v>
      </c>
      <c r="G593" s="9">
        <f>'Tyre wear'!H59</f>
        <v>1</v>
      </c>
      <c r="H593" s="9">
        <f>'Tyre wear'!I59</f>
        <v>1</v>
      </c>
      <c r="I593" s="9">
        <f>'Tyre wear'!J59</f>
        <v>1</v>
      </c>
      <c r="J593" s="9">
        <f>'Tyre wear'!K59</f>
        <v>2</v>
      </c>
      <c r="K593" s="160">
        <v>0.61786151866399042</v>
      </c>
      <c r="L593" s="52"/>
    </row>
    <row r="594" spans="1:12" ht="15.75" thickBot="1">
      <c r="A594" s="826" t="str">
        <f>'Tyre wear'!B61</f>
        <v>Tyre wear</v>
      </c>
      <c r="B594" s="236">
        <f>'Tyre wear'!C61</f>
        <v>2019</v>
      </c>
      <c r="C594" s="41" t="str">
        <f>'Tyre wear'!D61</f>
        <v>RUBBER</v>
      </c>
      <c r="D594" s="56">
        <f>'Tyre wear'!E61</f>
        <v>639.96099532777771</v>
      </c>
      <c r="E594" s="41" t="str">
        <f>'Tyre wear'!F61</f>
        <v>HIGH - Scaling from NL to EU using population</v>
      </c>
      <c r="F594" s="30">
        <f>'Tyre wear'!G61</f>
        <v>1</v>
      </c>
      <c r="G594" s="12">
        <f>'Tyre wear'!H61</f>
        <v>1</v>
      </c>
      <c r="H594" s="12">
        <f>'Tyre wear'!I61</f>
        <v>1</v>
      </c>
      <c r="I594" s="12">
        <f>'Tyre wear'!J61</f>
        <v>1</v>
      </c>
      <c r="J594" s="12">
        <f>'Tyre wear'!K61</f>
        <v>2</v>
      </c>
      <c r="K594" s="161">
        <v>0.61786151866399042</v>
      </c>
      <c r="L594" s="53"/>
    </row>
    <row r="595" spans="1:12">
      <c r="A595" s="7" t="s">
        <v>2046</v>
      </c>
      <c r="B595" s="7">
        <f>[1]Clothing!B109</f>
        <v>2011</v>
      </c>
      <c r="C595" s="7" t="str">
        <f>[1]Clothing!C109</f>
        <v>Acryl</v>
      </c>
      <c r="D595" s="64">
        <f>[1]Clothing!K109</f>
        <v>128.00471822053382</v>
      </c>
      <c r="E595" s="7" t="str">
        <f>[1]Input_NL!$E$812</f>
        <v>https://ec.europa.eu/eurostat/databrowser/view/DS-056120__custom_15192557/default/table?lang=en - Low estimate</v>
      </c>
      <c r="F595" s="7">
        <f>[1]Clothing!O109</f>
        <v>1</v>
      </c>
      <c r="G595" s="7">
        <f>[1]Clothing!P109</f>
        <v>1</v>
      </c>
      <c r="H595" s="7">
        <f>[1]Clothing!Q109</f>
        <v>2</v>
      </c>
      <c r="I595" s="7">
        <f>[1]Clothing!R109</f>
        <v>2</v>
      </c>
      <c r="J595" s="7">
        <f>[1]Clothing!S109</f>
        <v>2</v>
      </c>
      <c r="K595" s="160">
        <f t="shared" ref="K595:K658" si="10">IF( OR( ISBLANK(F595),ISBLANK(G595), ISBLANK(H595), ISBLANK(I595), ISBLANK(J595) ), "", 1.5*SQRT(   EXP(2.21*(F595-1)) + EXP(2.21*(G595-1)) + EXP(2.21*(H595-1)) + EXP(2.21*(I595-1)) + EXP(2.21*J595)   )/100*2.45 )</f>
        <v>0.37356464144298934</v>
      </c>
    </row>
    <row r="596" spans="1:12">
      <c r="A596" s="7" t="s">
        <v>2046</v>
      </c>
      <c r="B596" s="7">
        <f>[1]Clothing!B110</f>
        <v>2011</v>
      </c>
      <c r="C596" s="7" t="str">
        <f>[1]Clothing!C110</f>
        <v>OTHER</v>
      </c>
      <c r="D596" s="64">
        <f>[1]Clothing!K110</f>
        <v>209.81733355425601</v>
      </c>
      <c r="E596" s="7" t="str">
        <f>[1]Input_NL!$E$812</f>
        <v>https://ec.europa.eu/eurostat/databrowser/view/DS-056120__custom_15192557/default/table?lang=en - Low estimate</v>
      </c>
      <c r="F596" s="7">
        <f>[1]Clothing!O110</f>
        <v>1</v>
      </c>
      <c r="G596" s="7">
        <f>[1]Clothing!P110</f>
        <v>1</v>
      </c>
      <c r="H596" s="7">
        <f>[1]Clothing!Q110</f>
        <v>2</v>
      </c>
      <c r="I596" s="7">
        <f>[1]Clothing!R110</f>
        <v>2</v>
      </c>
      <c r="J596" s="7">
        <f>[1]Clothing!S110</f>
        <v>2</v>
      </c>
      <c r="K596" s="160">
        <f t="shared" si="10"/>
        <v>0.37356464144298934</v>
      </c>
    </row>
    <row r="597" spans="1:12">
      <c r="A597" s="7" t="s">
        <v>2046</v>
      </c>
      <c r="B597" s="7">
        <f>[1]Clothing!B111</f>
        <v>2011</v>
      </c>
      <c r="C597" s="7" t="str">
        <f>[1]Clothing!C111</f>
        <v>PA</v>
      </c>
      <c r="D597" s="64">
        <f>[1]Clothing!K111</f>
        <v>280.47351795825369</v>
      </c>
      <c r="E597" s="7" t="str">
        <f>[1]Input_NL!$E$812</f>
        <v>https://ec.europa.eu/eurostat/databrowser/view/DS-056120__custom_15192557/default/table?lang=en - Low estimate</v>
      </c>
      <c r="F597" s="7">
        <f>[1]Clothing!O111</f>
        <v>1</v>
      </c>
      <c r="G597" s="7">
        <f>[1]Clothing!P111</f>
        <v>1</v>
      </c>
      <c r="H597" s="7">
        <f>[1]Clothing!Q111</f>
        <v>2</v>
      </c>
      <c r="I597" s="7">
        <f>[1]Clothing!R111</f>
        <v>2</v>
      </c>
      <c r="J597" s="7">
        <f>[1]Clothing!S111</f>
        <v>2</v>
      </c>
      <c r="K597" s="160">
        <f t="shared" si="10"/>
        <v>0.37356464144298934</v>
      </c>
    </row>
    <row r="598" spans="1:12">
      <c r="A598" s="7" t="s">
        <v>2046</v>
      </c>
      <c r="B598" s="7">
        <f>[1]Clothing!B112</f>
        <v>2011</v>
      </c>
      <c r="C598" s="7" t="str">
        <f>[1]Clothing!C112</f>
        <v>PET</v>
      </c>
      <c r="D598" s="64">
        <f>[1]Clothing!K112</f>
        <v>1255.6099534356335</v>
      </c>
      <c r="E598" s="7" t="str">
        <f>[1]Input_NL!$E$812</f>
        <v>https://ec.europa.eu/eurostat/databrowser/view/DS-056120__custom_15192557/default/table?lang=en - Low estimate</v>
      </c>
      <c r="F598" s="7">
        <f>[1]Clothing!O112</f>
        <v>1</v>
      </c>
      <c r="G598" s="7">
        <f>[1]Clothing!P112</f>
        <v>1</v>
      </c>
      <c r="H598" s="7">
        <f>[1]Clothing!Q112</f>
        <v>2</v>
      </c>
      <c r="I598" s="7">
        <f>[1]Clothing!R112</f>
        <v>2</v>
      </c>
      <c r="J598" s="7">
        <f>[1]Clothing!S112</f>
        <v>2</v>
      </c>
      <c r="K598" s="160">
        <f t="shared" si="10"/>
        <v>0.37356464144298934</v>
      </c>
    </row>
    <row r="599" spans="1:12">
      <c r="A599" s="7" t="s">
        <v>2046</v>
      </c>
      <c r="B599" s="7">
        <f>[1]Clothing!B113</f>
        <v>2011</v>
      </c>
      <c r="C599" s="7" t="str">
        <f>[1]Clothing!C113</f>
        <v>PUR</v>
      </c>
      <c r="D599" s="64">
        <f>[1]Clothing!K113</f>
        <v>152.60514814044893</v>
      </c>
      <c r="E599" s="7" t="str">
        <f>[1]Input_NL!$E$812</f>
        <v>https://ec.europa.eu/eurostat/databrowser/view/DS-056120__custom_15192557/default/table?lang=en - Low estimate</v>
      </c>
      <c r="F599" s="7">
        <f>[1]Clothing!O113</f>
        <v>1</v>
      </c>
      <c r="G599" s="7">
        <f>[1]Clothing!P113</f>
        <v>1</v>
      </c>
      <c r="H599" s="7">
        <f>[1]Clothing!Q113</f>
        <v>2</v>
      </c>
      <c r="I599" s="7">
        <f>[1]Clothing!R113</f>
        <v>2</v>
      </c>
      <c r="J599" s="7">
        <f>[1]Clothing!S113</f>
        <v>2</v>
      </c>
      <c r="K599" s="160">
        <f t="shared" si="10"/>
        <v>0.37356464144298934</v>
      </c>
    </row>
    <row r="600" spans="1:12">
      <c r="A600" s="7" t="s">
        <v>2046</v>
      </c>
      <c r="B600" s="7">
        <f>[1]Clothing!B114</f>
        <v>2011</v>
      </c>
      <c r="C600" s="7" t="str">
        <f>[1]Clothing!C114</f>
        <v>PVC</v>
      </c>
      <c r="D600" s="64">
        <f>[1]Clothing!K114</f>
        <v>99.107873413830859</v>
      </c>
      <c r="E600" s="7" t="str">
        <f>[1]Input_NL!$E$812</f>
        <v>https://ec.europa.eu/eurostat/databrowser/view/DS-056120__custom_15192557/default/table?lang=en - Low estimate</v>
      </c>
      <c r="F600" s="7">
        <f>[1]Clothing!O114</f>
        <v>1</v>
      </c>
      <c r="G600" s="7">
        <f>[1]Clothing!P114</f>
        <v>1</v>
      </c>
      <c r="H600" s="7">
        <f>[1]Clothing!Q114</f>
        <v>2</v>
      </c>
      <c r="I600" s="7">
        <f>[1]Clothing!R114</f>
        <v>2</v>
      </c>
      <c r="J600" s="7">
        <f>[1]Clothing!S114</f>
        <v>2</v>
      </c>
      <c r="K600" s="160">
        <f t="shared" si="10"/>
        <v>0.37356464144298934</v>
      </c>
    </row>
    <row r="601" spans="1:12">
      <c r="A601" s="7" t="s">
        <v>2046</v>
      </c>
      <c r="B601" s="7">
        <f>[1]Clothing!B115</f>
        <v>2011</v>
      </c>
      <c r="C601" s="7" t="str">
        <f>[1]Clothing!C115</f>
        <v>RUBBER</v>
      </c>
      <c r="D601" s="64">
        <f>[1]Clothing!K115</f>
        <v>215.80381803166551</v>
      </c>
      <c r="E601" s="7" t="str">
        <f>[1]Input_NL!$E$812</f>
        <v>https://ec.europa.eu/eurostat/databrowser/view/DS-056120__custom_15192557/default/table?lang=en - Low estimate</v>
      </c>
      <c r="F601" s="7">
        <f>[1]Clothing!O115</f>
        <v>1</v>
      </c>
      <c r="G601" s="7">
        <f>[1]Clothing!P115</f>
        <v>1</v>
      </c>
      <c r="H601" s="7">
        <f>[1]Clothing!Q115</f>
        <v>2</v>
      </c>
      <c r="I601" s="7">
        <f>[1]Clothing!R115</f>
        <v>2</v>
      </c>
      <c r="J601" s="7">
        <f>[1]Clothing!S115</f>
        <v>2</v>
      </c>
      <c r="K601" s="160">
        <f t="shared" si="10"/>
        <v>0.37356464144298934</v>
      </c>
    </row>
    <row r="602" spans="1:12">
      <c r="A602" s="7" t="s">
        <v>2046</v>
      </c>
      <c r="B602" s="7">
        <f>[1]Clothing!B116</f>
        <v>2012</v>
      </c>
      <c r="C602" s="7" t="str">
        <f>[1]Clothing!C116</f>
        <v>Acryl</v>
      </c>
      <c r="D602" s="64">
        <f>[1]Clothing!K116</f>
        <v>95.679475975761164</v>
      </c>
      <c r="E602" s="7" t="str">
        <f>[1]Input_NL!$E$812</f>
        <v>https://ec.europa.eu/eurostat/databrowser/view/DS-056120__custom_15192557/default/table?lang=en - Low estimate</v>
      </c>
      <c r="F602" s="7">
        <f>[1]Clothing!O116</f>
        <v>1</v>
      </c>
      <c r="G602" s="7">
        <f>[1]Clothing!P116</f>
        <v>1</v>
      </c>
      <c r="H602" s="7">
        <f>[1]Clothing!Q116</f>
        <v>2</v>
      </c>
      <c r="I602" s="7">
        <f>[1]Clothing!R116</f>
        <v>2</v>
      </c>
      <c r="J602" s="7">
        <f>[1]Clothing!S116</f>
        <v>2</v>
      </c>
      <c r="K602" s="160">
        <f t="shared" si="10"/>
        <v>0.37356464144298934</v>
      </c>
    </row>
    <row r="603" spans="1:12">
      <c r="A603" s="7" t="s">
        <v>2046</v>
      </c>
      <c r="B603" s="7">
        <f>[1]Clothing!B117</f>
        <v>2012</v>
      </c>
      <c r="C603" s="7" t="str">
        <f>[1]Clothing!C117</f>
        <v>OTHER</v>
      </c>
      <c r="D603" s="64">
        <f>[1]Clothing!K117</f>
        <v>165.87520937884773</v>
      </c>
      <c r="E603" s="7" t="str">
        <f>[1]Input_NL!$E$812</f>
        <v>https://ec.europa.eu/eurostat/databrowser/view/DS-056120__custom_15192557/default/table?lang=en - Low estimate</v>
      </c>
      <c r="F603" s="7">
        <f>[1]Clothing!O117</f>
        <v>1</v>
      </c>
      <c r="G603" s="7">
        <f>[1]Clothing!P117</f>
        <v>1</v>
      </c>
      <c r="H603" s="7">
        <f>[1]Clothing!Q117</f>
        <v>2</v>
      </c>
      <c r="I603" s="7">
        <f>[1]Clothing!R117</f>
        <v>2</v>
      </c>
      <c r="J603" s="7">
        <f>[1]Clothing!S117</f>
        <v>2</v>
      </c>
      <c r="K603" s="160">
        <f t="shared" si="10"/>
        <v>0.37356464144298934</v>
      </c>
    </row>
    <row r="604" spans="1:12">
      <c r="A604" s="7" t="s">
        <v>2046</v>
      </c>
      <c r="B604" s="7">
        <f>[1]Clothing!B118</f>
        <v>2012</v>
      </c>
      <c r="C604" s="7" t="str">
        <f>[1]Clothing!C118</f>
        <v>PA</v>
      </c>
      <c r="D604" s="64">
        <f>[1]Clothing!K118</f>
        <v>203.80363075095224</v>
      </c>
      <c r="E604" s="7" t="str">
        <f>[1]Input_NL!$E$812</f>
        <v>https://ec.europa.eu/eurostat/databrowser/view/DS-056120__custom_15192557/default/table?lang=en - Low estimate</v>
      </c>
      <c r="F604" s="7">
        <f>[1]Clothing!O118</f>
        <v>1</v>
      </c>
      <c r="G604" s="7">
        <f>[1]Clothing!P118</f>
        <v>1</v>
      </c>
      <c r="H604" s="7">
        <f>[1]Clothing!Q118</f>
        <v>2</v>
      </c>
      <c r="I604" s="7">
        <f>[1]Clothing!R118</f>
        <v>2</v>
      </c>
      <c r="J604" s="7">
        <f>[1]Clothing!S118</f>
        <v>2</v>
      </c>
      <c r="K604" s="160">
        <f t="shared" si="10"/>
        <v>0.37356464144298934</v>
      </c>
    </row>
    <row r="605" spans="1:12">
      <c r="A605" s="7" t="s">
        <v>2046</v>
      </c>
      <c r="B605" s="7">
        <f>[1]Clothing!B119</f>
        <v>2012</v>
      </c>
      <c r="C605" s="7" t="str">
        <f>[1]Clothing!C119</f>
        <v>PET</v>
      </c>
      <c r="D605" s="64">
        <f>[1]Clothing!K119</f>
        <v>1074.6175373409505</v>
      </c>
      <c r="E605" s="7" t="str">
        <f>[1]Input_NL!$E$812</f>
        <v>https://ec.europa.eu/eurostat/databrowser/view/DS-056120__custom_15192557/default/table?lang=en - Low estimate</v>
      </c>
      <c r="F605" s="7">
        <f>[1]Clothing!O119</f>
        <v>1</v>
      </c>
      <c r="G605" s="7">
        <f>[1]Clothing!P119</f>
        <v>1</v>
      </c>
      <c r="H605" s="7">
        <f>[1]Clothing!Q119</f>
        <v>2</v>
      </c>
      <c r="I605" s="7">
        <f>[1]Clothing!R119</f>
        <v>2</v>
      </c>
      <c r="J605" s="7">
        <f>[1]Clothing!S119</f>
        <v>2</v>
      </c>
      <c r="K605" s="160">
        <f t="shared" si="10"/>
        <v>0.37356464144298934</v>
      </c>
    </row>
    <row r="606" spans="1:12">
      <c r="A606" s="7" t="s">
        <v>2046</v>
      </c>
      <c r="B606" s="7">
        <f>[1]Clothing!B120</f>
        <v>2012</v>
      </c>
      <c r="C606" s="7" t="str">
        <f>[1]Clothing!C120</f>
        <v>PUR</v>
      </c>
      <c r="D606" s="64">
        <f>[1]Clothing!K120</f>
        <v>136.00551465713366</v>
      </c>
      <c r="E606" s="7" t="str">
        <f>[1]Input_NL!$E$812</f>
        <v>https://ec.europa.eu/eurostat/databrowser/view/DS-056120__custom_15192557/default/table?lang=en - Low estimate</v>
      </c>
      <c r="F606" s="7">
        <f>[1]Clothing!O120</f>
        <v>1</v>
      </c>
      <c r="G606" s="7">
        <f>[1]Clothing!P120</f>
        <v>1</v>
      </c>
      <c r="H606" s="7">
        <f>[1]Clothing!Q120</f>
        <v>2</v>
      </c>
      <c r="I606" s="7">
        <f>[1]Clothing!R120</f>
        <v>2</v>
      </c>
      <c r="J606" s="7">
        <f>[1]Clothing!S120</f>
        <v>2</v>
      </c>
      <c r="K606" s="160">
        <f t="shared" si="10"/>
        <v>0.37356464144298934</v>
      </c>
    </row>
    <row r="607" spans="1:12">
      <c r="A607" s="7" t="s">
        <v>2046</v>
      </c>
      <c r="B607" s="7">
        <f>[1]Clothing!B121</f>
        <v>2012</v>
      </c>
      <c r="C607" s="7" t="str">
        <f>[1]Clothing!C121</f>
        <v>PVC</v>
      </c>
      <c r="D607" s="64">
        <f>[1]Clothing!K121</f>
        <v>87.815772141648651</v>
      </c>
      <c r="E607" s="7" t="str">
        <f>[1]Input_NL!$E$812</f>
        <v>https://ec.europa.eu/eurostat/databrowser/view/DS-056120__custom_15192557/default/table?lang=en - Low estimate</v>
      </c>
      <c r="F607" s="7">
        <f>[1]Clothing!O121</f>
        <v>1</v>
      </c>
      <c r="G607" s="7">
        <f>[1]Clothing!P121</f>
        <v>1</v>
      </c>
      <c r="H607" s="7">
        <f>[1]Clothing!Q121</f>
        <v>2</v>
      </c>
      <c r="I607" s="7">
        <f>[1]Clothing!R121</f>
        <v>2</v>
      </c>
      <c r="J607" s="7">
        <f>[1]Clothing!S121</f>
        <v>2</v>
      </c>
      <c r="K607" s="160">
        <f t="shared" si="10"/>
        <v>0.37356464144298934</v>
      </c>
    </row>
    <row r="608" spans="1:12">
      <c r="A608" s="7" t="s">
        <v>2046</v>
      </c>
      <c r="B608" s="7">
        <f>[1]Clothing!B122</f>
        <v>2012</v>
      </c>
      <c r="C608" s="7" t="str">
        <f>[1]Clothing!C122</f>
        <v>RUBBER</v>
      </c>
      <c r="D608" s="64">
        <f>[1]Clothing!K122</f>
        <v>186.02629325631176</v>
      </c>
      <c r="E608" s="7" t="str">
        <f>[1]Input_NL!$E$812</f>
        <v>https://ec.europa.eu/eurostat/databrowser/view/DS-056120__custom_15192557/default/table?lang=en - Low estimate</v>
      </c>
      <c r="F608" s="7">
        <f>[1]Clothing!O122</f>
        <v>1</v>
      </c>
      <c r="G608" s="7">
        <f>[1]Clothing!P122</f>
        <v>1</v>
      </c>
      <c r="H608" s="7">
        <f>[1]Clothing!Q122</f>
        <v>2</v>
      </c>
      <c r="I608" s="7">
        <f>[1]Clothing!R122</f>
        <v>2</v>
      </c>
      <c r="J608" s="7">
        <f>[1]Clothing!S122</f>
        <v>2</v>
      </c>
      <c r="K608" s="160">
        <f t="shared" si="10"/>
        <v>0.37356464144298934</v>
      </c>
    </row>
    <row r="609" spans="1:11">
      <c r="A609" s="7" t="s">
        <v>2046</v>
      </c>
      <c r="B609" s="7">
        <f>[1]Clothing!B123</f>
        <v>2013</v>
      </c>
      <c r="C609" s="7" t="str">
        <f>[1]Clothing!C123</f>
        <v>Acryl</v>
      </c>
      <c r="D609" s="64">
        <f>[1]Clothing!K123</f>
        <v>101.37217451932561</v>
      </c>
      <c r="E609" s="7" t="str">
        <f>[1]Input_NL!$E$812</f>
        <v>https://ec.europa.eu/eurostat/databrowser/view/DS-056120__custom_15192557/default/table?lang=en - Low estimate</v>
      </c>
      <c r="F609" s="7">
        <f>[1]Clothing!O123</f>
        <v>1</v>
      </c>
      <c r="G609" s="7">
        <f>[1]Clothing!P123</f>
        <v>1</v>
      </c>
      <c r="H609" s="7">
        <f>[1]Clothing!Q123</f>
        <v>2</v>
      </c>
      <c r="I609" s="7">
        <f>[1]Clothing!R123</f>
        <v>2</v>
      </c>
      <c r="J609" s="7">
        <f>[1]Clothing!S123</f>
        <v>2</v>
      </c>
      <c r="K609" s="160">
        <f t="shared" si="10"/>
        <v>0.37356464144298934</v>
      </c>
    </row>
    <row r="610" spans="1:11">
      <c r="A610" s="7" t="s">
        <v>2046</v>
      </c>
      <c r="B610" s="7">
        <f>[1]Clothing!B124</f>
        <v>2013</v>
      </c>
      <c r="C610" s="7" t="str">
        <f>[1]Clothing!C124</f>
        <v>OTHER</v>
      </c>
      <c r="D610" s="64">
        <f>[1]Clothing!K124</f>
        <v>172.72011454363258</v>
      </c>
      <c r="E610" s="7" t="str">
        <f>[1]Input_NL!$E$812</f>
        <v>https://ec.europa.eu/eurostat/databrowser/view/DS-056120__custom_15192557/default/table?lang=en - Low estimate</v>
      </c>
      <c r="F610" s="7">
        <f>[1]Clothing!O124</f>
        <v>1</v>
      </c>
      <c r="G610" s="7">
        <f>[1]Clothing!P124</f>
        <v>1</v>
      </c>
      <c r="H610" s="7">
        <f>[1]Clothing!Q124</f>
        <v>2</v>
      </c>
      <c r="I610" s="7">
        <f>[1]Clothing!R124</f>
        <v>2</v>
      </c>
      <c r="J610" s="7">
        <f>[1]Clothing!S124</f>
        <v>2</v>
      </c>
      <c r="K610" s="160">
        <f t="shared" si="10"/>
        <v>0.37356464144298934</v>
      </c>
    </row>
    <row r="611" spans="1:11">
      <c r="A611" s="7" t="s">
        <v>2046</v>
      </c>
      <c r="B611" s="7">
        <f>[1]Clothing!B125</f>
        <v>2013</v>
      </c>
      <c r="C611" s="7" t="str">
        <f>[1]Clothing!C125</f>
        <v>PA</v>
      </c>
      <c r="D611" s="64">
        <f>[1]Clothing!K125</f>
        <v>213.02135330109527</v>
      </c>
      <c r="E611" s="7" t="str">
        <f>[1]Input_NL!$E$812</f>
        <v>https://ec.europa.eu/eurostat/databrowser/view/DS-056120__custom_15192557/default/table?lang=en - Low estimate</v>
      </c>
      <c r="F611" s="7">
        <f>[1]Clothing!O125</f>
        <v>1</v>
      </c>
      <c r="G611" s="7">
        <f>[1]Clothing!P125</f>
        <v>1</v>
      </c>
      <c r="H611" s="7">
        <f>[1]Clothing!Q125</f>
        <v>2</v>
      </c>
      <c r="I611" s="7">
        <f>[1]Clothing!R125</f>
        <v>2</v>
      </c>
      <c r="J611" s="7">
        <f>[1]Clothing!S125</f>
        <v>2</v>
      </c>
      <c r="K611" s="160">
        <f t="shared" si="10"/>
        <v>0.37356464144298934</v>
      </c>
    </row>
    <row r="612" spans="1:11">
      <c r="A612" s="7" t="s">
        <v>2046</v>
      </c>
      <c r="B612" s="7">
        <f>[1]Clothing!B126</f>
        <v>2013</v>
      </c>
      <c r="C612" s="7" t="str">
        <f>[1]Clothing!C126</f>
        <v>PET</v>
      </c>
      <c r="D612" s="64">
        <f>[1]Clothing!K126</f>
        <v>1129.5225554743433</v>
      </c>
      <c r="E612" s="7" t="str">
        <f>[1]Input_NL!$E$812</f>
        <v>https://ec.europa.eu/eurostat/databrowser/view/DS-056120__custom_15192557/default/table?lang=en - Low estimate</v>
      </c>
      <c r="F612" s="7">
        <f>[1]Clothing!O126</f>
        <v>1</v>
      </c>
      <c r="G612" s="7">
        <f>[1]Clothing!P126</f>
        <v>1</v>
      </c>
      <c r="H612" s="7">
        <f>[1]Clothing!Q126</f>
        <v>2</v>
      </c>
      <c r="I612" s="7">
        <f>[1]Clothing!R126</f>
        <v>2</v>
      </c>
      <c r="J612" s="7">
        <f>[1]Clothing!S126</f>
        <v>2</v>
      </c>
      <c r="K612" s="160">
        <f t="shared" si="10"/>
        <v>0.37356464144298934</v>
      </c>
    </row>
    <row r="613" spans="1:11">
      <c r="A613" s="7" t="s">
        <v>2046</v>
      </c>
      <c r="B613" s="7">
        <f>[1]Clothing!B127</f>
        <v>2013</v>
      </c>
      <c r="C613" s="7" t="str">
        <f>[1]Clothing!C127</f>
        <v>PUR</v>
      </c>
      <c r="D613" s="64">
        <f>[1]Clothing!K127</f>
        <v>139.32868413165403</v>
      </c>
      <c r="E613" s="7" t="str">
        <f>[1]Input_NL!$E$812</f>
        <v>https://ec.europa.eu/eurostat/databrowser/view/DS-056120__custom_15192557/default/table?lang=en - Low estimate</v>
      </c>
      <c r="F613" s="7">
        <f>[1]Clothing!O127</f>
        <v>1</v>
      </c>
      <c r="G613" s="7">
        <f>[1]Clothing!P127</f>
        <v>1</v>
      </c>
      <c r="H613" s="7">
        <f>[1]Clothing!Q127</f>
        <v>2</v>
      </c>
      <c r="I613" s="7">
        <f>[1]Clothing!R127</f>
        <v>2</v>
      </c>
      <c r="J613" s="7">
        <f>[1]Clothing!S127</f>
        <v>2</v>
      </c>
      <c r="K613" s="160">
        <f t="shared" si="10"/>
        <v>0.37356464144298934</v>
      </c>
    </row>
    <row r="614" spans="1:11">
      <c r="A614" s="7" t="s">
        <v>2046</v>
      </c>
      <c r="B614" s="7">
        <f>[1]Clothing!B128</f>
        <v>2013</v>
      </c>
      <c r="C614" s="7" t="str">
        <f>[1]Clothing!C128</f>
        <v>PVC</v>
      </c>
      <c r="D614" s="64">
        <f>[1]Clothing!K128</f>
        <v>90.048788857326286</v>
      </c>
      <c r="E614" s="7" t="str">
        <f>[1]Input_NL!$E$812</f>
        <v>https://ec.europa.eu/eurostat/databrowser/view/DS-056120__custom_15192557/default/table?lang=en - Low estimate</v>
      </c>
      <c r="F614" s="7">
        <f>[1]Clothing!O128</f>
        <v>1</v>
      </c>
      <c r="G614" s="7">
        <f>[1]Clothing!P128</f>
        <v>1</v>
      </c>
      <c r="H614" s="7">
        <f>[1]Clothing!Q128</f>
        <v>2</v>
      </c>
      <c r="I614" s="7">
        <f>[1]Clothing!R128</f>
        <v>2</v>
      </c>
      <c r="J614" s="7">
        <f>[1]Clothing!S128</f>
        <v>2</v>
      </c>
      <c r="K614" s="160">
        <f t="shared" si="10"/>
        <v>0.37356464144298934</v>
      </c>
    </row>
    <row r="615" spans="1:11">
      <c r="A615" s="7" t="s">
        <v>2046</v>
      </c>
      <c r="B615" s="7">
        <f>[1]Clothing!B129</f>
        <v>2013</v>
      </c>
      <c r="C615" s="7" t="str">
        <f>[1]Clothing!C129</f>
        <v>RUBBER</v>
      </c>
      <c r="D615" s="64">
        <f>[1]Clothing!K129</f>
        <v>191.98337676717932</v>
      </c>
      <c r="E615" s="7" t="str">
        <f>[1]Input_NL!$E$812</f>
        <v>https://ec.europa.eu/eurostat/databrowser/view/DS-056120__custom_15192557/default/table?lang=en - Low estimate</v>
      </c>
      <c r="F615" s="7">
        <f>[1]Clothing!O129</f>
        <v>1</v>
      </c>
      <c r="G615" s="7">
        <f>[1]Clothing!P129</f>
        <v>1</v>
      </c>
      <c r="H615" s="7">
        <f>[1]Clothing!Q129</f>
        <v>2</v>
      </c>
      <c r="I615" s="7">
        <f>[1]Clothing!R129</f>
        <v>2</v>
      </c>
      <c r="J615" s="7">
        <f>[1]Clothing!S129</f>
        <v>2</v>
      </c>
      <c r="K615" s="160">
        <f t="shared" si="10"/>
        <v>0.37356464144298934</v>
      </c>
    </row>
    <row r="616" spans="1:11">
      <c r="A616" s="7" t="s">
        <v>2046</v>
      </c>
      <c r="B616" s="7">
        <f>[1]Clothing!B130</f>
        <v>2014</v>
      </c>
      <c r="C616" s="7" t="str">
        <f>[1]Clothing!C130</f>
        <v>Acryl</v>
      </c>
      <c r="D616" s="64">
        <f>[1]Clothing!K130</f>
        <v>114.60964804554116</v>
      </c>
      <c r="E616" s="7" t="str">
        <f>[1]Input_NL!$E$812</f>
        <v>https://ec.europa.eu/eurostat/databrowser/view/DS-056120__custom_15192557/default/table?lang=en - Low estimate</v>
      </c>
      <c r="F616" s="7">
        <f>[1]Clothing!O130</f>
        <v>1</v>
      </c>
      <c r="G616" s="7">
        <f>[1]Clothing!P130</f>
        <v>1</v>
      </c>
      <c r="H616" s="7">
        <f>[1]Clothing!Q130</f>
        <v>2</v>
      </c>
      <c r="I616" s="7">
        <f>[1]Clothing!R130</f>
        <v>2</v>
      </c>
      <c r="J616" s="7">
        <f>[1]Clothing!S130</f>
        <v>2</v>
      </c>
      <c r="K616" s="160">
        <f t="shared" si="10"/>
        <v>0.37356464144298934</v>
      </c>
    </row>
    <row r="617" spans="1:11">
      <c r="A617" s="7" t="s">
        <v>2046</v>
      </c>
      <c r="B617" s="7">
        <f>[1]Clothing!B131</f>
        <v>2014</v>
      </c>
      <c r="C617" s="7" t="str">
        <f>[1]Clothing!C131</f>
        <v>OTHER</v>
      </c>
      <c r="D617" s="64">
        <f>[1]Clothing!K131</f>
        <v>190.75321928450364</v>
      </c>
      <c r="E617" s="7" t="str">
        <f>[1]Input_NL!$E$812</f>
        <v>https://ec.europa.eu/eurostat/databrowser/view/DS-056120__custom_15192557/default/table?lang=en - Low estimate</v>
      </c>
      <c r="F617" s="7">
        <f>[1]Clothing!O131</f>
        <v>1</v>
      </c>
      <c r="G617" s="7">
        <f>[1]Clothing!P131</f>
        <v>1</v>
      </c>
      <c r="H617" s="7">
        <f>[1]Clothing!Q131</f>
        <v>2</v>
      </c>
      <c r="I617" s="7">
        <f>[1]Clothing!R131</f>
        <v>2</v>
      </c>
      <c r="J617" s="7">
        <f>[1]Clothing!S131</f>
        <v>2</v>
      </c>
      <c r="K617" s="160">
        <f t="shared" si="10"/>
        <v>0.37356464144298934</v>
      </c>
    </row>
    <row r="618" spans="1:11">
      <c r="A618" s="7" t="s">
        <v>2046</v>
      </c>
      <c r="B618" s="7">
        <f>[1]Clothing!B132</f>
        <v>2014</v>
      </c>
      <c r="C618" s="7" t="str">
        <f>[1]Clothing!C132</f>
        <v>PA</v>
      </c>
      <c r="D618" s="64">
        <f>[1]Clothing!K132</f>
        <v>234.78523689282349</v>
      </c>
      <c r="E618" s="7" t="str">
        <f>[1]Input_NL!$E$812</f>
        <v>https://ec.europa.eu/eurostat/databrowser/view/DS-056120__custom_15192557/default/table?lang=en - Low estimate</v>
      </c>
      <c r="F618" s="7">
        <f>[1]Clothing!O132</f>
        <v>1</v>
      </c>
      <c r="G618" s="7">
        <f>[1]Clothing!P132</f>
        <v>1</v>
      </c>
      <c r="H618" s="7">
        <f>[1]Clothing!Q132</f>
        <v>2</v>
      </c>
      <c r="I618" s="7">
        <f>[1]Clothing!R132</f>
        <v>2</v>
      </c>
      <c r="J618" s="7">
        <f>[1]Clothing!S132</f>
        <v>2</v>
      </c>
      <c r="K618" s="160">
        <f t="shared" si="10"/>
        <v>0.37356464144298934</v>
      </c>
    </row>
    <row r="619" spans="1:11">
      <c r="A619" s="7" t="s">
        <v>2046</v>
      </c>
      <c r="B619" s="7">
        <f>[1]Clothing!B133</f>
        <v>2014</v>
      </c>
      <c r="C619" s="7" t="str">
        <f>[1]Clothing!C133</f>
        <v>PET</v>
      </c>
      <c r="D619" s="64">
        <f>[1]Clothing!K133</f>
        <v>1237.8019722043498</v>
      </c>
      <c r="E619" s="7" t="str">
        <f>[1]Input_NL!$E$812</f>
        <v>https://ec.europa.eu/eurostat/databrowser/view/DS-056120__custom_15192557/default/table?lang=en - Low estimate</v>
      </c>
      <c r="F619" s="7">
        <f>[1]Clothing!O133</f>
        <v>1</v>
      </c>
      <c r="G619" s="7">
        <f>[1]Clothing!P133</f>
        <v>1</v>
      </c>
      <c r="H619" s="7">
        <f>[1]Clothing!Q133</f>
        <v>2</v>
      </c>
      <c r="I619" s="7">
        <f>[1]Clothing!R133</f>
        <v>2</v>
      </c>
      <c r="J619" s="7">
        <f>[1]Clothing!S133</f>
        <v>2</v>
      </c>
      <c r="K619" s="160">
        <f t="shared" si="10"/>
        <v>0.37356464144298934</v>
      </c>
    </row>
    <row r="620" spans="1:11">
      <c r="A620" s="7" t="s">
        <v>2046</v>
      </c>
      <c r="B620" s="7">
        <f>[1]Clothing!B134</f>
        <v>2014</v>
      </c>
      <c r="C620" s="7" t="str">
        <f>[1]Clothing!C134</f>
        <v>PUR</v>
      </c>
      <c r="D620" s="64">
        <f>[1]Clothing!K134</f>
        <v>151.55793255507916</v>
      </c>
      <c r="E620" s="7" t="str">
        <f>[1]Input_NL!$E$812</f>
        <v>https://ec.europa.eu/eurostat/databrowser/view/DS-056120__custom_15192557/default/table?lang=en - Low estimate</v>
      </c>
      <c r="F620" s="7">
        <f>[1]Clothing!O134</f>
        <v>1</v>
      </c>
      <c r="G620" s="7">
        <f>[1]Clothing!P134</f>
        <v>1</v>
      </c>
      <c r="H620" s="7">
        <f>[1]Clothing!Q134</f>
        <v>2</v>
      </c>
      <c r="I620" s="7">
        <f>[1]Clothing!R134</f>
        <v>2</v>
      </c>
      <c r="J620" s="7">
        <f>[1]Clothing!S134</f>
        <v>2</v>
      </c>
      <c r="K620" s="160">
        <f t="shared" si="10"/>
        <v>0.37356464144298934</v>
      </c>
    </row>
    <row r="621" spans="1:11">
      <c r="A621" s="7" t="s">
        <v>2046</v>
      </c>
      <c r="B621" s="7">
        <f>[1]Clothing!B135</f>
        <v>2014</v>
      </c>
      <c r="C621" s="7" t="str">
        <f>[1]Clothing!C135</f>
        <v>PVC</v>
      </c>
      <c r="D621" s="64">
        <f>[1]Clothing!K135</f>
        <v>97.987899486336815</v>
      </c>
      <c r="E621" s="7" t="str">
        <f>[1]Input_NL!$E$812</f>
        <v>https://ec.europa.eu/eurostat/databrowser/view/DS-056120__custom_15192557/default/table?lang=en - Low estimate</v>
      </c>
      <c r="F621" s="7">
        <f>[1]Clothing!O135</f>
        <v>1</v>
      </c>
      <c r="G621" s="7">
        <f>[1]Clothing!P135</f>
        <v>1</v>
      </c>
      <c r="H621" s="7">
        <f>[1]Clothing!Q135</f>
        <v>2</v>
      </c>
      <c r="I621" s="7">
        <f>[1]Clothing!R135</f>
        <v>2</v>
      </c>
      <c r="J621" s="7">
        <f>[1]Clothing!S135</f>
        <v>2</v>
      </c>
      <c r="K621" s="160">
        <f t="shared" si="10"/>
        <v>0.37356464144298934</v>
      </c>
    </row>
    <row r="622" spans="1:11">
      <c r="A622" s="7" t="s">
        <v>2046</v>
      </c>
      <c r="B622" s="7">
        <f>[1]Clothing!B136</f>
        <v>2014</v>
      </c>
      <c r="C622" s="7" t="str">
        <f>[1]Clothing!C136</f>
        <v>RUBBER</v>
      </c>
      <c r="D622" s="64">
        <f>[1]Clothing!K136</f>
        <v>208.23906228848693</v>
      </c>
      <c r="E622" s="7" t="str">
        <f>[1]Input_NL!$E$812</f>
        <v>https://ec.europa.eu/eurostat/databrowser/view/DS-056120__custom_15192557/default/table?lang=en - Low estimate</v>
      </c>
      <c r="F622" s="7">
        <f>[1]Clothing!O136</f>
        <v>1</v>
      </c>
      <c r="G622" s="7">
        <f>[1]Clothing!P136</f>
        <v>1</v>
      </c>
      <c r="H622" s="7">
        <f>[1]Clothing!Q136</f>
        <v>2</v>
      </c>
      <c r="I622" s="7">
        <f>[1]Clothing!R136</f>
        <v>2</v>
      </c>
      <c r="J622" s="7">
        <f>[1]Clothing!S136</f>
        <v>2</v>
      </c>
      <c r="K622" s="160">
        <f t="shared" si="10"/>
        <v>0.37356464144298934</v>
      </c>
    </row>
    <row r="623" spans="1:11">
      <c r="A623" s="7" t="s">
        <v>2046</v>
      </c>
      <c r="B623" s="7">
        <f>[1]Clothing!B137</f>
        <v>2015</v>
      </c>
      <c r="C623" s="7" t="str">
        <f>[1]Clothing!C137</f>
        <v>Acryl</v>
      </c>
      <c r="D623" s="64">
        <f>[1]Clothing!K137</f>
        <v>107.03086293533588</v>
      </c>
      <c r="E623" s="7" t="str">
        <f>[1]Input_NL!$E$812</f>
        <v>https://ec.europa.eu/eurostat/databrowser/view/DS-056120__custom_15192557/default/table?lang=en - Low estimate</v>
      </c>
      <c r="F623" s="7">
        <f>[1]Clothing!O137</f>
        <v>1</v>
      </c>
      <c r="G623" s="7">
        <f>[1]Clothing!P137</f>
        <v>1</v>
      </c>
      <c r="H623" s="7">
        <f>[1]Clothing!Q137</f>
        <v>2</v>
      </c>
      <c r="I623" s="7">
        <f>[1]Clothing!R137</f>
        <v>2</v>
      </c>
      <c r="J623" s="7">
        <f>[1]Clothing!S137</f>
        <v>2</v>
      </c>
      <c r="K623" s="160">
        <f t="shared" si="10"/>
        <v>0.37356464144298934</v>
      </c>
    </row>
    <row r="624" spans="1:11">
      <c r="A624" s="7" t="s">
        <v>2046</v>
      </c>
      <c r="B624" s="7">
        <f>[1]Clothing!B138</f>
        <v>2015</v>
      </c>
      <c r="C624" s="7" t="str">
        <f>[1]Clothing!C138</f>
        <v>OTHER</v>
      </c>
      <c r="D624" s="64">
        <f>[1]Clothing!K138</f>
        <v>172.59820103270866</v>
      </c>
      <c r="E624" s="7" t="str">
        <f>[1]Input_NL!$E$812</f>
        <v>https://ec.europa.eu/eurostat/databrowser/view/DS-056120__custom_15192557/default/table?lang=en - Low estimate</v>
      </c>
      <c r="F624" s="7">
        <f>[1]Clothing!O138</f>
        <v>1</v>
      </c>
      <c r="G624" s="7">
        <f>[1]Clothing!P138</f>
        <v>1</v>
      </c>
      <c r="H624" s="7">
        <f>[1]Clothing!Q138</f>
        <v>2</v>
      </c>
      <c r="I624" s="7">
        <f>[1]Clothing!R138</f>
        <v>2</v>
      </c>
      <c r="J624" s="7">
        <f>[1]Clothing!S138</f>
        <v>2</v>
      </c>
      <c r="K624" s="160">
        <f t="shared" si="10"/>
        <v>0.37356464144298934</v>
      </c>
    </row>
    <row r="625" spans="1:11">
      <c r="A625" s="7" t="s">
        <v>2046</v>
      </c>
      <c r="B625" s="7">
        <f>[1]Clothing!B139</f>
        <v>2015</v>
      </c>
      <c r="C625" s="7" t="str">
        <f>[1]Clothing!C139</f>
        <v>PA</v>
      </c>
      <c r="D625" s="64">
        <f>[1]Clothing!K139</f>
        <v>221.28909889497507</v>
      </c>
      <c r="E625" s="7" t="str">
        <f>[1]Input_NL!$E$812</f>
        <v>https://ec.europa.eu/eurostat/databrowser/view/DS-056120__custom_15192557/default/table?lang=en - Low estimate</v>
      </c>
      <c r="F625" s="7">
        <f>[1]Clothing!O139</f>
        <v>1</v>
      </c>
      <c r="G625" s="7">
        <f>[1]Clothing!P139</f>
        <v>1</v>
      </c>
      <c r="H625" s="7">
        <f>[1]Clothing!Q139</f>
        <v>2</v>
      </c>
      <c r="I625" s="7">
        <f>[1]Clothing!R139</f>
        <v>2</v>
      </c>
      <c r="J625" s="7">
        <f>[1]Clothing!S139</f>
        <v>2</v>
      </c>
      <c r="K625" s="160">
        <f t="shared" si="10"/>
        <v>0.37356464144298934</v>
      </c>
    </row>
    <row r="626" spans="1:11">
      <c r="A626" s="7" t="s">
        <v>2046</v>
      </c>
      <c r="B626" s="7">
        <f>[1]Clothing!B140</f>
        <v>2015</v>
      </c>
      <c r="C626" s="7" t="str">
        <f>[1]Clothing!C140</f>
        <v>PET</v>
      </c>
      <c r="D626" s="64">
        <f>[1]Clothing!K140</f>
        <v>1175.1946983691003</v>
      </c>
      <c r="E626" s="7" t="str">
        <f>[1]Input_NL!$E$812</f>
        <v>https://ec.europa.eu/eurostat/databrowser/view/DS-056120__custom_15192557/default/table?lang=en - Low estimate</v>
      </c>
      <c r="F626" s="7">
        <f>[1]Clothing!O140</f>
        <v>1</v>
      </c>
      <c r="G626" s="7">
        <f>[1]Clothing!P140</f>
        <v>1</v>
      </c>
      <c r="H626" s="7">
        <f>[1]Clothing!Q140</f>
        <v>2</v>
      </c>
      <c r="I626" s="7">
        <f>[1]Clothing!R140</f>
        <v>2</v>
      </c>
      <c r="J626" s="7">
        <f>[1]Clothing!S140</f>
        <v>2</v>
      </c>
      <c r="K626" s="160">
        <f t="shared" si="10"/>
        <v>0.37356464144298934</v>
      </c>
    </row>
    <row r="627" spans="1:11">
      <c r="A627" s="7" t="s">
        <v>2046</v>
      </c>
      <c r="B627" s="7">
        <f>[1]Clothing!B141</f>
        <v>2015</v>
      </c>
      <c r="C627" s="7" t="str">
        <f>[1]Clothing!C141</f>
        <v>PUR</v>
      </c>
      <c r="D627" s="64">
        <f>[1]Clothing!K141</f>
        <v>143.54856737159724</v>
      </c>
      <c r="E627" s="7" t="str">
        <f>[1]Input_NL!$E$812</f>
        <v>https://ec.europa.eu/eurostat/databrowser/view/DS-056120__custom_15192557/default/table?lang=en - Low estimate</v>
      </c>
      <c r="F627" s="7">
        <f>[1]Clothing!O141</f>
        <v>1</v>
      </c>
      <c r="G627" s="7">
        <f>[1]Clothing!P141</f>
        <v>1</v>
      </c>
      <c r="H627" s="7">
        <f>[1]Clothing!Q141</f>
        <v>2</v>
      </c>
      <c r="I627" s="7">
        <f>[1]Clothing!R141</f>
        <v>2</v>
      </c>
      <c r="J627" s="7">
        <f>[1]Clothing!S141</f>
        <v>2</v>
      </c>
      <c r="K627" s="160">
        <f t="shared" si="10"/>
        <v>0.37356464144298934</v>
      </c>
    </row>
    <row r="628" spans="1:11">
      <c r="A628" s="7" t="s">
        <v>2046</v>
      </c>
      <c r="B628" s="7">
        <f>[1]Clothing!B142</f>
        <v>2015</v>
      </c>
      <c r="C628" s="7" t="str">
        <f>[1]Clothing!C142</f>
        <v>PVC</v>
      </c>
      <c r="D628" s="64">
        <f>[1]Clothing!K142</f>
        <v>92.333783098464409</v>
      </c>
      <c r="E628" s="7" t="str">
        <f>[1]Input_NL!$E$812</f>
        <v>https://ec.europa.eu/eurostat/databrowser/view/DS-056120__custom_15192557/default/table?lang=en - Low estimate</v>
      </c>
      <c r="F628" s="7">
        <f>[1]Clothing!O142</f>
        <v>1</v>
      </c>
      <c r="G628" s="7">
        <f>[1]Clothing!P142</f>
        <v>1</v>
      </c>
      <c r="H628" s="7">
        <f>[1]Clothing!Q142</f>
        <v>2</v>
      </c>
      <c r="I628" s="7">
        <f>[1]Clothing!R142</f>
        <v>2</v>
      </c>
      <c r="J628" s="7">
        <f>[1]Clothing!S142</f>
        <v>2</v>
      </c>
      <c r="K628" s="160">
        <f t="shared" si="10"/>
        <v>0.37356464144298934</v>
      </c>
    </row>
    <row r="629" spans="1:11">
      <c r="A629" s="7" t="s">
        <v>2046</v>
      </c>
      <c r="B629" s="7">
        <f>[1]Clothing!B143</f>
        <v>2015</v>
      </c>
      <c r="C629" s="7" t="str">
        <f>[1]Clothing!C143</f>
        <v>RUBBER</v>
      </c>
      <c r="D629" s="64">
        <f>[1]Clothing!K143</f>
        <v>190.87933040780692</v>
      </c>
      <c r="E629" s="7" t="str">
        <f>[1]Input_NL!$E$812</f>
        <v>https://ec.europa.eu/eurostat/databrowser/view/DS-056120__custom_15192557/default/table?lang=en - Low estimate</v>
      </c>
      <c r="F629" s="7">
        <f>[1]Clothing!O143</f>
        <v>1</v>
      </c>
      <c r="G629" s="7">
        <f>[1]Clothing!P143</f>
        <v>1</v>
      </c>
      <c r="H629" s="7">
        <f>[1]Clothing!Q143</f>
        <v>2</v>
      </c>
      <c r="I629" s="7">
        <f>[1]Clothing!R143</f>
        <v>2</v>
      </c>
      <c r="J629" s="7">
        <f>[1]Clothing!S143</f>
        <v>2</v>
      </c>
      <c r="K629" s="160">
        <f t="shared" si="10"/>
        <v>0.37356464144298934</v>
      </c>
    </row>
    <row r="630" spans="1:11">
      <c r="A630" s="7" t="s">
        <v>2046</v>
      </c>
      <c r="B630" s="7">
        <f>[1]Clothing!B144</f>
        <v>2016</v>
      </c>
      <c r="C630" s="7" t="str">
        <f>[1]Clothing!C144</f>
        <v>Acryl</v>
      </c>
      <c r="D630" s="64">
        <f>[1]Clothing!K144</f>
        <v>111.6723129886563</v>
      </c>
      <c r="E630" s="7" t="str">
        <f>[1]Input_NL!$E$812</f>
        <v>https://ec.europa.eu/eurostat/databrowser/view/DS-056120__custom_15192557/default/table?lang=en - Low estimate</v>
      </c>
      <c r="F630" s="7">
        <f>[1]Clothing!O144</f>
        <v>1</v>
      </c>
      <c r="G630" s="7">
        <f>[1]Clothing!P144</f>
        <v>1</v>
      </c>
      <c r="H630" s="7">
        <f>[1]Clothing!Q144</f>
        <v>2</v>
      </c>
      <c r="I630" s="7">
        <f>[1]Clothing!R144</f>
        <v>2</v>
      </c>
      <c r="J630" s="7">
        <f>[1]Clothing!S144</f>
        <v>2</v>
      </c>
      <c r="K630" s="160">
        <f t="shared" si="10"/>
        <v>0.37356464144298934</v>
      </c>
    </row>
    <row r="631" spans="1:11">
      <c r="A631" s="7" t="s">
        <v>2046</v>
      </c>
      <c r="B631" s="7">
        <f>[1]Clothing!B145</f>
        <v>2016</v>
      </c>
      <c r="C631" s="7" t="str">
        <f>[1]Clothing!C145</f>
        <v>OTHER</v>
      </c>
      <c r="D631" s="64">
        <f>[1]Clothing!K145</f>
        <v>172.89598699386963</v>
      </c>
      <c r="E631" s="7" t="str">
        <f>[1]Input_NL!$E$812</f>
        <v>https://ec.europa.eu/eurostat/databrowser/view/DS-056120__custom_15192557/default/table?lang=en - Low estimate</v>
      </c>
      <c r="F631" s="7">
        <f>[1]Clothing!O145</f>
        <v>1</v>
      </c>
      <c r="G631" s="7">
        <f>[1]Clothing!P145</f>
        <v>1</v>
      </c>
      <c r="H631" s="7">
        <f>[1]Clothing!Q145</f>
        <v>2</v>
      </c>
      <c r="I631" s="7">
        <f>[1]Clothing!R145</f>
        <v>2</v>
      </c>
      <c r="J631" s="7">
        <f>[1]Clothing!S145</f>
        <v>2</v>
      </c>
      <c r="K631" s="160">
        <f t="shared" si="10"/>
        <v>0.37356464144298934</v>
      </c>
    </row>
    <row r="632" spans="1:11">
      <c r="A632" s="7" t="s">
        <v>2046</v>
      </c>
      <c r="B632" s="7">
        <f>[1]Clothing!B146</f>
        <v>2016</v>
      </c>
      <c r="C632" s="7" t="str">
        <f>[1]Clothing!C146</f>
        <v>PA</v>
      </c>
      <c r="D632" s="64">
        <f>[1]Clothing!K146</f>
        <v>230.42517837354072</v>
      </c>
      <c r="E632" s="7" t="str">
        <f>[1]Input_NL!$E$812</f>
        <v>https://ec.europa.eu/eurostat/databrowser/view/DS-056120__custom_15192557/default/table?lang=en - Low estimate</v>
      </c>
      <c r="F632" s="7">
        <f>[1]Clothing!O146</f>
        <v>1</v>
      </c>
      <c r="G632" s="7">
        <f>[1]Clothing!P146</f>
        <v>1</v>
      </c>
      <c r="H632" s="7">
        <f>[1]Clothing!Q146</f>
        <v>2</v>
      </c>
      <c r="I632" s="7">
        <f>[1]Clothing!R146</f>
        <v>2</v>
      </c>
      <c r="J632" s="7">
        <f>[1]Clothing!S146</f>
        <v>2</v>
      </c>
      <c r="K632" s="160">
        <f t="shared" si="10"/>
        <v>0.37356464144298934</v>
      </c>
    </row>
    <row r="633" spans="1:11">
      <c r="A633" s="7" t="s">
        <v>2046</v>
      </c>
      <c r="B633" s="7">
        <f>[1]Clothing!B147</f>
        <v>2016</v>
      </c>
      <c r="C633" s="7" t="str">
        <f>[1]Clothing!C147</f>
        <v>PET</v>
      </c>
      <c r="D633" s="64">
        <f>[1]Clothing!K147</f>
        <v>1215.7818340634547</v>
      </c>
      <c r="E633" s="7" t="str">
        <f>[1]Input_NL!$E$812</f>
        <v>https://ec.europa.eu/eurostat/databrowser/view/DS-056120__custom_15192557/default/table?lang=en - Low estimate</v>
      </c>
      <c r="F633" s="7">
        <f>[1]Clothing!O147</f>
        <v>1</v>
      </c>
      <c r="G633" s="7">
        <f>[1]Clothing!P147</f>
        <v>1</v>
      </c>
      <c r="H633" s="7">
        <f>[1]Clothing!Q147</f>
        <v>2</v>
      </c>
      <c r="I633" s="7">
        <f>[1]Clothing!R147</f>
        <v>2</v>
      </c>
      <c r="J633" s="7">
        <f>[1]Clothing!S147</f>
        <v>2</v>
      </c>
      <c r="K633" s="160">
        <f t="shared" si="10"/>
        <v>0.37356464144298934</v>
      </c>
    </row>
    <row r="634" spans="1:11">
      <c r="A634" s="7" t="s">
        <v>2046</v>
      </c>
      <c r="B634" s="7">
        <f>[1]Clothing!B148</f>
        <v>2016</v>
      </c>
      <c r="C634" s="7" t="str">
        <f>[1]Clothing!C148</f>
        <v>PUR</v>
      </c>
      <c r="D634" s="64">
        <f>[1]Clothing!K148</f>
        <v>141.48615135444686</v>
      </c>
      <c r="E634" s="7" t="str">
        <f>[1]Input_NL!$E$812</f>
        <v>https://ec.europa.eu/eurostat/databrowser/view/DS-056120__custom_15192557/default/table?lang=en - Low estimate</v>
      </c>
      <c r="F634" s="7">
        <f>[1]Clothing!O148</f>
        <v>1</v>
      </c>
      <c r="G634" s="7">
        <f>[1]Clothing!P148</f>
        <v>1</v>
      </c>
      <c r="H634" s="7">
        <f>[1]Clothing!Q148</f>
        <v>2</v>
      </c>
      <c r="I634" s="7">
        <f>[1]Clothing!R148</f>
        <v>2</v>
      </c>
      <c r="J634" s="7">
        <f>[1]Clothing!S148</f>
        <v>2</v>
      </c>
      <c r="K634" s="160">
        <f t="shared" si="10"/>
        <v>0.37356464144298934</v>
      </c>
    </row>
    <row r="635" spans="1:11">
      <c r="A635" s="7" t="s">
        <v>2046</v>
      </c>
      <c r="B635" s="7">
        <f>[1]Clothing!B149</f>
        <v>2016</v>
      </c>
      <c r="C635" s="7" t="str">
        <f>[1]Clothing!C149</f>
        <v>PVC</v>
      </c>
      <c r="D635" s="64">
        <f>[1]Clothing!K149</f>
        <v>90.958735185302729</v>
      </c>
      <c r="E635" s="7" t="str">
        <f>[1]Input_NL!$E$812</f>
        <v>https://ec.europa.eu/eurostat/databrowser/view/DS-056120__custom_15192557/default/table?lang=en - Low estimate</v>
      </c>
      <c r="F635" s="7">
        <f>[1]Clothing!O149</f>
        <v>1</v>
      </c>
      <c r="G635" s="7">
        <f>[1]Clothing!P149</f>
        <v>1</v>
      </c>
      <c r="H635" s="7">
        <f>[1]Clothing!Q149</f>
        <v>2</v>
      </c>
      <c r="I635" s="7">
        <f>[1]Clothing!R149</f>
        <v>2</v>
      </c>
      <c r="J635" s="7">
        <f>[1]Clothing!S149</f>
        <v>2</v>
      </c>
      <c r="K635" s="160">
        <f t="shared" si="10"/>
        <v>0.37356464144298934</v>
      </c>
    </row>
    <row r="636" spans="1:11">
      <c r="A636" s="7" t="s">
        <v>2046</v>
      </c>
      <c r="B636" s="7">
        <f>[1]Clothing!B150</f>
        <v>2016</v>
      </c>
      <c r="C636" s="7" t="str">
        <f>[1]Clothing!C150</f>
        <v>RUBBER</v>
      </c>
      <c r="D636" s="64">
        <f>[1]Clothing!K150</f>
        <v>187.48697148510038</v>
      </c>
      <c r="E636" s="7" t="str">
        <f>[1]Input_NL!$E$812</f>
        <v>https://ec.europa.eu/eurostat/databrowser/view/DS-056120__custom_15192557/default/table?lang=en - Low estimate</v>
      </c>
      <c r="F636" s="7">
        <f>[1]Clothing!O150</f>
        <v>1</v>
      </c>
      <c r="G636" s="7">
        <f>[1]Clothing!P150</f>
        <v>1</v>
      </c>
      <c r="H636" s="7">
        <f>[1]Clothing!Q150</f>
        <v>2</v>
      </c>
      <c r="I636" s="7">
        <f>[1]Clothing!R150</f>
        <v>2</v>
      </c>
      <c r="J636" s="7">
        <f>[1]Clothing!S150</f>
        <v>2</v>
      </c>
      <c r="K636" s="160">
        <f t="shared" si="10"/>
        <v>0.37356464144298934</v>
      </c>
    </row>
    <row r="637" spans="1:11">
      <c r="A637" s="7" t="s">
        <v>2046</v>
      </c>
      <c r="B637" s="7">
        <f>[1]Clothing!B151</f>
        <v>2017</v>
      </c>
      <c r="C637" s="7" t="str">
        <f>[1]Clothing!C151</f>
        <v>Acryl</v>
      </c>
      <c r="D637" s="64">
        <f>[1]Clothing!K151</f>
        <v>117.21644909596564</v>
      </c>
      <c r="E637" s="7" t="str">
        <f>[1]Input_NL!$E$812</f>
        <v>https://ec.europa.eu/eurostat/databrowser/view/DS-056120__custom_15192557/default/table?lang=en - Low estimate</v>
      </c>
      <c r="F637" s="7">
        <f>[1]Clothing!O151</f>
        <v>1</v>
      </c>
      <c r="G637" s="7">
        <f>[1]Clothing!P151</f>
        <v>1</v>
      </c>
      <c r="H637" s="7">
        <f>[1]Clothing!Q151</f>
        <v>2</v>
      </c>
      <c r="I637" s="7">
        <f>[1]Clothing!R151</f>
        <v>2</v>
      </c>
      <c r="J637" s="7">
        <f>[1]Clothing!S151</f>
        <v>2</v>
      </c>
      <c r="K637" s="160">
        <f t="shared" si="10"/>
        <v>0.37356464144298934</v>
      </c>
    </row>
    <row r="638" spans="1:11">
      <c r="A638" s="7" t="s">
        <v>2046</v>
      </c>
      <c r="B638" s="7">
        <f>[1]Clothing!B152</f>
        <v>2017</v>
      </c>
      <c r="C638" s="7" t="str">
        <f>[1]Clothing!C152</f>
        <v>OTHER</v>
      </c>
      <c r="D638" s="64">
        <f>[1]Clothing!K152</f>
        <v>181.5643065133624</v>
      </c>
      <c r="E638" s="7" t="str">
        <f>[1]Input_NL!$E$812</f>
        <v>https://ec.europa.eu/eurostat/databrowser/view/DS-056120__custom_15192557/default/table?lang=en - Low estimate</v>
      </c>
      <c r="F638" s="7">
        <f>[1]Clothing!O152</f>
        <v>1</v>
      </c>
      <c r="G638" s="7">
        <f>[1]Clothing!P152</f>
        <v>1</v>
      </c>
      <c r="H638" s="7">
        <f>[1]Clothing!Q152</f>
        <v>2</v>
      </c>
      <c r="I638" s="7">
        <f>[1]Clothing!R152</f>
        <v>2</v>
      </c>
      <c r="J638" s="7">
        <f>[1]Clothing!S152</f>
        <v>2</v>
      </c>
      <c r="K638" s="160">
        <f t="shared" si="10"/>
        <v>0.37356464144298934</v>
      </c>
    </row>
    <row r="639" spans="1:11">
      <c r="A639" s="7" t="s">
        <v>2046</v>
      </c>
      <c r="B639" s="7">
        <f>[1]Clothing!B153</f>
        <v>2017</v>
      </c>
      <c r="C639" s="7" t="str">
        <f>[1]Clothing!C153</f>
        <v>PA</v>
      </c>
      <c r="D639" s="64">
        <f>[1]Clothing!K153</f>
        <v>241.68568640267645</v>
      </c>
      <c r="E639" s="7" t="str">
        <f>[1]Input_NL!$E$812</f>
        <v>https://ec.europa.eu/eurostat/databrowser/view/DS-056120__custom_15192557/default/table?lang=en - Low estimate</v>
      </c>
      <c r="F639" s="7">
        <f>[1]Clothing!O153</f>
        <v>1</v>
      </c>
      <c r="G639" s="7">
        <f>[1]Clothing!P153</f>
        <v>1</v>
      </c>
      <c r="H639" s="7">
        <f>[1]Clothing!Q153</f>
        <v>2</v>
      </c>
      <c r="I639" s="7">
        <f>[1]Clothing!R153</f>
        <v>2</v>
      </c>
      <c r="J639" s="7">
        <f>[1]Clothing!S153</f>
        <v>2</v>
      </c>
      <c r="K639" s="160">
        <f t="shared" si="10"/>
        <v>0.37356464144298934</v>
      </c>
    </row>
    <row r="640" spans="1:11">
      <c r="A640" s="7" t="s">
        <v>2046</v>
      </c>
      <c r="B640" s="7">
        <f>[1]Clothing!B154</f>
        <v>2017</v>
      </c>
      <c r="C640" s="7" t="str">
        <f>[1]Clothing!C154</f>
        <v>PET</v>
      </c>
      <c r="D640" s="64">
        <f>[1]Clothing!K154</f>
        <v>1260.3782346850405</v>
      </c>
      <c r="E640" s="7" t="str">
        <f>[1]Input_NL!$E$812</f>
        <v>https://ec.europa.eu/eurostat/databrowser/view/DS-056120__custom_15192557/default/table?lang=en - Low estimate</v>
      </c>
      <c r="F640" s="7">
        <f>[1]Clothing!O154</f>
        <v>1</v>
      </c>
      <c r="G640" s="7">
        <f>[1]Clothing!P154</f>
        <v>1</v>
      </c>
      <c r="H640" s="7">
        <f>[1]Clothing!Q154</f>
        <v>2</v>
      </c>
      <c r="I640" s="7">
        <f>[1]Clothing!R154</f>
        <v>2</v>
      </c>
      <c r="J640" s="7">
        <f>[1]Clothing!S154</f>
        <v>2</v>
      </c>
      <c r="K640" s="160">
        <f t="shared" si="10"/>
        <v>0.37356464144298934</v>
      </c>
    </row>
    <row r="641" spans="1:11">
      <c r="A641" s="7" t="s">
        <v>2046</v>
      </c>
      <c r="B641" s="7">
        <f>[1]Clothing!B155</f>
        <v>2017</v>
      </c>
      <c r="C641" s="7" t="str">
        <f>[1]Clothing!C155</f>
        <v>PUR</v>
      </c>
      <c r="D641" s="64">
        <f>[1]Clothing!K155</f>
        <v>147.4829835861708</v>
      </c>
      <c r="E641" s="7" t="str">
        <f>[1]Input_NL!$E$812</f>
        <v>https://ec.europa.eu/eurostat/databrowser/view/DS-056120__custom_15192557/default/table?lang=en - Low estimate</v>
      </c>
      <c r="F641" s="7">
        <f>[1]Clothing!O155</f>
        <v>1</v>
      </c>
      <c r="G641" s="7">
        <f>[1]Clothing!P155</f>
        <v>1</v>
      </c>
      <c r="H641" s="7">
        <f>[1]Clothing!Q155</f>
        <v>2</v>
      </c>
      <c r="I641" s="7">
        <f>[1]Clothing!R155</f>
        <v>2</v>
      </c>
      <c r="J641" s="7">
        <f>[1]Clothing!S155</f>
        <v>2</v>
      </c>
      <c r="K641" s="160">
        <f t="shared" si="10"/>
        <v>0.37356464144298934</v>
      </c>
    </row>
    <row r="642" spans="1:11">
      <c r="A642" s="7" t="s">
        <v>2046</v>
      </c>
      <c r="B642" s="7">
        <f>[1]Clothing!B156</f>
        <v>2017</v>
      </c>
      <c r="C642" s="7" t="str">
        <f>[1]Clothing!C156</f>
        <v>PVC</v>
      </c>
      <c r="D642" s="64">
        <f>[1]Clothing!K156</f>
        <v>94.900427986266862</v>
      </c>
      <c r="E642" s="7" t="str">
        <f>[1]Input_NL!$E$812</f>
        <v>https://ec.europa.eu/eurostat/databrowser/view/DS-056120__custom_15192557/default/table?lang=en - Low estimate</v>
      </c>
      <c r="F642" s="7">
        <f>[1]Clothing!O156</f>
        <v>1</v>
      </c>
      <c r="G642" s="7">
        <f>[1]Clothing!P156</f>
        <v>1</v>
      </c>
      <c r="H642" s="7">
        <f>[1]Clothing!Q156</f>
        <v>2</v>
      </c>
      <c r="I642" s="7">
        <f>[1]Clothing!R156</f>
        <v>2</v>
      </c>
      <c r="J642" s="7">
        <f>[1]Clothing!S156</f>
        <v>2</v>
      </c>
      <c r="K642" s="160">
        <f t="shared" si="10"/>
        <v>0.37356464144298934</v>
      </c>
    </row>
    <row r="643" spans="1:11">
      <c r="A643" s="7" t="s">
        <v>2046</v>
      </c>
      <c r="B643" s="7">
        <f>[1]Clothing!B157</f>
        <v>2017</v>
      </c>
      <c r="C643" s="7" t="str">
        <f>[1]Clothing!C157</f>
        <v>RUBBER</v>
      </c>
      <c r="D643" s="64">
        <f>[1]Clothing!K157</f>
        <v>196.69152581052009</v>
      </c>
      <c r="E643" s="7" t="str">
        <f>[1]Input_NL!$E$812</f>
        <v>https://ec.europa.eu/eurostat/databrowser/view/DS-056120__custom_15192557/default/table?lang=en - Low estimate</v>
      </c>
      <c r="F643" s="7">
        <f>[1]Clothing!O157</f>
        <v>1</v>
      </c>
      <c r="G643" s="7">
        <f>[1]Clothing!P157</f>
        <v>1</v>
      </c>
      <c r="H643" s="7">
        <f>[1]Clothing!Q157</f>
        <v>2</v>
      </c>
      <c r="I643" s="7">
        <f>[1]Clothing!R157</f>
        <v>2</v>
      </c>
      <c r="J643" s="7">
        <f>[1]Clothing!S157</f>
        <v>2</v>
      </c>
      <c r="K643" s="160">
        <f t="shared" si="10"/>
        <v>0.37356464144298934</v>
      </c>
    </row>
    <row r="644" spans="1:11">
      <c r="A644" s="7" t="s">
        <v>2046</v>
      </c>
      <c r="B644" s="7">
        <f>[1]Clothing!B158</f>
        <v>2018</v>
      </c>
      <c r="C644" s="7" t="str">
        <f>[1]Clothing!C158</f>
        <v>Acryl</v>
      </c>
      <c r="D644" s="64">
        <f>[1]Clothing!K158</f>
        <v>129.1984027866045</v>
      </c>
      <c r="E644" s="7" t="str">
        <f>[1]Input_NL!$E$812</f>
        <v>https://ec.europa.eu/eurostat/databrowser/view/DS-056120__custom_15192557/default/table?lang=en - Low estimate</v>
      </c>
      <c r="F644" s="7">
        <f>[1]Clothing!O158</f>
        <v>1</v>
      </c>
      <c r="G644" s="7">
        <f>[1]Clothing!P158</f>
        <v>1</v>
      </c>
      <c r="H644" s="7">
        <f>[1]Clothing!Q158</f>
        <v>2</v>
      </c>
      <c r="I644" s="7">
        <f>[1]Clothing!R158</f>
        <v>2</v>
      </c>
      <c r="J644" s="7">
        <f>[1]Clothing!S158</f>
        <v>2</v>
      </c>
      <c r="K644" s="160">
        <f t="shared" si="10"/>
        <v>0.37356464144298934</v>
      </c>
    </row>
    <row r="645" spans="1:11">
      <c r="A645" s="7" t="s">
        <v>2046</v>
      </c>
      <c r="B645" s="7">
        <f>[1]Clothing!B159</f>
        <v>2018</v>
      </c>
      <c r="C645" s="7" t="str">
        <f>[1]Clothing!C159</f>
        <v>OTHER</v>
      </c>
      <c r="D645" s="64">
        <f>[1]Clothing!K159</f>
        <v>208.41061381929524</v>
      </c>
      <c r="E645" s="7" t="str">
        <f>[1]Input_NL!$E$812</f>
        <v>https://ec.europa.eu/eurostat/databrowser/view/DS-056120__custom_15192557/default/table?lang=en - Low estimate</v>
      </c>
      <c r="F645" s="7">
        <f>[1]Clothing!O159</f>
        <v>1</v>
      </c>
      <c r="G645" s="7">
        <f>[1]Clothing!P159</f>
        <v>1</v>
      </c>
      <c r="H645" s="7">
        <f>[1]Clothing!Q159</f>
        <v>2</v>
      </c>
      <c r="I645" s="7">
        <f>[1]Clothing!R159</f>
        <v>2</v>
      </c>
      <c r="J645" s="7">
        <f>[1]Clothing!S159</f>
        <v>2</v>
      </c>
      <c r="K645" s="160">
        <f t="shared" si="10"/>
        <v>0.37356464144298934</v>
      </c>
    </row>
    <row r="646" spans="1:11">
      <c r="A646" s="7" t="s">
        <v>2046</v>
      </c>
      <c r="B646" s="7">
        <f>[1]Clothing!B160</f>
        <v>2018</v>
      </c>
      <c r="C646" s="7" t="str">
        <f>[1]Clothing!C160</f>
        <v>PA</v>
      </c>
      <c r="D646" s="64">
        <f>[1]Clothing!K160</f>
        <v>272.41057670050481</v>
      </c>
      <c r="E646" s="7" t="str">
        <f>[1]Input_NL!$E$812</f>
        <v>https://ec.europa.eu/eurostat/databrowser/view/DS-056120__custom_15192557/default/table?lang=en - Low estimate</v>
      </c>
      <c r="F646" s="7">
        <f>[1]Clothing!O160</f>
        <v>1</v>
      </c>
      <c r="G646" s="7">
        <f>[1]Clothing!P160</f>
        <v>1</v>
      </c>
      <c r="H646" s="7">
        <f>[1]Clothing!Q160</f>
        <v>2</v>
      </c>
      <c r="I646" s="7">
        <f>[1]Clothing!R160</f>
        <v>2</v>
      </c>
      <c r="J646" s="7">
        <f>[1]Clothing!S160</f>
        <v>2</v>
      </c>
      <c r="K646" s="160">
        <f t="shared" si="10"/>
        <v>0.37356464144298934</v>
      </c>
    </row>
    <row r="647" spans="1:11">
      <c r="A647" s="7" t="s">
        <v>2046</v>
      </c>
      <c r="B647" s="7">
        <f>[1]Clothing!B161</f>
        <v>2018</v>
      </c>
      <c r="C647" s="7" t="str">
        <f>[1]Clothing!C161</f>
        <v>PET</v>
      </c>
      <c r="D647" s="64">
        <f>[1]Clothing!K161</f>
        <v>1396.6419779793355</v>
      </c>
      <c r="E647" s="7" t="str">
        <f>[1]Input_NL!$E$812</f>
        <v>https://ec.europa.eu/eurostat/databrowser/view/DS-056120__custom_15192557/default/table?lang=en - Low estimate</v>
      </c>
      <c r="F647" s="7">
        <f>[1]Clothing!O161</f>
        <v>1</v>
      </c>
      <c r="G647" s="7">
        <f>[1]Clothing!P161</f>
        <v>1</v>
      </c>
      <c r="H647" s="7">
        <f>[1]Clothing!Q161</f>
        <v>2</v>
      </c>
      <c r="I647" s="7">
        <f>[1]Clothing!R161</f>
        <v>2</v>
      </c>
      <c r="J647" s="7">
        <f>[1]Clothing!S161</f>
        <v>2</v>
      </c>
      <c r="K647" s="160">
        <f t="shared" si="10"/>
        <v>0.37356464144298934</v>
      </c>
    </row>
    <row r="648" spans="1:11">
      <c r="A648" s="7" t="s">
        <v>2046</v>
      </c>
      <c r="B648" s="7">
        <f>[1]Clothing!B162</f>
        <v>2018</v>
      </c>
      <c r="C648" s="7" t="str">
        <f>[1]Clothing!C162</f>
        <v>PUR</v>
      </c>
      <c r="D648" s="64">
        <f>[1]Clothing!K162</f>
        <v>156.03206073115211</v>
      </c>
      <c r="E648" s="7" t="str">
        <f>[1]Input_NL!$E$812</f>
        <v>https://ec.europa.eu/eurostat/databrowser/view/DS-056120__custom_15192557/default/table?lang=en - Low estimate</v>
      </c>
      <c r="F648" s="7">
        <f>[1]Clothing!O162</f>
        <v>1</v>
      </c>
      <c r="G648" s="7">
        <f>[1]Clothing!P162</f>
        <v>1</v>
      </c>
      <c r="H648" s="7">
        <f>[1]Clothing!Q162</f>
        <v>2</v>
      </c>
      <c r="I648" s="7">
        <f>[1]Clothing!R162</f>
        <v>2</v>
      </c>
      <c r="J648" s="7">
        <f>[1]Clothing!S162</f>
        <v>2</v>
      </c>
      <c r="K648" s="160">
        <f t="shared" si="10"/>
        <v>0.37356464144298934</v>
      </c>
    </row>
    <row r="649" spans="1:11">
      <c r="A649" s="7" t="s">
        <v>2046</v>
      </c>
      <c r="B649" s="7">
        <f>[1]Clothing!B163</f>
        <v>2018</v>
      </c>
      <c r="C649" s="7" t="str">
        <f>[1]Clothing!C163</f>
        <v>PVC</v>
      </c>
      <c r="D649" s="64">
        <f>[1]Clothing!K163</f>
        <v>101.03765793704395</v>
      </c>
      <c r="E649" s="7" t="str">
        <f>[1]Input_NL!$E$812</f>
        <v>https://ec.europa.eu/eurostat/databrowser/view/DS-056120__custom_15192557/default/table?lang=en - Low estimate</v>
      </c>
      <c r="F649" s="7">
        <f>[1]Clothing!O163</f>
        <v>1</v>
      </c>
      <c r="G649" s="7">
        <f>[1]Clothing!P163</f>
        <v>1</v>
      </c>
      <c r="H649" s="7">
        <f>[1]Clothing!Q163</f>
        <v>2</v>
      </c>
      <c r="I649" s="7">
        <f>[1]Clothing!R163</f>
        <v>2</v>
      </c>
      <c r="J649" s="7">
        <f>[1]Clothing!S163</f>
        <v>2</v>
      </c>
      <c r="K649" s="160">
        <f t="shared" si="10"/>
        <v>0.37356464144298934</v>
      </c>
    </row>
    <row r="650" spans="1:11">
      <c r="A650" s="7" t="s">
        <v>2046</v>
      </c>
      <c r="B650" s="7">
        <f>[1]Clothing!B164</f>
        <v>2018</v>
      </c>
      <c r="C650" s="7" t="str">
        <f>[1]Clothing!C164</f>
        <v>RUBBER</v>
      </c>
      <c r="D650" s="64">
        <f>[1]Clothing!K164</f>
        <v>216.56189812521248</v>
      </c>
      <c r="E650" s="7" t="str">
        <f>[1]Input_NL!$E$812</f>
        <v>https://ec.europa.eu/eurostat/databrowser/view/DS-056120__custom_15192557/default/table?lang=en - Low estimate</v>
      </c>
      <c r="F650" s="7">
        <f>[1]Clothing!O164</f>
        <v>1</v>
      </c>
      <c r="G650" s="7">
        <f>[1]Clothing!P164</f>
        <v>1</v>
      </c>
      <c r="H650" s="7">
        <f>[1]Clothing!Q164</f>
        <v>2</v>
      </c>
      <c r="I650" s="7">
        <f>[1]Clothing!R164</f>
        <v>2</v>
      </c>
      <c r="J650" s="7">
        <f>[1]Clothing!S164</f>
        <v>2</v>
      </c>
      <c r="K650" s="160">
        <f t="shared" si="10"/>
        <v>0.37356464144298934</v>
      </c>
    </row>
    <row r="651" spans="1:11">
      <c r="A651" s="7" t="s">
        <v>2046</v>
      </c>
      <c r="B651" s="7">
        <f>[1]Clothing!B165</f>
        <v>2019</v>
      </c>
      <c r="C651" s="7" t="str">
        <f>[1]Clothing!C165</f>
        <v>Acryl</v>
      </c>
      <c r="D651" s="64">
        <f>[1]Clothing!K165</f>
        <v>124.75484124151612</v>
      </c>
      <c r="E651" s="7" t="str">
        <f>[1]Input_NL!$E$812</f>
        <v>https://ec.europa.eu/eurostat/databrowser/view/DS-056120__custom_15192557/default/table?lang=en - Low estimate</v>
      </c>
      <c r="F651" s="7">
        <f>[1]Clothing!O165</f>
        <v>1</v>
      </c>
      <c r="G651" s="7">
        <f>[1]Clothing!P165</f>
        <v>1</v>
      </c>
      <c r="H651" s="7">
        <f>[1]Clothing!Q165</f>
        <v>2</v>
      </c>
      <c r="I651" s="7">
        <f>[1]Clothing!R165</f>
        <v>2</v>
      </c>
      <c r="J651" s="7">
        <f>[1]Clothing!S165</f>
        <v>2</v>
      </c>
      <c r="K651" s="160">
        <f t="shared" si="10"/>
        <v>0.37356464144298934</v>
      </c>
    </row>
    <row r="652" spans="1:11">
      <c r="A652" s="7" t="s">
        <v>2046</v>
      </c>
      <c r="B652" s="7">
        <f>[1]Clothing!B166</f>
        <v>2019</v>
      </c>
      <c r="C652" s="7" t="str">
        <f>[1]Clothing!C166</f>
        <v>OTHER</v>
      </c>
      <c r="D652" s="64">
        <f>[1]Clothing!K166</f>
        <v>204.69046301822823</v>
      </c>
      <c r="E652" s="7" t="str">
        <f>[1]Input_NL!$E$812</f>
        <v>https://ec.europa.eu/eurostat/databrowser/view/DS-056120__custom_15192557/default/table?lang=en - Low estimate</v>
      </c>
      <c r="F652" s="7">
        <f>[1]Clothing!O166</f>
        <v>1</v>
      </c>
      <c r="G652" s="7">
        <f>[1]Clothing!P166</f>
        <v>1</v>
      </c>
      <c r="H652" s="7">
        <f>[1]Clothing!Q166</f>
        <v>2</v>
      </c>
      <c r="I652" s="7">
        <f>[1]Clothing!R166</f>
        <v>2</v>
      </c>
      <c r="J652" s="7">
        <f>[1]Clothing!S166</f>
        <v>2</v>
      </c>
      <c r="K652" s="160">
        <f t="shared" si="10"/>
        <v>0.37356464144298934</v>
      </c>
    </row>
    <row r="653" spans="1:11">
      <c r="A653" s="7" t="s">
        <v>2046</v>
      </c>
      <c r="B653" s="7">
        <f>[1]Clothing!B167</f>
        <v>2019</v>
      </c>
      <c r="C653" s="7" t="str">
        <f>[1]Clothing!C167</f>
        <v>PA</v>
      </c>
      <c r="D653" s="64">
        <f>[1]Clothing!K167</f>
        <v>264.6248485397233</v>
      </c>
      <c r="E653" s="7" t="str">
        <f>[1]Input_NL!$E$812</f>
        <v>https://ec.europa.eu/eurostat/databrowser/view/DS-056120__custom_15192557/default/table?lang=en - Low estimate</v>
      </c>
      <c r="F653" s="7">
        <f>[1]Clothing!O167</f>
        <v>1</v>
      </c>
      <c r="G653" s="7">
        <f>[1]Clothing!P167</f>
        <v>1</v>
      </c>
      <c r="H653" s="7">
        <f>[1]Clothing!Q167</f>
        <v>2</v>
      </c>
      <c r="I653" s="7">
        <f>[1]Clothing!R167</f>
        <v>2</v>
      </c>
      <c r="J653" s="7">
        <f>[1]Clothing!S167</f>
        <v>2</v>
      </c>
      <c r="K653" s="160">
        <f t="shared" si="10"/>
        <v>0.37356464144298934</v>
      </c>
    </row>
    <row r="654" spans="1:11">
      <c r="A654" s="7" t="s">
        <v>2046</v>
      </c>
      <c r="B654" s="7">
        <f>[1]Clothing!B168</f>
        <v>2019</v>
      </c>
      <c r="C654" s="7" t="str">
        <f>[1]Clothing!C168</f>
        <v>PET</v>
      </c>
      <c r="D654" s="64">
        <f>[1]Clothing!K168</f>
        <v>1358.6245419214561</v>
      </c>
      <c r="E654" s="7" t="str">
        <f>[1]Input_NL!$E$812</f>
        <v>https://ec.europa.eu/eurostat/databrowser/view/DS-056120__custom_15192557/default/table?lang=en - Low estimate</v>
      </c>
      <c r="F654" s="7">
        <f>[1]Clothing!O168</f>
        <v>1</v>
      </c>
      <c r="G654" s="7">
        <f>[1]Clothing!P168</f>
        <v>1</v>
      </c>
      <c r="H654" s="7">
        <f>[1]Clothing!Q168</f>
        <v>2</v>
      </c>
      <c r="I654" s="7">
        <f>[1]Clothing!R168</f>
        <v>2</v>
      </c>
      <c r="J654" s="7">
        <f>[1]Clothing!S168</f>
        <v>2</v>
      </c>
      <c r="K654" s="160">
        <f t="shared" si="10"/>
        <v>0.37356464144298934</v>
      </c>
    </row>
    <row r="655" spans="1:11">
      <c r="A655" s="7" t="s">
        <v>2046</v>
      </c>
      <c r="B655" s="7">
        <f>[1]Clothing!B169</f>
        <v>2019</v>
      </c>
      <c r="C655" s="7" t="str">
        <f>[1]Clothing!C169</f>
        <v>PUR</v>
      </c>
      <c r="D655" s="64">
        <f>[1]Clothing!K169</f>
        <v>154.02339582210601</v>
      </c>
      <c r="E655" s="7" t="str">
        <f>[1]Input_NL!$E$812</f>
        <v>https://ec.europa.eu/eurostat/databrowser/view/DS-056120__custom_15192557/default/table?lang=en - Low estimate</v>
      </c>
      <c r="F655" s="7">
        <f>[1]Clothing!O169</f>
        <v>1</v>
      </c>
      <c r="G655" s="7">
        <f>[1]Clothing!P169</f>
        <v>1</v>
      </c>
      <c r="H655" s="7">
        <f>[1]Clothing!Q169</f>
        <v>2</v>
      </c>
      <c r="I655" s="7">
        <f>[1]Clothing!R169</f>
        <v>2</v>
      </c>
      <c r="J655" s="7">
        <f>[1]Clothing!S169</f>
        <v>2</v>
      </c>
      <c r="K655" s="160">
        <f t="shared" si="10"/>
        <v>0.37356464144298934</v>
      </c>
    </row>
    <row r="656" spans="1:11">
      <c r="A656" s="7" t="s">
        <v>2046</v>
      </c>
      <c r="B656" s="7">
        <f>[1]Clothing!B170</f>
        <v>2019</v>
      </c>
      <c r="C656" s="7" t="str">
        <f>[1]Clothing!C170</f>
        <v>PVC</v>
      </c>
      <c r="D656" s="64">
        <f>[1]Clothing!K170</f>
        <v>99.579580821781335</v>
      </c>
      <c r="E656" s="7" t="str">
        <f>[1]Input_NL!$E$812</f>
        <v>https://ec.europa.eu/eurostat/databrowser/view/DS-056120__custom_15192557/default/table?lang=en - Low estimate</v>
      </c>
      <c r="F656" s="7">
        <f>[1]Clothing!O170</f>
        <v>1</v>
      </c>
      <c r="G656" s="7">
        <f>[1]Clothing!P170</f>
        <v>1</v>
      </c>
      <c r="H656" s="7">
        <f>[1]Clothing!Q170</f>
        <v>2</v>
      </c>
      <c r="I656" s="7">
        <f>[1]Clothing!R170</f>
        <v>2</v>
      </c>
      <c r="J656" s="7">
        <f>[1]Clothing!S170</f>
        <v>2</v>
      </c>
      <c r="K656" s="160">
        <f t="shared" si="10"/>
        <v>0.37356464144298934</v>
      </c>
    </row>
    <row r="657" spans="1:11">
      <c r="A657" s="7" t="s">
        <v>2046</v>
      </c>
      <c r="B657" s="7">
        <f>[1]Clothing!B171</f>
        <v>2019</v>
      </c>
      <c r="C657" s="7" t="str">
        <f>[1]Clothing!C171</f>
        <v>RUBBER</v>
      </c>
      <c r="D657" s="64">
        <f>[1]Clothing!K171</f>
        <v>210.78190944042822</v>
      </c>
      <c r="E657" s="7" t="str">
        <f>[1]Input_NL!$E$812</f>
        <v>https://ec.europa.eu/eurostat/databrowser/view/DS-056120__custom_15192557/default/table?lang=en - Low estimate</v>
      </c>
      <c r="F657" s="7">
        <f>[1]Clothing!O171</f>
        <v>1</v>
      </c>
      <c r="G657" s="7">
        <f>[1]Clothing!P171</f>
        <v>1</v>
      </c>
      <c r="H657" s="7">
        <f>[1]Clothing!Q171</f>
        <v>2</v>
      </c>
      <c r="I657" s="7">
        <f>[1]Clothing!R171</f>
        <v>2</v>
      </c>
      <c r="J657" s="7">
        <f>[1]Clothing!S171</f>
        <v>2</v>
      </c>
      <c r="K657" s="160">
        <f t="shared" si="10"/>
        <v>0.37356464144298934</v>
      </c>
    </row>
    <row r="658" spans="1:11">
      <c r="A658" s="7" t="s">
        <v>2046</v>
      </c>
      <c r="B658" s="7">
        <f>[1]Clothing!B172</f>
        <v>2020</v>
      </c>
      <c r="C658" s="7" t="str">
        <f>[1]Clothing!C172</f>
        <v>Acryl</v>
      </c>
      <c r="D658" s="64">
        <f>[1]Clothing!K172</f>
        <v>102.37632480198386</v>
      </c>
      <c r="E658" s="7" t="str">
        <f>[1]Input_NL!$E$812</f>
        <v>https://ec.europa.eu/eurostat/databrowser/view/DS-056120__custom_15192557/default/table?lang=en - Low estimate</v>
      </c>
      <c r="F658" s="7">
        <f>[1]Clothing!O172</f>
        <v>1</v>
      </c>
      <c r="G658" s="7">
        <f>[1]Clothing!P172</f>
        <v>1</v>
      </c>
      <c r="H658" s="7">
        <f>[1]Clothing!Q172</f>
        <v>2</v>
      </c>
      <c r="I658" s="7">
        <f>[1]Clothing!R172</f>
        <v>2</v>
      </c>
      <c r="J658" s="7">
        <f>[1]Clothing!S172</f>
        <v>2</v>
      </c>
      <c r="K658" s="160">
        <f t="shared" si="10"/>
        <v>0.37356464144298934</v>
      </c>
    </row>
    <row r="659" spans="1:11">
      <c r="A659" s="7" t="s">
        <v>2046</v>
      </c>
      <c r="B659" s="7">
        <f>[1]Clothing!B173</f>
        <v>2020</v>
      </c>
      <c r="C659" s="7" t="str">
        <f>[1]Clothing!C173</f>
        <v>OTHER</v>
      </c>
      <c r="D659" s="64">
        <f>[1]Clothing!K173</f>
        <v>161.33301867575491</v>
      </c>
      <c r="E659" s="7" t="str">
        <f>[1]Input_NL!$E$812</f>
        <v>https://ec.europa.eu/eurostat/databrowser/view/DS-056120__custom_15192557/default/table?lang=en - Low estimate</v>
      </c>
      <c r="F659" s="7">
        <f>[1]Clothing!O173</f>
        <v>1</v>
      </c>
      <c r="G659" s="7">
        <f>[1]Clothing!P173</f>
        <v>1</v>
      </c>
      <c r="H659" s="7">
        <f>[1]Clothing!Q173</f>
        <v>2</v>
      </c>
      <c r="I659" s="7">
        <f>[1]Clothing!R173</f>
        <v>2</v>
      </c>
      <c r="J659" s="7">
        <f>[1]Clothing!S173</f>
        <v>2</v>
      </c>
      <c r="K659" s="160">
        <f t="shared" ref="K659:K722" si="11">IF( OR( ISBLANK(F659),ISBLANK(G659), ISBLANK(H659), ISBLANK(I659), ISBLANK(J659) ), "", 1.5*SQRT(   EXP(2.21*(F659-1)) + EXP(2.21*(G659-1)) + EXP(2.21*(H659-1)) + EXP(2.21*(I659-1)) + EXP(2.21*J659)   )/100*2.45 )</f>
        <v>0.37356464144298934</v>
      </c>
    </row>
    <row r="660" spans="1:11">
      <c r="A660" s="7" t="s">
        <v>2046</v>
      </c>
      <c r="B660" s="7">
        <f>[1]Clothing!B174</f>
        <v>2020</v>
      </c>
      <c r="C660" s="7" t="str">
        <f>[1]Clothing!C174</f>
        <v>PA</v>
      </c>
      <c r="D660" s="64">
        <f>[1]Clothing!K174</f>
        <v>213.63852657389151</v>
      </c>
      <c r="E660" s="7" t="str">
        <f>[1]Input_NL!$E$812</f>
        <v>https://ec.europa.eu/eurostat/databrowser/view/DS-056120__custom_15192557/default/table?lang=en - Low estimate</v>
      </c>
      <c r="F660" s="7">
        <f>[1]Clothing!O174</f>
        <v>1</v>
      </c>
      <c r="G660" s="7">
        <f>[1]Clothing!P174</f>
        <v>1</v>
      </c>
      <c r="H660" s="7">
        <f>[1]Clothing!Q174</f>
        <v>2</v>
      </c>
      <c r="I660" s="7">
        <f>[1]Clothing!R174</f>
        <v>2</v>
      </c>
      <c r="J660" s="7">
        <f>[1]Clothing!S174</f>
        <v>2</v>
      </c>
      <c r="K660" s="160">
        <f t="shared" si="11"/>
        <v>0.37356464144298934</v>
      </c>
    </row>
    <row r="661" spans="1:11">
      <c r="A661" s="7" t="s">
        <v>2046</v>
      </c>
      <c r="B661" s="7">
        <f>[1]Clothing!B175</f>
        <v>2020</v>
      </c>
      <c r="C661" s="7" t="str">
        <f>[1]Clothing!C175</f>
        <v>PET</v>
      </c>
      <c r="D661" s="64">
        <f>[1]Clothing!K175</f>
        <v>1075.5216512168049</v>
      </c>
      <c r="E661" s="7" t="str">
        <f>[1]Input_NL!$E$812</f>
        <v>https://ec.europa.eu/eurostat/databrowser/view/DS-056120__custom_15192557/default/table?lang=en - Low estimate</v>
      </c>
      <c r="F661" s="7">
        <f>[1]Clothing!O175</f>
        <v>1</v>
      </c>
      <c r="G661" s="7">
        <f>[1]Clothing!P175</f>
        <v>1</v>
      </c>
      <c r="H661" s="7">
        <f>[1]Clothing!Q175</f>
        <v>2</v>
      </c>
      <c r="I661" s="7">
        <f>[1]Clothing!R175</f>
        <v>2</v>
      </c>
      <c r="J661" s="7">
        <f>[1]Clothing!S175</f>
        <v>2</v>
      </c>
      <c r="K661" s="160">
        <f t="shared" si="11"/>
        <v>0.37356464144298934</v>
      </c>
    </row>
    <row r="662" spans="1:11">
      <c r="A662" s="7" t="s">
        <v>2046</v>
      </c>
      <c r="B662" s="7">
        <f>[1]Clothing!B176</f>
        <v>2020</v>
      </c>
      <c r="C662" s="7" t="str">
        <f>[1]Clothing!C176</f>
        <v>PUR</v>
      </c>
      <c r="D662" s="64">
        <f>[1]Clothing!K176</f>
        <v>123.30334174942438</v>
      </c>
      <c r="E662" s="7" t="str">
        <f>[1]Input_NL!$E$812</f>
        <v>https://ec.europa.eu/eurostat/databrowser/view/DS-056120__custom_15192557/default/table?lang=en - Low estimate</v>
      </c>
      <c r="F662" s="7">
        <f>[1]Clothing!O176</f>
        <v>1</v>
      </c>
      <c r="G662" s="7">
        <f>[1]Clothing!P176</f>
        <v>1</v>
      </c>
      <c r="H662" s="7">
        <f>[1]Clothing!Q176</f>
        <v>2</v>
      </c>
      <c r="I662" s="7">
        <f>[1]Clothing!R176</f>
        <v>2</v>
      </c>
      <c r="J662" s="7">
        <f>[1]Clothing!S176</f>
        <v>2</v>
      </c>
      <c r="K662" s="160">
        <f t="shared" si="11"/>
        <v>0.37356464144298934</v>
      </c>
    </row>
    <row r="663" spans="1:11">
      <c r="A663" s="7" t="s">
        <v>2046</v>
      </c>
      <c r="B663" s="7">
        <f>[1]Clothing!B177</f>
        <v>2020</v>
      </c>
      <c r="C663" s="7" t="str">
        <f>[1]Clothing!C177</f>
        <v>PVC</v>
      </c>
      <c r="D663" s="64">
        <f>[1]Clothing!K177</f>
        <v>79.407485617291172</v>
      </c>
      <c r="E663" s="7" t="str">
        <f>[1]Input_NL!$E$812</f>
        <v>https://ec.europa.eu/eurostat/databrowser/view/DS-056120__custom_15192557/default/table?lang=en - Low estimate</v>
      </c>
      <c r="F663" s="7">
        <f>[1]Clothing!O177</f>
        <v>1</v>
      </c>
      <c r="G663" s="7">
        <f>[1]Clothing!P177</f>
        <v>1</v>
      </c>
      <c r="H663" s="7">
        <f>[1]Clothing!Q177</f>
        <v>2</v>
      </c>
      <c r="I663" s="7">
        <f>[1]Clothing!R177</f>
        <v>2</v>
      </c>
      <c r="J663" s="7">
        <f>[1]Clothing!S177</f>
        <v>2</v>
      </c>
      <c r="K663" s="160">
        <f t="shared" si="11"/>
        <v>0.37356464144298934</v>
      </c>
    </row>
    <row r="664" spans="1:11">
      <c r="A664" s="7" t="s">
        <v>2046</v>
      </c>
      <c r="B664" s="7">
        <f>[1]Clothing!B178</f>
        <v>2020</v>
      </c>
      <c r="C664" s="7" t="str">
        <f>[1]Clothing!C178</f>
        <v>RUBBER</v>
      </c>
      <c r="D664" s="64">
        <f>[1]Clothing!K178</f>
        <v>163.97255709559889</v>
      </c>
      <c r="E664" s="7" t="str">
        <f>[1]Input_NL!$E$812</f>
        <v>https://ec.europa.eu/eurostat/databrowser/view/DS-056120__custom_15192557/default/table?lang=en - Low estimate</v>
      </c>
      <c r="F664" s="7">
        <f>[1]Clothing!O178</f>
        <v>1</v>
      </c>
      <c r="G664" s="7">
        <f>[1]Clothing!P178</f>
        <v>1</v>
      </c>
      <c r="H664" s="7">
        <f>[1]Clothing!Q178</f>
        <v>2</v>
      </c>
      <c r="I664" s="7">
        <f>[1]Clothing!R178</f>
        <v>2</v>
      </c>
      <c r="J664" s="7">
        <f>[1]Clothing!S178</f>
        <v>2</v>
      </c>
      <c r="K664" s="160">
        <f t="shared" si="11"/>
        <v>0.37356464144298934</v>
      </c>
    </row>
    <row r="665" spans="1:11">
      <c r="A665" s="7" t="s">
        <v>2046</v>
      </c>
      <c r="B665" s="7">
        <f>[1]Clothing!B179</f>
        <v>2021</v>
      </c>
      <c r="C665" s="7" t="str">
        <f>[1]Clothing!C179</f>
        <v>Acryl</v>
      </c>
      <c r="D665" s="64">
        <f>[1]Clothing!K179</f>
        <v>113.3251195172403</v>
      </c>
      <c r="E665" s="7" t="str">
        <f>[1]Input_NL!$E$812</f>
        <v>https://ec.europa.eu/eurostat/databrowser/view/DS-056120__custom_15192557/default/table?lang=en - Low estimate</v>
      </c>
      <c r="F665" s="7">
        <f>[1]Clothing!O179</f>
        <v>1</v>
      </c>
      <c r="G665" s="7">
        <f>[1]Clothing!P179</f>
        <v>1</v>
      </c>
      <c r="H665" s="7">
        <f>[1]Clothing!Q179</f>
        <v>2</v>
      </c>
      <c r="I665" s="7">
        <f>[1]Clothing!R179</f>
        <v>2</v>
      </c>
      <c r="J665" s="7">
        <f>[1]Clothing!S179</f>
        <v>2</v>
      </c>
      <c r="K665" s="160">
        <f t="shared" si="11"/>
        <v>0.37356464144298934</v>
      </c>
    </row>
    <row r="666" spans="1:11">
      <c r="A666" s="7" t="s">
        <v>2046</v>
      </c>
      <c r="B666" s="7">
        <f>[1]Clothing!B180</f>
        <v>2021</v>
      </c>
      <c r="C666" s="7" t="str">
        <f>[1]Clothing!C180</f>
        <v>OTHER</v>
      </c>
      <c r="D666" s="64">
        <f>[1]Clothing!K180</f>
        <v>169.80710057016137</v>
      </c>
      <c r="E666" s="7" t="str">
        <f>[1]Input_NL!$E$812</f>
        <v>https://ec.europa.eu/eurostat/databrowser/view/DS-056120__custom_15192557/default/table?lang=en - Low estimate</v>
      </c>
      <c r="F666" s="7">
        <f>[1]Clothing!O180</f>
        <v>1</v>
      </c>
      <c r="G666" s="7">
        <f>[1]Clothing!P180</f>
        <v>1</v>
      </c>
      <c r="H666" s="7">
        <f>[1]Clothing!Q180</f>
        <v>2</v>
      </c>
      <c r="I666" s="7">
        <f>[1]Clothing!R180</f>
        <v>2</v>
      </c>
      <c r="J666" s="7">
        <f>[1]Clothing!S180</f>
        <v>2</v>
      </c>
      <c r="K666" s="160">
        <f t="shared" si="11"/>
        <v>0.37356464144298934</v>
      </c>
    </row>
    <row r="667" spans="1:11">
      <c r="A667" s="7" t="s">
        <v>2046</v>
      </c>
      <c r="B667" s="7">
        <f>[1]Clothing!B181</f>
        <v>2021</v>
      </c>
      <c r="C667" s="7" t="str">
        <f>[1]Clothing!C181</f>
        <v>PA</v>
      </c>
      <c r="D667" s="64">
        <f>[1]Clothing!K181</f>
        <v>235.40868887089127</v>
      </c>
      <c r="E667" s="7" t="str">
        <f>[1]Input_NL!$E$812</f>
        <v>https://ec.europa.eu/eurostat/databrowser/view/DS-056120__custom_15192557/default/table?lang=en - Low estimate</v>
      </c>
      <c r="F667" s="7">
        <f>[1]Clothing!O181</f>
        <v>1</v>
      </c>
      <c r="G667" s="7">
        <f>[1]Clothing!P181</f>
        <v>1</v>
      </c>
      <c r="H667" s="7">
        <f>[1]Clothing!Q181</f>
        <v>2</v>
      </c>
      <c r="I667" s="7">
        <f>[1]Clothing!R181</f>
        <v>2</v>
      </c>
      <c r="J667" s="7">
        <f>[1]Clothing!S181</f>
        <v>2</v>
      </c>
      <c r="K667" s="160">
        <f t="shared" si="11"/>
        <v>0.37356464144298934</v>
      </c>
    </row>
    <row r="668" spans="1:11">
      <c r="A668" s="7" t="s">
        <v>2046</v>
      </c>
      <c r="B668" s="7">
        <f>[1]Clothing!B182</f>
        <v>2021</v>
      </c>
      <c r="C668" s="7" t="str">
        <f>[1]Clothing!C182</f>
        <v>PET</v>
      </c>
      <c r="D668" s="64">
        <f>[1]Clothing!K182</f>
        <v>1165.0967021865949</v>
      </c>
      <c r="E668" s="7" t="str">
        <f>[1]Input_NL!$E$812</f>
        <v>https://ec.europa.eu/eurostat/databrowser/view/DS-056120__custom_15192557/default/table?lang=en - Low estimate</v>
      </c>
      <c r="F668" s="7">
        <f>[1]Clothing!O182</f>
        <v>1</v>
      </c>
      <c r="G668" s="7">
        <f>[1]Clothing!P182</f>
        <v>1</v>
      </c>
      <c r="H668" s="7">
        <f>[1]Clothing!Q182</f>
        <v>2</v>
      </c>
      <c r="I668" s="7">
        <f>[1]Clothing!R182</f>
        <v>2</v>
      </c>
      <c r="J668" s="7">
        <f>[1]Clothing!S182</f>
        <v>2</v>
      </c>
      <c r="K668" s="160">
        <f t="shared" si="11"/>
        <v>0.37356464144298934</v>
      </c>
    </row>
    <row r="669" spans="1:11">
      <c r="A669" s="7" t="s">
        <v>2046</v>
      </c>
      <c r="B669" s="7">
        <f>[1]Clothing!B183</f>
        <v>2021</v>
      </c>
      <c r="C669" s="7" t="str">
        <f>[1]Clothing!C183</f>
        <v>PUR</v>
      </c>
      <c r="D669" s="64">
        <f>[1]Clothing!K183</f>
        <v>121.49018578342412</v>
      </c>
      <c r="E669" s="7" t="str">
        <f>[1]Input_NL!$E$812</f>
        <v>https://ec.europa.eu/eurostat/databrowser/view/DS-056120__custom_15192557/default/table?lang=en - Low estimate</v>
      </c>
      <c r="F669" s="7">
        <f>[1]Clothing!O183</f>
        <v>1</v>
      </c>
      <c r="G669" s="7">
        <f>[1]Clothing!P183</f>
        <v>1</v>
      </c>
      <c r="H669" s="7">
        <f>[1]Clothing!Q183</f>
        <v>2</v>
      </c>
      <c r="I669" s="7">
        <f>[1]Clothing!R183</f>
        <v>2</v>
      </c>
      <c r="J669" s="7">
        <f>[1]Clothing!S183</f>
        <v>2</v>
      </c>
      <c r="K669" s="160">
        <f t="shared" si="11"/>
        <v>0.37356464144298934</v>
      </c>
    </row>
    <row r="670" spans="1:11">
      <c r="A670" s="7" t="s">
        <v>2046</v>
      </c>
      <c r="B670" s="7">
        <f>[1]Clothing!B184</f>
        <v>2021</v>
      </c>
      <c r="C670" s="7" t="str">
        <f>[1]Clothing!C184</f>
        <v>PVC</v>
      </c>
      <c r="D670" s="64">
        <f>[1]Clothing!K184</f>
        <v>78.395132887155654</v>
      </c>
      <c r="E670" s="7" t="str">
        <f>[1]Input_NL!$E$812</f>
        <v>https://ec.europa.eu/eurostat/databrowser/view/DS-056120__custom_15192557/default/table?lang=en - Low estimate</v>
      </c>
      <c r="F670" s="7">
        <f>[1]Clothing!O184</f>
        <v>1</v>
      </c>
      <c r="G670" s="7">
        <f>[1]Clothing!P184</f>
        <v>1</v>
      </c>
      <c r="H670" s="7">
        <f>[1]Clothing!Q184</f>
        <v>2</v>
      </c>
      <c r="I670" s="7">
        <f>[1]Clothing!R184</f>
        <v>2</v>
      </c>
      <c r="J670" s="7">
        <f>[1]Clothing!S184</f>
        <v>2</v>
      </c>
      <c r="K670" s="160">
        <f t="shared" si="11"/>
        <v>0.37356464144298934</v>
      </c>
    </row>
    <row r="671" spans="1:11">
      <c r="A671" s="7" t="s">
        <v>2046</v>
      </c>
      <c r="B671" s="7">
        <f>[1]Clothing!B185</f>
        <v>2021</v>
      </c>
      <c r="C671" s="7" t="str">
        <f>[1]Clothing!C185</f>
        <v>RUBBER</v>
      </c>
      <c r="D671" s="64">
        <f>[1]Clothing!K185</f>
        <v>163.59652100912916</v>
      </c>
      <c r="E671" s="7" t="str">
        <f>[1]Input_NL!$E$812</f>
        <v>https://ec.europa.eu/eurostat/databrowser/view/DS-056120__custom_15192557/default/table?lang=en - Low estimate</v>
      </c>
      <c r="F671" s="7">
        <f>[1]Clothing!O185</f>
        <v>1</v>
      </c>
      <c r="G671" s="7">
        <f>[1]Clothing!P185</f>
        <v>1</v>
      </c>
      <c r="H671" s="7">
        <f>[1]Clothing!Q185</f>
        <v>2</v>
      </c>
      <c r="I671" s="7">
        <f>[1]Clothing!R185</f>
        <v>2</v>
      </c>
      <c r="J671" s="7">
        <f>[1]Clothing!S185</f>
        <v>2</v>
      </c>
      <c r="K671" s="160">
        <f t="shared" si="11"/>
        <v>0.37356464144298934</v>
      </c>
    </row>
    <row r="672" spans="1:11">
      <c r="A672" s="7" t="s">
        <v>2046</v>
      </c>
      <c r="B672" s="7">
        <f>[1]Clothing!B186</f>
        <v>2022</v>
      </c>
      <c r="C672" s="7" t="str">
        <f>[1]Clothing!C186</f>
        <v>Acryl</v>
      </c>
      <c r="D672" s="64">
        <f>[1]Clothing!K186</f>
        <v>141.02659951072633</v>
      </c>
      <c r="E672" s="7" t="str">
        <f>[1]Input_NL!$E$812</f>
        <v>https://ec.europa.eu/eurostat/databrowser/view/DS-056120__custom_15192557/default/table?lang=en - Low estimate</v>
      </c>
      <c r="F672" s="7">
        <f>[1]Clothing!O186</f>
        <v>1</v>
      </c>
      <c r="G672" s="7">
        <f>[1]Clothing!P186</f>
        <v>1</v>
      </c>
      <c r="H672" s="7">
        <f>[1]Clothing!Q186</f>
        <v>2</v>
      </c>
      <c r="I672" s="7">
        <f>[1]Clothing!R186</f>
        <v>2</v>
      </c>
      <c r="J672" s="7">
        <f>[1]Clothing!S186</f>
        <v>2</v>
      </c>
      <c r="K672" s="160">
        <f t="shared" si="11"/>
        <v>0.37356464144298934</v>
      </c>
    </row>
    <row r="673" spans="1:11">
      <c r="A673" s="7" t="s">
        <v>2046</v>
      </c>
      <c r="B673" s="7">
        <f>[1]Clothing!B187</f>
        <v>2022</v>
      </c>
      <c r="C673" s="7" t="str">
        <f>[1]Clothing!C187</f>
        <v>OTHER</v>
      </c>
      <c r="D673" s="64">
        <f>[1]Clothing!K187</f>
        <v>216.28637948109096</v>
      </c>
      <c r="E673" s="7" t="str">
        <f>[1]Input_NL!$E$812</f>
        <v>https://ec.europa.eu/eurostat/databrowser/view/DS-056120__custom_15192557/default/table?lang=en - Low estimate</v>
      </c>
      <c r="F673" s="7">
        <f>[1]Clothing!O187</f>
        <v>1</v>
      </c>
      <c r="G673" s="7">
        <f>[1]Clothing!P187</f>
        <v>1</v>
      </c>
      <c r="H673" s="7">
        <f>[1]Clothing!Q187</f>
        <v>2</v>
      </c>
      <c r="I673" s="7">
        <f>[1]Clothing!R187</f>
        <v>2</v>
      </c>
      <c r="J673" s="7">
        <f>[1]Clothing!S187</f>
        <v>2</v>
      </c>
      <c r="K673" s="160">
        <f t="shared" si="11"/>
        <v>0.37356464144298934</v>
      </c>
    </row>
    <row r="674" spans="1:11">
      <c r="A674" s="7" t="s">
        <v>2046</v>
      </c>
      <c r="B674" s="7">
        <f>[1]Clothing!B188</f>
        <v>2022</v>
      </c>
      <c r="C674" s="7" t="str">
        <f>[1]Clothing!C188</f>
        <v>PA</v>
      </c>
      <c r="D674" s="64">
        <f>[1]Clothing!K188</f>
        <v>292.25351751807887</v>
      </c>
      <c r="E674" s="7" t="str">
        <f>[1]Input_NL!$E$812</f>
        <v>https://ec.europa.eu/eurostat/databrowser/view/DS-056120__custom_15192557/default/table?lang=en - Low estimate</v>
      </c>
      <c r="F674" s="7">
        <f>[1]Clothing!O188</f>
        <v>1</v>
      </c>
      <c r="G674" s="7">
        <f>[1]Clothing!P188</f>
        <v>1</v>
      </c>
      <c r="H674" s="7">
        <f>[1]Clothing!Q188</f>
        <v>2</v>
      </c>
      <c r="I674" s="7">
        <f>[1]Clothing!R188</f>
        <v>2</v>
      </c>
      <c r="J674" s="7">
        <f>[1]Clothing!S188</f>
        <v>2</v>
      </c>
      <c r="K674" s="160">
        <f t="shared" si="11"/>
        <v>0.37356464144298934</v>
      </c>
    </row>
    <row r="675" spans="1:11">
      <c r="A675" s="7" t="s">
        <v>2046</v>
      </c>
      <c r="B675" s="7">
        <f>[1]Clothing!B189</f>
        <v>2022</v>
      </c>
      <c r="C675" s="7" t="str">
        <f>[1]Clothing!C189</f>
        <v>PET</v>
      </c>
      <c r="D675" s="64">
        <f>[1]Clothing!K189</f>
        <v>1453.0307605512528</v>
      </c>
      <c r="E675" s="7" t="str">
        <f>[1]Input_NL!$E$812</f>
        <v>https://ec.europa.eu/eurostat/databrowser/view/DS-056120__custom_15192557/default/table?lang=en - Low estimate</v>
      </c>
      <c r="F675" s="7">
        <f>[1]Clothing!O189</f>
        <v>1</v>
      </c>
      <c r="G675" s="7">
        <f>[1]Clothing!P189</f>
        <v>1</v>
      </c>
      <c r="H675" s="7">
        <f>[1]Clothing!Q189</f>
        <v>2</v>
      </c>
      <c r="I675" s="7">
        <f>[1]Clothing!R189</f>
        <v>2</v>
      </c>
      <c r="J675" s="7">
        <f>[1]Clothing!S189</f>
        <v>2</v>
      </c>
      <c r="K675" s="160">
        <f t="shared" si="11"/>
        <v>0.37356464144298934</v>
      </c>
    </row>
    <row r="676" spans="1:11">
      <c r="A676" s="7" t="s">
        <v>2046</v>
      </c>
      <c r="B676" s="7">
        <f>[1]Clothing!B190</f>
        <v>2022</v>
      </c>
      <c r="C676" s="7" t="str">
        <f>[1]Clothing!C190</f>
        <v>PUR</v>
      </c>
      <c r="D676" s="64">
        <f>[1]Clothing!K190</f>
        <v>158.98860370720823</v>
      </c>
      <c r="E676" s="7" t="str">
        <f>[1]Input_NL!$E$812</f>
        <v>https://ec.europa.eu/eurostat/databrowser/view/DS-056120__custom_15192557/default/table?lang=en - Low estimate</v>
      </c>
      <c r="F676" s="7">
        <f>[1]Clothing!O190</f>
        <v>1</v>
      </c>
      <c r="G676" s="7">
        <f>[1]Clothing!P190</f>
        <v>1</v>
      </c>
      <c r="H676" s="7">
        <f>[1]Clothing!Q190</f>
        <v>2</v>
      </c>
      <c r="I676" s="7">
        <f>[1]Clothing!R190</f>
        <v>2</v>
      </c>
      <c r="J676" s="7">
        <f>[1]Clothing!S190</f>
        <v>2</v>
      </c>
      <c r="K676" s="160">
        <f t="shared" si="11"/>
        <v>0.37356464144298934</v>
      </c>
    </row>
    <row r="677" spans="1:11">
      <c r="A677" s="7" t="s">
        <v>2046</v>
      </c>
      <c r="B677" s="7">
        <f>[1]Clothing!B191</f>
        <v>2022</v>
      </c>
      <c r="C677" s="7" t="str">
        <f>[1]Clothing!C191</f>
        <v>PVC</v>
      </c>
      <c r="D677" s="64">
        <f>[1]Clothing!K191</f>
        <v>102.70798337367832</v>
      </c>
      <c r="E677" s="7" t="str">
        <f>[1]Input_NL!$E$812</f>
        <v>https://ec.europa.eu/eurostat/databrowser/view/DS-056120__custom_15192557/default/table?lang=en - Low estimate</v>
      </c>
      <c r="F677" s="7">
        <f>[1]Clothing!O191</f>
        <v>1</v>
      </c>
      <c r="G677" s="7">
        <f>[1]Clothing!P191</f>
        <v>1</v>
      </c>
      <c r="H677" s="7">
        <f>[1]Clothing!Q191</f>
        <v>2</v>
      </c>
      <c r="I677" s="7">
        <f>[1]Clothing!R191</f>
        <v>2</v>
      </c>
      <c r="J677" s="7">
        <f>[1]Clothing!S191</f>
        <v>2</v>
      </c>
      <c r="K677" s="160">
        <f t="shared" si="11"/>
        <v>0.37356464144298934</v>
      </c>
    </row>
    <row r="678" spans="1:11">
      <c r="A678" s="7" t="s">
        <v>2046</v>
      </c>
      <c r="B678" s="7">
        <f>[1]Clothing!B192</f>
        <v>2022</v>
      </c>
      <c r="C678" s="7" t="str">
        <f>[1]Clothing!C192</f>
        <v>RUBBER</v>
      </c>
      <c r="D678" s="64">
        <f>[1]Clothing!K192</f>
        <v>215.88536511890467</v>
      </c>
      <c r="E678" s="7" t="str">
        <f>[1]Input_NL!$E$812</f>
        <v>https://ec.europa.eu/eurostat/databrowser/view/DS-056120__custom_15192557/default/table?lang=en - Low estimate</v>
      </c>
      <c r="F678" s="7">
        <f>[1]Clothing!O192</f>
        <v>1</v>
      </c>
      <c r="G678" s="7">
        <f>[1]Clothing!P192</f>
        <v>1</v>
      </c>
      <c r="H678" s="7">
        <f>[1]Clothing!Q192</f>
        <v>2</v>
      </c>
      <c r="I678" s="7">
        <f>[1]Clothing!R192</f>
        <v>2</v>
      </c>
      <c r="J678" s="7">
        <f>[1]Clothing!S192</f>
        <v>2</v>
      </c>
      <c r="K678" s="160">
        <f t="shared" si="11"/>
        <v>0.37356464144298934</v>
      </c>
    </row>
    <row r="679" spans="1:11">
      <c r="A679" s="7" t="s">
        <v>2046</v>
      </c>
      <c r="B679" s="7">
        <f>[1]Clothing!B109</f>
        <v>2011</v>
      </c>
      <c r="C679" s="7" t="str">
        <f>[1]Clothing!C109</f>
        <v>Acryl</v>
      </c>
      <c r="D679" s="64">
        <f>[1]Clothing!L109</f>
        <v>156.45021115843022</v>
      </c>
      <c r="E679" s="7" t="s">
        <v>2045</v>
      </c>
      <c r="F679" s="7">
        <f>[1]Clothing!O109</f>
        <v>1</v>
      </c>
      <c r="G679" s="7">
        <f>[1]Clothing!P109</f>
        <v>1</v>
      </c>
      <c r="H679" s="7">
        <f>[1]Clothing!Q109</f>
        <v>2</v>
      </c>
      <c r="I679" s="7">
        <f>[1]Clothing!R109</f>
        <v>2</v>
      </c>
      <c r="J679" s="7">
        <f>[1]Clothing!S109</f>
        <v>2</v>
      </c>
      <c r="K679" s="160">
        <f t="shared" si="11"/>
        <v>0.37356464144298934</v>
      </c>
    </row>
    <row r="680" spans="1:11">
      <c r="A680" s="7" t="s">
        <v>2046</v>
      </c>
      <c r="B680" s="7">
        <f>[1]Clothing!B110</f>
        <v>2011</v>
      </c>
      <c r="C680" s="7" t="str">
        <f>[1]Clothing!C110</f>
        <v>OTHER</v>
      </c>
      <c r="D680" s="64">
        <f>[1]Clothing!L110</f>
        <v>256.44340767742403</v>
      </c>
      <c r="E680" s="7" t="s">
        <v>2045</v>
      </c>
      <c r="F680" s="7">
        <f>[1]Clothing!O110</f>
        <v>1</v>
      </c>
      <c r="G680" s="7">
        <f>[1]Clothing!P110</f>
        <v>1</v>
      </c>
      <c r="H680" s="7">
        <f>[1]Clothing!Q110</f>
        <v>2</v>
      </c>
      <c r="I680" s="7">
        <f>[1]Clothing!R110</f>
        <v>2</v>
      </c>
      <c r="J680" s="7">
        <f>[1]Clothing!S110</f>
        <v>2</v>
      </c>
      <c r="K680" s="160">
        <f t="shared" si="11"/>
        <v>0.37356464144298934</v>
      </c>
    </row>
    <row r="681" spans="1:11">
      <c r="A681" s="7" t="s">
        <v>2046</v>
      </c>
      <c r="B681" s="7">
        <f>[1]Clothing!B111</f>
        <v>2011</v>
      </c>
      <c r="C681" s="7" t="str">
        <f>[1]Clothing!C111</f>
        <v>PA</v>
      </c>
      <c r="D681" s="64">
        <f>[1]Clothing!L111</f>
        <v>342.80096639342116</v>
      </c>
      <c r="E681" s="7" t="s">
        <v>2045</v>
      </c>
      <c r="F681" s="7">
        <f>[1]Clothing!O111</f>
        <v>1</v>
      </c>
      <c r="G681" s="7">
        <f>[1]Clothing!P111</f>
        <v>1</v>
      </c>
      <c r="H681" s="7">
        <f>[1]Clothing!Q111</f>
        <v>2</v>
      </c>
      <c r="I681" s="7">
        <f>[1]Clothing!R111</f>
        <v>2</v>
      </c>
      <c r="J681" s="7">
        <f>[1]Clothing!S111</f>
        <v>2</v>
      </c>
      <c r="K681" s="160">
        <f t="shared" si="11"/>
        <v>0.37356464144298934</v>
      </c>
    </row>
    <row r="682" spans="1:11">
      <c r="A682" s="7" t="s">
        <v>2046</v>
      </c>
      <c r="B682" s="7">
        <f>[1]Clothing!B112</f>
        <v>2011</v>
      </c>
      <c r="C682" s="7" t="str">
        <f>[1]Clothing!C112</f>
        <v>PET</v>
      </c>
      <c r="D682" s="64">
        <f>[1]Clothing!L112</f>
        <v>1534.6343875324412</v>
      </c>
      <c r="E682" s="7" t="s">
        <v>2045</v>
      </c>
      <c r="F682" s="7">
        <f>[1]Clothing!O112</f>
        <v>1</v>
      </c>
      <c r="G682" s="7">
        <f>[1]Clothing!P112</f>
        <v>1</v>
      </c>
      <c r="H682" s="7">
        <f>[1]Clothing!Q112</f>
        <v>2</v>
      </c>
      <c r="I682" s="7">
        <f>[1]Clothing!R112</f>
        <v>2</v>
      </c>
      <c r="J682" s="7">
        <f>[1]Clothing!S112</f>
        <v>2</v>
      </c>
      <c r="K682" s="160">
        <f t="shared" si="11"/>
        <v>0.37356464144298934</v>
      </c>
    </row>
    <row r="683" spans="1:11">
      <c r="A683" s="7" t="s">
        <v>2046</v>
      </c>
      <c r="B683" s="7">
        <f>[1]Clothing!B113</f>
        <v>2011</v>
      </c>
      <c r="C683" s="7" t="str">
        <f>[1]Clothing!C113</f>
        <v>PUR</v>
      </c>
      <c r="D683" s="64">
        <f>[1]Clothing!L113</f>
        <v>186.51740328277091</v>
      </c>
      <c r="E683" s="7" t="s">
        <v>2045</v>
      </c>
      <c r="F683" s="7">
        <f>[1]Clothing!O113</f>
        <v>1</v>
      </c>
      <c r="G683" s="7">
        <f>[1]Clothing!P113</f>
        <v>1</v>
      </c>
      <c r="H683" s="7">
        <f>[1]Clothing!Q113</f>
        <v>2</v>
      </c>
      <c r="I683" s="7">
        <f>[1]Clothing!R113</f>
        <v>2</v>
      </c>
      <c r="J683" s="7">
        <f>[1]Clothing!S113</f>
        <v>2</v>
      </c>
      <c r="K683" s="160">
        <f t="shared" si="11"/>
        <v>0.37356464144298934</v>
      </c>
    </row>
    <row r="684" spans="1:11">
      <c r="A684" s="7" t="s">
        <v>2046</v>
      </c>
      <c r="B684" s="7">
        <f>[1]Clothing!B114</f>
        <v>2011</v>
      </c>
      <c r="C684" s="7" t="str">
        <f>[1]Clothing!C114</f>
        <v>PVC</v>
      </c>
      <c r="D684" s="64">
        <f>[1]Clothing!L114</f>
        <v>121.13184528357107</v>
      </c>
      <c r="E684" s="7" t="s">
        <v>2045</v>
      </c>
      <c r="F684" s="7">
        <f>[1]Clothing!O114</f>
        <v>1</v>
      </c>
      <c r="G684" s="7">
        <f>[1]Clothing!P114</f>
        <v>1</v>
      </c>
      <c r="H684" s="7">
        <f>[1]Clothing!Q114</f>
        <v>2</v>
      </c>
      <c r="I684" s="7">
        <f>[1]Clothing!R114</f>
        <v>2</v>
      </c>
      <c r="J684" s="7">
        <f>[1]Clothing!S114</f>
        <v>2</v>
      </c>
      <c r="K684" s="160">
        <f t="shared" si="11"/>
        <v>0.37356464144298934</v>
      </c>
    </row>
    <row r="685" spans="1:11">
      <c r="A685" s="7" t="s">
        <v>2046</v>
      </c>
      <c r="B685" s="7">
        <f>[1]Clothing!B115</f>
        <v>2011</v>
      </c>
      <c r="C685" s="7" t="str">
        <f>[1]Clothing!C115</f>
        <v>RUBBER</v>
      </c>
      <c r="D685" s="64">
        <f>[1]Clothing!L115</f>
        <v>263.7602220387023</v>
      </c>
      <c r="E685" s="7" t="s">
        <v>2045</v>
      </c>
      <c r="F685" s="7">
        <f>[1]Clothing!O115</f>
        <v>1</v>
      </c>
      <c r="G685" s="7">
        <f>[1]Clothing!P115</f>
        <v>1</v>
      </c>
      <c r="H685" s="7">
        <f>[1]Clothing!Q115</f>
        <v>2</v>
      </c>
      <c r="I685" s="7">
        <f>[1]Clothing!R115</f>
        <v>2</v>
      </c>
      <c r="J685" s="7">
        <f>[1]Clothing!S115</f>
        <v>2</v>
      </c>
      <c r="K685" s="160">
        <f t="shared" si="11"/>
        <v>0.37356464144298934</v>
      </c>
    </row>
    <row r="686" spans="1:11">
      <c r="A686" s="7" t="s">
        <v>2046</v>
      </c>
      <c r="B686" s="7">
        <f>[1]Clothing!B116</f>
        <v>2012</v>
      </c>
      <c r="C686" s="7" t="str">
        <f>[1]Clothing!C116</f>
        <v>Acryl</v>
      </c>
      <c r="D686" s="64">
        <f>[1]Clothing!L116</f>
        <v>116.94158174815253</v>
      </c>
      <c r="E686" s="7" t="s">
        <v>2045</v>
      </c>
      <c r="F686" s="7">
        <f>[1]Clothing!O116</f>
        <v>1</v>
      </c>
      <c r="G686" s="7">
        <f>[1]Clothing!P116</f>
        <v>1</v>
      </c>
      <c r="H686" s="7">
        <f>[1]Clothing!Q116</f>
        <v>2</v>
      </c>
      <c r="I686" s="7">
        <f>[1]Clothing!R116</f>
        <v>2</v>
      </c>
      <c r="J686" s="7">
        <f>[1]Clothing!S116</f>
        <v>2</v>
      </c>
      <c r="K686" s="160">
        <f t="shared" si="11"/>
        <v>0.37356464144298934</v>
      </c>
    </row>
    <row r="687" spans="1:11">
      <c r="A687" s="7" t="s">
        <v>2046</v>
      </c>
      <c r="B687" s="7">
        <f>[1]Clothing!B117</f>
        <v>2012</v>
      </c>
      <c r="C687" s="7" t="str">
        <f>[1]Clothing!C117</f>
        <v>OTHER</v>
      </c>
      <c r="D687" s="64">
        <f>[1]Clothing!L117</f>
        <v>202.73636701859166</v>
      </c>
      <c r="E687" s="7" t="s">
        <v>2045</v>
      </c>
      <c r="F687" s="7">
        <f>[1]Clothing!O117</f>
        <v>1</v>
      </c>
      <c r="G687" s="7">
        <f>[1]Clothing!P117</f>
        <v>1</v>
      </c>
      <c r="H687" s="7">
        <f>[1]Clothing!Q117</f>
        <v>2</v>
      </c>
      <c r="I687" s="7">
        <f>[1]Clothing!R117</f>
        <v>2</v>
      </c>
      <c r="J687" s="7">
        <f>[1]Clothing!S117</f>
        <v>2</v>
      </c>
      <c r="K687" s="160">
        <f t="shared" si="11"/>
        <v>0.37356464144298934</v>
      </c>
    </row>
    <row r="688" spans="1:11">
      <c r="A688" s="7" t="s">
        <v>2046</v>
      </c>
      <c r="B688" s="7">
        <f>[1]Clothing!B118</f>
        <v>2012</v>
      </c>
      <c r="C688" s="7" t="str">
        <f>[1]Clothing!C118</f>
        <v>PA</v>
      </c>
      <c r="D688" s="64">
        <f>[1]Clothing!L118</f>
        <v>249.09332647338607</v>
      </c>
      <c r="E688" s="7" t="s">
        <v>2045</v>
      </c>
      <c r="F688" s="7">
        <f>[1]Clothing!O118</f>
        <v>1</v>
      </c>
      <c r="G688" s="7">
        <f>[1]Clothing!P118</f>
        <v>1</v>
      </c>
      <c r="H688" s="7">
        <f>[1]Clothing!Q118</f>
        <v>2</v>
      </c>
      <c r="I688" s="7">
        <f>[1]Clothing!R118</f>
        <v>2</v>
      </c>
      <c r="J688" s="7">
        <f>[1]Clothing!S118</f>
        <v>2</v>
      </c>
      <c r="K688" s="160">
        <f t="shared" si="11"/>
        <v>0.37356464144298934</v>
      </c>
    </row>
    <row r="689" spans="1:11">
      <c r="A689" s="7" t="s">
        <v>2046</v>
      </c>
      <c r="B689" s="7">
        <f>[1]Clothing!B119</f>
        <v>2012</v>
      </c>
      <c r="C689" s="7" t="str">
        <f>[1]Clothing!C119</f>
        <v>PET</v>
      </c>
      <c r="D689" s="64">
        <f>[1]Clothing!L119</f>
        <v>1313.4214345278285</v>
      </c>
      <c r="E689" s="7" t="s">
        <v>2045</v>
      </c>
      <c r="F689" s="7">
        <f>[1]Clothing!O119</f>
        <v>1</v>
      </c>
      <c r="G689" s="7">
        <f>[1]Clothing!P119</f>
        <v>1</v>
      </c>
      <c r="H689" s="7">
        <f>[1]Clothing!Q119</f>
        <v>2</v>
      </c>
      <c r="I689" s="7">
        <f>[1]Clothing!R119</f>
        <v>2</v>
      </c>
      <c r="J689" s="7">
        <f>[1]Clothing!S119</f>
        <v>2</v>
      </c>
      <c r="K689" s="160">
        <f t="shared" si="11"/>
        <v>0.37356464144298934</v>
      </c>
    </row>
    <row r="690" spans="1:11">
      <c r="A690" s="7" t="s">
        <v>2046</v>
      </c>
      <c r="B690" s="7">
        <f>[1]Clothing!B120</f>
        <v>2012</v>
      </c>
      <c r="C690" s="7" t="str">
        <f>[1]Clothing!C120</f>
        <v>PUR</v>
      </c>
      <c r="D690" s="64">
        <f>[1]Clothing!L120</f>
        <v>166.22896235871892</v>
      </c>
      <c r="E690" s="7" t="s">
        <v>2045</v>
      </c>
      <c r="F690" s="7">
        <f>[1]Clothing!O120</f>
        <v>1</v>
      </c>
      <c r="G690" s="7">
        <f>[1]Clothing!P120</f>
        <v>1</v>
      </c>
      <c r="H690" s="7">
        <f>[1]Clothing!Q120</f>
        <v>2</v>
      </c>
      <c r="I690" s="7">
        <f>[1]Clothing!R120</f>
        <v>2</v>
      </c>
      <c r="J690" s="7">
        <f>[1]Clothing!S120</f>
        <v>2</v>
      </c>
      <c r="K690" s="160">
        <f t="shared" si="11"/>
        <v>0.37356464144298934</v>
      </c>
    </row>
    <row r="691" spans="1:11">
      <c r="A691" s="7" t="s">
        <v>2046</v>
      </c>
      <c r="B691" s="7">
        <f>[1]Clothing!B121</f>
        <v>2012</v>
      </c>
      <c r="C691" s="7" t="str">
        <f>[1]Clothing!C121</f>
        <v>PVC</v>
      </c>
      <c r="D691" s="64">
        <f>[1]Clothing!L121</f>
        <v>107.33038817312612</v>
      </c>
      <c r="E691" s="7" t="s">
        <v>2045</v>
      </c>
      <c r="F691" s="7">
        <f>[1]Clothing!O121</f>
        <v>1</v>
      </c>
      <c r="G691" s="7">
        <f>[1]Clothing!P121</f>
        <v>1</v>
      </c>
      <c r="H691" s="7">
        <f>[1]Clothing!Q121</f>
        <v>2</v>
      </c>
      <c r="I691" s="7">
        <f>[1]Clothing!R121</f>
        <v>2</v>
      </c>
      <c r="J691" s="7">
        <f>[1]Clothing!S121</f>
        <v>2</v>
      </c>
      <c r="K691" s="160">
        <f t="shared" si="11"/>
        <v>0.37356464144298934</v>
      </c>
    </row>
    <row r="692" spans="1:11">
      <c r="A692" s="7" t="s">
        <v>2046</v>
      </c>
      <c r="B692" s="7">
        <f>[1]Clothing!B122</f>
        <v>2012</v>
      </c>
      <c r="C692" s="7" t="str">
        <f>[1]Clothing!C122</f>
        <v>RUBBER</v>
      </c>
      <c r="D692" s="64">
        <f>[1]Clothing!L122</f>
        <v>227.36546953549217</v>
      </c>
      <c r="E692" s="7" t="s">
        <v>2045</v>
      </c>
      <c r="F692" s="7">
        <f>[1]Clothing!O122</f>
        <v>1</v>
      </c>
      <c r="G692" s="7">
        <f>[1]Clothing!P122</f>
        <v>1</v>
      </c>
      <c r="H692" s="7">
        <f>[1]Clothing!Q122</f>
        <v>2</v>
      </c>
      <c r="I692" s="7">
        <f>[1]Clothing!R122</f>
        <v>2</v>
      </c>
      <c r="J692" s="7">
        <f>[1]Clothing!S122</f>
        <v>2</v>
      </c>
      <c r="K692" s="160">
        <f t="shared" si="11"/>
        <v>0.37356464144298934</v>
      </c>
    </row>
    <row r="693" spans="1:11">
      <c r="A693" s="7" t="s">
        <v>2046</v>
      </c>
      <c r="B693" s="7">
        <f>[1]Clothing!B123</f>
        <v>2013</v>
      </c>
      <c r="C693" s="7" t="str">
        <f>[1]Clothing!C123</f>
        <v>Acryl</v>
      </c>
      <c r="D693" s="64">
        <f>[1]Clothing!L123</f>
        <v>123.89932441250909</v>
      </c>
      <c r="E693" s="7" t="s">
        <v>2045</v>
      </c>
      <c r="F693" s="7">
        <f>[1]Clothing!O123</f>
        <v>1</v>
      </c>
      <c r="G693" s="7">
        <f>[1]Clothing!P123</f>
        <v>1</v>
      </c>
      <c r="H693" s="7">
        <f>[1]Clothing!Q123</f>
        <v>2</v>
      </c>
      <c r="I693" s="7">
        <f>[1]Clothing!R123</f>
        <v>2</v>
      </c>
      <c r="J693" s="7">
        <f>[1]Clothing!S123</f>
        <v>2</v>
      </c>
      <c r="K693" s="160">
        <f t="shared" si="11"/>
        <v>0.37356464144298934</v>
      </c>
    </row>
    <row r="694" spans="1:11">
      <c r="A694" s="7" t="s">
        <v>2046</v>
      </c>
      <c r="B694" s="7">
        <f>[1]Clothing!B124</f>
        <v>2013</v>
      </c>
      <c r="C694" s="7" t="str">
        <f>[1]Clothing!C124</f>
        <v>OTHER</v>
      </c>
      <c r="D694" s="64">
        <f>[1]Clothing!L124</f>
        <v>211.1023622199954</v>
      </c>
      <c r="E694" s="7" t="s">
        <v>2045</v>
      </c>
      <c r="F694" s="7">
        <f>[1]Clothing!O124</f>
        <v>1</v>
      </c>
      <c r="G694" s="7">
        <f>[1]Clothing!P124</f>
        <v>1</v>
      </c>
      <c r="H694" s="7">
        <f>[1]Clothing!Q124</f>
        <v>2</v>
      </c>
      <c r="I694" s="7">
        <f>[1]Clothing!R124</f>
        <v>2</v>
      </c>
      <c r="J694" s="7">
        <f>[1]Clothing!S124</f>
        <v>2</v>
      </c>
      <c r="K694" s="160">
        <f t="shared" si="11"/>
        <v>0.37356464144298934</v>
      </c>
    </row>
    <row r="695" spans="1:11">
      <c r="A695" s="7" t="s">
        <v>2046</v>
      </c>
      <c r="B695" s="7">
        <f>[1]Clothing!B125</f>
        <v>2013</v>
      </c>
      <c r="C695" s="7" t="str">
        <f>[1]Clothing!C125</f>
        <v>PA</v>
      </c>
      <c r="D695" s="64">
        <f>[1]Clothing!L125</f>
        <v>260.35943181244977</v>
      </c>
      <c r="E695" s="7" t="s">
        <v>2045</v>
      </c>
      <c r="F695" s="7">
        <f>[1]Clothing!O125</f>
        <v>1</v>
      </c>
      <c r="G695" s="7">
        <f>[1]Clothing!P125</f>
        <v>1</v>
      </c>
      <c r="H695" s="7">
        <f>[1]Clothing!Q125</f>
        <v>2</v>
      </c>
      <c r="I695" s="7">
        <f>[1]Clothing!R125</f>
        <v>2</v>
      </c>
      <c r="J695" s="7">
        <f>[1]Clothing!S125</f>
        <v>2</v>
      </c>
      <c r="K695" s="160">
        <f t="shared" si="11"/>
        <v>0.37356464144298934</v>
      </c>
    </row>
    <row r="696" spans="1:11">
      <c r="A696" s="7" t="s">
        <v>2046</v>
      </c>
      <c r="B696" s="7">
        <f>[1]Clothing!B126</f>
        <v>2013</v>
      </c>
      <c r="C696" s="7" t="str">
        <f>[1]Clothing!C126</f>
        <v>PET</v>
      </c>
      <c r="D696" s="64">
        <f>[1]Clothing!L126</f>
        <v>1380.5275678019752</v>
      </c>
      <c r="E696" s="7" t="s">
        <v>2045</v>
      </c>
      <c r="F696" s="7">
        <f>[1]Clothing!O126</f>
        <v>1</v>
      </c>
      <c r="G696" s="7">
        <f>[1]Clothing!P126</f>
        <v>1</v>
      </c>
      <c r="H696" s="7">
        <f>[1]Clothing!Q126</f>
        <v>2</v>
      </c>
      <c r="I696" s="7">
        <f>[1]Clothing!R126</f>
        <v>2</v>
      </c>
      <c r="J696" s="7">
        <f>[1]Clothing!S126</f>
        <v>2</v>
      </c>
      <c r="K696" s="160">
        <f t="shared" si="11"/>
        <v>0.37356464144298934</v>
      </c>
    </row>
    <row r="697" spans="1:11">
      <c r="A697" s="7" t="s">
        <v>2046</v>
      </c>
      <c r="B697" s="7">
        <f>[1]Clothing!B127</f>
        <v>2013</v>
      </c>
      <c r="C697" s="7" t="str">
        <f>[1]Clothing!C127</f>
        <v>PUR</v>
      </c>
      <c r="D697" s="64">
        <f>[1]Clothing!L127</f>
        <v>170.29061393868827</v>
      </c>
      <c r="E697" s="7" t="s">
        <v>2045</v>
      </c>
      <c r="F697" s="7">
        <f>[1]Clothing!O127</f>
        <v>1</v>
      </c>
      <c r="G697" s="7">
        <f>[1]Clothing!P127</f>
        <v>1</v>
      </c>
      <c r="H697" s="7">
        <f>[1]Clothing!Q127</f>
        <v>2</v>
      </c>
      <c r="I697" s="7">
        <f>[1]Clothing!R127</f>
        <v>2</v>
      </c>
      <c r="J697" s="7">
        <f>[1]Clothing!S127</f>
        <v>2</v>
      </c>
      <c r="K697" s="160">
        <f t="shared" si="11"/>
        <v>0.37356464144298934</v>
      </c>
    </row>
    <row r="698" spans="1:11">
      <c r="A698" s="7" t="s">
        <v>2046</v>
      </c>
      <c r="B698" s="7">
        <f>[1]Clothing!B128</f>
        <v>2013</v>
      </c>
      <c r="C698" s="7" t="str">
        <f>[1]Clothing!C128</f>
        <v>PVC</v>
      </c>
      <c r="D698" s="64">
        <f>[1]Clothing!L128</f>
        <v>110.05963082562103</v>
      </c>
      <c r="E698" s="7" t="s">
        <v>2045</v>
      </c>
      <c r="F698" s="7">
        <f>[1]Clothing!O128</f>
        <v>1</v>
      </c>
      <c r="G698" s="7">
        <f>[1]Clothing!P128</f>
        <v>1</v>
      </c>
      <c r="H698" s="7">
        <f>[1]Clothing!Q128</f>
        <v>2</v>
      </c>
      <c r="I698" s="7">
        <f>[1]Clothing!R128</f>
        <v>2</v>
      </c>
      <c r="J698" s="7">
        <f>[1]Clothing!S128</f>
        <v>2</v>
      </c>
      <c r="K698" s="160">
        <f t="shared" si="11"/>
        <v>0.37356464144298934</v>
      </c>
    </row>
    <row r="699" spans="1:11">
      <c r="A699" s="7" t="s">
        <v>2046</v>
      </c>
      <c r="B699" s="7">
        <f>[1]Clothing!B129</f>
        <v>2013</v>
      </c>
      <c r="C699" s="7" t="str">
        <f>[1]Clothing!C129</f>
        <v>RUBBER</v>
      </c>
      <c r="D699" s="64">
        <f>[1]Clothing!L129</f>
        <v>234.64634938210807</v>
      </c>
      <c r="E699" s="7" t="s">
        <v>2045</v>
      </c>
      <c r="F699" s="7">
        <f>[1]Clothing!O129</f>
        <v>1</v>
      </c>
      <c r="G699" s="7">
        <f>[1]Clothing!P129</f>
        <v>1</v>
      </c>
      <c r="H699" s="7">
        <f>[1]Clothing!Q129</f>
        <v>2</v>
      </c>
      <c r="I699" s="7">
        <f>[1]Clothing!R129</f>
        <v>2</v>
      </c>
      <c r="J699" s="7">
        <f>[1]Clothing!S129</f>
        <v>2</v>
      </c>
      <c r="K699" s="160">
        <f t="shared" si="11"/>
        <v>0.37356464144298934</v>
      </c>
    </row>
    <row r="700" spans="1:11">
      <c r="A700" s="7" t="s">
        <v>2046</v>
      </c>
      <c r="B700" s="7">
        <f>[1]Clothing!B130</f>
        <v>2014</v>
      </c>
      <c r="C700" s="7" t="str">
        <f>[1]Clothing!C130</f>
        <v>Acryl</v>
      </c>
      <c r="D700" s="64">
        <f>[1]Clothing!L130</f>
        <v>140.07845872232809</v>
      </c>
      <c r="E700" s="7" t="s">
        <v>2045</v>
      </c>
      <c r="F700" s="7">
        <f>[1]Clothing!O130</f>
        <v>1</v>
      </c>
      <c r="G700" s="7">
        <f>[1]Clothing!P130</f>
        <v>1</v>
      </c>
      <c r="H700" s="7">
        <f>[1]Clothing!Q130</f>
        <v>2</v>
      </c>
      <c r="I700" s="7">
        <f>[1]Clothing!R130</f>
        <v>2</v>
      </c>
      <c r="J700" s="7">
        <f>[1]Clothing!S130</f>
        <v>2</v>
      </c>
      <c r="K700" s="160">
        <f t="shared" si="11"/>
        <v>0.37356464144298934</v>
      </c>
    </row>
    <row r="701" spans="1:11">
      <c r="A701" s="7" t="s">
        <v>2046</v>
      </c>
      <c r="B701" s="7">
        <f>[1]Clothing!B131</f>
        <v>2014</v>
      </c>
      <c r="C701" s="7" t="str">
        <f>[1]Clothing!C131</f>
        <v>OTHER</v>
      </c>
      <c r="D701" s="64">
        <f>[1]Clothing!L131</f>
        <v>233.14282356994889</v>
      </c>
      <c r="E701" s="7" t="s">
        <v>2045</v>
      </c>
      <c r="F701" s="7">
        <f>[1]Clothing!O131</f>
        <v>1</v>
      </c>
      <c r="G701" s="7">
        <f>[1]Clothing!P131</f>
        <v>1</v>
      </c>
      <c r="H701" s="7">
        <f>[1]Clothing!Q131</f>
        <v>2</v>
      </c>
      <c r="I701" s="7">
        <f>[1]Clothing!R131</f>
        <v>2</v>
      </c>
      <c r="J701" s="7">
        <f>[1]Clothing!S131</f>
        <v>2</v>
      </c>
      <c r="K701" s="160">
        <f t="shared" si="11"/>
        <v>0.37356464144298934</v>
      </c>
    </row>
    <row r="702" spans="1:11">
      <c r="A702" s="7" t="s">
        <v>2046</v>
      </c>
      <c r="B702" s="7">
        <f>[1]Clothing!B132</f>
        <v>2014</v>
      </c>
      <c r="C702" s="7" t="str">
        <f>[1]Clothing!C132</f>
        <v>PA</v>
      </c>
      <c r="D702" s="64">
        <f>[1]Clothing!L132</f>
        <v>286.95973398011762</v>
      </c>
      <c r="E702" s="7" t="s">
        <v>2045</v>
      </c>
      <c r="F702" s="7">
        <f>[1]Clothing!O132</f>
        <v>1</v>
      </c>
      <c r="G702" s="7">
        <f>[1]Clothing!P132</f>
        <v>1</v>
      </c>
      <c r="H702" s="7">
        <f>[1]Clothing!Q132</f>
        <v>2</v>
      </c>
      <c r="I702" s="7">
        <f>[1]Clothing!R132</f>
        <v>2</v>
      </c>
      <c r="J702" s="7">
        <f>[1]Clothing!S132</f>
        <v>2</v>
      </c>
      <c r="K702" s="160">
        <f t="shared" si="11"/>
        <v>0.37356464144298934</v>
      </c>
    </row>
    <row r="703" spans="1:11">
      <c r="A703" s="7" t="s">
        <v>2046</v>
      </c>
      <c r="B703" s="7">
        <f>[1]Clothing!B133</f>
        <v>2014</v>
      </c>
      <c r="C703" s="7" t="str">
        <f>[1]Clothing!C133</f>
        <v>PET</v>
      </c>
      <c r="D703" s="64">
        <f>[1]Clothing!L133</f>
        <v>1512.8690771386498</v>
      </c>
      <c r="E703" s="7" t="s">
        <v>2045</v>
      </c>
      <c r="F703" s="7">
        <f>[1]Clothing!O133</f>
        <v>1</v>
      </c>
      <c r="G703" s="7">
        <f>[1]Clothing!P133</f>
        <v>1</v>
      </c>
      <c r="H703" s="7">
        <f>[1]Clothing!Q133</f>
        <v>2</v>
      </c>
      <c r="I703" s="7">
        <f>[1]Clothing!R133</f>
        <v>2</v>
      </c>
      <c r="J703" s="7">
        <f>[1]Clothing!S133</f>
        <v>2</v>
      </c>
      <c r="K703" s="160">
        <f t="shared" si="11"/>
        <v>0.37356464144298934</v>
      </c>
    </row>
    <row r="704" spans="1:11">
      <c r="A704" s="7" t="s">
        <v>2046</v>
      </c>
      <c r="B704" s="7">
        <f>[1]Clothing!B134</f>
        <v>2014</v>
      </c>
      <c r="C704" s="7" t="str">
        <f>[1]Clothing!C134</f>
        <v>PUR</v>
      </c>
      <c r="D704" s="64">
        <f>[1]Clothing!L134</f>
        <v>185.23747312287455</v>
      </c>
      <c r="E704" s="7" t="s">
        <v>2045</v>
      </c>
      <c r="F704" s="7">
        <f>[1]Clothing!O134</f>
        <v>1</v>
      </c>
      <c r="G704" s="7">
        <f>[1]Clothing!P134</f>
        <v>1</v>
      </c>
      <c r="H704" s="7">
        <f>[1]Clothing!Q134</f>
        <v>2</v>
      </c>
      <c r="I704" s="7">
        <f>[1]Clothing!R134</f>
        <v>2</v>
      </c>
      <c r="J704" s="7">
        <f>[1]Clothing!S134</f>
        <v>2</v>
      </c>
      <c r="K704" s="160">
        <f t="shared" si="11"/>
        <v>0.37356464144298934</v>
      </c>
    </row>
    <row r="705" spans="1:11">
      <c r="A705" s="7" t="s">
        <v>2046</v>
      </c>
      <c r="B705" s="7">
        <f>[1]Clothing!B135</f>
        <v>2014</v>
      </c>
      <c r="C705" s="7" t="str">
        <f>[1]Clothing!C135</f>
        <v>PVC</v>
      </c>
      <c r="D705" s="64">
        <f>[1]Clothing!L135</f>
        <v>119.76298826107833</v>
      </c>
      <c r="E705" s="7" t="s">
        <v>2045</v>
      </c>
      <c r="F705" s="7">
        <f>[1]Clothing!O135</f>
        <v>1</v>
      </c>
      <c r="G705" s="7">
        <f>[1]Clothing!P135</f>
        <v>1</v>
      </c>
      <c r="H705" s="7">
        <f>[1]Clothing!Q135</f>
        <v>2</v>
      </c>
      <c r="I705" s="7">
        <f>[1]Clothing!R135</f>
        <v>2</v>
      </c>
      <c r="J705" s="7">
        <f>[1]Clothing!S135</f>
        <v>2</v>
      </c>
      <c r="K705" s="160">
        <f t="shared" si="11"/>
        <v>0.37356464144298934</v>
      </c>
    </row>
    <row r="706" spans="1:11">
      <c r="A706" s="7" t="s">
        <v>2046</v>
      </c>
      <c r="B706" s="7">
        <f>[1]Clothing!B136</f>
        <v>2014</v>
      </c>
      <c r="C706" s="7" t="str">
        <f>[1]Clothing!C136</f>
        <v>RUBBER</v>
      </c>
      <c r="D706" s="64">
        <f>[1]Clothing!L136</f>
        <v>254.51440946370624</v>
      </c>
      <c r="E706" s="7" t="s">
        <v>2045</v>
      </c>
      <c r="F706" s="7">
        <f>[1]Clothing!O136</f>
        <v>1</v>
      </c>
      <c r="G706" s="7">
        <f>[1]Clothing!P136</f>
        <v>1</v>
      </c>
      <c r="H706" s="7">
        <f>[1]Clothing!Q136</f>
        <v>2</v>
      </c>
      <c r="I706" s="7">
        <f>[1]Clothing!R136</f>
        <v>2</v>
      </c>
      <c r="J706" s="7">
        <f>[1]Clothing!S136</f>
        <v>2</v>
      </c>
      <c r="K706" s="160">
        <f t="shared" si="11"/>
        <v>0.37356464144298934</v>
      </c>
    </row>
    <row r="707" spans="1:11">
      <c r="A707" s="7" t="s">
        <v>2046</v>
      </c>
      <c r="B707" s="7">
        <f>[1]Clothing!B137</f>
        <v>2015</v>
      </c>
      <c r="C707" s="7" t="str">
        <f>[1]Clothing!C137</f>
        <v>Acryl</v>
      </c>
      <c r="D707" s="64">
        <f>[1]Clothing!L137</f>
        <v>130.8154991431883</v>
      </c>
      <c r="E707" s="7" t="s">
        <v>2045</v>
      </c>
      <c r="F707" s="7">
        <f>[1]Clothing!O137</f>
        <v>1</v>
      </c>
      <c r="G707" s="7">
        <f>[1]Clothing!P137</f>
        <v>1</v>
      </c>
      <c r="H707" s="7">
        <f>[1]Clothing!Q137</f>
        <v>2</v>
      </c>
      <c r="I707" s="7">
        <f>[1]Clothing!R137</f>
        <v>2</v>
      </c>
      <c r="J707" s="7">
        <f>[1]Clothing!S137</f>
        <v>2</v>
      </c>
      <c r="K707" s="160">
        <f t="shared" si="11"/>
        <v>0.37356464144298934</v>
      </c>
    </row>
    <row r="708" spans="1:11">
      <c r="A708" s="7" t="s">
        <v>2046</v>
      </c>
      <c r="B708" s="7">
        <f>[1]Clothing!B138</f>
        <v>2015</v>
      </c>
      <c r="C708" s="7" t="str">
        <f>[1]Clothing!C138</f>
        <v>OTHER</v>
      </c>
      <c r="D708" s="64">
        <f>[1]Clothing!L138</f>
        <v>210.95335681775504</v>
      </c>
      <c r="E708" s="7" t="s">
        <v>2045</v>
      </c>
      <c r="F708" s="7">
        <f>[1]Clothing!O138</f>
        <v>1</v>
      </c>
      <c r="G708" s="7">
        <f>[1]Clothing!P138</f>
        <v>1</v>
      </c>
      <c r="H708" s="7">
        <f>[1]Clothing!Q138</f>
        <v>2</v>
      </c>
      <c r="I708" s="7">
        <f>[1]Clothing!R138</f>
        <v>2</v>
      </c>
      <c r="J708" s="7">
        <f>[1]Clothing!S138</f>
        <v>2</v>
      </c>
      <c r="K708" s="160">
        <f t="shared" si="11"/>
        <v>0.37356464144298934</v>
      </c>
    </row>
    <row r="709" spans="1:11">
      <c r="A709" s="7" t="s">
        <v>2046</v>
      </c>
      <c r="B709" s="7">
        <f>[1]Clothing!B139</f>
        <v>2015</v>
      </c>
      <c r="C709" s="7" t="str">
        <f>[1]Clothing!C139</f>
        <v>PA</v>
      </c>
      <c r="D709" s="64">
        <f>[1]Clothing!L139</f>
        <v>270.46445420496957</v>
      </c>
      <c r="E709" s="7" t="s">
        <v>2045</v>
      </c>
      <c r="F709" s="7">
        <f>[1]Clothing!O139</f>
        <v>1</v>
      </c>
      <c r="G709" s="7">
        <f>[1]Clothing!P139</f>
        <v>1</v>
      </c>
      <c r="H709" s="7">
        <f>[1]Clothing!Q139</f>
        <v>2</v>
      </c>
      <c r="I709" s="7">
        <f>[1]Clothing!R139</f>
        <v>2</v>
      </c>
      <c r="J709" s="7">
        <f>[1]Clothing!S139</f>
        <v>2</v>
      </c>
      <c r="K709" s="160">
        <f t="shared" si="11"/>
        <v>0.37356464144298934</v>
      </c>
    </row>
    <row r="710" spans="1:11">
      <c r="A710" s="7" t="s">
        <v>2046</v>
      </c>
      <c r="B710" s="7">
        <f>[1]Clothing!B140</f>
        <v>2015</v>
      </c>
      <c r="C710" s="7" t="str">
        <f>[1]Clothing!C140</f>
        <v>PET</v>
      </c>
      <c r="D710" s="64">
        <f>[1]Clothing!L140</f>
        <v>1436.3490757844561</v>
      </c>
      <c r="E710" s="7" t="s">
        <v>2045</v>
      </c>
      <c r="F710" s="7">
        <f>[1]Clothing!O140</f>
        <v>1</v>
      </c>
      <c r="G710" s="7">
        <f>[1]Clothing!P140</f>
        <v>1</v>
      </c>
      <c r="H710" s="7">
        <f>[1]Clothing!Q140</f>
        <v>2</v>
      </c>
      <c r="I710" s="7">
        <f>[1]Clothing!R140</f>
        <v>2</v>
      </c>
      <c r="J710" s="7">
        <f>[1]Clothing!S140</f>
        <v>2</v>
      </c>
      <c r="K710" s="160">
        <f t="shared" si="11"/>
        <v>0.37356464144298934</v>
      </c>
    </row>
    <row r="711" spans="1:11">
      <c r="A711" s="7" t="s">
        <v>2046</v>
      </c>
      <c r="B711" s="7">
        <f>[1]Clothing!B141</f>
        <v>2015</v>
      </c>
      <c r="C711" s="7" t="str">
        <f>[1]Clothing!C141</f>
        <v>PUR</v>
      </c>
      <c r="D711" s="64">
        <f>[1]Clothing!L141</f>
        <v>175.44824900972998</v>
      </c>
      <c r="E711" s="7" t="s">
        <v>2045</v>
      </c>
      <c r="F711" s="7">
        <f>[1]Clothing!O141</f>
        <v>1</v>
      </c>
      <c r="G711" s="7">
        <f>[1]Clothing!P141</f>
        <v>1</v>
      </c>
      <c r="H711" s="7">
        <f>[1]Clothing!Q141</f>
        <v>2</v>
      </c>
      <c r="I711" s="7">
        <f>[1]Clothing!R141</f>
        <v>2</v>
      </c>
      <c r="J711" s="7">
        <f>[1]Clothing!S141</f>
        <v>2</v>
      </c>
      <c r="K711" s="160">
        <f t="shared" si="11"/>
        <v>0.37356464144298934</v>
      </c>
    </row>
    <row r="712" spans="1:11">
      <c r="A712" s="7" t="s">
        <v>2046</v>
      </c>
      <c r="B712" s="7">
        <f>[1]Clothing!B142</f>
        <v>2015</v>
      </c>
      <c r="C712" s="7" t="str">
        <f>[1]Clothing!C142</f>
        <v>PVC</v>
      </c>
      <c r="D712" s="64">
        <f>[1]Clothing!L142</f>
        <v>112.85240156478984</v>
      </c>
      <c r="E712" s="7" t="s">
        <v>2045</v>
      </c>
      <c r="F712" s="7">
        <f>[1]Clothing!O142</f>
        <v>1</v>
      </c>
      <c r="G712" s="7">
        <f>[1]Clothing!P142</f>
        <v>1</v>
      </c>
      <c r="H712" s="7">
        <f>[1]Clothing!Q142</f>
        <v>2</v>
      </c>
      <c r="I712" s="7">
        <f>[1]Clothing!R142</f>
        <v>2</v>
      </c>
      <c r="J712" s="7">
        <f>[1]Clothing!S142</f>
        <v>2</v>
      </c>
      <c r="K712" s="160">
        <f t="shared" si="11"/>
        <v>0.37356464144298934</v>
      </c>
    </row>
    <row r="713" spans="1:11">
      <c r="A713" s="7" t="s">
        <v>2046</v>
      </c>
      <c r="B713" s="7">
        <f>[1]Clothing!B143</f>
        <v>2015</v>
      </c>
      <c r="C713" s="7" t="str">
        <f>[1]Clothing!C143</f>
        <v>RUBBER</v>
      </c>
      <c r="D713" s="64">
        <f>[1]Clothing!L143</f>
        <v>233.29695938731959</v>
      </c>
      <c r="E713" s="7" t="s">
        <v>2045</v>
      </c>
      <c r="F713" s="7">
        <f>[1]Clothing!O143</f>
        <v>1</v>
      </c>
      <c r="G713" s="7">
        <f>[1]Clothing!P143</f>
        <v>1</v>
      </c>
      <c r="H713" s="7">
        <f>[1]Clothing!Q143</f>
        <v>2</v>
      </c>
      <c r="I713" s="7">
        <f>[1]Clothing!R143</f>
        <v>2</v>
      </c>
      <c r="J713" s="7">
        <f>[1]Clothing!S143</f>
        <v>2</v>
      </c>
      <c r="K713" s="160">
        <f t="shared" si="11"/>
        <v>0.37356464144298934</v>
      </c>
    </row>
    <row r="714" spans="1:11">
      <c r="A714" s="7" t="s">
        <v>2046</v>
      </c>
      <c r="B714" s="7">
        <f>[1]Clothing!B144</f>
        <v>2016</v>
      </c>
      <c r="C714" s="7" t="str">
        <f>[1]Clothing!C144</f>
        <v>Acryl</v>
      </c>
      <c r="D714" s="64">
        <f>[1]Clothing!L144</f>
        <v>136.48838254169104</v>
      </c>
      <c r="E714" s="7" t="s">
        <v>2045</v>
      </c>
      <c r="F714" s="7">
        <f>[1]Clothing!O144</f>
        <v>1</v>
      </c>
      <c r="G714" s="7">
        <f>[1]Clothing!P144</f>
        <v>1</v>
      </c>
      <c r="H714" s="7">
        <f>[1]Clothing!Q144</f>
        <v>2</v>
      </c>
      <c r="I714" s="7">
        <f>[1]Clothing!R144</f>
        <v>2</v>
      </c>
      <c r="J714" s="7">
        <f>[1]Clothing!S144</f>
        <v>2</v>
      </c>
      <c r="K714" s="160">
        <f t="shared" si="11"/>
        <v>0.37356464144298934</v>
      </c>
    </row>
    <row r="715" spans="1:11">
      <c r="A715" s="7" t="s">
        <v>2046</v>
      </c>
      <c r="B715" s="7">
        <f>[1]Clothing!B145</f>
        <v>2016</v>
      </c>
      <c r="C715" s="7" t="str">
        <f>[1]Clothing!C145</f>
        <v>OTHER</v>
      </c>
      <c r="D715" s="64">
        <f>[1]Clothing!L145</f>
        <v>211.31731743695178</v>
      </c>
      <c r="E715" s="7" t="s">
        <v>2045</v>
      </c>
      <c r="F715" s="7">
        <f>[1]Clothing!O145</f>
        <v>1</v>
      </c>
      <c r="G715" s="7">
        <f>[1]Clothing!P145</f>
        <v>1</v>
      </c>
      <c r="H715" s="7">
        <f>[1]Clothing!Q145</f>
        <v>2</v>
      </c>
      <c r="I715" s="7">
        <f>[1]Clothing!R145</f>
        <v>2</v>
      </c>
      <c r="J715" s="7">
        <f>[1]Clothing!S145</f>
        <v>2</v>
      </c>
      <c r="K715" s="160">
        <f t="shared" si="11"/>
        <v>0.37356464144298934</v>
      </c>
    </row>
    <row r="716" spans="1:11">
      <c r="A716" s="7" t="s">
        <v>2046</v>
      </c>
      <c r="B716" s="7">
        <f>[1]Clothing!B146</f>
        <v>2016</v>
      </c>
      <c r="C716" s="7" t="str">
        <f>[1]Clothing!C146</f>
        <v>PA</v>
      </c>
      <c r="D716" s="64">
        <f>[1]Clothing!L146</f>
        <v>281.63077356766087</v>
      </c>
      <c r="E716" s="7" t="s">
        <v>2045</v>
      </c>
      <c r="F716" s="7">
        <f>[1]Clothing!O146</f>
        <v>1</v>
      </c>
      <c r="G716" s="7">
        <f>[1]Clothing!P146</f>
        <v>1</v>
      </c>
      <c r="H716" s="7">
        <f>[1]Clothing!Q146</f>
        <v>2</v>
      </c>
      <c r="I716" s="7">
        <f>[1]Clothing!R146</f>
        <v>2</v>
      </c>
      <c r="J716" s="7">
        <f>[1]Clothing!S146</f>
        <v>2</v>
      </c>
      <c r="K716" s="160">
        <f t="shared" si="11"/>
        <v>0.37356464144298934</v>
      </c>
    </row>
    <row r="717" spans="1:11">
      <c r="A717" s="7" t="s">
        <v>2046</v>
      </c>
      <c r="B717" s="7">
        <f>[1]Clothing!B147</f>
        <v>2016</v>
      </c>
      <c r="C717" s="7" t="str">
        <f>[1]Clothing!C147</f>
        <v>PET</v>
      </c>
      <c r="D717" s="64">
        <f>[1]Clothing!L147</f>
        <v>1485.9555749664446</v>
      </c>
      <c r="E717" s="7" t="s">
        <v>2045</v>
      </c>
      <c r="F717" s="7">
        <f>[1]Clothing!O147</f>
        <v>1</v>
      </c>
      <c r="G717" s="7">
        <f>[1]Clothing!P147</f>
        <v>1</v>
      </c>
      <c r="H717" s="7">
        <f>[1]Clothing!Q147</f>
        <v>2</v>
      </c>
      <c r="I717" s="7">
        <f>[1]Clothing!R147</f>
        <v>2</v>
      </c>
      <c r="J717" s="7">
        <f>[1]Clothing!S147</f>
        <v>2</v>
      </c>
      <c r="K717" s="160">
        <f t="shared" si="11"/>
        <v>0.37356464144298934</v>
      </c>
    </row>
    <row r="718" spans="1:11">
      <c r="A718" s="7" t="s">
        <v>2046</v>
      </c>
      <c r="B718" s="7">
        <f>[1]Clothing!B148</f>
        <v>2016</v>
      </c>
      <c r="C718" s="7" t="str">
        <f>[1]Clothing!C148</f>
        <v>PUR</v>
      </c>
      <c r="D718" s="64">
        <f>[1]Clothing!L148</f>
        <v>172.92751832210172</v>
      </c>
      <c r="E718" s="7" t="s">
        <v>2045</v>
      </c>
      <c r="F718" s="7">
        <f>[1]Clothing!O148</f>
        <v>1</v>
      </c>
      <c r="G718" s="7">
        <f>[1]Clothing!P148</f>
        <v>1</v>
      </c>
      <c r="H718" s="7">
        <f>[1]Clothing!Q148</f>
        <v>2</v>
      </c>
      <c r="I718" s="7">
        <f>[1]Clothing!R148</f>
        <v>2</v>
      </c>
      <c r="J718" s="7">
        <f>[1]Clothing!S148</f>
        <v>2</v>
      </c>
      <c r="K718" s="160">
        <f t="shared" si="11"/>
        <v>0.37356464144298934</v>
      </c>
    </row>
    <row r="719" spans="1:11">
      <c r="A719" s="7" t="s">
        <v>2046</v>
      </c>
      <c r="B719" s="7">
        <f>[1]Clothing!B149</f>
        <v>2016</v>
      </c>
      <c r="C719" s="7" t="str">
        <f>[1]Clothing!C149</f>
        <v>PVC</v>
      </c>
      <c r="D719" s="64">
        <f>[1]Clothing!L149</f>
        <v>111.17178744870334</v>
      </c>
      <c r="E719" s="7" t="s">
        <v>2045</v>
      </c>
      <c r="F719" s="7">
        <f>[1]Clothing!O149</f>
        <v>1</v>
      </c>
      <c r="G719" s="7">
        <f>[1]Clothing!P149</f>
        <v>1</v>
      </c>
      <c r="H719" s="7">
        <f>[1]Clothing!Q149</f>
        <v>2</v>
      </c>
      <c r="I719" s="7">
        <f>[1]Clothing!R149</f>
        <v>2</v>
      </c>
      <c r="J719" s="7">
        <f>[1]Clothing!S149</f>
        <v>2</v>
      </c>
      <c r="K719" s="160">
        <f t="shared" si="11"/>
        <v>0.37356464144298934</v>
      </c>
    </row>
    <row r="720" spans="1:11">
      <c r="A720" s="7" t="s">
        <v>2046</v>
      </c>
      <c r="B720" s="7">
        <f>[1]Clothing!B150</f>
        <v>2016</v>
      </c>
      <c r="C720" s="7" t="str">
        <f>[1]Clothing!C150</f>
        <v>RUBBER</v>
      </c>
      <c r="D720" s="64">
        <f>[1]Clothing!L150</f>
        <v>229.15074292623382</v>
      </c>
      <c r="E720" s="7" t="s">
        <v>2045</v>
      </c>
      <c r="F720" s="7">
        <f>[1]Clothing!O150</f>
        <v>1</v>
      </c>
      <c r="G720" s="7">
        <f>[1]Clothing!P150</f>
        <v>1</v>
      </c>
      <c r="H720" s="7">
        <f>[1]Clothing!Q150</f>
        <v>2</v>
      </c>
      <c r="I720" s="7">
        <f>[1]Clothing!R150</f>
        <v>2</v>
      </c>
      <c r="J720" s="7">
        <f>[1]Clothing!S150</f>
        <v>2</v>
      </c>
      <c r="K720" s="160">
        <f t="shared" si="11"/>
        <v>0.37356464144298934</v>
      </c>
    </row>
    <row r="721" spans="1:11">
      <c r="A721" s="7" t="s">
        <v>2046</v>
      </c>
      <c r="B721" s="7">
        <f>[1]Clothing!B151</f>
        <v>2017</v>
      </c>
      <c r="C721" s="7" t="str">
        <f>[1]Clothing!C151</f>
        <v>Acryl</v>
      </c>
      <c r="D721" s="64">
        <f>[1]Clothing!L151</f>
        <v>143.26454889506914</v>
      </c>
      <c r="E721" s="7" t="s">
        <v>2045</v>
      </c>
      <c r="F721" s="7">
        <f>[1]Clothing!O151</f>
        <v>1</v>
      </c>
      <c r="G721" s="7">
        <f>[1]Clothing!P151</f>
        <v>1</v>
      </c>
      <c r="H721" s="7">
        <f>[1]Clothing!Q151</f>
        <v>2</v>
      </c>
      <c r="I721" s="7">
        <f>[1]Clothing!R151</f>
        <v>2</v>
      </c>
      <c r="J721" s="7">
        <f>[1]Clothing!S151</f>
        <v>2</v>
      </c>
      <c r="K721" s="160">
        <f t="shared" si="11"/>
        <v>0.37356464144298934</v>
      </c>
    </row>
    <row r="722" spans="1:11">
      <c r="A722" s="7" t="s">
        <v>2046</v>
      </c>
      <c r="B722" s="7">
        <f>[1]Clothing!B152</f>
        <v>2017</v>
      </c>
      <c r="C722" s="7" t="str">
        <f>[1]Clothing!C152</f>
        <v>OTHER</v>
      </c>
      <c r="D722" s="64">
        <f>[1]Clothing!L152</f>
        <v>221.91193018299847</v>
      </c>
      <c r="E722" s="7" t="s">
        <v>2045</v>
      </c>
      <c r="F722" s="7">
        <f>[1]Clothing!O152</f>
        <v>1</v>
      </c>
      <c r="G722" s="7">
        <f>[1]Clothing!P152</f>
        <v>1</v>
      </c>
      <c r="H722" s="7">
        <f>[1]Clothing!Q152</f>
        <v>2</v>
      </c>
      <c r="I722" s="7">
        <f>[1]Clothing!R152</f>
        <v>2</v>
      </c>
      <c r="J722" s="7">
        <f>[1]Clothing!S152</f>
        <v>2</v>
      </c>
      <c r="K722" s="160">
        <f t="shared" si="11"/>
        <v>0.37356464144298934</v>
      </c>
    </row>
    <row r="723" spans="1:11">
      <c r="A723" s="7" t="s">
        <v>2046</v>
      </c>
      <c r="B723" s="7">
        <f>[1]Clothing!B153</f>
        <v>2017</v>
      </c>
      <c r="C723" s="7" t="str">
        <f>[1]Clothing!C153</f>
        <v>PA</v>
      </c>
      <c r="D723" s="64">
        <f>[1]Clothing!L153</f>
        <v>295.39361671438235</v>
      </c>
      <c r="E723" s="7" t="s">
        <v>2045</v>
      </c>
      <c r="F723" s="7">
        <f>[1]Clothing!O153</f>
        <v>1</v>
      </c>
      <c r="G723" s="7">
        <f>[1]Clothing!P153</f>
        <v>1</v>
      </c>
      <c r="H723" s="7">
        <f>[1]Clothing!Q153</f>
        <v>2</v>
      </c>
      <c r="I723" s="7">
        <f>[1]Clothing!R153</f>
        <v>2</v>
      </c>
      <c r="J723" s="7">
        <f>[1]Clothing!S153</f>
        <v>2</v>
      </c>
      <c r="K723" s="160">
        <f t="shared" ref="K723:K762" si="12">IF( OR( ISBLANK(F723),ISBLANK(G723), ISBLANK(H723), ISBLANK(I723), ISBLANK(J723) ), "", 1.5*SQRT(   EXP(2.21*(F723-1)) + EXP(2.21*(G723-1)) + EXP(2.21*(H723-1)) + EXP(2.21*(I723-1)) + EXP(2.21*J723)   )/100*2.45 )</f>
        <v>0.37356464144298934</v>
      </c>
    </row>
    <row r="724" spans="1:11">
      <c r="A724" s="7" t="s">
        <v>2046</v>
      </c>
      <c r="B724" s="7">
        <f>[1]Clothing!B154</f>
        <v>2017</v>
      </c>
      <c r="C724" s="7" t="str">
        <f>[1]Clothing!C154</f>
        <v>PET</v>
      </c>
      <c r="D724" s="64">
        <f>[1]Clothing!L154</f>
        <v>1540.4622868372717</v>
      </c>
      <c r="E724" s="7" t="s">
        <v>2045</v>
      </c>
      <c r="F724" s="7">
        <f>[1]Clothing!O154</f>
        <v>1</v>
      </c>
      <c r="G724" s="7">
        <f>[1]Clothing!P154</f>
        <v>1</v>
      </c>
      <c r="H724" s="7">
        <f>[1]Clothing!Q154</f>
        <v>2</v>
      </c>
      <c r="I724" s="7">
        <f>[1]Clothing!R154</f>
        <v>2</v>
      </c>
      <c r="J724" s="7">
        <f>[1]Clothing!S154</f>
        <v>2</v>
      </c>
      <c r="K724" s="160">
        <f t="shared" si="12"/>
        <v>0.37356464144298934</v>
      </c>
    </row>
    <row r="725" spans="1:11">
      <c r="A725" s="7" t="s">
        <v>2046</v>
      </c>
      <c r="B725" s="7">
        <f>[1]Clothing!B155</f>
        <v>2017</v>
      </c>
      <c r="C725" s="7" t="str">
        <f>[1]Clothing!C155</f>
        <v>PUR</v>
      </c>
      <c r="D725" s="64">
        <f>[1]Clothing!L155</f>
        <v>180.25697993865322</v>
      </c>
      <c r="E725" s="7" t="s">
        <v>2045</v>
      </c>
      <c r="F725" s="7">
        <f>[1]Clothing!O155</f>
        <v>1</v>
      </c>
      <c r="G725" s="7">
        <f>[1]Clothing!P155</f>
        <v>1</v>
      </c>
      <c r="H725" s="7">
        <f>[1]Clothing!Q155</f>
        <v>2</v>
      </c>
      <c r="I725" s="7">
        <f>[1]Clothing!R155</f>
        <v>2</v>
      </c>
      <c r="J725" s="7">
        <f>[1]Clothing!S155</f>
        <v>2</v>
      </c>
      <c r="K725" s="160">
        <f t="shared" si="12"/>
        <v>0.37356464144298934</v>
      </c>
    </row>
    <row r="726" spans="1:11">
      <c r="A726" s="7" t="s">
        <v>2046</v>
      </c>
      <c r="B726" s="7">
        <f>[1]Clothing!B156</f>
        <v>2017</v>
      </c>
      <c r="C726" s="7" t="str">
        <f>[1]Clothing!C156</f>
        <v>PVC</v>
      </c>
      <c r="D726" s="64">
        <f>[1]Clothing!L156</f>
        <v>115.98941198321505</v>
      </c>
      <c r="E726" s="7" t="s">
        <v>2045</v>
      </c>
      <c r="F726" s="7">
        <f>[1]Clothing!O156</f>
        <v>1</v>
      </c>
      <c r="G726" s="7">
        <f>[1]Clothing!P156</f>
        <v>1</v>
      </c>
      <c r="H726" s="7">
        <f>[1]Clothing!Q156</f>
        <v>2</v>
      </c>
      <c r="I726" s="7">
        <f>[1]Clothing!R156</f>
        <v>2</v>
      </c>
      <c r="J726" s="7">
        <f>[1]Clothing!S156</f>
        <v>2</v>
      </c>
      <c r="K726" s="160">
        <f t="shared" si="12"/>
        <v>0.37356464144298934</v>
      </c>
    </row>
    <row r="727" spans="1:11">
      <c r="A727" s="7" t="s">
        <v>2046</v>
      </c>
      <c r="B727" s="7">
        <f>[1]Clothing!B157</f>
        <v>2017</v>
      </c>
      <c r="C727" s="7" t="str">
        <f>[1]Clothing!C157</f>
        <v>RUBBER</v>
      </c>
      <c r="D727" s="64">
        <f>[1]Clothing!L157</f>
        <v>240.40075376841347</v>
      </c>
      <c r="E727" s="7" t="s">
        <v>2045</v>
      </c>
      <c r="F727" s="7">
        <f>[1]Clothing!O157</f>
        <v>1</v>
      </c>
      <c r="G727" s="7">
        <f>[1]Clothing!P157</f>
        <v>1</v>
      </c>
      <c r="H727" s="7">
        <f>[1]Clothing!Q157</f>
        <v>2</v>
      </c>
      <c r="I727" s="7">
        <f>[1]Clothing!R157</f>
        <v>2</v>
      </c>
      <c r="J727" s="7">
        <f>[1]Clothing!S157</f>
        <v>2</v>
      </c>
      <c r="K727" s="160">
        <f t="shared" si="12"/>
        <v>0.37356464144298934</v>
      </c>
    </row>
    <row r="728" spans="1:11">
      <c r="A728" s="7" t="s">
        <v>2046</v>
      </c>
      <c r="B728" s="7">
        <f>[1]Clothing!B158</f>
        <v>2018</v>
      </c>
      <c r="C728" s="7" t="str">
        <f>[1]Clothing!C158</f>
        <v>Acryl</v>
      </c>
      <c r="D728" s="64">
        <f>[1]Clothing!L158</f>
        <v>157.9091589614055</v>
      </c>
      <c r="E728" s="7" t="s">
        <v>2045</v>
      </c>
      <c r="F728" s="7">
        <f>[1]Clothing!O158</f>
        <v>1</v>
      </c>
      <c r="G728" s="7">
        <f>[1]Clothing!P158</f>
        <v>1</v>
      </c>
      <c r="H728" s="7">
        <f>[1]Clothing!Q158</f>
        <v>2</v>
      </c>
      <c r="I728" s="7">
        <f>[1]Clothing!R158</f>
        <v>2</v>
      </c>
      <c r="J728" s="7">
        <f>[1]Clothing!S158</f>
        <v>2</v>
      </c>
      <c r="K728" s="160">
        <f t="shared" si="12"/>
        <v>0.37356464144298934</v>
      </c>
    </row>
    <row r="729" spans="1:11">
      <c r="A729" s="7" t="s">
        <v>2046</v>
      </c>
      <c r="B729" s="7">
        <f>[1]Clothing!B159</f>
        <v>2018</v>
      </c>
      <c r="C729" s="7" t="str">
        <f>[1]Clothing!C159</f>
        <v>OTHER</v>
      </c>
      <c r="D729" s="64">
        <f>[1]Clothing!L159</f>
        <v>254.72408355691644</v>
      </c>
      <c r="E729" s="7" t="s">
        <v>2045</v>
      </c>
      <c r="F729" s="7">
        <f>[1]Clothing!O159</f>
        <v>1</v>
      </c>
      <c r="G729" s="7">
        <f>[1]Clothing!P159</f>
        <v>1</v>
      </c>
      <c r="H729" s="7">
        <f>[1]Clothing!Q159</f>
        <v>2</v>
      </c>
      <c r="I729" s="7">
        <f>[1]Clothing!R159</f>
        <v>2</v>
      </c>
      <c r="J729" s="7">
        <f>[1]Clothing!S159</f>
        <v>2</v>
      </c>
      <c r="K729" s="160">
        <f t="shared" si="12"/>
        <v>0.37356464144298934</v>
      </c>
    </row>
    <row r="730" spans="1:11">
      <c r="A730" s="7" t="s">
        <v>2046</v>
      </c>
      <c r="B730" s="7">
        <f>[1]Clothing!B160</f>
        <v>2018</v>
      </c>
      <c r="C730" s="7" t="str">
        <f>[1]Clothing!C160</f>
        <v>PA</v>
      </c>
      <c r="D730" s="64">
        <f>[1]Clothing!L160</f>
        <v>332.94626041172813</v>
      </c>
      <c r="E730" s="7" t="s">
        <v>2045</v>
      </c>
      <c r="F730" s="7">
        <f>[1]Clothing!O160</f>
        <v>1</v>
      </c>
      <c r="G730" s="7">
        <f>[1]Clothing!P160</f>
        <v>1</v>
      </c>
      <c r="H730" s="7">
        <f>[1]Clothing!Q160</f>
        <v>2</v>
      </c>
      <c r="I730" s="7">
        <f>[1]Clothing!R160</f>
        <v>2</v>
      </c>
      <c r="J730" s="7">
        <f>[1]Clothing!S160</f>
        <v>2</v>
      </c>
      <c r="K730" s="160">
        <f t="shared" si="12"/>
        <v>0.37356464144298934</v>
      </c>
    </row>
    <row r="731" spans="1:11">
      <c r="A731" s="7" t="s">
        <v>2046</v>
      </c>
      <c r="B731" s="7">
        <f>[1]Clothing!B161</f>
        <v>2018</v>
      </c>
      <c r="C731" s="7" t="str">
        <f>[1]Clothing!C161</f>
        <v>PET</v>
      </c>
      <c r="D731" s="64">
        <f>[1]Clothing!L161</f>
        <v>1707.0068619747433</v>
      </c>
      <c r="E731" s="7" t="s">
        <v>2045</v>
      </c>
      <c r="F731" s="7">
        <f>[1]Clothing!O161</f>
        <v>1</v>
      </c>
      <c r="G731" s="7">
        <f>[1]Clothing!P161</f>
        <v>1</v>
      </c>
      <c r="H731" s="7">
        <f>[1]Clothing!Q161</f>
        <v>2</v>
      </c>
      <c r="I731" s="7">
        <f>[1]Clothing!R161</f>
        <v>2</v>
      </c>
      <c r="J731" s="7">
        <f>[1]Clothing!S161</f>
        <v>2</v>
      </c>
      <c r="K731" s="160">
        <f t="shared" si="12"/>
        <v>0.37356464144298934</v>
      </c>
    </row>
    <row r="732" spans="1:11">
      <c r="A732" s="7" t="s">
        <v>2046</v>
      </c>
      <c r="B732" s="7">
        <f>[1]Clothing!B162</f>
        <v>2018</v>
      </c>
      <c r="C732" s="7" t="str">
        <f>[1]Clothing!C162</f>
        <v>PUR</v>
      </c>
      <c r="D732" s="64">
        <f>[1]Clothing!L162</f>
        <v>190.7058520047415</v>
      </c>
      <c r="E732" s="7" t="s">
        <v>2045</v>
      </c>
      <c r="F732" s="7">
        <f>[1]Clothing!O162</f>
        <v>1</v>
      </c>
      <c r="G732" s="7">
        <f>[1]Clothing!P162</f>
        <v>1</v>
      </c>
      <c r="H732" s="7">
        <f>[1]Clothing!Q162</f>
        <v>2</v>
      </c>
      <c r="I732" s="7">
        <f>[1]Clothing!R162</f>
        <v>2</v>
      </c>
      <c r="J732" s="7">
        <f>[1]Clothing!S162</f>
        <v>2</v>
      </c>
      <c r="K732" s="160">
        <f t="shared" si="12"/>
        <v>0.37356464144298934</v>
      </c>
    </row>
    <row r="733" spans="1:11">
      <c r="A733" s="7" t="s">
        <v>2046</v>
      </c>
      <c r="B733" s="7">
        <f>[1]Clothing!B163</f>
        <v>2018</v>
      </c>
      <c r="C733" s="7" t="str">
        <f>[1]Clothing!C163</f>
        <v>PVC</v>
      </c>
      <c r="D733" s="64">
        <f>[1]Clothing!L163</f>
        <v>123.49047081194261</v>
      </c>
      <c r="E733" s="7" t="s">
        <v>2045</v>
      </c>
      <c r="F733" s="7">
        <f>[1]Clothing!O163</f>
        <v>1</v>
      </c>
      <c r="G733" s="7">
        <f>[1]Clothing!P163</f>
        <v>1</v>
      </c>
      <c r="H733" s="7">
        <f>[1]Clothing!Q163</f>
        <v>2</v>
      </c>
      <c r="I733" s="7">
        <f>[1]Clothing!R163</f>
        <v>2</v>
      </c>
      <c r="J733" s="7">
        <f>[1]Clothing!S163</f>
        <v>2</v>
      </c>
      <c r="K733" s="160">
        <f t="shared" si="12"/>
        <v>0.37356464144298934</v>
      </c>
    </row>
    <row r="734" spans="1:11">
      <c r="A734" s="7" t="s">
        <v>2046</v>
      </c>
      <c r="B734" s="7">
        <f>[1]Clothing!B164</f>
        <v>2018</v>
      </c>
      <c r="C734" s="7" t="str">
        <f>[1]Clothing!C164</f>
        <v>RUBBER</v>
      </c>
      <c r="D734" s="64">
        <f>[1]Clothing!L164</f>
        <v>264.68676437525971</v>
      </c>
      <c r="E734" s="7" t="s">
        <v>2045</v>
      </c>
      <c r="F734" s="7">
        <f>[1]Clothing!O164</f>
        <v>1</v>
      </c>
      <c r="G734" s="7">
        <f>[1]Clothing!P164</f>
        <v>1</v>
      </c>
      <c r="H734" s="7">
        <f>[1]Clothing!Q164</f>
        <v>2</v>
      </c>
      <c r="I734" s="7">
        <f>[1]Clothing!R164</f>
        <v>2</v>
      </c>
      <c r="J734" s="7">
        <f>[1]Clothing!S164</f>
        <v>2</v>
      </c>
      <c r="K734" s="160">
        <f t="shared" si="12"/>
        <v>0.37356464144298934</v>
      </c>
    </row>
    <row r="735" spans="1:11">
      <c r="A735" s="7" t="s">
        <v>2046</v>
      </c>
      <c r="B735" s="7">
        <f>[1]Clothing!B165</f>
        <v>2019</v>
      </c>
      <c r="C735" s="7" t="str">
        <f>[1]Clothing!C165</f>
        <v>Acryl</v>
      </c>
      <c r="D735" s="64">
        <f>[1]Clothing!L165</f>
        <v>152.47813929518637</v>
      </c>
      <c r="E735" s="7" t="s">
        <v>2045</v>
      </c>
      <c r="F735" s="7">
        <f>[1]Clothing!O165</f>
        <v>1</v>
      </c>
      <c r="G735" s="7">
        <f>[1]Clothing!P165</f>
        <v>1</v>
      </c>
      <c r="H735" s="7">
        <f>[1]Clothing!Q165</f>
        <v>2</v>
      </c>
      <c r="I735" s="7">
        <f>[1]Clothing!R165</f>
        <v>2</v>
      </c>
      <c r="J735" s="7">
        <f>[1]Clothing!S165</f>
        <v>2</v>
      </c>
      <c r="K735" s="160">
        <f t="shared" si="12"/>
        <v>0.37356464144298934</v>
      </c>
    </row>
    <row r="736" spans="1:11">
      <c r="A736" s="7" t="s">
        <v>2046</v>
      </c>
      <c r="B736" s="7">
        <f>[1]Clothing!B166</f>
        <v>2019</v>
      </c>
      <c r="C736" s="7" t="str">
        <f>[1]Clothing!C166</f>
        <v>OTHER</v>
      </c>
      <c r="D736" s="64">
        <f>[1]Clothing!L166</f>
        <v>250.17723257783453</v>
      </c>
      <c r="E736" s="7" t="s">
        <v>2045</v>
      </c>
      <c r="F736" s="7">
        <f>[1]Clothing!O166</f>
        <v>1</v>
      </c>
      <c r="G736" s="7">
        <f>[1]Clothing!P166</f>
        <v>1</v>
      </c>
      <c r="H736" s="7">
        <f>[1]Clothing!Q166</f>
        <v>2</v>
      </c>
      <c r="I736" s="7">
        <f>[1]Clothing!R166</f>
        <v>2</v>
      </c>
      <c r="J736" s="7">
        <f>[1]Clothing!S166</f>
        <v>2</v>
      </c>
      <c r="K736" s="160">
        <f t="shared" si="12"/>
        <v>0.37356464144298934</v>
      </c>
    </row>
    <row r="737" spans="1:11">
      <c r="A737" s="7" t="s">
        <v>2046</v>
      </c>
      <c r="B737" s="7">
        <f>[1]Clothing!B167</f>
        <v>2019</v>
      </c>
      <c r="C737" s="7" t="str">
        <f>[1]Clothing!C167</f>
        <v>PA</v>
      </c>
      <c r="D737" s="64">
        <f>[1]Clothing!L167</f>
        <v>323.43037043743959</v>
      </c>
      <c r="E737" s="7" t="s">
        <v>2045</v>
      </c>
      <c r="F737" s="7">
        <f>[1]Clothing!O167</f>
        <v>1</v>
      </c>
      <c r="G737" s="7">
        <f>[1]Clothing!P167</f>
        <v>1</v>
      </c>
      <c r="H737" s="7">
        <f>[1]Clothing!Q167</f>
        <v>2</v>
      </c>
      <c r="I737" s="7">
        <f>[1]Clothing!R167</f>
        <v>2</v>
      </c>
      <c r="J737" s="7">
        <f>[1]Clothing!S167</f>
        <v>2</v>
      </c>
      <c r="K737" s="160">
        <f t="shared" si="12"/>
        <v>0.37356464144298934</v>
      </c>
    </row>
    <row r="738" spans="1:11">
      <c r="A738" s="7" t="s">
        <v>2046</v>
      </c>
      <c r="B738" s="7">
        <f>[1]Clothing!B168</f>
        <v>2019</v>
      </c>
      <c r="C738" s="7" t="str">
        <f>[1]Clothing!C168</f>
        <v>PET</v>
      </c>
      <c r="D738" s="64">
        <f>[1]Clothing!L168</f>
        <v>1660.5411067928908</v>
      </c>
      <c r="E738" s="7" t="s">
        <v>2045</v>
      </c>
      <c r="F738" s="7">
        <f>[1]Clothing!O168</f>
        <v>1</v>
      </c>
      <c r="G738" s="7">
        <f>[1]Clothing!P168</f>
        <v>1</v>
      </c>
      <c r="H738" s="7">
        <f>[1]Clothing!Q168</f>
        <v>2</v>
      </c>
      <c r="I738" s="7">
        <f>[1]Clothing!R168</f>
        <v>2</v>
      </c>
      <c r="J738" s="7">
        <f>[1]Clothing!S168</f>
        <v>2</v>
      </c>
      <c r="K738" s="160">
        <f t="shared" si="12"/>
        <v>0.37356464144298934</v>
      </c>
    </row>
    <row r="739" spans="1:11">
      <c r="A739" s="7" t="s">
        <v>2046</v>
      </c>
      <c r="B739" s="7">
        <f>[1]Clothing!B169</f>
        <v>2019</v>
      </c>
      <c r="C739" s="7" t="str">
        <f>[1]Clothing!C169</f>
        <v>PUR</v>
      </c>
      <c r="D739" s="64">
        <f>[1]Clothing!L169</f>
        <v>188.25081711590735</v>
      </c>
      <c r="E739" s="7" t="s">
        <v>2045</v>
      </c>
      <c r="F739" s="7">
        <f>[1]Clothing!O169</f>
        <v>1</v>
      </c>
      <c r="G739" s="7">
        <f>[1]Clothing!P169</f>
        <v>1</v>
      </c>
      <c r="H739" s="7">
        <f>[1]Clothing!Q169</f>
        <v>2</v>
      </c>
      <c r="I739" s="7">
        <f>[1]Clothing!R169</f>
        <v>2</v>
      </c>
      <c r="J739" s="7">
        <f>[1]Clothing!S169</f>
        <v>2</v>
      </c>
      <c r="K739" s="160">
        <f t="shared" si="12"/>
        <v>0.37356464144298934</v>
      </c>
    </row>
    <row r="740" spans="1:11">
      <c r="A740" s="7" t="s">
        <v>2046</v>
      </c>
      <c r="B740" s="7">
        <f>[1]Clothing!B170</f>
        <v>2019</v>
      </c>
      <c r="C740" s="7" t="str">
        <f>[1]Clothing!C170</f>
        <v>PVC</v>
      </c>
      <c r="D740" s="64">
        <f>[1]Clothing!L170</f>
        <v>121.70837655995497</v>
      </c>
      <c r="E740" s="7" t="s">
        <v>2045</v>
      </c>
      <c r="F740" s="7">
        <f>[1]Clothing!O170</f>
        <v>1</v>
      </c>
      <c r="G740" s="7">
        <f>[1]Clothing!P170</f>
        <v>1</v>
      </c>
      <c r="H740" s="7">
        <f>[1]Clothing!Q170</f>
        <v>2</v>
      </c>
      <c r="I740" s="7">
        <f>[1]Clothing!R170</f>
        <v>2</v>
      </c>
      <c r="J740" s="7">
        <f>[1]Clothing!S170</f>
        <v>2</v>
      </c>
      <c r="K740" s="160">
        <f t="shared" si="12"/>
        <v>0.37356464144298934</v>
      </c>
    </row>
    <row r="741" spans="1:11">
      <c r="A741" s="7" t="s">
        <v>2046</v>
      </c>
      <c r="B741" s="7">
        <f>[1]Clothing!B171</f>
        <v>2019</v>
      </c>
      <c r="C741" s="7" t="str">
        <f>[1]Clothing!C171</f>
        <v>RUBBER</v>
      </c>
      <c r="D741" s="64">
        <f>[1]Clothing!L171</f>
        <v>257.62233376052342</v>
      </c>
      <c r="E741" s="7" t="s">
        <v>2045</v>
      </c>
      <c r="F741" s="7">
        <f>[1]Clothing!O171</f>
        <v>1</v>
      </c>
      <c r="G741" s="7">
        <f>[1]Clothing!P171</f>
        <v>1</v>
      </c>
      <c r="H741" s="7">
        <f>[1]Clothing!Q171</f>
        <v>2</v>
      </c>
      <c r="I741" s="7">
        <f>[1]Clothing!R171</f>
        <v>2</v>
      </c>
      <c r="J741" s="7">
        <f>[1]Clothing!S171</f>
        <v>2</v>
      </c>
      <c r="K741" s="160">
        <f t="shared" si="12"/>
        <v>0.37356464144298934</v>
      </c>
    </row>
    <row r="742" spans="1:11">
      <c r="A742" s="7" t="s">
        <v>2046</v>
      </c>
      <c r="B742" s="7">
        <f>[1]Clothing!B172</f>
        <v>2020</v>
      </c>
      <c r="C742" s="7" t="str">
        <f>[1]Clothing!C172</f>
        <v>Acryl</v>
      </c>
      <c r="D742" s="64">
        <f>[1]Clothing!L172</f>
        <v>125.12661920242472</v>
      </c>
      <c r="E742" s="7" t="s">
        <v>2045</v>
      </c>
      <c r="F742" s="7">
        <f>[1]Clothing!O172</f>
        <v>1</v>
      </c>
      <c r="G742" s="7">
        <f>[1]Clothing!P172</f>
        <v>1</v>
      </c>
      <c r="H742" s="7">
        <f>[1]Clothing!Q172</f>
        <v>2</v>
      </c>
      <c r="I742" s="7">
        <f>[1]Clothing!R172</f>
        <v>2</v>
      </c>
      <c r="J742" s="7">
        <f>[1]Clothing!S172</f>
        <v>2</v>
      </c>
      <c r="K742" s="160">
        <f t="shared" si="12"/>
        <v>0.37356464144298934</v>
      </c>
    </row>
    <row r="743" spans="1:11">
      <c r="A743" s="7" t="s">
        <v>2046</v>
      </c>
      <c r="B743" s="7">
        <f>[1]Clothing!B173</f>
        <v>2020</v>
      </c>
      <c r="C743" s="7" t="str">
        <f>[1]Clothing!C173</f>
        <v>OTHER</v>
      </c>
      <c r="D743" s="64">
        <f>[1]Clothing!L173</f>
        <v>197.18480060370047</v>
      </c>
      <c r="E743" s="7" t="s">
        <v>2045</v>
      </c>
      <c r="F743" s="7">
        <f>[1]Clothing!O173</f>
        <v>1</v>
      </c>
      <c r="G743" s="7">
        <f>[1]Clothing!P173</f>
        <v>1</v>
      </c>
      <c r="H743" s="7">
        <f>[1]Clothing!Q173</f>
        <v>2</v>
      </c>
      <c r="I743" s="7">
        <f>[1]Clothing!R173</f>
        <v>2</v>
      </c>
      <c r="J743" s="7">
        <f>[1]Clothing!S173</f>
        <v>2</v>
      </c>
      <c r="K743" s="160">
        <f t="shared" si="12"/>
        <v>0.37356464144298934</v>
      </c>
    </row>
    <row r="744" spans="1:11">
      <c r="A744" s="7" t="s">
        <v>2046</v>
      </c>
      <c r="B744" s="7">
        <f>[1]Clothing!B174</f>
        <v>2020</v>
      </c>
      <c r="C744" s="7" t="str">
        <f>[1]Clothing!C174</f>
        <v>PA</v>
      </c>
      <c r="D744" s="64">
        <f>[1]Clothing!L174</f>
        <v>261.11375470142298</v>
      </c>
      <c r="E744" s="7" t="s">
        <v>2045</v>
      </c>
      <c r="F744" s="7">
        <f>[1]Clothing!O174</f>
        <v>1</v>
      </c>
      <c r="G744" s="7">
        <f>[1]Clothing!P174</f>
        <v>1</v>
      </c>
      <c r="H744" s="7">
        <f>[1]Clothing!Q174</f>
        <v>2</v>
      </c>
      <c r="I744" s="7">
        <f>[1]Clothing!R174</f>
        <v>2</v>
      </c>
      <c r="J744" s="7">
        <f>[1]Clothing!S174</f>
        <v>2</v>
      </c>
      <c r="K744" s="160">
        <f t="shared" si="12"/>
        <v>0.37356464144298934</v>
      </c>
    </row>
    <row r="745" spans="1:11">
      <c r="A745" s="7" t="s">
        <v>2046</v>
      </c>
      <c r="B745" s="7">
        <f>[1]Clothing!B175</f>
        <v>2020</v>
      </c>
      <c r="C745" s="7" t="str">
        <f>[1]Clothing!C175</f>
        <v>PET</v>
      </c>
      <c r="D745" s="64">
        <f>[1]Clothing!L175</f>
        <v>1314.526462598317</v>
      </c>
      <c r="E745" s="7" t="s">
        <v>2045</v>
      </c>
      <c r="F745" s="7">
        <f>[1]Clothing!O175</f>
        <v>1</v>
      </c>
      <c r="G745" s="7">
        <f>[1]Clothing!P175</f>
        <v>1</v>
      </c>
      <c r="H745" s="7">
        <f>[1]Clothing!Q175</f>
        <v>2</v>
      </c>
      <c r="I745" s="7">
        <f>[1]Clothing!R175</f>
        <v>2</v>
      </c>
      <c r="J745" s="7">
        <f>[1]Clothing!S175</f>
        <v>2</v>
      </c>
      <c r="K745" s="160">
        <f t="shared" si="12"/>
        <v>0.37356464144298934</v>
      </c>
    </row>
    <row r="746" spans="1:11">
      <c r="A746" s="7" t="s">
        <v>2046</v>
      </c>
      <c r="B746" s="7">
        <f>[1]Clothing!B176</f>
        <v>2020</v>
      </c>
      <c r="C746" s="7" t="str">
        <f>[1]Clothing!C176</f>
        <v>PUR</v>
      </c>
      <c r="D746" s="64">
        <f>[1]Clothing!L176</f>
        <v>150.70408436040759</v>
      </c>
      <c r="E746" s="7" t="s">
        <v>2045</v>
      </c>
      <c r="F746" s="7">
        <f>[1]Clothing!O176</f>
        <v>1</v>
      </c>
      <c r="G746" s="7">
        <f>[1]Clothing!P176</f>
        <v>1</v>
      </c>
      <c r="H746" s="7">
        <f>[1]Clothing!Q176</f>
        <v>2</v>
      </c>
      <c r="I746" s="7">
        <f>[1]Clothing!R176</f>
        <v>2</v>
      </c>
      <c r="J746" s="7">
        <f>[1]Clothing!S176</f>
        <v>2</v>
      </c>
      <c r="K746" s="160">
        <f t="shared" si="12"/>
        <v>0.37356464144298934</v>
      </c>
    </row>
    <row r="747" spans="1:11">
      <c r="A747" s="7" t="s">
        <v>2046</v>
      </c>
      <c r="B747" s="7">
        <f>[1]Clothing!B177</f>
        <v>2020</v>
      </c>
      <c r="C747" s="7" t="str">
        <f>[1]Clothing!C177</f>
        <v>PVC</v>
      </c>
      <c r="D747" s="64">
        <f>[1]Clothing!L177</f>
        <v>97.053593532244761</v>
      </c>
      <c r="E747" s="7" t="s">
        <v>2045</v>
      </c>
      <c r="F747" s="7">
        <f>[1]Clothing!O177</f>
        <v>1</v>
      </c>
      <c r="G747" s="7">
        <f>[1]Clothing!P177</f>
        <v>1</v>
      </c>
      <c r="H747" s="7">
        <f>[1]Clothing!Q177</f>
        <v>2</v>
      </c>
      <c r="I747" s="7">
        <f>[1]Clothing!R177</f>
        <v>2</v>
      </c>
      <c r="J747" s="7">
        <f>[1]Clothing!S177</f>
        <v>2</v>
      </c>
      <c r="K747" s="160">
        <f t="shared" si="12"/>
        <v>0.37356464144298934</v>
      </c>
    </row>
    <row r="748" spans="1:11">
      <c r="A748" s="7" t="s">
        <v>2046</v>
      </c>
      <c r="B748" s="7">
        <f>[1]Clothing!B178</f>
        <v>2020</v>
      </c>
      <c r="C748" s="7" t="str">
        <f>[1]Clothing!C178</f>
        <v>RUBBER</v>
      </c>
      <c r="D748" s="64">
        <f>[1]Clothing!L178</f>
        <v>200.41090311684309</v>
      </c>
      <c r="E748" s="7" t="s">
        <v>2045</v>
      </c>
      <c r="F748" s="7">
        <f>[1]Clothing!O178</f>
        <v>1</v>
      </c>
      <c r="G748" s="7">
        <f>[1]Clothing!P178</f>
        <v>1</v>
      </c>
      <c r="H748" s="7">
        <f>[1]Clothing!Q178</f>
        <v>2</v>
      </c>
      <c r="I748" s="7">
        <f>[1]Clothing!R178</f>
        <v>2</v>
      </c>
      <c r="J748" s="7">
        <f>[1]Clothing!S178</f>
        <v>2</v>
      </c>
      <c r="K748" s="160">
        <f t="shared" si="12"/>
        <v>0.37356464144298934</v>
      </c>
    </row>
    <row r="749" spans="1:11">
      <c r="A749" s="7" t="s">
        <v>2046</v>
      </c>
      <c r="B749" s="7">
        <f>[1]Clothing!B179</f>
        <v>2021</v>
      </c>
      <c r="C749" s="7" t="str">
        <f>[1]Clothing!C179</f>
        <v>Acryl</v>
      </c>
      <c r="D749" s="64">
        <f>[1]Clothing!L179</f>
        <v>138.50847940996036</v>
      </c>
      <c r="E749" s="7" t="s">
        <v>2045</v>
      </c>
      <c r="F749" s="7">
        <f>[1]Clothing!O179</f>
        <v>1</v>
      </c>
      <c r="G749" s="7">
        <f>[1]Clothing!P179</f>
        <v>1</v>
      </c>
      <c r="H749" s="7">
        <f>[1]Clothing!Q179</f>
        <v>2</v>
      </c>
      <c r="I749" s="7">
        <f>[1]Clothing!R179</f>
        <v>2</v>
      </c>
      <c r="J749" s="7">
        <f>[1]Clothing!S179</f>
        <v>2</v>
      </c>
      <c r="K749" s="160">
        <f t="shared" si="12"/>
        <v>0.37356464144298934</v>
      </c>
    </row>
    <row r="750" spans="1:11">
      <c r="A750" s="7" t="s">
        <v>2046</v>
      </c>
      <c r="B750" s="7">
        <f>[1]Clothing!B180</f>
        <v>2021</v>
      </c>
      <c r="C750" s="7" t="str">
        <f>[1]Clothing!C180</f>
        <v>OTHER</v>
      </c>
      <c r="D750" s="64">
        <f>[1]Clothing!L180</f>
        <v>207.542011807975</v>
      </c>
      <c r="E750" s="7" t="s">
        <v>2045</v>
      </c>
      <c r="F750" s="7">
        <f>[1]Clothing!O180</f>
        <v>1</v>
      </c>
      <c r="G750" s="7">
        <f>[1]Clothing!P180</f>
        <v>1</v>
      </c>
      <c r="H750" s="7">
        <f>[1]Clothing!Q180</f>
        <v>2</v>
      </c>
      <c r="I750" s="7">
        <f>[1]Clothing!R180</f>
        <v>2</v>
      </c>
      <c r="J750" s="7">
        <f>[1]Clothing!S180</f>
        <v>2</v>
      </c>
      <c r="K750" s="160">
        <f t="shared" si="12"/>
        <v>0.37356464144298934</v>
      </c>
    </row>
    <row r="751" spans="1:11">
      <c r="A751" s="7" t="s">
        <v>2046</v>
      </c>
      <c r="B751" s="7">
        <f>[1]Clothing!B181</f>
        <v>2021</v>
      </c>
      <c r="C751" s="7" t="str">
        <f>[1]Clothing!C181</f>
        <v>PA</v>
      </c>
      <c r="D751" s="64">
        <f>[1]Clothing!L181</f>
        <v>287.72173084220043</v>
      </c>
      <c r="E751" s="7" t="s">
        <v>2045</v>
      </c>
      <c r="F751" s="7">
        <f>[1]Clothing!O181</f>
        <v>1</v>
      </c>
      <c r="G751" s="7">
        <f>[1]Clothing!P181</f>
        <v>1</v>
      </c>
      <c r="H751" s="7">
        <f>[1]Clothing!Q181</f>
        <v>2</v>
      </c>
      <c r="I751" s="7">
        <f>[1]Clothing!R181</f>
        <v>2</v>
      </c>
      <c r="J751" s="7">
        <f>[1]Clothing!S181</f>
        <v>2</v>
      </c>
      <c r="K751" s="160">
        <f t="shared" si="12"/>
        <v>0.37356464144298934</v>
      </c>
    </row>
    <row r="752" spans="1:11">
      <c r="A752" s="7" t="s">
        <v>2046</v>
      </c>
      <c r="B752" s="7">
        <f>[1]Clothing!B182</f>
        <v>2021</v>
      </c>
      <c r="C752" s="7" t="str">
        <f>[1]Clothing!C182</f>
        <v>PET</v>
      </c>
      <c r="D752" s="64">
        <f>[1]Clothing!L182</f>
        <v>1424.0070804502827</v>
      </c>
      <c r="E752" s="7" t="s">
        <v>2045</v>
      </c>
      <c r="F752" s="7">
        <f>[1]Clothing!O182</f>
        <v>1</v>
      </c>
      <c r="G752" s="7">
        <f>[1]Clothing!P182</f>
        <v>1</v>
      </c>
      <c r="H752" s="7">
        <f>[1]Clothing!Q182</f>
        <v>2</v>
      </c>
      <c r="I752" s="7">
        <f>[1]Clothing!R182</f>
        <v>2</v>
      </c>
      <c r="J752" s="7">
        <f>[1]Clothing!S182</f>
        <v>2</v>
      </c>
      <c r="K752" s="160">
        <f t="shared" si="12"/>
        <v>0.37356464144298934</v>
      </c>
    </row>
    <row r="753" spans="1:11">
      <c r="A753" s="7" t="s">
        <v>2046</v>
      </c>
      <c r="B753" s="7">
        <f>[1]Clothing!B183</f>
        <v>2021</v>
      </c>
      <c r="C753" s="7" t="str">
        <f>[1]Clothing!C183</f>
        <v>PUR</v>
      </c>
      <c r="D753" s="64">
        <f>[1]Clothing!L183</f>
        <v>148.48800484640728</v>
      </c>
      <c r="E753" s="7" t="s">
        <v>2045</v>
      </c>
      <c r="F753" s="7">
        <f>[1]Clothing!O183</f>
        <v>1</v>
      </c>
      <c r="G753" s="7">
        <f>[1]Clothing!P183</f>
        <v>1</v>
      </c>
      <c r="H753" s="7">
        <f>[1]Clothing!Q183</f>
        <v>2</v>
      </c>
      <c r="I753" s="7">
        <f>[1]Clothing!R183</f>
        <v>2</v>
      </c>
      <c r="J753" s="7">
        <f>[1]Clothing!S183</f>
        <v>2</v>
      </c>
      <c r="K753" s="160">
        <f t="shared" si="12"/>
        <v>0.37356464144298934</v>
      </c>
    </row>
    <row r="754" spans="1:11">
      <c r="A754" s="7" t="s">
        <v>2046</v>
      </c>
      <c r="B754" s="7">
        <f>[1]Clothing!B184</f>
        <v>2021</v>
      </c>
      <c r="C754" s="7" t="str">
        <f>[1]Clothing!C184</f>
        <v>PVC</v>
      </c>
      <c r="D754" s="64">
        <f>[1]Clothing!L184</f>
        <v>95.81627352874581</v>
      </c>
      <c r="E754" s="7" t="s">
        <v>2045</v>
      </c>
      <c r="F754" s="7">
        <f>[1]Clothing!O184</f>
        <v>1</v>
      </c>
      <c r="G754" s="7">
        <f>[1]Clothing!P184</f>
        <v>1</v>
      </c>
      <c r="H754" s="7">
        <f>[1]Clothing!Q184</f>
        <v>2</v>
      </c>
      <c r="I754" s="7">
        <f>[1]Clothing!R184</f>
        <v>2</v>
      </c>
      <c r="J754" s="7">
        <f>[1]Clothing!S184</f>
        <v>2</v>
      </c>
      <c r="K754" s="160">
        <f t="shared" si="12"/>
        <v>0.37356464144298934</v>
      </c>
    </row>
    <row r="755" spans="1:11">
      <c r="A755" s="7" t="s">
        <v>2046</v>
      </c>
      <c r="B755" s="7">
        <f>[1]Clothing!B185</f>
        <v>2021</v>
      </c>
      <c r="C755" s="7" t="str">
        <f>[1]Clothing!C185</f>
        <v>RUBBER</v>
      </c>
      <c r="D755" s="64">
        <f>[1]Clothing!L185</f>
        <v>199.95130345560233</v>
      </c>
      <c r="E755" s="7" t="s">
        <v>2045</v>
      </c>
      <c r="F755" s="7">
        <f>[1]Clothing!O185</f>
        <v>1</v>
      </c>
      <c r="G755" s="7">
        <f>[1]Clothing!P185</f>
        <v>1</v>
      </c>
      <c r="H755" s="7">
        <f>[1]Clothing!Q185</f>
        <v>2</v>
      </c>
      <c r="I755" s="7">
        <f>[1]Clothing!R185</f>
        <v>2</v>
      </c>
      <c r="J755" s="7">
        <f>[1]Clothing!S185</f>
        <v>2</v>
      </c>
      <c r="K755" s="160">
        <f t="shared" si="12"/>
        <v>0.37356464144298934</v>
      </c>
    </row>
    <row r="756" spans="1:11">
      <c r="A756" s="7" t="s">
        <v>2046</v>
      </c>
      <c r="B756" s="7">
        <f>[1]Clothing!B186</f>
        <v>2022</v>
      </c>
      <c r="C756" s="7" t="str">
        <f>[1]Clothing!C186</f>
        <v>Acryl</v>
      </c>
      <c r="D756" s="64">
        <f>[1]Clothing!L186</f>
        <v>172.36584384644331</v>
      </c>
      <c r="E756" s="7" t="s">
        <v>2045</v>
      </c>
      <c r="F756" s="7">
        <f>[1]Clothing!O186</f>
        <v>1</v>
      </c>
      <c r="G756" s="7">
        <f>[1]Clothing!P186</f>
        <v>1</v>
      </c>
      <c r="H756" s="7">
        <f>[1]Clothing!Q186</f>
        <v>2</v>
      </c>
      <c r="I756" s="7">
        <f>[1]Clothing!R186</f>
        <v>2</v>
      </c>
      <c r="J756" s="7">
        <f>[1]Clothing!S186</f>
        <v>2</v>
      </c>
      <c r="K756" s="160">
        <f t="shared" si="12"/>
        <v>0.37356464144298934</v>
      </c>
    </row>
    <row r="757" spans="1:11">
      <c r="A757" s="7" t="s">
        <v>2046</v>
      </c>
      <c r="B757" s="7">
        <f>[1]Clothing!B187</f>
        <v>2022</v>
      </c>
      <c r="C757" s="7" t="str">
        <f>[1]Clothing!C187</f>
        <v>OTHER</v>
      </c>
      <c r="D757" s="64">
        <f>[1]Clothing!L187</f>
        <v>264.35001936577788</v>
      </c>
      <c r="E757" s="7" t="s">
        <v>2045</v>
      </c>
      <c r="F757" s="7">
        <f>[1]Clothing!O187</f>
        <v>1</v>
      </c>
      <c r="G757" s="7">
        <f>[1]Clothing!P187</f>
        <v>1</v>
      </c>
      <c r="H757" s="7">
        <f>[1]Clothing!Q187</f>
        <v>2</v>
      </c>
      <c r="I757" s="7">
        <f>[1]Clothing!R187</f>
        <v>2</v>
      </c>
      <c r="J757" s="7">
        <f>[1]Clothing!S187</f>
        <v>2</v>
      </c>
      <c r="K757" s="160">
        <f t="shared" si="12"/>
        <v>0.37356464144298934</v>
      </c>
    </row>
    <row r="758" spans="1:11">
      <c r="A758" s="7" t="s">
        <v>2046</v>
      </c>
      <c r="B758" s="7">
        <f>[1]Clothing!B188</f>
        <v>2022</v>
      </c>
      <c r="C758" s="7" t="str">
        <f>[1]Clothing!C188</f>
        <v>PA</v>
      </c>
      <c r="D758" s="64">
        <f>[1]Clothing!L188</f>
        <v>357.19874363320753</v>
      </c>
      <c r="E758" s="7" t="s">
        <v>2045</v>
      </c>
      <c r="F758" s="7">
        <f>[1]Clothing!O188</f>
        <v>1</v>
      </c>
      <c r="G758" s="7">
        <f>[1]Clothing!P188</f>
        <v>1</v>
      </c>
      <c r="H758" s="7">
        <f>[1]Clothing!Q188</f>
        <v>2</v>
      </c>
      <c r="I758" s="7">
        <f>[1]Clothing!R188</f>
        <v>2</v>
      </c>
      <c r="J758" s="7">
        <f>[1]Clothing!S188</f>
        <v>2</v>
      </c>
      <c r="K758" s="160">
        <f t="shared" si="12"/>
        <v>0.37356464144298934</v>
      </c>
    </row>
    <row r="759" spans="1:11">
      <c r="A759" s="7" t="s">
        <v>2046</v>
      </c>
      <c r="B759" s="7">
        <f>[1]Clothing!B189</f>
        <v>2022</v>
      </c>
      <c r="C759" s="7" t="str">
        <f>[1]Clothing!C189</f>
        <v>PET</v>
      </c>
      <c r="D759" s="64">
        <f>[1]Clothing!L189</f>
        <v>1775.9264851181979</v>
      </c>
      <c r="E759" s="7" t="s">
        <v>2045</v>
      </c>
      <c r="F759" s="7">
        <f>[1]Clothing!O189</f>
        <v>1</v>
      </c>
      <c r="G759" s="7">
        <f>[1]Clothing!P189</f>
        <v>1</v>
      </c>
      <c r="H759" s="7">
        <f>[1]Clothing!Q189</f>
        <v>2</v>
      </c>
      <c r="I759" s="7">
        <f>[1]Clothing!R189</f>
        <v>2</v>
      </c>
      <c r="J759" s="7">
        <f>[1]Clothing!S189</f>
        <v>2</v>
      </c>
      <c r="K759" s="160">
        <f t="shared" si="12"/>
        <v>0.37356464144298934</v>
      </c>
    </row>
    <row r="760" spans="1:11">
      <c r="A760" s="7" t="s">
        <v>2046</v>
      </c>
      <c r="B760" s="7">
        <f>[1]Clothing!B190</f>
        <v>2022</v>
      </c>
      <c r="C760" s="7" t="str">
        <f>[1]Clothing!C190</f>
        <v>PUR</v>
      </c>
      <c r="D760" s="64">
        <f>[1]Clothing!L190</f>
        <v>194.31940453103229</v>
      </c>
      <c r="E760" s="7" t="s">
        <v>2045</v>
      </c>
      <c r="F760" s="7">
        <f>[1]Clothing!O190</f>
        <v>1</v>
      </c>
      <c r="G760" s="7">
        <f>[1]Clothing!P190</f>
        <v>1</v>
      </c>
      <c r="H760" s="7">
        <f>[1]Clothing!Q190</f>
        <v>2</v>
      </c>
      <c r="I760" s="7">
        <f>[1]Clothing!R190</f>
        <v>2</v>
      </c>
      <c r="J760" s="7">
        <f>[1]Clothing!S190</f>
        <v>2</v>
      </c>
      <c r="K760" s="160">
        <f t="shared" si="12"/>
        <v>0.37356464144298934</v>
      </c>
    </row>
    <row r="761" spans="1:11">
      <c r="A761" s="7" t="s">
        <v>2046</v>
      </c>
      <c r="B761" s="7">
        <f>[1]Clothing!B191</f>
        <v>2022</v>
      </c>
      <c r="C761" s="7" t="str">
        <f>[1]Clothing!C191</f>
        <v>PVC</v>
      </c>
      <c r="D761" s="64">
        <f>[1]Clothing!L191</f>
        <v>125.53197967894016</v>
      </c>
      <c r="E761" s="7" t="s">
        <v>2045</v>
      </c>
      <c r="F761" s="7">
        <f>[1]Clothing!O191</f>
        <v>1</v>
      </c>
      <c r="G761" s="7">
        <f>[1]Clothing!P191</f>
        <v>1</v>
      </c>
      <c r="H761" s="7">
        <f>[1]Clothing!Q191</f>
        <v>2</v>
      </c>
      <c r="I761" s="7">
        <f>[1]Clothing!R191</f>
        <v>2</v>
      </c>
      <c r="J761" s="7">
        <f>[1]Clothing!S191</f>
        <v>2</v>
      </c>
      <c r="K761" s="160">
        <f t="shared" si="12"/>
        <v>0.37356464144298934</v>
      </c>
    </row>
    <row r="762" spans="1:11">
      <c r="A762" s="7" t="s">
        <v>2046</v>
      </c>
      <c r="B762" s="7">
        <f>[1]Clothing!B192</f>
        <v>2022</v>
      </c>
      <c r="C762" s="7" t="str">
        <f>[1]Clothing!C192</f>
        <v>RUBBER</v>
      </c>
      <c r="D762" s="64">
        <f>[1]Clothing!L192</f>
        <v>263.85989070088351</v>
      </c>
      <c r="E762" s="7" t="s">
        <v>2045</v>
      </c>
      <c r="F762" s="7">
        <f>[1]Clothing!O192</f>
        <v>1</v>
      </c>
      <c r="G762" s="7">
        <f>[1]Clothing!P192</f>
        <v>1</v>
      </c>
      <c r="H762" s="7">
        <f>[1]Clothing!Q192</f>
        <v>2</v>
      </c>
      <c r="I762" s="7">
        <f>[1]Clothing!R192</f>
        <v>2</v>
      </c>
      <c r="J762" s="7">
        <f>[1]Clothing!S192</f>
        <v>2</v>
      </c>
      <c r="K762" s="160">
        <f t="shared" si="12"/>
        <v>0.37356464144298934</v>
      </c>
    </row>
    <row r="763" spans="1:11">
      <c r="A763" s="7" t="str">
        <f>Clothing!A197</f>
        <v>Import of plastic sheets</v>
      </c>
      <c r="B763" s="7">
        <f>Clothing!B197</f>
        <v>2011</v>
      </c>
      <c r="C763" s="7" t="str">
        <f>Clothing!C197</f>
        <v>RUBBER</v>
      </c>
      <c r="D763" s="7">
        <f>Clothing!D197</f>
        <v>54.941331438956276</v>
      </c>
      <c r="E763" s="7" t="str">
        <f>Clothing!E197</f>
        <v>https://ec.europa.eu/eurostat/databrowser/view/DS-056120__custom_15192557/default/table?lang=en - Low estimate</v>
      </c>
      <c r="F763" s="7">
        <f>Clothing!F197</f>
        <v>1</v>
      </c>
      <c r="G763" s="7">
        <f>Clothing!G197</f>
        <v>1</v>
      </c>
      <c r="H763" s="7">
        <f>Clothing!H197</f>
        <v>2</v>
      </c>
      <c r="I763" s="7">
        <f>Clothing!I197</f>
        <v>2</v>
      </c>
      <c r="J763" s="7">
        <f>Clothing!J197</f>
        <v>2</v>
      </c>
      <c r="K763" s="160"/>
    </row>
    <row r="764" spans="1:11">
      <c r="A764" s="7" t="str">
        <f>Clothing!A198</f>
        <v>Import of plastic sheets</v>
      </c>
      <c r="B764" s="7">
        <f>Clothing!B198</f>
        <v>2012</v>
      </c>
      <c r="C764" s="7" t="str">
        <f>Clothing!C198</f>
        <v>RUBBER</v>
      </c>
      <c r="D764" s="7">
        <f>Clothing!D198</f>
        <v>51.456396464780305</v>
      </c>
      <c r="E764" s="7" t="str">
        <f>Clothing!E198</f>
        <v>https://ec.europa.eu/eurostat/databrowser/view/DS-056120__custom_15192557/default/table?lang=en - Low estimate</v>
      </c>
      <c r="F764" s="7">
        <f>Clothing!F198</f>
        <v>1</v>
      </c>
      <c r="G764" s="7">
        <f>Clothing!G198</f>
        <v>1</v>
      </c>
      <c r="H764" s="7">
        <f>Clothing!H198</f>
        <v>2</v>
      </c>
      <c r="I764" s="7">
        <f>Clothing!I198</f>
        <v>2</v>
      </c>
      <c r="J764" s="7">
        <f>Clothing!J198</f>
        <v>2</v>
      </c>
      <c r="K764" s="160"/>
    </row>
    <row r="765" spans="1:11">
      <c r="A765" s="7" t="str">
        <f>Clothing!A199</f>
        <v>Import of plastic sheets</v>
      </c>
      <c r="B765" s="7">
        <f>Clothing!B199</f>
        <v>2013</v>
      </c>
      <c r="C765" s="7" t="str">
        <f>Clothing!C199</f>
        <v>RUBBER</v>
      </c>
      <c r="D765" s="7">
        <f>Clothing!D199</f>
        <v>51.662591418883132</v>
      </c>
      <c r="E765" s="7" t="str">
        <f>Clothing!E199</f>
        <v>https://ec.europa.eu/eurostat/databrowser/view/DS-056120__custom_15192557/default/table?lang=en - Low estimate</v>
      </c>
      <c r="F765" s="7">
        <f>Clothing!F199</f>
        <v>1</v>
      </c>
      <c r="G765" s="7">
        <f>Clothing!G199</f>
        <v>1</v>
      </c>
      <c r="H765" s="7">
        <f>Clothing!H199</f>
        <v>2</v>
      </c>
      <c r="I765" s="7">
        <f>Clothing!I199</f>
        <v>2</v>
      </c>
      <c r="J765" s="7">
        <f>Clothing!J199</f>
        <v>2</v>
      </c>
      <c r="K765" s="160"/>
    </row>
    <row r="766" spans="1:11">
      <c r="A766" s="7" t="str">
        <f>Clothing!A200</f>
        <v>Import of plastic sheets</v>
      </c>
      <c r="B766" s="7">
        <f>Clothing!B200</f>
        <v>2014</v>
      </c>
      <c r="C766" s="7" t="str">
        <f>Clothing!C200</f>
        <v>RUBBER</v>
      </c>
      <c r="D766" s="7">
        <f>Clothing!D200</f>
        <v>56.33000902970948</v>
      </c>
      <c r="E766" s="7" t="str">
        <f>Clothing!E200</f>
        <v>https://ec.europa.eu/eurostat/databrowser/view/DS-056120__custom_15192557/default/table?lang=en - Low estimate</v>
      </c>
      <c r="F766" s="7">
        <f>Clothing!F200</f>
        <v>1</v>
      </c>
      <c r="G766" s="7">
        <f>Clothing!G200</f>
        <v>1</v>
      </c>
      <c r="H766" s="7">
        <f>Clothing!H200</f>
        <v>2</v>
      </c>
      <c r="I766" s="7">
        <f>Clothing!I200</f>
        <v>2</v>
      </c>
      <c r="J766" s="7">
        <f>Clothing!J200</f>
        <v>2</v>
      </c>
      <c r="K766" s="160"/>
    </row>
    <row r="767" spans="1:11">
      <c r="A767" s="7" t="str">
        <f>Clothing!A201</f>
        <v>Import of plastic sheets</v>
      </c>
      <c r="B767" s="7">
        <f>Clothing!B201</f>
        <v>2015</v>
      </c>
      <c r="C767" s="7" t="str">
        <f>Clothing!C201</f>
        <v>RUBBER</v>
      </c>
      <c r="D767" s="7">
        <f>Clothing!D201</f>
        <v>53.287965599667807</v>
      </c>
      <c r="E767" s="7" t="str">
        <f>Clothing!E201</f>
        <v>https://ec.europa.eu/eurostat/databrowser/view/DS-056120__custom_15192557/default/table?lang=en - Low estimate</v>
      </c>
      <c r="F767" s="7">
        <f>Clothing!F201</f>
        <v>1</v>
      </c>
      <c r="G767" s="7">
        <f>Clothing!G201</f>
        <v>1</v>
      </c>
      <c r="H767" s="7">
        <f>Clothing!H201</f>
        <v>2</v>
      </c>
      <c r="I767" s="7">
        <f>Clothing!I201</f>
        <v>2</v>
      </c>
      <c r="J767" s="7">
        <f>Clothing!J201</f>
        <v>2</v>
      </c>
      <c r="K767" s="160"/>
    </row>
    <row r="768" spans="1:11">
      <c r="A768" s="7" t="str">
        <f>Clothing!A202</f>
        <v>Import of plastic sheets</v>
      </c>
      <c r="B768" s="7">
        <f>Clothing!B202</f>
        <v>2016</v>
      </c>
      <c r="C768" s="7" t="str">
        <f>Clothing!C202</f>
        <v>RUBBER</v>
      </c>
      <c r="D768" s="7">
        <f>Clothing!D202</f>
        <v>52.381548003476567</v>
      </c>
      <c r="E768" s="7" t="str">
        <f>Clothing!E202</f>
        <v>https://ec.europa.eu/eurostat/databrowser/view/DS-056120__custom_15192557/default/table?lang=en - Low estimate</v>
      </c>
      <c r="F768" s="7">
        <f>Clothing!F202</f>
        <v>1</v>
      </c>
      <c r="G768" s="7">
        <f>Clothing!G202</f>
        <v>1</v>
      </c>
      <c r="H768" s="7">
        <f>Clothing!H202</f>
        <v>2</v>
      </c>
      <c r="I768" s="7">
        <f>Clothing!I202</f>
        <v>2</v>
      </c>
      <c r="J768" s="7">
        <f>Clothing!J202</f>
        <v>2</v>
      </c>
      <c r="K768" s="160"/>
    </row>
    <row r="769" spans="1:11">
      <c r="A769" s="7" t="str">
        <f>Clothing!A203</f>
        <v>Import of plastic sheets</v>
      </c>
      <c r="B769" s="7">
        <f>Clothing!B203</f>
        <v>2017</v>
      </c>
      <c r="C769" s="7" t="str">
        <f>Clothing!C203</f>
        <v>RUBBER</v>
      </c>
      <c r="D769" s="7">
        <f>Clothing!D203</f>
        <v>54.133747948336925</v>
      </c>
      <c r="E769" s="7" t="str">
        <f>Clothing!E203</f>
        <v>https://ec.europa.eu/eurostat/databrowser/view/DS-056120__custom_15192557/default/table?lang=en - Low estimate</v>
      </c>
      <c r="F769" s="7">
        <f>Clothing!F203</f>
        <v>1</v>
      </c>
      <c r="G769" s="7">
        <f>Clothing!G203</f>
        <v>1</v>
      </c>
      <c r="H769" s="7">
        <f>Clothing!H203</f>
        <v>2</v>
      </c>
      <c r="I769" s="7">
        <f>Clothing!I203</f>
        <v>2</v>
      </c>
      <c r="J769" s="7">
        <f>Clothing!J203</f>
        <v>2</v>
      </c>
      <c r="K769" s="160"/>
    </row>
    <row r="770" spans="1:11">
      <c r="A770" s="7" t="str">
        <f>Clothing!A204</f>
        <v>Import of plastic sheets</v>
      </c>
      <c r="B770" s="7">
        <f>Clothing!B204</f>
        <v>2018</v>
      </c>
      <c r="C770" s="7" t="str">
        <f>Clothing!C204</f>
        <v>RUBBER</v>
      </c>
      <c r="D770" s="7">
        <f>Clothing!D204</f>
        <v>65.517198056677529</v>
      </c>
      <c r="E770" s="7" t="str">
        <f>Clothing!E204</f>
        <v>https://ec.europa.eu/eurostat/databrowser/view/DS-056120__custom_15192557/default/table?lang=en - Low estimate</v>
      </c>
      <c r="F770" s="7">
        <f>Clothing!F204</f>
        <v>1</v>
      </c>
      <c r="G770" s="7">
        <f>Clothing!G204</f>
        <v>1</v>
      </c>
      <c r="H770" s="7">
        <f>Clothing!H204</f>
        <v>2</v>
      </c>
      <c r="I770" s="7">
        <f>Clothing!I204</f>
        <v>2</v>
      </c>
      <c r="J770" s="7">
        <f>Clothing!J204</f>
        <v>2</v>
      </c>
      <c r="K770" s="160"/>
    </row>
    <row r="771" spans="1:11">
      <c r="A771" s="7" t="str">
        <f>Clothing!A205</f>
        <v>Import of plastic sheets</v>
      </c>
      <c r="B771" s="7">
        <f>Clothing!B205</f>
        <v>2019</v>
      </c>
      <c r="C771" s="7" t="str">
        <f>Clothing!C205</f>
        <v>RUBBER</v>
      </c>
      <c r="D771" s="7">
        <f>Clothing!D205</f>
        <v>53.855761874839239</v>
      </c>
      <c r="E771" s="7" t="str">
        <f>Clothing!E205</f>
        <v>https://ec.europa.eu/eurostat/databrowser/view/DS-056120__custom_15192557/default/table?lang=en - Low estimate</v>
      </c>
      <c r="F771" s="7">
        <f>Clothing!F205</f>
        <v>1</v>
      </c>
      <c r="G771" s="7">
        <f>Clothing!G205</f>
        <v>1</v>
      </c>
      <c r="H771" s="7">
        <f>Clothing!H205</f>
        <v>2</v>
      </c>
      <c r="I771" s="7">
        <f>Clothing!I205</f>
        <v>2</v>
      </c>
      <c r="J771" s="7">
        <f>Clothing!J205</f>
        <v>2</v>
      </c>
      <c r="K771" s="160"/>
    </row>
    <row r="772" spans="1:11">
      <c r="A772" s="7" t="str">
        <f>Clothing!A206</f>
        <v>Import of plastic sheets</v>
      </c>
      <c r="B772" s="7">
        <f>Clothing!B206</f>
        <v>2020</v>
      </c>
      <c r="C772" s="7" t="str">
        <f>Clothing!C206</f>
        <v>RUBBER</v>
      </c>
      <c r="D772" s="7">
        <f>Clothing!D206</f>
        <v>41.710144097320388</v>
      </c>
      <c r="E772" s="7" t="str">
        <f>Clothing!E206</f>
        <v>https://ec.europa.eu/eurostat/databrowser/view/DS-056120__custom_15192557/default/table?lang=en - Low estimate</v>
      </c>
      <c r="F772" s="7">
        <f>Clothing!F206</f>
        <v>1</v>
      </c>
      <c r="G772" s="7">
        <f>Clothing!G206</f>
        <v>1</v>
      </c>
      <c r="H772" s="7">
        <f>Clothing!H206</f>
        <v>2</v>
      </c>
      <c r="I772" s="7">
        <f>Clothing!I206</f>
        <v>2</v>
      </c>
      <c r="J772" s="7">
        <f>Clothing!J206</f>
        <v>2</v>
      </c>
      <c r="K772" s="160"/>
    </row>
    <row r="773" spans="1:11">
      <c r="A773" s="7" t="str">
        <f>Clothing!A207</f>
        <v>Import of plastic sheets</v>
      </c>
      <c r="B773" s="7">
        <f>Clothing!B207</f>
        <v>2021</v>
      </c>
      <c r="C773" s="7" t="str">
        <f>Clothing!C207</f>
        <v>RUBBER</v>
      </c>
      <c r="D773" s="7">
        <f>Clothing!D207</f>
        <v>49.625283601036998</v>
      </c>
      <c r="E773" s="7" t="str">
        <f>Clothing!E207</f>
        <v>https://ec.europa.eu/eurostat/databrowser/view/DS-056120__custom_15192557/default/table?lang=en - Low estimate</v>
      </c>
      <c r="F773" s="7">
        <f>Clothing!F207</f>
        <v>1</v>
      </c>
      <c r="G773" s="7">
        <f>Clothing!G207</f>
        <v>1</v>
      </c>
      <c r="H773" s="7">
        <f>Clothing!H207</f>
        <v>2</v>
      </c>
      <c r="I773" s="7">
        <f>Clothing!I207</f>
        <v>2</v>
      </c>
      <c r="J773" s="7">
        <f>Clothing!J207</f>
        <v>2</v>
      </c>
      <c r="K773" s="160"/>
    </row>
    <row r="774" spans="1:11">
      <c r="A774" s="7" t="str">
        <f>Clothing!A208</f>
        <v>Import of plastic sheets</v>
      </c>
      <c r="B774" s="7">
        <f>Clothing!B208</f>
        <v>2022</v>
      </c>
      <c r="C774" s="7" t="str">
        <f>Clothing!C208</f>
        <v>RUBBER</v>
      </c>
      <c r="D774" s="7">
        <f>Clothing!D208</f>
        <v>48.128269630869013</v>
      </c>
      <c r="E774" s="7" t="str">
        <f>Clothing!E208</f>
        <v>https://ec.europa.eu/eurostat/databrowser/view/DS-056120__custom_15192557/default/table?lang=en - Low estimate</v>
      </c>
      <c r="F774" s="7">
        <f>Clothing!F208</f>
        <v>1</v>
      </c>
      <c r="G774" s="7">
        <f>Clothing!G208</f>
        <v>1</v>
      </c>
      <c r="H774" s="7">
        <f>Clothing!H208</f>
        <v>2</v>
      </c>
      <c r="I774" s="7">
        <f>Clothing!I208</f>
        <v>2</v>
      </c>
      <c r="J774" s="7">
        <f>Clothing!J208</f>
        <v>2</v>
      </c>
      <c r="K774" s="160"/>
    </row>
    <row r="775" spans="1:11">
      <c r="A775" s="7" t="str">
        <f>Clothing!A209</f>
        <v>Import of plastic sheets</v>
      </c>
      <c r="B775" s="7">
        <f>Clothing!B209</f>
        <v>2011</v>
      </c>
      <c r="C775" s="7" t="str">
        <f>Clothing!C209</f>
        <v>RUBBER</v>
      </c>
      <c r="D775" s="7">
        <f>Clothing!D209</f>
        <v>64.892646033989095</v>
      </c>
      <c r="E775" s="7" t="str">
        <f>Clothing!E209</f>
        <v>https://ec.europa.eu/eurostat/databrowser/view/DS-056120__custom_15192557/default/table?lang=en - High estimate</v>
      </c>
      <c r="F775" s="7">
        <f>Clothing!F209</f>
        <v>1</v>
      </c>
      <c r="G775" s="7">
        <f>Clothing!G209</f>
        <v>1</v>
      </c>
      <c r="H775" s="7">
        <f>Clothing!H209</f>
        <v>2</v>
      </c>
      <c r="I775" s="7">
        <f>Clothing!I209</f>
        <v>2</v>
      </c>
      <c r="J775" s="7">
        <f>Clothing!J209</f>
        <v>2</v>
      </c>
      <c r="K775" s="160"/>
    </row>
    <row r="776" spans="1:11">
      <c r="A776" s="7" t="str">
        <f>Clothing!A210</f>
        <v>Import of plastic sheets</v>
      </c>
      <c r="B776" s="7">
        <f>Clothing!B210</f>
        <v>2012</v>
      </c>
      <c r="C776" s="7" t="str">
        <f>Clothing!C210</f>
        <v>RUBBER</v>
      </c>
      <c r="D776" s="7">
        <f>Clothing!D210</f>
        <v>60.77649803015094</v>
      </c>
      <c r="E776" s="7" t="str">
        <f>Clothing!E210</f>
        <v>https://ec.europa.eu/eurostat/databrowser/view/DS-056120__custom_15192557/default/table?lang=en - High estimate</v>
      </c>
      <c r="F776" s="7">
        <f>Clothing!F210</f>
        <v>1</v>
      </c>
      <c r="G776" s="7">
        <f>Clothing!G210</f>
        <v>1</v>
      </c>
      <c r="H776" s="7">
        <f>Clothing!H210</f>
        <v>2</v>
      </c>
      <c r="I776" s="7">
        <f>Clothing!I210</f>
        <v>2</v>
      </c>
      <c r="J776" s="7">
        <f>Clothing!J210</f>
        <v>2</v>
      </c>
      <c r="K776" s="160"/>
    </row>
    <row r="777" spans="1:11">
      <c r="A777" s="7" t="str">
        <f>Clothing!A211</f>
        <v>Import of plastic sheets</v>
      </c>
      <c r="B777" s="7">
        <f>Clothing!B211</f>
        <v>2013</v>
      </c>
      <c r="C777" s="7" t="str">
        <f>Clothing!C211</f>
        <v>RUBBER</v>
      </c>
      <c r="D777" s="7">
        <f>Clothing!D211</f>
        <v>61.020040292781694</v>
      </c>
      <c r="E777" s="7" t="str">
        <f>Clothing!E211</f>
        <v>https://ec.europa.eu/eurostat/databrowser/view/DS-056120__custom_15192557/default/table?lang=en - High estimate</v>
      </c>
      <c r="F777" s="7">
        <f>Clothing!F211</f>
        <v>1</v>
      </c>
      <c r="G777" s="7">
        <f>Clothing!G211</f>
        <v>1</v>
      </c>
      <c r="H777" s="7">
        <f>Clothing!H211</f>
        <v>2</v>
      </c>
      <c r="I777" s="7">
        <f>Clothing!I211</f>
        <v>2</v>
      </c>
      <c r="J777" s="7">
        <f>Clothing!J211</f>
        <v>2</v>
      </c>
      <c r="K777" s="160"/>
    </row>
    <row r="778" spans="1:11">
      <c r="A778" s="7" t="str">
        <f>Clothing!A212</f>
        <v>Import of plastic sheets</v>
      </c>
      <c r="B778" s="7">
        <f>Clothing!B212</f>
        <v>2014</v>
      </c>
      <c r="C778" s="7" t="str">
        <f>Clothing!C212</f>
        <v>RUBBER</v>
      </c>
      <c r="D778" s="7">
        <f>Clothing!D212</f>
        <v>66.532849519996788</v>
      </c>
      <c r="E778" s="7" t="str">
        <f>Clothing!E212</f>
        <v>https://ec.europa.eu/eurostat/databrowser/view/DS-056120__custom_15192557/default/table?lang=en - High estimate</v>
      </c>
      <c r="F778" s="7">
        <f>Clothing!F212</f>
        <v>1</v>
      </c>
      <c r="G778" s="7">
        <f>Clothing!G212</f>
        <v>1</v>
      </c>
      <c r="H778" s="7">
        <f>Clothing!H212</f>
        <v>2</v>
      </c>
      <c r="I778" s="7">
        <f>Clothing!I212</f>
        <v>2</v>
      </c>
      <c r="J778" s="7">
        <f>Clothing!J212</f>
        <v>2</v>
      </c>
      <c r="K778" s="160"/>
    </row>
    <row r="779" spans="1:11">
      <c r="A779" s="7" t="str">
        <f>Clothing!A213</f>
        <v>Import of plastic sheets</v>
      </c>
      <c r="B779" s="7">
        <f>Clothing!B213</f>
        <v>2015</v>
      </c>
      <c r="C779" s="7" t="str">
        <f>Clothing!C213</f>
        <v>RUBBER</v>
      </c>
      <c r="D779" s="7">
        <f>Clothing!D213</f>
        <v>62.939812322763082</v>
      </c>
      <c r="E779" s="7" t="str">
        <f>Clothing!E213</f>
        <v>https://ec.europa.eu/eurostat/databrowser/view/DS-056120__custom_15192557/default/table?lang=en - High estimate</v>
      </c>
      <c r="F779" s="7">
        <f>Clothing!F213</f>
        <v>1</v>
      </c>
      <c r="G779" s="7">
        <f>Clothing!G213</f>
        <v>1</v>
      </c>
      <c r="H779" s="7">
        <f>Clothing!H213</f>
        <v>2</v>
      </c>
      <c r="I779" s="7">
        <f>Clothing!I213</f>
        <v>2</v>
      </c>
      <c r="J779" s="7">
        <f>Clothing!J213</f>
        <v>2</v>
      </c>
      <c r="K779" s="160"/>
    </row>
    <row r="780" spans="1:11">
      <c r="A780" s="7" t="str">
        <f>Clothing!A214</f>
        <v>Import of plastic sheets</v>
      </c>
      <c r="B780" s="7">
        <f>Clothing!B214</f>
        <v>2016</v>
      </c>
      <c r="C780" s="7" t="str">
        <f>Clothing!C214</f>
        <v>RUBBER</v>
      </c>
      <c r="D780" s="7">
        <f>Clothing!D214</f>
        <v>61.869218751619464</v>
      </c>
      <c r="E780" s="7" t="str">
        <f>Clothing!E214</f>
        <v>https://ec.europa.eu/eurostat/databrowser/view/DS-056120__custom_15192557/default/table?lang=en - High estimate</v>
      </c>
      <c r="F780" s="7">
        <f>Clothing!F214</f>
        <v>1</v>
      </c>
      <c r="G780" s="7">
        <f>Clothing!G214</f>
        <v>1</v>
      </c>
      <c r="H780" s="7">
        <f>Clothing!H214</f>
        <v>2</v>
      </c>
      <c r="I780" s="7">
        <f>Clothing!I214</f>
        <v>2</v>
      </c>
      <c r="J780" s="7">
        <f>Clothing!J214</f>
        <v>2</v>
      </c>
      <c r="K780" s="160"/>
    </row>
    <row r="781" spans="1:11">
      <c r="A781" s="7" t="str">
        <f>Clothing!A215</f>
        <v>Import of plastic sheets</v>
      </c>
      <c r="B781" s="7">
        <f>Clothing!B215</f>
        <v>2017</v>
      </c>
      <c r="C781" s="7" t="str">
        <f>Clothing!C215</f>
        <v>RUBBER</v>
      </c>
      <c r="D781" s="7">
        <f>Clothing!D215</f>
        <v>63.93878801440539</v>
      </c>
      <c r="E781" s="7" t="str">
        <f>Clothing!E215</f>
        <v>https://ec.europa.eu/eurostat/databrowser/view/DS-056120__custom_15192557/default/table?lang=en - High estimate</v>
      </c>
      <c r="F781" s="7">
        <f>Clothing!F215</f>
        <v>1</v>
      </c>
      <c r="G781" s="7">
        <f>Clothing!G215</f>
        <v>1</v>
      </c>
      <c r="H781" s="7">
        <f>Clothing!H215</f>
        <v>2</v>
      </c>
      <c r="I781" s="7">
        <f>Clothing!I215</f>
        <v>2</v>
      </c>
      <c r="J781" s="7">
        <f>Clothing!J215</f>
        <v>2</v>
      </c>
      <c r="K781" s="160"/>
    </row>
    <row r="782" spans="1:11">
      <c r="A782" s="7" t="str">
        <f>Clothing!A216</f>
        <v>Import of plastic sheets</v>
      </c>
      <c r="B782" s="7">
        <f>Clothing!B216</f>
        <v>2018</v>
      </c>
      <c r="C782" s="7" t="str">
        <f>Clothing!C216</f>
        <v>RUBBER</v>
      </c>
      <c r="D782" s="7">
        <f>Clothing!D216</f>
        <v>77.384079185531661</v>
      </c>
      <c r="E782" s="7" t="str">
        <f>Clothing!E216</f>
        <v>https://ec.europa.eu/eurostat/databrowser/view/DS-056120__custom_15192557/default/table?lang=en - High estimate</v>
      </c>
      <c r="F782" s="7">
        <f>Clothing!F216</f>
        <v>1</v>
      </c>
      <c r="G782" s="7">
        <f>Clothing!G216</f>
        <v>1</v>
      </c>
      <c r="H782" s="7">
        <f>Clothing!H216</f>
        <v>2</v>
      </c>
      <c r="I782" s="7">
        <f>Clothing!I216</f>
        <v>2</v>
      </c>
      <c r="J782" s="7">
        <f>Clothing!J216</f>
        <v>2</v>
      </c>
      <c r="K782" s="160"/>
    </row>
    <row r="783" spans="1:11">
      <c r="A783" s="7" t="str">
        <f>Clothing!A217</f>
        <v>Import of plastic sheets</v>
      </c>
      <c r="B783" s="7">
        <f>Clothing!B217</f>
        <v>2019</v>
      </c>
      <c r="C783" s="7" t="str">
        <f>Clothing!C217</f>
        <v>RUBBER</v>
      </c>
      <c r="D783" s="7">
        <f>Clothing!D217</f>
        <v>63.61045137971886</v>
      </c>
      <c r="E783" s="7" t="str">
        <f>Clothing!E217</f>
        <v>https://ec.europa.eu/eurostat/databrowser/view/DS-056120__custom_15192557/default/table?lang=en - High estimate</v>
      </c>
      <c r="F783" s="7">
        <f>Clothing!F217</f>
        <v>1</v>
      </c>
      <c r="G783" s="7">
        <f>Clothing!G217</f>
        <v>1</v>
      </c>
      <c r="H783" s="7">
        <f>Clothing!H217</f>
        <v>2</v>
      </c>
      <c r="I783" s="7">
        <f>Clothing!I217</f>
        <v>2</v>
      </c>
      <c r="J783" s="7">
        <f>Clothing!J217</f>
        <v>2</v>
      </c>
      <c r="K783" s="160"/>
    </row>
    <row r="784" spans="1:11">
      <c r="A784" s="7" t="str">
        <f>Clothing!A218</f>
        <v>Import of plastic sheets</v>
      </c>
      <c r="B784" s="7">
        <f>Clothing!B218</f>
        <v>2020</v>
      </c>
      <c r="C784" s="7" t="str">
        <f>Clothing!C218</f>
        <v>RUBBER</v>
      </c>
      <c r="D784" s="7">
        <f>Clothing!D218</f>
        <v>49.264944005614559</v>
      </c>
      <c r="E784" s="7" t="str">
        <f>Clothing!E218</f>
        <v>https://ec.europa.eu/eurostat/databrowser/view/DS-056120__custom_15192557/default/table?lang=en - High estimate</v>
      </c>
      <c r="F784" s="7">
        <f>Clothing!F218</f>
        <v>1</v>
      </c>
      <c r="G784" s="7">
        <f>Clothing!G218</f>
        <v>1</v>
      </c>
      <c r="H784" s="7">
        <f>Clothing!H218</f>
        <v>2</v>
      </c>
      <c r="I784" s="7">
        <f>Clothing!I218</f>
        <v>2</v>
      </c>
      <c r="J784" s="7">
        <f>Clothing!J218</f>
        <v>2</v>
      </c>
      <c r="K784" s="160"/>
    </row>
    <row r="785" spans="1:11">
      <c r="A785" s="7" t="str">
        <f>Clothing!A219</f>
        <v>Import of plastic sheets</v>
      </c>
      <c r="B785" s="7">
        <f>Clothing!B219</f>
        <v>2021</v>
      </c>
      <c r="C785" s="7" t="str">
        <f>Clothing!C219</f>
        <v>RUBBER</v>
      </c>
      <c r="D785" s="7">
        <f>Clothing!D219</f>
        <v>58.613722651341597</v>
      </c>
      <c r="E785" s="7" t="str">
        <f>Clothing!E219</f>
        <v>https://ec.europa.eu/eurostat/databrowser/view/DS-056120__custom_15192557/default/table?lang=en - High estimate</v>
      </c>
      <c r="F785" s="7">
        <f>Clothing!F219</f>
        <v>1</v>
      </c>
      <c r="G785" s="7">
        <f>Clothing!G219</f>
        <v>1</v>
      </c>
      <c r="H785" s="7">
        <f>Clothing!H219</f>
        <v>2</v>
      </c>
      <c r="I785" s="7">
        <f>Clothing!I219</f>
        <v>2</v>
      </c>
      <c r="J785" s="7">
        <f>Clothing!J219</f>
        <v>2</v>
      </c>
      <c r="K785" s="160"/>
    </row>
    <row r="786" spans="1:11">
      <c r="A786" s="7" t="str">
        <f>Clothing!A220</f>
        <v>Import of plastic sheets</v>
      </c>
      <c r="B786" s="7">
        <f>Clothing!B220</f>
        <v>2022</v>
      </c>
      <c r="C786" s="7" t="str">
        <f>Clothing!C220</f>
        <v>RUBBER</v>
      </c>
      <c r="D786" s="7">
        <f>Clothing!D220</f>
        <v>56.845560229177096</v>
      </c>
      <c r="E786" s="7" t="str">
        <f>Clothing!E220</f>
        <v>https://ec.europa.eu/eurostat/databrowser/view/DS-056120__custom_15192557/default/table?lang=en - High estimate</v>
      </c>
      <c r="F786" s="7">
        <f>Clothing!F220</f>
        <v>1</v>
      </c>
      <c r="G786" s="7">
        <f>Clothing!G220</f>
        <v>1</v>
      </c>
      <c r="H786" s="7">
        <f>Clothing!H220</f>
        <v>2</v>
      </c>
      <c r="I786" s="7">
        <f>Clothing!I220</f>
        <v>2</v>
      </c>
      <c r="J786" s="7">
        <f>Clothing!J220</f>
        <v>2</v>
      </c>
      <c r="K786" s="160"/>
    </row>
    <row r="787" spans="1:11">
      <c r="A787" s="7" t="str">
        <f>Clothing!A221</f>
        <v>Import of yarn</v>
      </c>
      <c r="B787" s="7">
        <f>Clothing!B221</f>
        <v>2011</v>
      </c>
      <c r="C787" s="7" t="str">
        <f>Clothing!C221</f>
        <v>Acryl</v>
      </c>
      <c r="D787" s="7">
        <f>Clothing!D221</f>
        <v>31.323856063769544</v>
      </c>
      <c r="E787" s="7" t="str">
        <f>Clothing!E221</f>
        <v>https://ec.europa.eu/eurostat/databrowser/view/DS-056120__custom_15192557/default/table?lang=en - Low estimate</v>
      </c>
      <c r="F787" s="7">
        <f>Clothing!F221</f>
        <v>1</v>
      </c>
      <c r="G787" s="7">
        <f>Clothing!G221</f>
        <v>1</v>
      </c>
      <c r="H787" s="7">
        <f>Clothing!H221</f>
        <v>2</v>
      </c>
      <c r="I787" s="7">
        <f>Clothing!I221</f>
        <v>2</v>
      </c>
      <c r="J787" s="7">
        <f>Clothing!J221</f>
        <v>2</v>
      </c>
      <c r="K787" s="160"/>
    </row>
    <row r="788" spans="1:11">
      <c r="A788" s="7" t="str">
        <f>Clothing!A222</f>
        <v>Import of yarn</v>
      </c>
      <c r="B788" s="7">
        <f>Clothing!B222</f>
        <v>2012</v>
      </c>
      <c r="C788" s="7" t="str">
        <f>Clothing!C222</f>
        <v>Acryl</v>
      </c>
      <c r="D788" s="7">
        <f>Clothing!D222</f>
        <v>28.939700715961639</v>
      </c>
      <c r="E788" s="7" t="str">
        <f>Clothing!E222</f>
        <v>https://ec.europa.eu/eurostat/databrowser/view/DS-056120__custom_15192557/default/table?lang=en - Low estimate</v>
      </c>
      <c r="F788" s="7">
        <f>Clothing!F222</f>
        <v>1</v>
      </c>
      <c r="G788" s="7">
        <f>Clothing!G222</f>
        <v>1</v>
      </c>
      <c r="H788" s="7">
        <f>Clothing!H222</f>
        <v>2</v>
      </c>
      <c r="I788" s="7">
        <f>Clothing!I222</f>
        <v>2</v>
      </c>
      <c r="J788" s="7">
        <f>Clothing!J222</f>
        <v>2</v>
      </c>
      <c r="K788" s="160"/>
    </row>
    <row r="789" spans="1:11">
      <c r="A789" s="7" t="str">
        <f>Clothing!A223</f>
        <v>Import of yarn</v>
      </c>
      <c r="B789" s="7">
        <f>Clothing!B223</f>
        <v>2013</v>
      </c>
      <c r="C789" s="7" t="str">
        <f>Clothing!C223</f>
        <v>Acryl</v>
      </c>
      <c r="D789" s="7">
        <f>Clothing!D223</f>
        <v>27.53375528380252</v>
      </c>
      <c r="E789" s="7" t="str">
        <f>Clothing!E223</f>
        <v>https://ec.europa.eu/eurostat/databrowser/view/DS-056120__custom_15192557/default/table?lang=en - Low estimate</v>
      </c>
      <c r="F789" s="7">
        <f>Clothing!F223</f>
        <v>1</v>
      </c>
      <c r="G789" s="7">
        <f>Clothing!G223</f>
        <v>1</v>
      </c>
      <c r="H789" s="7">
        <f>Clothing!H223</f>
        <v>2</v>
      </c>
      <c r="I789" s="7">
        <f>Clothing!I223</f>
        <v>2</v>
      </c>
      <c r="J789" s="7">
        <f>Clothing!J223</f>
        <v>2</v>
      </c>
      <c r="K789" s="160"/>
    </row>
    <row r="790" spans="1:11">
      <c r="A790" s="7" t="str">
        <f>Clothing!A224</f>
        <v>Import of yarn</v>
      </c>
      <c r="B790" s="7">
        <f>Clothing!B224</f>
        <v>2014</v>
      </c>
      <c r="C790" s="7" t="str">
        <f>Clothing!C224</f>
        <v>Acryl</v>
      </c>
      <c r="D790" s="7">
        <f>Clothing!D224</f>
        <v>26.834825608984801</v>
      </c>
      <c r="E790" s="7" t="str">
        <f>Clothing!E224</f>
        <v>https://ec.europa.eu/eurostat/databrowser/view/DS-056120__custom_15192557/default/table?lang=en - Low estimate</v>
      </c>
      <c r="F790" s="7">
        <f>Clothing!F224</f>
        <v>1</v>
      </c>
      <c r="G790" s="7">
        <f>Clothing!G224</f>
        <v>1</v>
      </c>
      <c r="H790" s="7">
        <f>Clothing!H224</f>
        <v>2</v>
      </c>
      <c r="I790" s="7">
        <f>Clothing!I224</f>
        <v>2</v>
      </c>
      <c r="J790" s="7">
        <f>Clothing!J224</f>
        <v>2</v>
      </c>
      <c r="K790" s="160"/>
    </row>
    <row r="791" spans="1:11">
      <c r="A791" s="7" t="str">
        <f>Clothing!A225</f>
        <v>Import of yarn</v>
      </c>
      <c r="B791" s="7">
        <f>Clothing!B225</f>
        <v>2015</v>
      </c>
      <c r="C791" s="7" t="str">
        <f>Clothing!C225</f>
        <v>Acryl</v>
      </c>
      <c r="D791" s="7">
        <f>Clothing!D225</f>
        <v>24.139952862753976</v>
      </c>
      <c r="E791" s="7" t="str">
        <f>Clothing!E225</f>
        <v>https://ec.europa.eu/eurostat/databrowser/view/DS-056120__custom_15192557/default/table?lang=en - Low estimate</v>
      </c>
      <c r="F791" s="7">
        <f>Clothing!F225</f>
        <v>1</v>
      </c>
      <c r="G791" s="7">
        <f>Clothing!G225</f>
        <v>1</v>
      </c>
      <c r="H791" s="7">
        <f>Clothing!H225</f>
        <v>2</v>
      </c>
      <c r="I791" s="7">
        <f>Clothing!I225</f>
        <v>2</v>
      </c>
      <c r="J791" s="7">
        <f>Clothing!J225</f>
        <v>2</v>
      </c>
      <c r="K791" s="160"/>
    </row>
    <row r="792" spans="1:11">
      <c r="A792" s="7" t="str">
        <f>Clothing!A226</f>
        <v>Import of yarn</v>
      </c>
      <c r="B792" s="7">
        <f>Clothing!B226</f>
        <v>2016</v>
      </c>
      <c r="C792" s="7" t="str">
        <f>Clothing!C226</f>
        <v>Acryl</v>
      </c>
      <c r="D792" s="7">
        <f>Clothing!D226</f>
        <v>27.520387156055381</v>
      </c>
      <c r="E792" s="7" t="str">
        <f>Clothing!E226</f>
        <v>https://ec.europa.eu/eurostat/databrowser/view/DS-056120__custom_15192557/default/table?lang=en - Low estimate</v>
      </c>
      <c r="F792" s="7">
        <f>Clothing!F226</f>
        <v>1</v>
      </c>
      <c r="G792" s="7">
        <f>Clothing!G226</f>
        <v>1</v>
      </c>
      <c r="H792" s="7">
        <f>Clothing!H226</f>
        <v>2</v>
      </c>
      <c r="I792" s="7">
        <f>Clothing!I226</f>
        <v>2</v>
      </c>
      <c r="J792" s="7">
        <f>Clothing!J226</f>
        <v>2</v>
      </c>
      <c r="K792" s="160"/>
    </row>
    <row r="793" spans="1:11">
      <c r="A793" s="7" t="str">
        <f>Clothing!A227</f>
        <v>Import of yarn</v>
      </c>
      <c r="B793" s="7">
        <f>Clothing!B227</f>
        <v>2017</v>
      </c>
      <c r="C793" s="7" t="str">
        <f>Clothing!C227</f>
        <v>Acryl</v>
      </c>
      <c r="D793" s="7">
        <f>Clothing!D227</f>
        <v>22.822083248542128</v>
      </c>
      <c r="E793" s="7" t="str">
        <f>Clothing!E227</f>
        <v>https://ec.europa.eu/eurostat/databrowser/view/DS-056120__custom_15192557/default/table?lang=en - Low estimate</v>
      </c>
      <c r="F793" s="7">
        <f>Clothing!F227</f>
        <v>1</v>
      </c>
      <c r="G793" s="7">
        <f>Clothing!G227</f>
        <v>1</v>
      </c>
      <c r="H793" s="7">
        <f>Clothing!H227</f>
        <v>2</v>
      </c>
      <c r="I793" s="7">
        <f>Clothing!I227</f>
        <v>2</v>
      </c>
      <c r="J793" s="7">
        <f>Clothing!J227</f>
        <v>2</v>
      </c>
      <c r="K793" s="160"/>
    </row>
    <row r="794" spans="1:11">
      <c r="A794" s="7" t="str">
        <f>Clothing!A228</f>
        <v>Import of yarn</v>
      </c>
      <c r="B794" s="7">
        <f>Clothing!B228</f>
        <v>2018</v>
      </c>
      <c r="C794" s="7" t="str">
        <f>Clothing!C228</f>
        <v>Acryl</v>
      </c>
      <c r="D794" s="7">
        <f>Clothing!D228</f>
        <v>25.958485764071945</v>
      </c>
      <c r="E794" s="7" t="str">
        <f>Clothing!E228</f>
        <v>https://ec.europa.eu/eurostat/databrowser/view/DS-056120__custom_15192557/default/table?lang=en - Low estimate</v>
      </c>
      <c r="F794" s="7">
        <f>Clothing!F228</f>
        <v>1</v>
      </c>
      <c r="G794" s="7">
        <f>Clothing!G228</f>
        <v>1</v>
      </c>
      <c r="H794" s="7">
        <f>Clothing!H228</f>
        <v>2</v>
      </c>
      <c r="I794" s="7">
        <f>Clothing!I228</f>
        <v>2</v>
      </c>
      <c r="J794" s="7">
        <f>Clothing!J228</f>
        <v>2</v>
      </c>
      <c r="K794" s="160"/>
    </row>
    <row r="795" spans="1:11">
      <c r="A795" s="7" t="str">
        <f>Clothing!A229</f>
        <v>Import of yarn</v>
      </c>
      <c r="B795" s="7">
        <f>Clothing!B229</f>
        <v>2019</v>
      </c>
      <c r="C795" s="7" t="str">
        <f>Clothing!C229</f>
        <v>Acryl</v>
      </c>
      <c r="D795" s="7">
        <f>Clothing!D229</f>
        <v>25.420305253598197</v>
      </c>
      <c r="E795" s="7" t="str">
        <f>Clothing!E229</f>
        <v>https://ec.europa.eu/eurostat/databrowser/view/DS-056120__custom_15192557/default/table?lang=en - Low estimate</v>
      </c>
      <c r="F795" s="7">
        <f>Clothing!F229</f>
        <v>1</v>
      </c>
      <c r="G795" s="7">
        <f>Clothing!G229</f>
        <v>1</v>
      </c>
      <c r="H795" s="7">
        <f>Clothing!H229</f>
        <v>2</v>
      </c>
      <c r="I795" s="7">
        <f>Clothing!I229</f>
        <v>2</v>
      </c>
      <c r="J795" s="7">
        <f>Clothing!J229</f>
        <v>2</v>
      </c>
      <c r="K795" s="160"/>
    </row>
    <row r="796" spans="1:11">
      <c r="A796" s="7" t="str">
        <f>Clothing!A230</f>
        <v>Import of yarn</v>
      </c>
      <c r="B796" s="7">
        <f>Clothing!B230</f>
        <v>2020</v>
      </c>
      <c r="C796" s="7" t="str">
        <f>Clothing!C230</f>
        <v>Acryl</v>
      </c>
      <c r="D796" s="7">
        <f>Clothing!D230</f>
        <v>19.264682494518464</v>
      </c>
      <c r="E796" s="7" t="str">
        <f>Clothing!E230</f>
        <v>https://ec.europa.eu/eurostat/databrowser/view/DS-056120__custom_15192557/default/table?lang=en - Low estimate</v>
      </c>
      <c r="F796" s="7">
        <f>Clothing!F230</f>
        <v>1</v>
      </c>
      <c r="G796" s="7">
        <f>Clothing!G230</f>
        <v>1</v>
      </c>
      <c r="H796" s="7">
        <f>Clothing!H230</f>
        <v>2</v>
      </c>
      <c r="I796" s="7">
        <f>Clothing!I230</f>
        <v>2</v>
      </c>
      <c r="J796" s="7">
        <f>Clothing!J230</f>
        <v>2</v>
      </c>
      <c r="K796" s="160"/>
    </row>
    <row r="797" spans="1:11">
      <c r="A797" s="7" t="str">
        <f>Clothing!A231</f>
        <v>Import of yarn</v>
      </c>
      <c r="B797" s="7">
        <f>Clothing!B231</f>
        <v>2021</v>
      </c>
      <c r="C797" s="7" t="str">
        <f>Clothing!C231</f>
        <v>Acryl</v>
      </c>
      <c r="D797" s="7">
        <f>Clothing!D231</f>
        <v>19.718829699422724</v>
      </c>
      <c r="E797" s="7" t="str">
        <f>Clothing!E231</f>
        <v>https://ec.europa.eu/eurostat/databrowser/view/DS-056120__custom_15192557/default/table?lang=en - Low estimate</v>
      </c>
      <c r="F797" s="7">
        <f>Clothing!F231</f>
        <v>1</v>
      </c>
      <c r="G797" s="7">
        <f>Clothing!G231</f>
        <v>1</v>
      </c>
      <c r="H797" s="7">
        <f>Clothing!H231</f>
        <v>2</v>
      </c>
      <c r="I797" s="7">
        <f>Clothing!I231</f>
        <v>2</v>
      </c>
      <c r="J797" s="7">
        <f>Clothing!J231</f>
        <v>2</v>
      </c>
      <c r="K797" s="160"/>
    </row>
    <row r="798" spans="1:11">
      <c r="A798" s="7" t="str">
        <f>Clothing!A232</f>
        <v>Import of yarn</v>
      </c>
      <c r="B798" s="7">
        <f>Clothing!B232</f>
        <v>2022</v>
      </c>
      <c r="C798" s="7" t="str">
        <f>Clothing!C232</f>
        <v>Acryl</v>
      </c>
      <c r="D798" s="7">
        <f>Clothing!D232</f>
        <v>21.348742389276275</v>
      </c>
      <c r="E798" s="7" t="str">
        <f>Clothing!E232</f>
        <v>https://ec.europa.eu/eurostat/databrowser/view/DS-056120__custom_15192557/default/table?lang=en - Low estimate</v>
      </c>
      <c r="F798" s="7">
        <f>Clothing!F232</f>
        <v>1</v>
      </c>
      <c r="G798" s="7">
        <f>Clothing!G232</f>
        <v>1</v>
      </c>
      <c r="H798" s="7">
        <f>Clothing!H232</f>
        <v>2</v>
      </c>
      <c r="I798" s="7">
        <f>Clothing!I232</f>
        <v>2</v>
      </c>
      <c r="J798" s="7">
        <f>Clothing!J232</f>
        <v>2</v>
      </c>
      <c r="K798" s="160"/>
    </row>
    <row r="799" spans="1:11">
      <c r="A799" s="7" t="str">
        <f>Clothing!A233</f>
        <v>Import of yarn</v>
      </c>
      <c r="B799" s="7">
        <f>Clothing!B233</f>
        <v>2011</v>
      </c>
      <c r="C799" s="7" t="str">
        <f>Clothing!C233</f>
        <v>Acryl</v>
      </c>
      <c r="D799" s="7">
        <f>Clothing!D233</f>
        <v>36.997427086824068</v>
      </c>
      <c r="E799" s="7" t="str">
        <f>Clothing!E233</f>
        <v>https://ec.europa.eu/eurostat/databrowser/view/DS-056120__custom_15192557/default/table?lang=en - High estimate</v>
      </c>
      <c r="F799" s="7">
        <f>Clothing!F233</f>
        <v>1</v>
      </c>
      <c r="G799" s="7">
        <f>Clothing!G233</f>
        <v>1</v>
      </c>
      <c r="H799" s="7">
        <f>Clothing!H233</f>
        <v>2</v>
      </c>
      <c r="I799" s="7">
        <f>Clothing!I233</f>
        <v>2</v>
      </c>
      <c r="J799" s="7">
        <f>Clothing!J233</f>
        <v>2</v>
      </c>
      <c r="K799" s="160"/>
    </row>
    <row r="800" spans="1:11">
      <c r="A800" s="7" t="str">
        <f>Clothing!A234</f>
        <v>Import of yarn</v>
      </c>
      <c r="B800" s="7">
        <f>Clothing!B234</f>
        <v>2012</v>
      </c>
      <c r="C800" s="7" t="str">
        <f>Clothing!C234</f>
        <v>Acryl</v>
      </c>
      <c r="D800" s="7">
        <f>Clothing!D234</f>
        <v>34.181438740286843</v>
      </c>
      <c r="E800" s="7" t="str">
        <f>Clothing!E234</f>
        <v>https://ec.europa.eu/eurostat/databrowser/view/DS-056120__custom_15192557/default/table?lang=en - High estimate</v>
      </c>
      <c r="F800" s="7">
        <f>Clothing!F234</f>
        <v>1</v>
      </c>
      <c r="G800" s="7">
        <f>Clothing!G234</f>
        <v>1</v>
      </c>
      <c r="H800" s="7">
        <f>Clothing!H234</f>
        <v>2</v>
      </c>
      <c r="I800" s="7">
        <f>Clothing!I234</f>
        <v>2</v>
      </c>
      <c r="J800" s="7">
        <f>Clothing!J234</f>
        <v>2</v>
      </c>
      <c r="K800" s="160"/>
    </row>
    <row r="801" spans="1:11">
      <c r="A801" s="7" t="str">
        <f>Clothing!A235</f>
        <v>Import of yarn</v>
      </c>
      <c r="B801" s="7">
        <f>Clothing!B235</f>
        <v>2013</v>
      </c>
      <c r="C801" s="7" t="str">
        <f>Clothing!C235</f>
        <v>Acryl</v>
      </c>
      <c r="D801" s="7">
        <f>Clothing!D235</f>
        <v>32.520839754374492</v>
      </c>
      <c r="E801" s="7" t="str">
        <f>Clothing!E235</f>
        <v>https://ec.europa.eu/eurostat/databrowser/view/DS-056120__custom_15192557/default/table?lang=en - High estimate</v>
      </c>
      <c r="F801" s="7">
        <f>Clothing!F235</f>
        <v>1</v>
      </c>
      <c r="G801" s="7">
        <f>Clothing!G235</f>
        <v>1</v>
      </c>
      <c r="H801" s="7">
        <f>Clothing!H235</f>
        <v>2</v>
      </c>
      <c r="I801" s="7">
        <f>Clothing!I235</f>
        <v>2</v>
      </c>
      <c r="J801" s="7">
        <f>Clothing!J235</f>
        <v>2</v>
      </c>
      <c r="K801" s="160"/>
    </row>
    <row r="802" spans="1:11">
      <c r="A802" s="7" t="str">
        <f>Clothing!A236</f>
        <v>Import of yarn</v>
      </c>
      <c r="B802" s="7">
        <f>Clothing!B236</f>
        <v>2014</v>
      </c>
      <c r="C802" s="7" t="str">
        <f>Clothing!C236</f>
        <v>Acryl</v>
      </c>
      <c r="D802" s="7">
        <f>Clothing!D236</f>
        <v>31.69531560338098</v>
      </c>
      <c r="E802" s="7" t="str">
        <f>Clothing!E236</f>
        <v>https://ec.europa.eu/eurostat/databrowser/view/DS-056120__custom_15192557/default/table?lang=en - High estimate</v>
      </c>
      <c r="F802" s="7">
        <f>Clothing!F236</f>
        <v>1</v>
      </c>
      <c r="G802" s="7">
        <f>Clothing!G236</f>
        <v>1</v>
      </c>
      <c r="H802" s="7">
        <f>Clothing!H236</f>
        <v>2</v>
      </c>
      <c r="I802" s="7">
        <f>Clothing!I236</f>
        <v>2</v>
      </c>
      <c r="J802" s="7">
        <f>Clothing!J236</f>
        <v>2</v>
      </c>
      <c r="K802" s="160"/>
    </row>
    <row r="803" spans="1:11">
      <c r="A803" s="7" t="str">
        <f>Clothing!A237</f>
        <v>Import of yarn</v>
      </c>
      <c r="B803" s="7">
        <f>Clothing!B237</f>
        <v>2015</v>
      </c>
      <c r="C803" s="7" t="str">
        <f>Clothing!C237</f>
        <v>Acryl</v>
      </c>
      <c r="D803" s="7">
        <f>Clothing!D237</f>
        <v>28.512330796722217</v>
      </c>
      <c r="E803" s="7" t="str">
        <f>Clothing!E237</f>
        <v>https://ec.europa.eu/eurostat/databrowser/view/DS-056120__custom_15192557/default/table?lang=en - High estimate</v>
      </c>
      <c r="F803" s="7">
        <f>Clothing!F237</f>
        <v>1</v>
      </c>
      <c r="G803" s="7">
        <f>Clothing!G237</f>
        <v>1</v>
      </c>
      <c r="H803" s="7">
        <f>Clothing!H237</f>
        <v>2</v>
      </c>
      <c r="I803" s="7">
        <f>Clothing!I237</f>
        <v>2</v>
      </c>
      <c r="J803" s="7">
        <f>Clothing!J237</f>
        <v>2</v>
      </c>
      <c r="K803" s="160"/>
    </row>
    <row r="804" spans="1:11">
      <c r="A804" s="7" t="str">
        <f>Clothing!A238</f>
        <v>Import of yarn</v>
      </c>
      <c r="B804" s="7">
        <f>Clothing!B238</f>
        <v>2016</v>
      </c>
      <c r="C804" s="7" t="str">
        <f>Clothing!C238</f>
        <v>Acryl</v>
      </c>
      <c r="D804" s="7">
        <f>Clothing!D238</f>
        <v>32.505050308445313</v>
      </c>
      <c r="E804" s="7" t="str">
        <f>Clothing!E238</f>
        <v>https://ec.europa.eu/eurostat/databrowser/view/DS-056120__custom_15192557/default/table?lang=en - High estimate</v>
      </c>
      <c r="F804" s="7">
        <f>Clothing!F238</f>
        <v>1</v>
      </c>
      <c r="G804" s="7">
        <f>Clothing!G238</f>
        <v>1</v>
      </c>
      <c r="H804" s="7">
        <f>Clothing!H238</f>
        <v>2</v>
      </c>
      <c r="I804" s="7">
        <f>Clothing!I238</f>
        <v>2</v>
      </c>
      <c r="J804" s="7">
        <f>Clothing!J238</f>
        <v>2</v>
      </c>
      <c r="K804" s="160"/>
    </row>
    <row r="805" spans="1:11">
      <c r="A805" s="7" t="str">
        <f>Clothing!A239</f>
        <v>Import of yarn</v>
      </c>
      <c r="B805" s="7">
        <f>Clothing!B239</f>
        <v>2017</v>
      </c>
      <c r="C805" s="7" t="str">
        <f>Clothing!C239</f>
        <v>Acryl</v>
      </c>
      <c r="D805" s="7">
        <f>Clothing!D239</f>
        <v>26.955760466987524</v>
      </c>
      <c r="E805" s="7" t="str">
        <f>Clothing!E239</f>
        <v>https://ec.europa.eu/eurostat/databrowser/view/DS-056120__custom_15192557/default/table?lang=en - High estimate</v>
      </c>
      <c r="F805" s="7">
        <f>Clothing!F239</f>
        <v>1</v>
      </c>
      <c r="G805" s="7">
        <f>Clothing!G239</f>
        <v>1</v>
      </c>
      <c r="H805" s="7">
        <f>Clothing!H239</f>
        <v>2</v>
      </c>
      <c r="I805" s="7">
        <f>Clothing!I239</f>
        <v>2</v>
      </c>
      <c r="J805" s="7">
        <f>Clothing!J239</f>
        <v>2</v>
      </c>
      <c r="K805" s="160"/>
    </row>
    <row r="806" spans="1:11">
      <c r="A806" s="7" t="str">
        <f>Clothing!A240</f>
        <v>Import of yarn</v>
      </c>
      <c r="B806" s="7">
        <f>Clothing!B240</f>
        <v>2018</v>
      </c>
      <c r="C806" s="7" t="str">
        <f>Clothing!C240</f>
        <v>Acryl</v>
      </c>
      <c r="D806" s="7">
        <f>Clothing!D240</f>
        <v>30.66024765231402</v>
      </c>
      <c r="E806" s="7" t="str">
        <f>Clothing!E240</f>
        <v>https://ec.europa.eu/eurostat/databrowser/view/DS-056120__custom_15192557/default/table?lang=en - High estimate</v>
      </c>
      <c r="F806" s="7">
        <f>Clothing!F240</f>
        <v>1</v>
      </c>
      <c r="G806" s="7">
        <f>Clothing!G240</f>
        <v>1</v>
      </c>
      <c r="H806" s="7">
        <f>Clothing!H240</f>
        <v>2</v>
      </c>
      <c r="I806" s="7">
        <f>Clothing!I240</f>
        <v>2</v>
      </c>
      <c r="J806" s="7">
        <f>Clothing!J240</f>
        <v>2</v>
      </c>
      <c r="K806" s="160"/>
    </row>
    <row r="807" spans="1:11">
      <c r="A807" s="7" t="str">
        <f>Clothing!A241</f>
        <v>Import of yarn</v>
      </c>
      <c r="B807" s="7">
        <f>Clothing!B241</f>
        <v>2019</v>
      </c>
      <c r="C807" s="7" t="str">
        <f>Clothing!C241</f>
        <v>Acryl</v>
      </c>
      <c r="D807" s="7">
        <f>Clothing!D241</f>
        <v>30.024588550980315</v>
      </c>
      <c r="E807" s="7" t="str">
        <f>Clothing!E241</f>
        <v>https://ec.europa.eu/eurostat/databrowser/view/DS-056120__custom_15192557/default/table?lang=en - High estimate</v>
      </c>
      <c r="F807" s="7">
        <f>Clothing!F241</f>
        <v>1</v>
      </c>
      <c r="G807" s="7">
        <f>Clothing!G241</f>
        <v>1</v>
      </c>
      <c r="H807" s="7">
        <f>Clothing!H241</f>
        <v>2</v>
      </c>
      <c r="I807" s="7">
        <f>Clothing!I241</f>
        <v>2</v>
      </c>
      <c r="J807" s="7">
        <f>Clothing!J241</f>
        <v>2</v>
      </c>
      <c r="K807" s="160"/>
    </row>
    <row r="808" spans="1:11">
      <c r="A808" s="7" t="str">
        <f>Clothing!A242</f>
        <v>Import of yarn</v>
      </c>
      <c r="B808" s="7">
        <f>Clothing!B242</f>
        <v>2020</v>
      </c>
      <c r="C808" s="7" t="str">
        <f>Clothing!C242</f>
        <v>Acryl</v>
      </c>
      <c r="D808" s="7">
        <f>Clothing!D242</f>
        <v>22.754021231956546</v>
      </c>
      <c r="E808" s="7" t="str">
        <f>Clothing!E242</f>
        <v>https://ec.europa.eu/eurostat/databrowser/view/DS-056120__custom_15192557/default/table?lang=en - High estimate</v>
      </c>
      <c r="F808" s="7">
        <f>Clothing!F242</f>
        <v>1</v>
      </c>
      <c r="G808" s="7">
        <f>Clothing!G242</f>
        <v>1</v>
      </c>
      <c r="H808" s="7">
        <f>Clothing!H242</f>
        <v>2</v>
      </c>
      <c r="I808" s="7">
        <f>Clothing!I242</f>
        <v>2</v>
      </c>
      <c r="J808" s="7">
        <f>Clothing!J242</f>
        <v>2</v>
      </c>
      <c r="K808" s="160"/>
    </row>
    <row r="809" spans="1:11">
      <c r="A809" s="7" t="str">
        <f>Clothing!A243</f>
        <v>Import of yarn</v>
      </c>
      <c r="B809" s="7">
        <f>Clothing!B243</f>
        <v>2021</v>
      </c>
      <c r="C809" s="7" t="str">
        <f>Clothing!C243</f>
        <v>Acryl</v>
      </c>
      <c r="D809" s="7">
        <f>Clothing!D243</f>
        <v>23.290426394396444</v>
      </c>
      <c r="E809" s="7" t="str">
        <f>Clothing!E243</f>
        <v>https://ec.europa.eu/eurostat/databrowser/view/DS-056120__custom_15192557/default/table?lang=en - High estimate</v>
      </c>
      <c r="F809" s="7">
        <f>Clothing!F243</f>
        <v>1</v>
      </c>
      <c r="G809" s="7">
        <f>Clothing!G243</f>
        <v>1</v>
      </c>
      <c r="H809" s="7">
        <f>Clothing!H243</f>
        <v>2</v>
      </c>
      <c r="I809" s="7">
        <f>Clothing!I243</f>
        <v>2</v>
      </c>
      <c r="J809" s="7">
        <f>Clothing!J243</f>
        <v>2</v>
      </c>
      <c r="K809" s="160"/>
    </row>
    <row r="810" spans="1:11">
      <c r="A810" s="7" t="str">
        <f>Clothing!A244</f>
        <v>Import of yarn</v>
      </c>
      <c r="B810" s="7">
        <f>Clothing!B244</f>
        <v>2022</v>
      </c>
      <c r="C810" s="7" t="str">
        <f>Clothing!C244</f>
        <v>Acryl</v>
      </c>
      <c r="D810" s="7">
        <f>Clothing!D244</f>
        <v>25.215558976348717</v>
      </c>
      <c r="E810" s="7" t="str">
        <f>Clothing!E244</f>
        <v>https://ec.europa.eu/eurostat/databrowser/view/DS-056120__custom_15192557/default/table?lang=en - High estimate</v>
      </c>
      <c r="F810" s="7">
        <f>Clothing!F244</f>
        <v>1</v>
      </c>
      <c r="G810" s="7">
        <f>Clothing!G244</f>
        <v>1</v>
      </c>
      <c r="H810" s="7">
        <f>Clothing!H244</f>
        <v>2</v>
      </c>
      <c r="I810" s="7">
        <f>Clothing!I244</f>
        <v>2</v>
      </c>
      <c r="J810" s="7">
        <f>Clothing!J244</f>
        <v>2</v>
      </c>
      <c r="K810" s="160"/>
    </row>
    <row r="811" spans="1:11">
      <c r="A811" s="7"/>
      <c r="B811" s="7"/>
      <c r="C811" s="7"/>
      <c r="K811" s="160"/>
    </row>
    <row r="812" spans="1:11">
      <c r="A812" s="7"/>
      <c r="B812" s="7"/>
      <c r="C812" s="7"/>
      <c r="K812" s="160"/>
    </row>
    <row r="813" spans="1:11">
      <c r="A813" s="7"/>
      <c r="B813" s="7"/>
      <c r="C813" s="7"/>
      <c r="K813" s="160"/>
    </row>
    <row r="814" spans="1:11">
      <c r="A814" s="7"/>
      <c r="B814" s="7"/>
      <c r="C814" s="7"/>
      <c r="K814" s="160"/>
    </row>
    <row r="815" spans="1:11">
      <c r="A815" s="7"/>
      <c r="B815" s="7"/>
      <c r="C815" s="7"/>
      <c r="K815" s="160"/>
    </row>
    <row r="816" spans="1:11">
      <c r="A816" s="7"/>
      <c r="B816" s="7"/>
      <c r="C816" s="7"/>
      <c r="K816" s="160"/>
    </row>
    <row r="817" spans="1:11">
      <c r="A817" s="7"/>
      <c r="B817" s="7"/>
      <c r="C817" s="7"/>
      <c r="K817" s="160"/>
    </row>
    <row r="818" spans="1:11">
      <c r="A818" s="7"/>
      <c r="B818" s="7"/>
      <c r="C818" s="7"/>
      <c r="K818" s="160"/>
    </row>
    <row r="819" spans="1:11">
      <c r="A819" s="7"/>
      <c r="B819" s="7"/>
      <c r="C819" s="7"/>
      <c r="K819" s="160"/>
    </row>
    <row r="820" spans="1:11">
      <c r="A820" s="7"/>
      <c r="B820" s="7"/>
      <c r="C820" s="7"/>
      <c r="K820" s="160"/>
    </row>
    <row r="821" spans="1:11">
      <c r="A821" s="7"/>
      <c r="B821" s="7"/>
      <c r="C821" s="7"/>
      <c r="K821" s="160"/>
    </row>
    <row r="822" spans="1:11">
      <c r="A822" s="7"/>
      <c r="B822" s="7"/>
      <c r="C822" s="7"/>
      <c r="K822" s="160"/>
    </row>
    <row r="823" spans="1:11">
      <c r="A823" s="7"/>
      <c r="B823" s="7"/>
      <c r="C823" s="7"/>
      <c r="K823" s="160"/>
    </row>
    <row r="824" spans="1:11">
      <c r="A824" s="7"/>
      <c r="B824" s="7"/>
      <c r="C824" s="7"/>
      <c r="K824" s="160"/>
    </row>
    <row r="825" spans="1:11">
      <c r="A825" s="7"/>
      <c r="B825" s="7"/>
      <c r="C825" s="7"/>
      <c r="K825" s="160"/>
    </row>
    <row r="826" spans="1:11">
      <c r="A826" s="7"/>
      <c r="B826" s="7"/>
      <c r="C826" s="7"/>
      <c r="K826" s="160"/>
    </row>
    <row r="827" spans="1:11">
      <c r="A827" s="7"/>
      <c r="B827" s="7"/>
      <c r="C827" s="7"/>
      <c r="K827" s="160"/>
    </row>
    <row r="828" spans="1:11">
      <c r="A828" s="7"/>
      <c r="B828" s="7"/>
      <c r="C828" s="7"/>
      <c r="K828" s="160"/>
    </row>
    <row r="829" spans="1:11">
      <c r="A829" s="7"/>
      <c r="B829" s="7"/>
      <c r="C829" s="7"/>
      <c r="K829" s="160"/>
    </row>
    <row r="830" spans="1:11">
      <c r="A830" s="7"/>
      <c r="B830" s="7"/>
      <c r="C830" s="7"/>
      <c r="K830" s="160"/>
    </row>
    <row r="831" spans="1:11">
      <c r="A831" s="7"/>
      <c r="B831" s="7"/>
      <c r="C831" s="7"/>
      <c r="K831" s="160"/>
    </row>
    <row r="832" spans="1:11">
      <c r="A832" s="7"/>
      <c r="B832" s="7"/>
      <c r="C832" s="7"/>
      <c r="K832" s="160"/>
    </row>
    <row r="833" spans="1:11">
      <c r="A833" s="7"/>
      <c r="B833" s="7"/>
      <c r="C833" s="7"/>
      <c r="K833" s="160"/>
    </row>
    <row r="834" spans="1:11">
      <c r="A834" s="7"/>
      <c r="B834" s="7"/>
      <c r="C834" s="7"/>
      <c r="K834" s="160"/>
    </row>
    <row r="835" spans="1:11">
      <c r="A835" s="7"/>
      <c r="B835" s="7"/>
      <c r="C835" s="7"/>
      <c r="K835" s="160"/>
    </row>
    <row r="836" spans="1:11">
      <c r="A836" s="7"/>
      <c r="B836" s="7"/>
      <c r="C836" s="7"/>
      <c r="K836" s="160"/>
    </row>
    <row r="837" spans="1:11">
      <c r="A837" s="7"/>
      <c r="B837" s="7"/>
      <c r="C837" s="7"/>
      <c r="K837" s="160"/>
    </row>
    <row r="838" spans="1:11">
      <c r="A838" s="7"/>
      <c r="B838" s="7"/>
      <c r="C838" s="7"/>
      <c r="K838" s="160"/>
    </row>
    <row r="839" spans="1:11">
      <c r="A839" s="7"/>
      <c r="B839" s="7"/>
      <c r="C839" s="7"/>
      <c r="K839" s="160"/>
    </row>
    <row r="840" spans="1:11">
      <c r="A840" s="7"/>
      <c r="B840" s="7"/>
      <c r="C840" s="7"/>
      <c r="K840" s="160"/>
    </row>
    <row r="841" spans="1:11">
      <c r="A841" s="7"/>
      <c r="B841" s="7"/>
      <c r="C841" s="7"/>
      <c r="K841" s="160"/>
    </row>
    <row r="842" spans="1:11">
      <c r="A842" s="7"/>
      <c r="B842" s="7"/>
      <c r="C842" s="7"/>
      <c r="K842" s="160"/>
    </row>
    <row r="843" spans="1:11">
      <c r="A843" s="7"/>
      <c r="B843" s="7"/>
      <c r="C843" s="7"/>
      <c r="K843" s="160"/>
    </row>
    <row r="844" spans="1:11">
      <c r="A844" s="7"/>
      <c r="B844" s="7"/>
      <c r="C844" s="7"/>
      <c r="K844" s="160"/>
    </row>
    <row r="845" spans="1:11">
      <c r="A845" s="7"/>
      <c r="B845" s="7"/>
      <c r="C845" s="7"/>
      <c r="K845" s="160"/>
    </row>
    <row r="846" spans="1:11">
      <c r="A846" s="7"/>
      <c r="B846" s="7"/>
      <c r="C846" s="7"/>
      <c r="K846" s="160"/>
    </row>
    <row r="847" spans="1:11">
      <c r="A847" s="7"/>
      <c r="B847" s="7"/>
      <c r="C847" s="7"/>
      <c r="K847" s="160"/>
    </row>
    <row r="848" spans="1:11">
      <c r="A848" s="7"/>
      <c r="B848" s="7"/>
      <c r="C848" s="7"/>
      <c r="K848" s="160"/>
    </row>
    <row r="849" spans="1:11">
      <c r="A849" s="7"/>
      <c r="B849" s="7"/>
      <c r="C849" s="7"/>
      <c r="K849" s="160"/>
    </row>
    <row r="850" spans="1:11">
      <c r="A850" s="7"/>
      <c r="B850" s="7"/>
      <c r="C850" s="7"/>
      <c r="K850" s="160"/>
    </row>
    <row r="851" spans="1:11">
      <c r="A851" s="7"/>
      <c r="B851" s="7"/>
      <c r="C851" s="7"/>
      <c r="K851" s="160"/>
    </row>
    <row r="852" spans="1:11">
      <c r="A852" s="7"/>
      <c r="B852" s="7"/>
      <c r="C852" s="7"/>
      <c r="K852" s="160"/>
    </row>
    <row r="853" spans="1:11">
      <c r="A853" s="7"/>
      <c r="B853" s="7"/>
      <c r="C853" s="7"/>
      <c r="K853" s="160"/>
    </row>
    <row r="854" spans="1:11">
      <c r="A854" s="7"/>
      <c r="B854" s="7"/>
      <c r="C854" s="7"/>
      <c r="K854" s="160"/>
    </row>
    <row r="855" spans="1:11">
      <c r="A855" s="7"/>
      <c r="B855" s="7"/>
      <c r="C855" s="7"/>
      <c r="K855" s="160"/>
    </row>
    <row r="856" spans="1:11">
      <c r="A856" s="7"/>
      <c r="B856" s="7"/>
      <c r="C856" s="7"/>
      <c r="K856" s="160"/>
    </row>
    <row r="857" spans="1:11">
      <c r="A857" s="7"/>
      <c r="B857" s="7"/>
      <c r="C857" s="7"/>
      <c r="K857" s="160"/>
    </row>
    <row r="858" spans="1:11">
      <c r="A858" s="7"/>
      <c r="B858" s="7"/>
      <c r="C858" s="7"/>
      <c r="K858" s="160"/>
    </row>
    <row r="859" spans="1:11">
      <c r="A859" s="7"/>
      <c r="B859" s="7"/>
      <c r="C859" s="7"/>
      <c r="K859" s="160"/>
    </row>
    <row r="860" spans="1:11">
      <c r="A860" s="7"/>
      <c r="B860" s="7"/>
      <c r="C860" s="7"/>
      <c r="K860" s="160"/>
    </row>
    <row r="861" spans="1:11">
      <c r="A861" s="7"/>
      <c r="B861" s="7"/>
      <c r="C861" s="7"/>
      <c r="K861" s="160"/>
    </row>
    <row r="862" spans="1:11">
      <c r="A862" s="7"/>
      <c r="B862" s="7"/>
      <c r="C862" s="7"/>
      <c r="K862" s="160"/>
    </row>
    <row r="863" spans="1:11">
      <c r="A863" s="7"/>
      <c r="B863" s="7"/>
      <c r="C863" s="7"/>
      <c r="K863" s="160"/>
    </row>
    <row r="864" spans="1:11">
      <c r="A864" s="7"/>
      <c r="B864" s="7"/>
      <c r="C864" s="7"/>
      <c r="K864" s="160"/>
    </row>
    <row r="865" spans="1:11">
      <c r="A865" s="7"/>
      <c r="B865" s="7"/>
      <c r="C865" s="7"/>
      <c r="K865" s="160"/>
    </row>
    <row r="866" spans="1:11">
      <c r="A866" s="7"/>
      <c r="B866" s="7"/>
      <c r="C866" s="7"/>
      <c r="K866" s="160"/>
    </row>
    <row r="867" spans="1:11">
      <c r="A867" s="7"/>
      <c r="B867" s="7"/>
      <c r="C867" s="7"/>
      <c r="K867" s="160"/>
    </row>
    <row r="868" spans="1:11">
      <c r="A868" s="7"/>
      <c r="B868" s="7"/>
      <c r="C868" s="7"/>
      <c r="E868" s="195"/>
      <c r="K868" s="160"/>
    </row>
    <row r="869" spans="1:11">
      <c r="A869" s="7"/>
      <c r="B869" s="7"/>
      <c r="C869" s="7"/>
      <c r="K869" s="160"/>
    </row>
    <row r="870" spans="1:11">
      <c r="A870" s="7"/>
      <c r="B870" s="7"/>
      <c r="C870" s="7"/>
      <c r="K870" s="160"/>
    </row>
    <row r="871" spans="1:11">
      <c r="A871" s="7"/>
      <c r="B871" s="7"/>
      <c r="C871" s="7"/>
      <c r="K871" s="160"/>
    </row>
    <row r="872" spans="1:11">
      <c r="A872" s="7"/>
      <c r="B872" s="7"/>
      <c r="C872" s="7"/>
      <c r="K872" s="160"/>
    </row>
    <row r="873" spans="1:11">
      <c r="A873" s="7"/>
      <c r="B873" s="7"/>
      <c r="C873" s="7"/>
      <c r="K873" s="160"/>
    </row>
    <row r="874" spans="1:11">
      <c r="A874" s="7"/>
      <c r="B874" s="7"/>
      <c r="C874" s="7"/>
      <c r="K874" s="160"/>
    </row>
    <row r="875" spans="1:11">
      <c r="A875" s="7"/>
      <c r="B875" s="7"/>
      <c r="C875" s="7"/>
      <c r="K875" s="160"/>
    </row>
    <row r="876" spans="1:11">
      <c r="A876" s="7"/>
      <c r="B876" s="7"/>
      <c r="C876" s="7"/>
      <c r="K876" s="160"/>
    </row>
    <row r="877" spans="1:11">
      <c r="A877" s="7"/>
      <c r="B877" s="7"/>
      <c r="C877" s="7"/>
      <c r="K877" s="160"/>
    </row>
    <row r="878" spans="1:11">
      <c r="A878" s="7"/>
      <c r="B878" s="7"/>
      <c r="C878" s="7"/>
      <c r="K878" s="160"/>
    </row>
    <row r="879" spans="1:11">
      <c r="A879" s="7"/>
      <c r="B879" s="7"/>
      <c r="C879" s="7"/>
      <c r="K879" s="160"/>
    </row>
    <row r="880" spans="1:11">
      <c r="A880" s="7"/>
      <c r="B880" s="7"/>
      <c r="C880" s="7"/>
      <c r="K880" s="160"/>
    </row>
    <row r="881" spans="1:11">
      <c r="A881" s="7"/>
      <c r="B881" s="7"/>
      <c r="C881" s="7"/>
      <c r="K881" s="160"/>
    </row>
    <row r="882" spans="1:11">
      <c r="A882" s="7"/>
      <c r="B882" s="7"/>
      <c r="C882" s="7"/>
      <c r="K882" s="160"/>
    </row>
    <row r="883" spans="1:11">
      <c r="A883" s="7"/>
      <c r="B883" s="7"/>
      <c r="C883" s="7"/>
      <c r="K883" s="160"/>
    </row>
    <row r="884" spans="1:11">
      <c r="A884" s="7"/>
      <c r="B884" s="7"/>
      <c r="C884" s="7"/>
      <c r="K884" s="160"/>
    </row>
    <row r="885" spans="1:11">
      <c r="A885" s="7"/>
      <c r="B885" s="7"/>
      <c r="C885" s="7"/>
      <c r="K885" s="160"/>
    </row>
    <row r="886" spans="1:11">
      <c r="A886" s="7"/>
      <c r="B886" s="7"/>
      <c r="C886" s="7"/>
      <c r="K886" s="160"/>
    </row>
    <row r="887" spans="1:11">
      <c r="A887" s="7"/>
      <c r="B887" s="7"/>
      <c r="C887" s="7"/>
      <c r="K887" s="160"/>
    </row>
    <row r="888" spans="1:11">
      <c r="A888" s="7"/>
      <c r="B888" s="7"/>
      <c r="C888" s="7"/>
      <c r="K888" s="160"/>
    </row>
    <row r="889" spans="1:11">
      <c r="A889" s="7"/>
      <c r="B889" s="7"/>
      <c r="C889" s="7"/>
      <c r="K889" s="160"/>
    </row>
    <row r="890" spans="1:11">
      <c r="A890" s="7"/>
      <c r="B890" s="7"/>
      <c r="C890" s="7"/>
      <c r="K890" s="160"/>
    </row>
    <row r="891" spans="1:11">
      <c r="A891" s="7"/>
      <c r="B891" s="7"/>
      <c r="C891" s="7"/>
      <c r="K891" s="160"/>
    </row>
    <row r="892" spans="1:11">
      <c r="A892" s="7"/>
      <c r="B892" s="7"/>
      <c r="C892" s="7"/>
      <c r="K892" s="160"/>
    </row>
    <row r="893" spans="1:11">
      <c r="A893" s="7"/>
      <c r="B893" s="7"/>
      <c r="C893" s="7"/>
      <c r="K893" s="160"/>
    </row>
    <row r="894" spans="1:11">
      <c r="A894" s="7"/>
      <c r="B894" s="7"/>
      <c r="C894" s="7"/>
      <c r="K894" s="160"/>
    </row>
    <row r="895" spans="1:11">
      <c r="A895" s="7"/>
      <c r="B895" s="7"/>
      <c r="C895" s="7"/>
      <c r="K895" s="160"/>
    </row>
    <row r="896" spans="1:11">
      <c r="A896" s="7"/>
      <c r="B896" s="7"/>
      <c r="C896" s="7"/>
      <c r="K896" s="160"/>
    </row>
    <row r="897" spans="1:11">
      <c r="A897" s="7"/>
      <c r="B897" s="7"/>
      <c r="C897" s="7"/>
      <c r="K897" s="160"/>
    </row>
    <row r="898" spans="1:11">
      <c r="A898" s="7"/>
      <c r="B898" s="7"/>
      <c r="C898" s="7"/>
      <c r="K898" s="160"/>
    </row>
    <row r="899" spans="1:11">
      <c r="A899" s="7"/>
      <c r="B899" s="7"/>
      <c r="C899" s="7"/>
      <c r="K899" s="160"/>
    </row>
    <row r="900" spans="1:11">
      <c r="A900" s="7"/>
      <c r="B900" s="7"/>
      <c r="C900" s="7"/>
      <c r="K900" s="160"/>
    </row>
    <row r="901" spans="1:11">
      <c r="A901" s="7"/>
      <c r="B901" s="7"/>
      <c r="C901" s="7"/>
      <c r="K901" s="160"/>
    </row>
    <row r="902" spans="1:11">
      <c r="A902" s="7"/>
      <c r="B902" s="7"/>
      <c r="C902" s="7"/>
      <c r="K902" s="160"/>
    </row>
    <row r="903" spans="1:11">
      <c r="A903" s="7"/>
      <c r="B903" s="7"/>
      <c r="C903" s="7"/>
      <c r="K903" s="160"/>
    </row>
    <row r="904" spans="1:11">
      <c r="A904" s="7"/>
      <c r="B904" s="7"/>
      <c r="C904" s="7"/>
      <c r="K904" s="160"/>
    </row>
    <row r="905" spans="1:11">
      <c r="A905" s="7"/>
      <c r="B905" s="7"/>
      <c r="C905" s="7"/>
      <c r="K905" s="160"/>
    </row>
    <row r="906" spans="1:11">
      <c r="A906" s="7"/>
      <c r="B906" s="7"/>
      <c r="C906" s="7"/>
      <c r="K906" s="160"/>
    </row>
    <row r="907" spans="1:11">
      <c r="A907" s="7"/>
      <c r="B907" s="7"/>
      <c r="C907" s="7"/>
      <c r="K907" s="160"/>
    </row>
    <row r="908" spans="1:11">
      <c r="A908" s="7"/>
      <c r="B908" s="7"/>
      <c r="C908" s="7"/>
      <c r="K908" s="160"/>
    </row>
    <row r="909" spans="1:11">
      <c r="A909" s="7"/>
      <c r="B909" s="7"/>
      <c r="C909" s="7"/>
      <c r="K909" s="160"/>
    </row>
    <row r="910" spans="1:11">
      <c r="A910" s="7"/>
      <c r="B910" s="7"/>
      <c r="C910" s="7"/>
      <c r="K910" s="160"/>
    </row>
    <row r="911" spans="1:11">
      <c r="A911" s="7"/>
      <c r="B911" s="7"/>
      <c r="C911" s="7"/>
      <c r="K911" s="160"/>
    </row>
    <row r="912" spans="1:11">
      <c r="A912" s="7"/>
      <c r="B912" s="7"/>
      <c r="C912" s="7"/>
      <c r="K912" s="160"/>
    </row>
    <row r="913" spans="1:11">
      <c r="A913" s="7"/>
      <c r="B913" s="7"/>
      <c r="C913" s="7"/>
      <c r="K913" s="160"/>
    </row>
    <row r="914" spans="1:11">
      <c r="A914" s="7"/>
      <c r="B914" s="7"/>
      <c r="C914" s="7"/>
      <c r="K914" s="160"/>
    </row>
    <row r="915" spans="1:11">
      <c r="A915" s="7"/>
      <c r="B915" s="7"/>
      <c r="C915" s="7"/>
      <c r="K915" s="160"/>
    </row>
    <row r="916" spans="1:11">
      <c r="A916" s="7"/>
      <c r="B916" s="7"/>
      <c r="C916" s="7"/>
      <c r="K916" s="160"/>
    </row>
    <row r="917" spans="1:11">
      <c r="A917" s="7"/>
      <c r="B917" s="7"/>
      <c r="C917" s="7"/>
      <c r="K917" s="160"/>
    </row>
    <row r="918" spans="1:11">
      <c r="A918" s="7"/>
      <c r="B918" s="7"/>
      <c r="C918" s="7"/>
      <c r="K918" s="160"/>
    </row>
    <row r="919" spans="1:11">
      <c r="A919" s="7"/>
      <c r="B919" s="7"/>
      <c r="C919" s="7"/>
      <c r="K919" s="160"/>
    </row>
    <row r="920" spans="1:11">
      <c r="A920" s="7"/>
      <c r="B920" s="7"/>
      <c r="C920" s="7"/>
      <c r="K920" s="160"/>
    </row>
    <row r="921" spans="1:11">
      <c r="A921" s="7"/>
      <c r="B921" s="7"/>
      <c r="C921" s="7"/>
      <c r="K921" s="160"/>
    </row>
    <row r="922" spans="1:11">
      <c r="A922" s="7"/>
      <c r="B922" s="7"/>
      <c r="C922" s="7"/>
      <c r="K922" s="160"/>
    </row>
    <row r="923" spans="1:11">
      <c r="A923" s="7"/>
      <c r="B923" s="7"/>
      <c r="C923" s="7"/>
      <c r="K923" s="160"/>
    </row>
    <row r="924" spans="1:11">
      <c r="A924" s="7"/>
      <c r="B924" s="7"/>
      <c r="C924" s="7"/>
      <c r="K924" s="160"/>
    </row>
    <row r="925" spans="1:11">
      <c r="A925" s="7"/>
      <c r="B925" s="7"/>
      <c r="C925" s="7"/>
      <c r="K925" s="160"/>
    </row>
    <row r="926" spans="1:11">
      <c r="A926" s="7"/>
      <c r="B926" s="7"/>
      <c r="C926" s="7"/>
      <c r="K926" s="160"/>
    </row>
    <row r="927" spans="1:11">
      <c r="A927" s="7"/>
      <c r="B927" s="7"/>
      <c r="C927" s="7"/>
      <c r="K927" s="160"/>
    </row>
    <row r="928" spans="1:11">
      <c r="A928" s="7"/>
      <c r="B928" s="7"/>
      <c r="C928" s="7"/>
      <c r="K928" s="160"/>
    </row>
    <row r="929" spans="1:11">
      <c r="A929" s="7"/>
      <c r="B929" s="7"/>
      <c r="C929" s="7"/>
      <c r="K929" s="160"/>
    </row>
    <row r="930" spans="1:11">
      <c r="A930" s="7"/>
      <c r="B930" s="7"/>
      <c r="C930" s="7"/>
      <c r="K930" s="160"/>
    </row>
  </sheetData>
  <autoFilter ref="A1:L594" xr:uid="{E97B31CE-E6BF-4F52-9FA7-52F353BEC4BE}">
    <sortState xmlns:xlrd2="http://schemas.microsoft.com/office/spreadsheetml/2017/richdata2" ref="A2:L594">
      <sortCondition ref="A1:A594"/>
    </sortState>
  </autoFilter>
  <phoneticPr fontId="22" type="noConversion"/>
  <conditionalFormatting sqref="D1 D931:D1048576">
    <cfRule type="cellIs" dxfId="175" priority="55" operator="greaterThan">
      <formula>0</formula>
    </cfRule>
    <cfRule type="cellIs" dxfId="174" priority="56" operator="equal">
      <formula>0</formula>
    </cfRule>
  </conditionalFormatting>
  <conditionalFormatting sqref="F570:F578">
    <cfRule type="dataBar" priority="10">
      <dataBar>
        <cfvo type="min"/>
        <cfvo type="num" val="4"/>
        <color rgb="FFFFC000"/>
      </dataBar>
      <extLst>
        <ext xmlns:x14="http://schemas.microsoft.com/office/spreadsheetml/2009/9/main" uri="{B025F937-C7B1-47D3-B67F-A62EFF666E3E}">
          <x14:id>{A9C58A51-31BA-447F-9AB1-2BF1024BB727}</x14:id>
        </ext>
      </extLst>
    </cfRule>
  </conditionalFormatting>
  <conditionalFormatting sqref="F2:J25">
    <cfRule type="dataBar" priority="7936">
      <dataBar>
        <cfvo type="min"/>
        <cfvo type="num" val="4"/>
        <color rgb="FFFFC000"/>
      </dataBar>
      <extLst>
        <ext xmlns:x14="http://schemas.microsoft.com/office/spreadsheetml/2009/9/main" uri="{B025F937-C7B1-47D3-B67F-A62EFF666E3E}">
          <x14:id>{BC5230D7-989F-4EBA-B737-88A8CF8C9C2D}</x14:id>
        </ext>
      </extLst>
    </cfRule>
  </conditionalFormatting>
  <conditionalFormatting sqref="F26:J41">
    <cfRule type="dataBar" priority="7451">
      <dataBar>
        <cfvo type="min"/>
        <cfvo type="num" val="4"/>
        <color rgb="FFFFC000"/>
      </dataBar>
      <extLst>
        <ext xmlns:x14="http://schemas.microsoft.com/office/spreadsheetml/2009/9/main" uri="{B025F937-C7B1-47D3-B67F-A62EFF666E3E}">
          <x14:id>{BDD5D7A0-5A76-4143-8AC8-88C3D184A7D9}</x14:id>
        </ext>
      </extLst>
    </cfRule>
  </conditionalFormatting>
  <conditionalFormatting sqref="F42:J46">
    <cfRule type="dataBar" priority="7486">
      <dataBar>
        <cfvo type="min"/>
        <cfvo type="num" val="4"/>
        <color rgb="FFFFC000"/>
      </dataBar>
      <extLst>
        <ext xmlns:x14="http://schemas.microsoft.com/office/spreadsheetml/2009/9/main" uri="{B025F937-C7B1-47D3-B67F-A62EFF666E3E}">
          <x14:id>{6621C3A7-CFE1-4625-89B8-FFE407902BE1}</x14:id>
        </ext>
      </extLst>
    </cfRule>
  </conditionalFormatting>
  <conditionalFormatting sqref="F47:J47">
    <cfRule type="cellIs" dxfId="173" priority="7488" stopIfTrue="1" operator="notBetween">
      <formula>1</formula>
      <formula>4</formula>
    </cfRule>
    <cfRule type="dataBar" priority="7489">
      <dataBar>
        <cfvo type="min"/>
        <cfvo type="num" val="4"/>
        <color rgb="FFFFC000"/>
      </dataBar>
      <extLst>
        <ext xmlns:x14="http://schemas.microsoft.com/office/spreadsheetml/2009/9/main" uri="{B025F937-C7B1-47D3-B67F-A62EFF666E3E}">
          <x14:id>{DF17E12F-2C54-4B67-9962-531B7E040F19}</x14:id>
        </ext>
      </extLst>
    </cfRule>
  </conditionalFormatting>
  <conditionalFormatting sqref="F48:J48">
    <cfRule type="dataBar" priority="24">
      <dataBar>
        <cfvo type="min"/>
        <cfvo type="num" val="4"/>
        <color rgb="FFFFC000"/>
      </dataBar>
      <extLst>
        <ext xmlns:x14="http://schemas.microsoft.com/office/spreadsheetml/2009/9/main" uri="{B025F937-C7B1-47D3-B67F-A62EFF666E3E}">
          <x14:id>{728F403B-7C89-487F-B15D-0AEC08C1987B}</x14:id>
        </ext>
      </extLst>
    </cfRule>
  </conditionalFormatting>
  <conditionalFormatting sqref="F49:J248">
    <cfRule type="dataBar" priority="7534">
      <dataBar>
        <cfvo type="min"/>
        <cfvo type="num" val="4"/>
        <color rgb="FFFFC000"/>
      </dataBar>
      <extLst>
        <ext xmlns:x14="http://schemas.microsoft.com/office/spreadsheetml/2009/9/main" uri="{B025F937-C7B1-47D3-B67F-A62EFF666E3E}">
          <x14:id>{02EBBB2B-9AFA-49B3-9DE3-D9FECD7308CA}</x14:id>
        </ext>
      </extLst>
    </cfRule>
  </conditionalFormatting>
  <conditionalFormatting sqref="F579:J594 G570:J578 F249:J569">
    <cfRule type="dataBar" priority="7619">
      <dataBar>
        <cfvo type="min"/>
        <cfvo type="num" val="4"/>
        <color rgb="FFFFC000"/>
      </dataBar>
      <extLst>
        <ext xmlns:x14="http://schemas.microsoft.com/office/spreadsheetml/2009/9/main" uri="{B025F937-C7B1-47D3-B67F-A62EFF666E3E}">
          <x14:id>{2EE27589-4012-4139-AFEA-BDAD27C17E09}</x14:id>
        </ext>
      </extLst>
    </cfRule>
  </conditionalFormatting>
  <conditionalFormatting sqref="F2:K594">
    <cfRule type="containsBlanks" dxfId="172" priority="9">
      <formula>LEN(TRIM(F2))=0</formula>
    </cfRule>
  </conditionalFormatting>
  <conditionalFormatting sqref="K1">
    <cfRule type="containsBlanks" dxfId="171" priority="57">
      <formula>LEN(TRIM(K1))=0</formula>
    </cfRule>
  </conditionalFormatting>
  <conditionalFormatting sqref="K1:K41">
    <cfRule type="dataBar" priority="7942">
      <dataBar>
        <cfvo type="min"/>
        <cfvo type="max"/>
        <color rgb="FF3FCDFF"/>
      </dataBar>
      <extLst>
        <ext xmlns:x14="http://schemas.microsoft.com/office/spreadsheetml/2009/9/main" uri="{B025F937-C7B1-47D3-B67F-A62EFF666E3E}">
          <x14:id>{B5E83B2D-0374-4072-BEDA-E50576C8BB57}</x14:id>
        </ext>
      </extLst>
    </cfRule>
  </conditionalFormatting>
  <conditionalFormatting sqref="K42:K46">
    <cfRule type="dataBar" priority="7487">
      <dataBar>
        <cfvo type="min"/>
        <cfvo type="max"/>
        <color rgb="FF3FCDFF"/>
      </dataBar>
      <extLst>
        <ext xmlns:x14="http://schemas.microsoft.com/office/spreadsheetml/2009/9/main" uri="{B025F937-C7B1-47D3-B67F-A62EFF666E3E}">
          <x14:id>{0C28E83C-6DDC-4A10-B92A-2AC19596BE9B}</x14:id>
        </ext>
      </extLst>
    </cfRule>
  </conditionalFormatting>
  <conditionalFormatting sqref="K47">
    <cfRule type="dataBar" priority="7492">
      <dataBar>
        <cfvo type="min"/>
        <cfvo type="max"/>
        <color rgb="FF3FCDFF"/>
      </dataBar>
      <extLst>
        <ext xmlns:x14="http://schemas.microsoft.com/office/spreadsheetml/2009/9/main" uri="{B025F937-C7B1-47D3-B67F-A62EFF666E3E}">
          <x14:id>{B40B2BE7-8170-4BDF-A0AE-8B1ADCE701F7}</x14:id>
        </ext>
      </extLst>
    </cfRule>
  </conditionalFormatting>
  <conditionalFormatting sqref="K48">
    <cfRule type="dataBar" priority="25">
      <dataBar>
        <cfvo type="min"/>
        <cfvo type="max"/>
        <color rgb="FF3FCDFF"/>
      </dataBar>
      <extLst>
        <ext xmlns:x14="http://schemas.microsoft.com/office/spreadsheetml/2009/9/main" uri="{B025F937-C7B1-47D3-B67F-A62EFF666E3E}">
          <x14:id>{34EBC6F7-E675-4E43-A6CA-E5E42B4B8384}</x14:id>
        </ext>
      </extLst>
    </cfRule>
  </conditionalFormatting>
  <conditionalFormatting sqref="K49:K594">
    <cfRule type="dataBar" priority="7621">
      <dataBar>
        <cfvo type="min"/>
        <cfvo type="max"/>
        <color rgb="FF3FCDFF"/>
      </dataBar>
      <extLst>
        <ext xmlns:x14="http://schemas.microsoft.com/office/spreadsheetml/2009/9/main" uri="{B025F937-C7B1-47D3-B67F-A62EFF666E3E}">
          <x14:id>{D00AEB03-79ED-48E9-9CCA-4045C96D7699}</x14:id>
        </ext>
      </extLst>
    </cfRule>
  </conditionalFormatting>
  <conditionalFormatting sqref="K595:K930">
    <cfRule type="containsBlanks" dxfId="170" priority="1">
      <formula>LEN(TRIM(K595))=0</formula>
    </cfRule>
    <cfRule type="dataBar" priority="2">
      <dataBar>
        <cfvo type="min"/>
        <cfvo type="max"/>
        <color rgb="FF3FCDFF"/>
      </dataBar>
      <extLst>
        <ext xmlns:x14="http://schemas.microsoft.com/office/spreadsheetml/2009/9/main" uri="{B025F937-C7B1-47D3-B67F-A62EFF666E3E}">
          <x14:id>{BC50288A-C672-4A14-9B7B-8DCCFADBE899}</x14:id>
        </ext>
      </extLst>
    </cfRule>
  </conditionalFormatting>
  <hyperlinks>
    <hyperlink ref="E12:E41" r:id="rId1" display="https://ec.europa.eu/eurostat/databrowser/view/DS-056120__custom_6262207/default/table" xr:uid="{FA62216D-99D2-4325-87E7-7BDAC7052D9D}"/>
    <hyperlink ref="E226" r:id="rId2" display="https://ec.europa.eu/eurostat/databrowser/view/DS-056120__custom_6262207/default/table" xr:uid="{F7357E44-0440-4F8F-AA59-0D6F51039446}"/>
    <hyperlink ref="E175" r:id="rId3" display="https://ec.europa.eu/eurostat/databrowser/view/DS-056120__custom_6262207/default/table" xr:uid="{AAA68EE9-3739-4A9D-9979-802B7EF386C7}"/>
    <hyperlink ref="E205" r:id="rId4" display="https://ec.europa.eu/eurostat/databrowser/view/DS-056120__custom_6262207/default/table" xr:uid="{639B3874-B030-45EA-86FE-BFA47173B4CE}"/>
    <hyperlink ref="E83" r:id="rId5" display="https://ec.europa.eu/eurostat/databrowser/view/DS-056120__custom_6262207/default/table" xr:uid="{60C1F36D-F5C0-4A29-B862-8F9746869510}"/>
    <hyperlink ref="E52" r:id="rId6" display="https://ec.europa.eu/eurostat/databrowser/view/DS-056120__custom_6262207/default/table" xr:uid="{48582179-9A5F-4715-93A1-6B9D4613DAE1}"/>
    <hyperlink ref="E189" r:id="rId7" display="https://ec.europa.eu/eurostat/databrowser/view/DS-056120__custom_6262207/default/table" xr:uid="{4AB33007-D0B1-403C-B9DD-B460A3D7091B}"/>
    <hyperlink ref="E122" r:id="rId8" display="https://ec.europa.eu/eurostat/databrowser/view/DS-056120__custom_6262207/default/table" xr:uid="{074B3EF4-6D72-499A-8A6B-3388900B8D87}"/>
    <hyperlink ref="E15" r:id="rId9" display="https://ec.europa.eu/eurostat/databrowser/view/DS-056120__custom_6262207/default/table" xr:uid="{97438B8D-17D0-4DAD-858A-4327B1D754F8}"/>
    <hyperlink ref="E47" r:id="rId10" display="https://ec.europa.eu/eurostat/databrowser/view/DS-056120__custom_6262207/default/table" xr:uid="{04D44AE7-3011-4B0F-981C-D74C28BB82F0}"/>
    <hyperlink ref="E149" r:id="rId11" display="https://ec.europa.eu/eurostat/databrowser/view/DS-056120__custom_6262207/default/table" xr:uid="{2BA3E80F-761D-4AB1-8EAE-CCACF79C721A}"/>
    <hyperlink ref="E96" r:id="rId12" display="https://ec.europa.eu/eurostat/databrowser/view/DS-056120__custom_6262207/default/table" xr:uid="{7D0F81FF-1BAD-4CF0-8836-252003C8B0B9}"/>
    <hyperlink ref="E147" r:id="rId13" display="https://ec.europa.eu/eurostat/databrowser/view/DS-056120__custom_6262207/default/table" xr:uid="{A73BC1B7-93CF-4D11-8028-82B0C5B5E3FA}"/>
    <hyperlink ref="E241" r:id="rId14" display="https://ec.europa.eu/eurostat/databrowser/view/DS-056120__custom_6262207/default/table" xr:uid="{020268D7-9FE8-4116-AFEF-1CAE5D73591C}"/>
    <hyperlink ref="E228" r:id="rId15" display="https://ec.europa.eu/eurostat/databrowser/view/DS-056120__custom_6262207/default/table" xr:uid="{B36B605D-D559-4AE2-86B2-A2F0A966F1A4}"/>
    <hyperlink ref="E170" r:id="rId16" display="https://ec.europa.eu/eurostat/databrowser/view/DS-056120__custom_6262207/default/table" xr:uid="{A76CB40F-875B-437E-BD61-9AE5248A2044}"/>
    <hyperlink ref="E206" r:id="rId17" display="https://ec.europa.eu/eurostat/databrowser/view/DS-056120__custom_6262207/default/table" xr:uid="{BEDD2980-4097-4DFB-8E2C-14E22AD7549E}"/>
    <hyperlink ref="E65" r:id="rId18" display="https://ec.europa.eu/eurostat/databrowser/view/DS-056120__custom_6262207/default/table" xr:uid="{8EBD8975-4ECF-4558-B078-98AB41184F3D}"/>
    <hyperlink ref="E48" r:id="rId19" display="https://ec.europa.eu/eurostat/databrowser/view/DS-056120__custom_6262207/default/table" xr:uid="{815116A1-54CB-496E-9063-93F29A855B88}"/>
    <hyperlink ref="E193" r:id="rId20" display="https://ec.europa.eu/eurostat/databrowser/view/DS-056120__custom_6262207/default/table" xr:uid="{66D58C65-2059-438A-809E-C220A1F74B8D}"/>
    <hyperlink ref="E124" r:id="rId21" display="https://ec.europa.eu/eurostat/databrowser/view/DS-056120__custom_6262207/default/table" xr:uid="{4EB45444-EF2E-4322-BB78-025D78A95475}"/>
    <hyperlink ref="E25" r:id="rId22" display="https://ec.europa.eu/eurostat/databrowser/view/DS-056120__custom_6262207/default/table" xr:uid="{93A74A06-7292-4762-A570-A212C90030A8}"/>
    <hyperlink ref="E37" r:id="rId23" display="https://ec.europa.eu/eurostat/databrowser/view/DS-056120__custom_6262207/default/table" xr:uid="{92C2D562-B036-491F-8A56-29B2FC376A4E}"/>
    <hyperlink ref="E139" r:id="rId24" display="https://ec.europa.eu/eurostat/databrowser/view/DS-056120__custom_6262207/default/table" xr:uid="{75A7F282-ACF9-4222-AEDA-FB5731E0F2DC}"/>
    <hyperlink ref="E88" r:id="rId25" display="https://ec.europa.eu/eurostat/databrowser/view/DS-056120__custom_6262207/default/table" xr:uid="{E5BEB830-CEE8-4BD0-AE68-C0433BE73F26}"/>
    <hyperlink ref="E148" r:id="rId26" display="https://ec.europa.eu/eurostat/databrowser/view/DS-056120__custom_6262207/default/table" xr:uid="{5E6651DA-AFAD-4E0D-8585-BE498BE1D6B1}"/>
    <hyperlink ref="E232" r:id="rId27" display="https://ec.europa.eu/eurostat/databrowser/view/DS-056120__custom_6262207/default/table" xr:uid="{D876076F-3F4A-4E59-8084-D6F2D9A38847}"/>
    <hyperlink ref="E229" r:id="rId28" display="https://ec.europa.eu/eurostat/databrowser/view/DS-056120__custom_6262207/default/table" xr:uid="{BFFC914F-40D9-43E5-AC4C-989869F36B11}"/>
    <hyperlink ref="E169" r:id="rId29" display="https://ec.europa.eu/eurostat/databrowser/view/DS-056120__custom_6262207/default/table" xr:uid="{D7E4D747-87DA-4BAD-9476-8FB47B8F7614}"/>
    <hyperlink ref="E208" r:id="rId30" display="https://ec.europa.eu/eurostat/databrowser/view/DS-056120__custom_6262207/default/table" xr:uid="{BB6000A7-7C1B-49A1-8B91-BCEAC978FE44}"/>
    <hyperlink ref="E67" r:id="rId31" display="https://ec.europa.eu/eurostat/databrowser/view/DS-056120__custom_6262207/default/table" xr:uid="{817F010F-4F15-4A22-A032-F080671C4C90}"/>
    <hyperlink ref="E39" r:id="rId32" display="https://ec.europa.eu/eurostat/databrowser/view/DS-056120__custom_6262207/default/table" xr:uid="{A327A556-88F9-4BBC-A6BA-8241682A6571}"/>
    <hyperlink ref="E190" r:id="rId33" display="https://ec.europa.eu/eurostat/databrowser/view/DS-056120__custom_6262207/default/table" xr:uid="{603CB061-6F91-4CAE-8C1A-F3C033A754C1}"/>
    <hyperlink ref="E163" r:id="rId34" display="https://ec.europa.eu/eurostat/databrowser/view/DS-056120__custom_6262207/default/table" xr:uid="{63178A06-93C6-4D49-9B7D-FE57945DF181}"/>
    <hyperlink ref="E23" r:id="rId35" display="https://ec.europa.eu/eurostat/databrowser/view/DS-056120__custom_6262207/default/table" xr:uid="{81E5B93B-1AC3-40DD-839F-B3BF0727877D}"/>
    <hyperlink ref="E40" r:id="rId36" display="https://ec.europa.eu/eurostat/databrowser/view/DS-056120__custom_6262207/default/table" xr:uid="{620D4A95-D380-49FA-849A-B42D7B524824}"/>
    <hyperlink ref="E156" r:id="rId37" display="https://ec.europa.eu/eurostat/databrowser/view/DS-056120__custom_6262207/default/table" xr:uid="{EAEEB634-65AC-419D-B4FC-9DAC3AE93C1A}"/>
    <hyperlink ref="E106" r:id="rId38" display="https://ec.europa.eu/eurostat/databrowser/view/DS-056120__custom_6262207/default/table" xr:uid="{5CAFF530-DF67-4940-999A-9005C7888439}"/>
    <hyperlink ref="E153" r:id="rId39" display="https://ec.europa.eu/eurostat/databrowser/view/DS-056120__custom_6262207/default/table" xr:uid="{7E33A4D4-EA7A-4C22-A369-5179ABE53654}"/>
    <hyperlink ref="E251" r:id="rId40" display="https://ec.europa.eu/eurostat/databrowser/view/DS-056120__custom_6262207/default/table" xr:uid="{4830C96D-B90D-4F81-9916-61F5FA245942}"/>
    <hyperlink ref="E230" r:id="rId41" display="https://ec.europa.eu/eurostat/databrowser/view/DS-056120__custom_6262207/default/table" xr:uid="{AB40965A-199B-4799-ABCC-CAB19D2ACF73}"/>
    <hyperlink ref="E165" r:id="rId42" display="https://ec.europa.eu/eurostat/databrowser/view/DS-056120__custom_6262207/default/table" xr:uid="{E575B10C-62F8-401F-A60B-3397F0BADDF7}"/>
    <hyperlink ref="E216" r:id="rId43" display="https://ec.europa.eu/eurostat/databrowser/view/DS-056120__custom_6262207/default/table" xr:uid="{BACBAA1B-C0D4-46BF-8073-716CF1BBA59F}"/>
    <hyperlink ref="E97" r:id="rId44" display="https://ec.europa.eu/eurostat/databrowser/view/DS-056120__custom_6262207/default/table" xr:uid="{4343DA6A-605E-4CAD-9D3C-61EE03D179BB}"/>
    <hyperlink ref="E44" r:id="rId45" display="https://ec.europa.eu/eurostat/databrowser/view/DS-056120__custom_6262207/default/table" xr:uid="{445614CE-054B-45CD-AC54-D10697E1D798}"/>
    <hyperlink ref="E188" r:id="rId46" display="https://ec.europa.eu/eurostat/databrowser/view/DS-056120__custom_6262207/default/table" xr:uid="{CF746984-99A4-4749-9DE4-7B7940028D74}"/>
    <hyperlink ref="E138" r:id="rId47" display="https://ec.europa.eu/eurostat/databrowser/view/DS-056120__custom_6262207/default/table" xr:uid="{4041A354-0376-4A2F-B8DC-7D13ECCA8282}"/>
    <hyperlink ref="E26" r:id="rId48" display="https://ec.europa.eu/eurostat/databrowser/view/DS-056120__custom_6262207/default/table" xr:uid="{65E91711-EFEB-44A5-89AF-32745E77207B}"/>
    <hyperlink ref="E36" r:id="rId49" display="https://ec.europa.eu/eurostat/databrowser/view/DS-056120__custom_6262207/default/table" xr:uid="{A3F58618-2E39-4D84-80E1-F8198C8FDE39}"/>
    <hyperlink ref="E151" r:id="rId50" display="https://ec.europa.eu/eurostat/databrowser/view/DS-056120__custom_6262207/default/table" xr:uid="{8757F067-288B-457F-9492-9ECBCF13F6B2}"/>
    <hyperlink ref="E112" r:id="rId51" display="https://ec.europa.eu/eurostat/databrowser/view/DS-056120__custom_6262207/default/table" xr:uid="{83657B03-3C41-400C-AC4A-47BF59FE7E35}"/>
    <hyperlink ref="E154" r:id="rId52" display="https://ec.europa.eu/eurostat/databrowser/view/DS-056120__custom_6262207/default/table" xr:uid="{1E293B25-C409-463E-B500-E63FEE9CA961}"/>
    <hyperlink ref="E258" r:id="rId53" display="https://ec.europa.eu/eurostat/databrowser/view/DS-056120__custom_6262207/default/table" xr:uid="{27C5BE5D-0BD9-4091-A7E9-7F5770DBEC93}"/>
    <hyperlink ref="E257" r:id="rId54" display="https://ec.europa.eu/eurostat/databrowser/view/DS-056120__custom_6262207/default/table" xr:uid="{09A93D8D-7488-4B8C-8422-10AB388F47AC}"/>
    <hyperlink ref="E182" r:id="rId55" display="https://ec.europa.eu/eurostat/databrowser/view/DS-056120__custom_6262207/default/table" xr:uid="{A634397F-CE41-4BA1-B7D3-D8C133A374EE}"/>
    <hyperlink ref="E221" r:id="rId56" display="https://ec.europa.eu/eurostat/databrowser/view/DS-056120__custom_6262207/default/table" xr:uid="{C38FC6CA-EB2B-4C2C-A4CD-DD0E8EE69AD2}"/>
    <hyperlink ref="E85" r:id="rId57" display="https://ec.europa.eu/eurostat/databrowser/view/DS-056120__custom_6262207/default/table" xr:uid="{F98CC72B-AF8F-46AD-BEF3-D6791C0D16C8}"/>
    <hyperlink ref="E55" r:id="rId58" display="https://ec.europa.eu/eurostat/databrowser/view/DS-056120__custom_6262207/default/table" xr:uid="{138F8628-BFD6-4498-913C-9076223E71A7}"/>
    <hyperlink ref="E184" r:id="rId59" display="https://ec.europa.eu/eurostat/databrowser/view/DS-056120__custom_6262207/default/table" xr:uid="{34736F90-A239-4A70-B2BF-3A7AFD504DEF}"/>
    <hyperlink ref="E129" r:id="rId60" display="https://ec.europa.eu/eurostat/databrowser/view/DS-056120__custom_6262207/default/table" xr:uid="{11A1AA83-C59B-4112-BBA2-6AA8D9D0D81A}"/>
    <hyperlink ref="E32" r:id="rId61" display="https://ec.europa.eu/eurostat/databrowser/view/DS-056120__custom_6262207/default/table" xr:uid="{2524089A-72C2-45AB-A78D-1D1DA477B374}"/>
    <hyperlink ref="E51" r:id="rId62" display="https://ec.europa.eu/eurostat/databrowser/view/DS-056120__custom_6262207/default/table" xr:uid="{141C221D-A3F8-43CB-B4A2-6BE91C1B6E60}"/>
    <hyperlink ref="E159" r:id="rId63" display="https://ec.europa.eu/eurostat/databrowser/view/DS-056120__custom_6262207/default/table" xr:uid="{1B7FC9DD-C3D5-4ABA-8B15-CEEA54FBD590}"/>
    <hyperlink ref="E123" r:id="rId64" display="https://ec.europa.eu/eurostat/databrowser/view/DS-056120__custom_6262207/default/table" xr:uid="{EF0B892D-F667-4B93-AE67-D0084B28882A}"/>
    <hyperlink ref="E120" r:id="rId65" display="https://ec.europa.eu/eurostat/databrowser/view/DS-056120__custom_6262207/default/table" xr:uid="{65BD3D2D-9FD4-4C8E-B8E2-DC54D25FBAE6}"/>
    <hyperlink ref="E256" r:id="rId66" display="https://ec.europa.eu/eurostat/databrowser/view/DS-056120__custom_6262207/default/table" xr:uid="{74C423DC-5ABC-4D08-8E67-90D976A30D22}"/>
    <hyperlink ref="E237" r:id="rId67" display="https://ec.europa.eu/eurostat/databrowser/view/DS-056120__custom_6262207/default/table" xr:uid="{DDA2CDF6-3205-42C1-BBA0-9EAFC05826D3}"/>
    <hyperlink ref="E167" r:id="rId68" display="https://ec.europa.eu/eurostat/databrowser/view/DS-056120__custom_6262207/default/table" xr:uid="{E768E35C-6767-40B7-B7AB-FBB4F055AA9A}"/>
    <hyperlink ref="E217" r:id="rId69" display="https://ec.europa.eu/eurostat/databrowser/view/DS-056120__custom_6262207/default/table" xr:uid="{C932BB5A-D2B3-4E59-935F-8172874F8D18}"/>
    <hyperlink ref="E73" r:id="rId70" display="https://ec.europa.eu/eurostat/databrowser/view/DS-056120__custom_6262207/default/table" xr:uid="{1AB979FB-0931-4CE0-8549-91B3653A2FE3}"/>
    <hyperlink ref="E53" r:id="rId71" display="https://ec.europa.eu/eurostat/databrowser/view/DS-056120__custom_6262207/default/table" xr:uid="{5B3FB41A-4937-476E-A6AD-4C3D05421A46}"/>
    <hyperlink ref="E173" r:id="rId72" display="https://ec.europa.eu/eurostat/databrowser/view/DS-056120__custom_6262207/default/table" xr:uid="{E54ACFB7-4579-493E-8EDB-7D2B0C2341D7}"/>
    <hyperlink ref="E143" r:id="rId73" display="https://ec.europa.eu/eurostat/databrowser/view/DS-056120__custom_6262207/default/table" xr:uid="{995642C1-3A46-49C3-9B95-4D7C6E53E27B}"/>
    <hyperlink ref="E30" r:id="rId74" display="https://ec.europa.eu/eurostat/databrowser/view/DS-056120__custom_6262207/default/table" xr:uid="{05B2215F-7DF0-43D9-9D85-0047584BA1D0}"/>
    <hyperlink ref="E50" r:id="rId75" display="https://ec.europa.eu/eurostat/databrowser/view/DS-056120__custom_6262207/default/table" xr:uid="{500620E9-CAFB-44DE-B79B-1365B47B679E}"/>
    <hyperlink ref="E162" r:id="rId76" display="https://ec.europa.eu/eurostat/databrowser/view/DS-056120__custom_6262207/default/table" xr:uid="{1F37E7FA-AA1E-4A6E-8574-2136B38DE981}"/>
    <hyperlink ref="E116" r:id="rId77" display="https://ec.europa.eu/eurostat/databrowser/view/DS-056120__custom_6262207/default/table" xr:uid="{F074E7F0-0C3B-4B2C-9AEB-4678A5B515BE}"/>
    <hyperlink ref="E128" r:id="rId78" display="https://ec.europa.eu/eurostat/databrowser/view/DS-056120__custom_6262207/default/table" xr:uid="{7108A1BA-4F24-4C2C-9E46-25E723A75437}"/>
    <hyperlink ref="E254" r:id="rId79" display="https://ec.europa.eu/eurostat/databrowser/view/DS-056120__custom_6262207/default/table" xr:uid="{11FEC34D-B1EB-470E-A0EF-DA70051A8EDF}"/>
    <hyperlink ref="E222" r:id="rId80" display="https://ec.europa.eu/eurostat/databrowser/view/DS-056120__custom_6262207/default/table" xr:uid="{CF119CE2-4B11-4A73-B391-8347D9C3A28F}"/>
    <hyperlink ref="E164" r:id="rId81" display="https://ec.europa.eu/eurostat/databrowser/view/DS-056120__custom_6262207/default/table" xr:uid="{13AA22AB-9912-40AF-87D6-A950977FDDB1}"/>
    <hyperlink ref="E215" r:id="rId82" display="https://ec.europa.eu/eurostat/databrowser/view/DS-056120__custom_6262207/default/table" xr:uid="{78178A5D-6738-4C6C-B257-2D92EA114902}"/>
    <hyperlink ref="E69" r:id="rId83" display="https://ec.europa.eu/eurostat/databrowser/view/DS-056120__custom_6262207/default/table" xr:uid="{A7D446E4-1D21-4412-9A32-4687A1A7E121}"/>
    <hyperlink ref="E66" r:id="rId84" display="https://ec.europa.eu/eurostat/databrowser/view/DS-056120__custom_6262207/default/table" xr:uid="{21D904F2-444A-4ACF-AFE4-476FFE551049}"/>
    <hyperlink ref="E180" r:id="rId85" display="https://ec.europa.eu/eurostat/databrowser/view/DS-056120__custom_6262207/default/table" xr:uid="{504F8F8D-287E-4D59-8FE6-DDE58B6482A5}"/>
    <hyperlink ref="E137" r:id="rId86" display="https://ec.europa.eu/eurostat/databrowser/view/DS-056120__custom_6262207/default/table" xr:uid="{9B51FA60-21F8-47D9-8FCF-2BAEFB411CFE}"/>
    <hyperlink ref="E22" r:id="rId87" display="https://ec.europa.eu/eurostat/databrowser/view/DS-056120__custom_6262207/default/table" xr:uid="{A6033054-BB49-4524-92EA-B362E4AEDD0A}"/>
    <hyperlink ref="E49" r:id="rId88" display="https://ec.europa.eu/eurostat/databrowser/view/DS-056120__custom_6262207/default/table" xr:uid="{9E99276B-A918-4DE2-A8D1-02B8026C2514}"/>
    <hyperlink ref="E155" r:id="rId89" display="https://ec.europa.eu/eurostat/databrowser/view/DS-056120__custom_6262207/default/table" xr:uid="{A784C047-BB9D-4559-8917-4D2B364C8875}"/>
    <hyperlink ref="E93" r:id="rId90" display="https://ec.europa.eu/eurostat/databrowser/view/DS-056120__custom_6262207/default/table" xr:uid="{B42640E7-4A39-4845-83F1-E498DB161887}"/>
    <hyperlink ref="E105" r:id="rId91" display="https://ec.europa.eu/eurostat/databrowser/view/DS-056120__custom_6262207/default/table" xr:uid="{CFB49543-4C59-45AF-890B-E7CB05720FB4}"/>
    <hyperlink ref="E255" r:id="rId92" display="https://ec.europa.eu/eurostat/databrowser/view/DS-056120__custom_6262207/default/table" xr:uid="{2CF3DE66-7D7F-497D-A511-C8000FF9912B}"/>
    <hyperlink ref="E223" r:id="rId93" display="https://ec.europa.eu/eurostat/databrowser/view/DS-056120__custom_6262207/default/table" xr:uid="{D9D98352-DE59-4738-A846-D3FFEC94DDB4}"/>
    <hyperlink ref="E166" r:id="rId94" display="https://ec.europa.eu/eurostat/databrowser/view/DS-056120__custom_6262207/default/table" xr:uid="{902277A9-D602-4541-855E-C9631499BCF9}"/>
    <hyperlink ref="E207" r:id="rId95" display="https://ec.europa.eu/eurostat/databrowser/view/DS-056120__custom_6262207/default/table" xr:uid="{5A60A697-7F7F-4D5D-B938-FDA5607B6BE9}"/>
    <hyperlink ref="E59" r:id="rId96" display="https://ec.europa.eu/eurostat/databrowser/view/DS-056120__custom_6262207/default/table" xr:uid="{DE31EDA6-2C4C-4856-B36B-46E4FBA335B7}"/>
    <hyperlink ref="E64" r:id="rId97" display="https://ec.europa.eu/eurostat/databrowser/view/DS-056120__custom_6262207/default/table" xr:uid="{715DA212-24D7-4C73-BFB6-834A5B4318E1}"/>
    <hyperlink ref="E174" r:id="rId98" display="https://ec.europa.eu/eurostat/databrowser/view/DS-056120__custom_6262207/default/table" xr:uid="{36F52C0E-F579-4B1F-90FA-572365AFB496}"/>
    <hyperlink ref="E142" r:id="rId99" display="https://ec.europa.eu/eurostat/databrowser/view/DS-056120__custom_6262207/default/table" xr:uid="{E690EC34-B02D-4BA7-B06A-FF2CF798E09F}"/>
    <hyperlink ref="E21" r:id="rId100" display="https://ec.europa.eu/eurostat/databrowser/view/DS-056120__custom_6262207/default/table" xr:uid="{E9D0CD6C-D691-475C-891B-F1D5C45FFC9C}"/>
    <hyperlink ref="E45" r:id="rId101" display="https://ec.europa.eu/eurostat/databrowser/view/DS-056120__custom_6262207/default/table" xr:uid="{70A1D1FA-E23C-4E34-9A93-63DD1EB94737}"/>
    <hyperlink ref="E152" r:id="rId102" display="https://ec.europa.eu/eurostat/databrowser/view/DS-056120__custom_6262207/default/table" xr:uid="{307682E9-0B90-4C04-B1C7-D45499384D49}"/>
    <hyperlink ref="E121" r:id="rId103" display="https://ec.europa.eu/eurostat/databrowser/view/DS-056120__custom_6262207/default/table" xr:uid="{90F40EB5-42F1-46BD-A128-F37F517CE23C}"/>
    <hyperlink ref="E91" r:id="rId104" display="https://ec.europa.eu/eurostat/databrowser/view/DS-056120__custom_6262207/default/table" xr:uid="{9EC112F8-FC7C-493B-9C89-4D2A7F8BED3E}"/>
    <hyperlink ref="E250" r:id="rId105" display="https://ec.europa.eu/eurostat/databrowser/view/DS-056120__custom_6262207/default/table" xr:uid="{AAD5DE0F-BFD9-40FB-A513-741A7CFCD25C}"/>
    <hyperlink ref="E231" r:id="rId106" display="https://ec.europa.eu/eurostat/databrowser/view/DS-056120__custom_6262207/default/table" xr:uid="{EBFF7091-1479-4240-8066-3ADC0BE80F20}"/>
    <hyperlink ref="E172" r:id="rId107" display="https://ec.europa.eu/eurostat/databrowser/view/DS-056120__custom_6262207/default/table" xr:uid="{B00F491A-3977-4456-A317-63F89C4C90C9}"/>
    <hyperlink ref="E219" r:id="rId108" display="https://ec.europa.eu/eurostat/databrowser/view/DS-056120__custom_6262207/default/table" xr:uid="{8B906281-F496-4717-94DB-4F001723AA3D}"/>
    <hyperlink ref="E71" r:id="rId109" display="https://ec.europa.eu/eurostat/databrowser/view/DS-056120__custom_6262207/default/table" xr:uid="{5C0C44E1-1B31-436A-ABED-5BBC7B52318E}"/>
    <hyperlink ref="E56" r:id="rId110" display="https://ec.europa.eu/eurostat/databrowser/view/DS-056120__custom_6262207/default/table" xr:uid="{ACEB88B3-9535-493B-B09B-1CC86288F6F4}"/>
    <hyperlink ref="E183" r:id="rId111" display="https://ec.europa.eu/eurostat/databrowser/view/DS-056120__custom_6262207/default/table" xr:uid="{DEEDE50A-7BA6-4EED-8059-9D8DB4DD0B4D}"/>
    <hyperlink ref="E140" r:id="rId112" display="https://ec.europa.eu/eurostat/databrowser/view/DS-056120__custom_6262207/default/table" xr:uid="{B536EF1A-C96F-4C9C-A953-6EA6D661C572}"/>
    <hyperlink ref="E28" r:id="rId113" display="https://ec.europa.eu/eurostat/databrowser/view/DS-056120__custom_6262207/default/table" xr:uid="{4CCCD603-95C6-440F-9767-7B7C99377AED}"/>
    <hyperlink ref="E54" r:id="rId114" display="https://ec.europa.eu/eurostat/databrowser/view/DS-056120__custom_6262207/default/table" xr:uid="{B1A0AE89-9DBC-4A9C-A14C-760E9F6BCEBA}"/>
    <hyperlink ref="E160" r:id="rId115" display="https://ec.europa.eu/eurostat/databrowser/view/DS-056120__custom_6262207/default/table" xr:uid="{BD4D8A7B-7DBF-4202-BEE2-1404BAB6E88F}"/>
    <hyperlink ref="E103" r:id="rId116" display="https://ec.europa.eu/eurostat/databrowser/view/DS-056120__custom_6262207/default/table" xr:uid="{A37BCB3B-6F35-43E2-A5BC-8C82B61FBAC9}"/>
    <hyperlink ref="E92" r:id="rId117" display="https://ec.europa.eu/eurostat/databrowser/view/DS-056120__custom_6262207/default/table" xr:uid="{5FE2AA9B-0F19-4273-A628-297B46094EC3}"/>
    <hyperlink ref="E252" r:id="rId118" display="https://ec.europa.eu/eurostat/databrowser/view/DS-056120__custom_6262207/default/table" xr:uid="{7A00454C-DB88-4AC5-9A99-5CB9F06C7026}"/>
    <hyperlink ref="E246" r:id="rId119" display="https://ec.europa.eu/eurostat/databrowser/view/DS-056120__custom_6262207/default/table" xr:uid="{31D49310-24D9-47DE-A07D-D10194AE1C3B}"/>
    <hyperlink ref="E186" r:id="rId120" display="https://ec.europa.eu/eurostat/databrowser/view/DS-056120__custom_6262207/default/table" xr:uid="{EBA27910-1B40-484F-A84A-F61052E92A96}"/>
    <hyperlink ref="E212" r:id="rId121" display="https://ec.europa.eu/eurostat/databrowser/view/DS-056120__custom_6262207/default/table" xr:uid="{0FC6CF8F-8541-4113-B429-EA771724E9FF}"/>
    <hyperlink ref="E79" r:id="rId122" display="https://ec.europa.eu/eurostat/databrowser/view/DS-056120__custom_6262207/default/table" xr:uid="{7DBCFCE2-5C62-45E7-8E4F-9B4E94A56706}"/>
    <hyperlink ref="E80" r:id="rId123" display="https://ec.europa.eu/eurostat/databrowser/view/DS-056120__custom_6262207/default/table" xr:uid="{D2C47646-9E51-4425-BAAB-2CF1AE374F58}"/>
    <hyperlink ref="E202" r:id="rId124" display="https://ec.europa.eu/eurostat/databrowser/view/DS-056120__custom_6262207/default/table" xr:uid="{047BB462-ED2A-49A8-9D55-9D3000D4A93B}"/>
    <hyperlink ref="E107" r:id="rId125" display="https://ec.europa.eu/eurostat/databrowser/view/DS-056120__custom_6262207/default/table" xr:uid="{7D73CAC6-F295-42F2-BDD7-84C5D6A47D5E}"/>
    <hyperlink ref="E16" r:id="rId126" display="https://ec.europa.eu/eurostat/databrowser/view/DS-056120__custom_6262207/default/table" xr:uid="{0CD4A6DD-5C60-45B8-AACF-5E4218AFFFFA}"/>
    <hyperlink ref="E31" r:id="rId127" display="https://ec.europa.eu/eurostat/databrowser/view/DS-056120__custom_6262207/default/table" xr:uid="{19ADD158-39F5-411D-849D-F065A434212B}"/>
    <hyperlink ref="E118" r:id="rId128" display="https://ec.europa.eu/eurostat/databrowser/view/DS-056120__custom_6262207/default/table" xr:uid="{18BFB3AF-8892-436D-949F-2AAF6FB1B81A}"/>
    <hyperlink ref="E82" r:id="rId129" display="https://ec.europa.eu/eurostat/databrowser/view/DS-056120__custom_6262207/default/table" xr:uid="{A679FDCA-2AEF-4727-89AB-991D9C83EF62}"/>
    <hyperlink ref="E158" r:id="rId130" display="https://ec.europa.eu/eurostat/databrowser/view/DS-056120__custom_6262207/default/table" xr:uid="{4C932A66-90E3-4848-8998-6E608CBF5494}"/>
    <hyperlink ref="E244" r:id="rId131" display="https://ec.europa.eu/eurostat/databrowser/view/DS-056120__custom_6262207/default/table" xr:uid="{8B86C560-F110-4F71-80DF-00C328ED5605}"/>
    <hyperlink ref="E233" r:id="rId132" display="https://ec.europa.eu/eurostat/databrowser/view/DS-056120__custom_6262207/default/table" xr:uid="{69956A57-3EF4-4625-9642-FAF6880C7B15}"/>
    <hyperlink ref="E187" r:id="rId133" display="https://ec.europa.eu/eurostat/databrowser/view/DS-056120__custom_6262207/default/table" xr:uid="{9F911D22-4C1F-4586-AB49-E984F957705F}"/>
    <hyperlink ref="E214" r:id="rId134" display="https://ec.europa.eu/eurostat/databrowser/view/DS-056120__custom_6262207/default/table" xr:uid="{8E3AC6D3-F372-4A25-AE7F-4D7F7ACAEFC0}"/>
    <hyperlink ref="E70" r:id="rId135" display="https://ec.europa.eu/eurostat/databrowser/view/DS-056120__custom_6262207/default/table" xr:uid="{A696C432-1F1F-4C9E-B46A-2F0974801049}"/>
    <hyperlink ref="E81" r:id="rId136" display="https://ec.europa.eu/eurostat/databrowser/view/DS-056120__custom_6262207/default/table" xr:uid="{84763808-12E5-4E63-81DE-F6EAC32B1D83}"/>
    <hyperlink ref="E192" r:id="rId137" display="https://ec.europa.eu/eurostat/databrowser/view/DS-056120__custom_6262207/default/table" xr:uid="{1E077FB7-A7DC-409D-8F84-45CC902D38CA}"/>
    <hyperlink ref="E108" r:id="rId138" display="https://ec.europa.eu/eurostat/databrowser/view/DS-056120__custom_6262207/default/table" xr:uid="{63C6D533-B6C5-4C6E-B1E3-01826CEB7452}"/>
    <hyperlink ref="E13" r:id="rId139" display="https://ec.europa.eu/eurostat/databrowser/view/DS-056120__custom_6262207/default/table" xr:uid="{8F44FAA1-3048-4B4B-B491-348E5F638BD4}"/>
    <hyperlink ref="E29" r:id="rId140" display="https://ec.europa.eu/eurostat/databrowser/view/DS-056120__custom_6262207/default/table" xr:uid="{4B139865-9758-4D67-AC5A-89913DB22BAD}"/>
    <hyperlink ref="E98" r:id="rId141" display="https://ec.europa.eu/eurostat/databrowser/view/DS-056120__custom_6262207/default/table" xr:uid="{D5F34CBA-8065-4EDA-A429-CA62F3AC76BC}"/>
    <hyperlink ref="E77" r:id="rId142" display="https://ec.europa.eu/eurostat/databrowser/view/DS-056120__custom_6262207/default/table" xr:uid="{BE1EA2DB-9AD6-462D-8494-F8EE1D9A994A}"/>
    <hyperlink ref="E104" r:id="rId143" display="https://ec.europa.eu/eurostat/databrowser/view/DS-056120__custom_6262207/default/table" xr:uid="{0A5CEF3A-0D68-463F-9129-2A42F58DB98D}"/>
    <hyperlink ref="E220" r:id="rId144" display="https://ec.europa.eu/eurostat/databrowser/view/DS-056120__custom_6262207/default/table" xr:uid="{DA0E3320-D8A2-40C9-915B-5FB83EA7C5F9}"/>
    <hyperlink ref="E227" r:id="rId145" display="https://ec.europa.eu/eurostat/databrowser/view/DS-056120__custom_6262207/default/table" xr:uid="{850275B6-3DF8-4B45-ADAD-7BAD55121480}"/>
    <hyperlink ref="E181" r:id="rId146" display="https://ec.europa.eu/eurostat/databrowser/view/DS-056120__custom_6262207/default/table" xr:uid="{44BA45EA-0780-401D-BDCC-2315B011A0BC}"/>
    <hyperlink ref="E204" r:id="rId147" display="https://ec.europa.eu/eurostat/databrowser/view/DS-056120__custom_6262207/default/table" xr:uid="{F685FD71-6158-48E6-A86C-5D93DEC95C94}"/>
    <hyperlink ref="E68" r:id="rId148" display="https://ec.europa.eu/eurostat/databrowser/view/DS-056120__custom_6262207/default/table" xr:uid="{C2921C6C-183E-4310-86AE-98BBEC0888F6}"/>
    <hyperlink ref="E89" r:id="rId149" display="https://ec.europa.eu/eurostat/databrowser/view/DS-056120__custom_6262207/default/table" xr:uid="{5CDAD650-7D7C-431E-820D-49A8642C45FB}"/>
    <hyperlink ref="E198" r:id="rId150" display="https://ec.europa.eu/eurostat/databrowser/view/DS-056120__custom_6262207/default/table" xr:uid="{0D621963-E3C7-4B9B-B926-5BCE5A8D6D77}"/>
    <hyperlink ref="E126" r:id="rId151" display="https://ec.europa.eu/eurostat/databrowser/view/DS-056120__custom_6262207/default/table" xr:uid="{82693FF1-77C1-4D82-9B9B-92E1821C7615}"/>
    <hyperlink ref="E27" r:id="rId152" display="https://ec.europa.eu/eurostat/databrowser/view/DS-056120__custom_6262207/default/table" xr:uid="{D4D8697C-AAF5-44B1-A048-9171EF7B6E4B}"/>
    <hyperlink ref="E34" r:id="rId153" display="https://ec.europa.eu/eurostat/databrowser/view/DS-056120__custom_6262207/default/table" xr:uid="{A6D97456-8E83-4AB6-88A3-5F71D4098ED8}"/>
    <hyperlink ref="E150" r:id="rId154" display="https://ec.europa.eu/eurostat/databrowser/view/DS-056120__custom_6262207/default/table" xr:uid="{E133C31D-C0C5-4F14-B569-065A73D20BE2}"/>
    <hyperlink ref="E115" r:id="rId155" display="https://ec.europa.eu/eurostat/databrowser/view/DS-056120__custom_6262207/default/table" xr:uid="{FE00349D-0653-40B4-B783-B64B1D8A695A}"/>
    <hyperlink ref="E141" r:id="rId156" display="https://ec.europa.eu/eurostat/databrowser/view/DS-056120__custom_6262207/default/table" xr:uid="{F2FEF57D-DE2B-4C43-8108-45BF3C46B09D}"/>
    <hyperlink ref="E240" r:id="rId157" display="https://ec.europa.eu/eurostat/databrowser/view/DS-056120__custom_6262207/default/table" xr:uid="{16B96ACE-53B8-498F-9747-0C847F64ABFE}"/>
    <hyperlink ref="E225" r:id="rId158" display="https://ec.europa.eu/eurostat/databrowser/view/DS-056120__custom_6262207/default/table" xr:uid="{31C7C261-551F-4EAD-BC3B-E46FF0C79C14}"/>
    <hyperlink ref="E171" r:id="rId159" display="https://ec.europa.eu/eurostat/databrowser/view/DS-056120__custom_6262207/default/table" xr:uid="{769E7599-9127-4B8B-9EAF-ABE7DCBD380C}"/>
    <hyperlink ref="E201" r:id="rId160" display="https://ec.europa.eu/eurostat/databrowser/view/DS-056120__custom_6262207/default/table" xr:uid="{68463E13-6E0E-4DFF-ACCB-66F7057491EA}"/>
    <hyperlink ref="E58" r:id="rId161" display="https://ec.europa.eu/eurostat/databrowser/view/DS-056120__custom_6262207/default/table" xr:uid="{B1BAD422-A809-46D7-AA61-90F0BE062EE0}"/>
    <hyperlink ref="E63" r:id="rId162" display="https://ec.europa.eu/eurostat/databrowser/view/DS-056120__custom_6262207/default/table" xr:uid="{CB994268-37AB-410F-B82F-6B516375B137}"/>
    <hyperlink ref="E197" r:id="rId163" display="https://ec.europa.eu/eurostat/databrowser/view/DS-056120__custom_6262207/default/table" xr:uid="{80BE37EE-119E-4B69-9C58-BE0FDE3159B7}"/>
    <hyperlink ref="E133" r:id="rId164" display="https://ec.europa.eu/eurostat/databrowser/view/DS-056120__custom_6262207/default/table" xr:uid="{041C1D80-4F63-4006-A16B-B656D574C575}"/>
    <hyperlink ref="E12" r:id="rId165" display="https://ec.europa.eu/eurostat/databrowser/view/DS-056120__custom_6262207/default/table" xr:uid="{AF1D3306-F2B6-4439-90D1-9E73ACF20B8A}"/>
    <hyperlink ref="E33" r:id="rId166" display="https://ec.europa.eu/eurostat/databrowser/view/DS-056120__custom_6262207/default/table" xr:uid="{92AFF34D-7BC9-49F2-AD78-3C0D20E365DD}"/>
    <hyperlink ref="E99" r:id="rId167" display="https://ec.europa.eu/eurostat/databrowser/view/DS-056120__custom_6262207/default/table" xr:uid="{7ED05963-9324-4F91-B364-C6EC2785AD1B}"/>
    <hyperlink ref="E113" r:id="rId168" display="https://ec.europa.eu/eurostat/databrowser/view/DS-056120__custom_6262207/default/table" xr:uid="{3D317347-D6DD-4EEC-9E03-2DE3F444C134}"/>
    <hyperlink ref="E110" r:id="rId169" display="https://ec.europa.eu/eurostat/databrowser/view/DS-056120__custom_6262207/default/table" xr:uid="{DDDD2028-2C14-4D01-AFCC-1D87571A3696}"/>
    <hyperlink ref="E239" r:id="rId170" display="https://ec.europa.eu/eurostat/databrowser/view/DS-056120__custom_6262207/default/table" xr:uid="{7AE4B0B4-ED3E-425B-8B69-C93BC85A5605}"/>
    <hyperlink ref="E224" r:id="rId171" display="https://ec.europa.eu/eurostat/databrowser/view/DS-056120__custom_6262207/default/table" xr:uid="{C8009921-A7AA-46AD-987D-81DCB09E2301}"/>
    <hyperlink ref="E168" r:id="rId172" display="https://ec.europa.eu/eurostat/databrowser/view/DS-056120__custom_6262207/default/table" xr:uid="{AF8C82B7-10DD-494D-8298-C0ADBC31567C}"/>
    <hyperlink ref="E203" r:id="rId173" display="https://ec.europa.eu/eurostat/databrowser/view/DS-056120__custom_6262207/default/table" xr:uid="{1E619868-110F-4C8A-B3BE-38BDF11C05AB}"/>
    <hyperlink ref="E72" r:id="rId174" display="https://ec.europa.eu/eurostat/databrowser/view/DS-056120__custom_6262207/default/table" xr:uid="{608736EC-F429-4871-AFB2-5ADB95C2CDBD}"/>
    <hyperlink ref="E57" r:id="rId175" display="https://ec.europa.eu/eurostat/databrowser/view/DS-056120__custom_6262207/default/table" xr:uid="{901A35B7-7057-4675-88CC-1307507350CD}"/>
    <hyperlink ref="E176" r:id="rId176" display="https://ec.europa.eu/eurostat/databrowser/view/DS-056120__custom_6262207/default/table" xr:uid="{3D587A61-DCF6-4D5C-BA5A-91A3086604D1}"/>
    <hyperlink ref="E127" r:id="rId177" display="https://ec.europa.eu/eurostat/databrowser/view/DS-056120__custom_6262207/default/table" xr:uid="{6A041EE5-B9A5-4F6F-9F0A-240E2FFABF91}"/>
    <hyperlink ref="E14" r:id="rId178" display="https://ec.europa.eu/eurostat/databrowser/view/DS-056120__custom_6262207/default/table" xr:uid="{4C0D2C55-85E2-484D-8C64-75A10365D645}"/>
    <hyperlink ref="E38" r:id="rId179" display="https://ec.europa.eu/eurostat/databrowser/view/DS-056120__custom_6262207/default/table" xr:uid="{0226B09A-E1CC-474D-B4D6-19C23E76EF19}"/>
    <hyperlink ref="E86" r:id="rId180" display="https://ec.europa.eu/eurostat/databrowser/view/DS-056120__custom_6262207/default/table" xr:uid="{826958D0-927E-41E3-AD64-6720912CC4C0}"/>
    <hyperlink ref="E109" r:id="rId181" display="https://ec.europa.eu/eurostat/databrowser/view/DS-056120__custom_6262207/default/table" xr:uid="{F784F533-D1B4-4218-9FDD-2867F36D7117}"/>
    <hyperlink ref="E111" r:id="rId182" display="https://ec.europa.eu/eurostat/databrowser/view/DS-056120__custom_6262207/default/table" xr:uid="{97F0828C-ED62-4383-8282-5F444E598589}"/>
    <hyperlink ref="E238" r:id="rId183" display="https://ec.europa.eu/eurostat/databrowser/view/DS-056120__custom_6262207/default/table" xr:uid="{20E60270-3DFA-437B-9E1F-44B7C2AA1973}"/>
    <hyperlink ref="E234" r:id="rId184" display="https://ec.europa.eu/eurostat/databrowser/view/DS-056120__custom_6262207/default/table" xr:uid="{72E5A5A9-07B8-43B6-902F-9CD52E4A4CF0}"/>
    <hyperlink ref="E177" r:id="rId185" display="https://ec.europa.eu/eurostat/databrowser/view/DS-056120__custom_6262207/default/table" xr:uid="{C91CF5EE-5BA4-47C5-B331-70DA9126DE93}"/>
    <hyperlink ref="E209" r:id="rId186" display="https://ec.europa.eu/eurostat/databrowser/view/DS-056120__custom_6262207/default/table" xr:uid="{4F0A5CC5-88A4-4E43-900E-0B14E63D07B6}"/>
    <hyperlink ref="E74" r:id="rId187" display="https://ec.europa.eu/eurostat/databrowser/view/DS-056120__custom_6262207/default/table" xr:uid="{8C404125-896C-4532-904A-0D0D1DDD404E}"/>
    <hyperlink ref="E60" r:id="rId188" display="https://ec.europa.eu/eurostat/databrowser/view/DS-056120__custom_6262207/default/table" xr:uid="{D3E36456-205A-4CD9-8511-7681009BC63F}"/>
    <hyperlink ref="E194" r:id="rId189" display="https://ec.europa.eu/eurostat/databrowser/view/DS-056120__custom_6262207/default/table" xr:uid="{8CAA602F-6737-4200-AA82-CA7DF4C6F530}"/>
    <hyperlink ref="E134" r:id="rId190" display="https://ec.europa.eu/eurostat/databrowser/view/DS-056120__custom_6262207/default/table" xr:uid="{26D5C41C-7245-4AF9-97DF-6D2C7EB9D419}"/>
    <hyperlink ref="E18" r:id="rId191" display="https://ec.europa.eu/eurostat/databrowser/view/DS-056120__custom_6262207/default/table" xr:uid="{1C795AD4-2E8B-41B9-A34A-6313F818E873}"/>
    <hyperlink ref="E41" r:id="rId192" display="https://ec.europa.eu/eurostat/databrowser/view/DS-056120__custom_6262207/default/table" xr:uid="{08AEF4D2-53EE-4365-BBFD-0965193F9DB8}"/>
    <hyperlink ref="E144" r:id="rId193" display="https://ec.europa.eu/eurostat/databrowser/view/DS-056120__custom_6262207/default/table" xr:uid="{62DDAD73-F647-4324-8F42-8C9F4E4F6AF7}"/>
    <hyperlink ref="E100" r:id="rId194" display="https://ec.europa.eu/eurostat/databrowser/view/DS-056120__custom_6262207/default/table" xr:uid="{CE8BCEEF-FF81-4BD6-A0DA-BE888F8BB560}"/>
    <hyperlink ref="E130" r:id="rId195" display="https://ec.europa.eu/eurostat/databrowser/view/DS-056120__custom_6262207/default/table" xr:uid="{0AA9ECEA-2640-4F80-9247-5FBC49401508}"/>
    <hyperlink ref="E247" r:id="rId196" display="https://ec.europa.eu/eurostat/databrowser/view/DS-056120__custom_6262207/default/table" xr:uid="{7817AB04-9B50-41FC-9B08-84E8F07D32DF}"/>
    <hyperlink ref="E235" r:id="rId197" display="https://ec.europa.eu/eurostat/databrowser/view/DS-056120__custom_6262207/default/table" xr:uid="{66D6C95F-C0C0-4822-B11B-94CAE02DF53B}"/>
    <hyperlink ref="E178" r:id="rId198" display="https://ec.europa.eu/eurostat/databrowser/view/DS-056120__custom_6262207/default/table" xr:uid="{A171EA28-D68C-4B99-8211-B7B666FBEC36}"/>
    <hyperlink ref="E210" r:id="rId199" display="https://ec.europa.eu/eurostat/databrowser/view/DS-056120__custom_6262207/default/table" xr:uid="{71747C53-B463-4812-9862-EDD76572F0A2}"/>
    <hyperlink ref="E75" r:id="rId200" display="https://ec.europa.eu/eurostat/databrowser/view/DS-056120__custom_6262207/default/table" xr:uid="{CFD62BAB-362F-4FA4-939C-37533F65834B}"/>
    <hyperlink ref="E61" r:id="rId201" display="https://ec.europa.eu/eurostat/databrowser/view/DS-056120__custom_6262207/default/table" xr:uid="{DD67316C-31B0-4B5D-9D6C-6E0D3B4B9515}"/>
    <hyperlink ref="E195" r:id="rId202" display="https://ec.europa.eu/eurostat/databrowser/view/DS-056120__custom_6262207/default/table" xr:uid="{BBA6A314-0531-4EA2-923F-C379BAC91588}"/>
    <hyperlink ref="E135" r:id="rId203" display="https://ec.europa.eu/eurostat/databrowser/view/DS-056120__custom_6262207/default/table" xr:uid="{13566B24-11A3-46A2-91B0-8625F85F1AD6}"/>
    <hyperlink ref="E19" r:id="rId204" display="https://ec.europa.eu/eurostat/databrowser/view/DS-056120__custom_6262207/default/table" xr:uid="{3015EAB3-E040-4E45-8778-25FA498CC468}"/>
    <hyperlink ref="E42" r:id="rId205" display="https://ec.europa.eu/eurostat/databrowser/view/DS-056120__custom_6262207/default/table" xr:uid="{42CCC44D-A66E-44E4-9774-1E9ABB6A3373}"/>
    <hyperlink ref="E145" r:id="rId206" display="https://ec.europa.eu/eurostat/databrowser/view/DS-056120__custom_6262207/default/table" xr:uid="{5EC0482C-DE28-44EB-BBF5-51B9193E7D2C}"/>
    <hyperlink ref="E101" r:id="rId207" display="https://ec.europa.eu/eurostat/databrowser/view/DS-056120__custom_6262207/default/table" xr:uid="{87B01286-2E71-429C-BCA3-FAAD5E278319}"/>
    <hyperlink ref="E131" r:id="rId208" display="https://ec.europa.eu/eurostat/databrowser/view/DS-056120__custom_6262207/default/table" xr:uid="{96D9BF63-E647-4966-8038-65E2C055D15E}"/>
    <hyperlink ref="E248" r:id="rId209" display="https://ec.europa.eu/eurostat/databrowser/view/DS-056120__custom_6262207/default/table" xr:uid="{7FD831EF-1A56-4E1B-BD25-8399B6CD3424}"/>
    <hyperlink ref="E236" r:id="rId210" display="https://ec.europa.eu/eurostat/databrowser/view/DS-056120__custom_6262207/default/table" xr:uid="{BFF6B099-FCBD-4E52-A9C6-9B1D9452977E}"/>
    <hyperlink ref="E179" r:id="rId211" display="https://ec.europa.eu/eurostat/databrowser/view/DS-056120__custom_6262207/default/table" xr:uid="{2F10BC12-6DB5-4C48-8243-2C5794E98216}"/>
    <hyperlink ref="E211" r:id="rId212" display="https://ec.europa.eu/eurostat/databrowser/view/DS-056120__custom_6262207/default/table" xr:uid="{278952B1-18D5-4E14-86DF-6B4C696242FD}"/>
    <hyperlink ref="E76" r:id="rId213" display="https://ec.europa.eu/eurostat/databrowser/view/DS-056120__custom_6262207/default/table" xr:uid="{37873748-E433-417C-A313-285794212AF9}"/>
    <hyperlink ref="E62" r:id="rId214" display="https://ec.europa.eu/eurostat/databrowser/view/DS-056120__custom_6262207/default/table" xr:uid="{B7A47D6C-7043-4C44-B677-9CCD376D12C8}"/>
    <hyperlink ref="E196" r:id="rId215" display="https://ec.europa.eu/eurostat/databrowser/view/DS-056120__custom_6262207/default/table" xr:uid="{51BCA18D-8DCF-4FFE-8E94-9B6820511BC4}"/>
    <hyperlink ref="E136" r:id="rId216" display="https://ec.europa.eu/eurostat/databrowser/view/DS-056120__custom_6262207/default/table" xr:uid="{68D3F1DB-22A9-4DE4-B7D0-5C0B7AAC473A}"/>
    <hyperlink ref="E20" r:id="rId217" display="https://ec.europa.eu/eurostat/databrowser/view/DS-056120__custom_6262207/default/table" xr:uid="{F6D22C49-AFEF-4358-BB45-D3E808DD9F2E}"/>
    <hyperlink ref="E43" r:id="rId218" display="https://ec.europa.eu/eurostat/databrowser/view/DS-056120__custom_6262207/default/table" xr:uid="{CAC95941-05AE-4370-B277-77A7EF016499}"/>
    <hyperlink ref="E146" r:id="rId219" display="https://ec.europa.eu/eurostat/databrowser/view/DS-056120__custom_6262207/default/table" xr:uid="{6DD7905D-FEBB-49BF-8382-7463224C935D}"/>
    <hyperlink ref="E102" r:id="rId220" display="https://ec.europa.eu/eurostat/databrowser/view/DS-056120__custom_6262207/default/table" xr:uid="{9E411710-96EF-437D-B541-9C8F60532D32}"/>
    <hyperlink ref="E132" r:id="rId221" display="https://ec.europa.eu/eurostat/databrowser/view/DS-056120__custom_6262207/default/table" xr:uid="{FEA9DAFD-4875-4A85-8C86-88E7F4383CED}"/>
    <hyperlink ref="E249" r:id="rId222" display="https://ec.europa.eu/eurostat/databrowser/view/DS-056120__custom_6262207/default/table" xr:uid="{9FBC692E-E282-46A3-B785-A0F52CE38BD3}"/>
    <hyperlink ref="E242" r:id="rId223" display="https://ec.europa.eu/eurostat/databrowser/view/DS-056120__custom_6262207/default/table" xr:uid="{5D35F766-3790-4200-8B6D-A39DDA275137}"/>
    <hyperlink ref="E185" r:id="rId224" display="https://ec.europa.eu/eurostat/databrowser/view/DS-056120__custom_6262207/default/table" xr:uid="{F4B2E493-B7AC-4840-AC22-FDCFD1D96DAE}"/>
    <hyperlink ref="E218" r:id="rId225" display="https://ec.europa.eu/eurostat/databrowser/view/DS-056120__custom_6262207/default/table" xr:uid="{F500FA7F-4BDB-48CA-AD66-AE98C43CB65B}"/>
    <hyperlink ref="E87" r:id="rId226" display="https://ec.europa.eu/eurostat/databrowser/view/DS-056120__custom_6262207/default/table" xr:uid="{FFD7EC30-E38C-416B-837A-913A8D1A8146}"/>
    <hyperlink ref="E78" r:id="rId227" display="https://ec.europa.eu/eurostat/databrowser/view/DS-056120__custom_6262207/default/table" xr:uid="{ED219F9F-3726-41DB-8365-4FAC504C3009}"/>
    <hyperlink ref="E200" r:id="rId228" display="https://ec.europa.eu/eurostat/databrowser/view/DS-056120__custom_6262207/default/table" xr:uid="{6BE40070-B095-4ED4-8A1B-FEB4A7ABA7D4}"/>
    <hyperlink ref="E117" r:id="rId229" display="https://ec.europa.eu/eurostat/databrowser/view/DS-056120__custom_6262207/default/table" xr:uid="{5B8B5CDD-CADD-4C9B-8913-3416B92C7BB3}"/>
    <hyperlink ref="E17" r:id="rId230" display="https://ec.europa.eu/eurostat/databrowser/view/DS-056120__custom_6262207/default/table" xr:uid="{977F4B55-93E1-4B7E-AACC-75F9BF5181A3}"/>
    <hyperlink ref="E35" r:id="rId231" display="https://ec.europa.eu/eurostat/databrowser/view/DS-056120__custom_6262207/default/table" xr:uid="{242D98B5-229C-42C4-BEC7-BF5F7C15254E}"/>
    <hyperlink ref="E114" r:id="rId232" display="https://ec.europa.eu/eurostat/databrowser/view/DS-056120__custom_6262207/default/table" xr:uid="{2A450C07-BD51-45C3-9726-7FD67E387665}"/>
    <hyperlink ref="E94" r:id="rId233" display="https://ec.europa.eu/eurostat/databrowser/view/DS-056120__custom_6262207/default/table" xr:uid="{4D597B80-2FEC-47FA-AA46-F39186C3B129}"/>
    <hyperlink ref="E161" r:id="rId234" display="https://ec.europa.eu/eurostat/databrowser/view/DS-056120__custom_6262207/default/table" xr:uid="{2505E8E8-0056-4B1D-B5DB-E4140A89038F}"/>
    <hyperlink ref="E245" r:id="rId235" display="https://ec.europa.eu/eurostat/databrowser/view/DS-056120__custom_6262207/default/table" xr:uid="{DBBCE1BF-CD6F-407B-9712-0E60CB7ED289}"/>
    <hyperlink ref="E243" r:id="rId236" display="https://ec.europa.eu/eurostat/databrowser/view/DS-056120__custom_6262207/default/table" xr:uid="{9E326D87-33FD-49D5-B235-1F28B585F3E0}"/>
    <hyperlink ref="E191" r:id="rId237" display="https://ec.europa.eu/eurostat/databrowser/view/DS-056120__custom_6262207/default/table" xr:uid="{CF7DD899-9958-49F0-BBA0-EDA31521E10B}"/>
    <hyperlink ref="E213" r:id="rId238" display="https://ec.europa.eu/eurostat/databrowser/view/DS-056120__custom_6262207/default/table" xr:uid="{3F164E0F-1342-41CC-B1A5-57536318942B}"/>
    <hyperlink ref="E90" r:id="rId239" display="https://ec.europa.eu/eurostat/databrowser/view/DS-056120__custom_6262207/default/table" xr:uid="{FAFB1296-3EFF-4DE5-85AC-3714939D5AB4}"/>
    <hyperlink ref="E84" r:id="rId240" display="https://ec.europa.eu/eurostat/databrowser/view/DS-056120__custom_6262207/default/table" xr:uid="{44DA203A-4BC5-4CFE-91B2-52BC1C50CD07}"/>
    <hyperlink ref="E199" r:id="rId241" display="https://ec.europa.eu/eurostat/databrowser/view/DS-056120__custom_6262207/default/table" xr:uid="{5068F117-ECA6-420E-B382-A7DC980D70C2}"/>
    <hyperlink ref="E125" r:id="rId242" display="https://ec.europa.eu/eurostat/databrowser/view/DS-056120__custom_6262207/default/table" xr:uid="{723CF9BB-211A-48CB-8EC4-34C2D8304898}"/>
    <hyperlink ref="E24" r:id="rId243" display="https://ec.europa.eu/eurostat/databrowser/view/DS-056120__custom_6262207/default/table" xr:uid="{612A7FA5-9636-4C1A-A489-E877CAA38CEF}"/>
    <hyperlink ref="E46" r:id="rId244" display="https://ec.europa.eu/eurostat/databrowser/view/DS-056120__custom_6262207/default/table" xr:uid="{B2DAF263-42D6-4727-A097-E8C16B2318E0}"/>
    <hyperlink ref="E119" r:id="rId245" display="https://ec.europa.eu/eurostat/databrowser/view/DS-056120__custom_6262207/default/table" xr:uid="{490BD6DC-AD0A-4AF9-96F7-D8A453BE22CF}"/>
    <hyperlink ref="E95" r:id="rId246" display="https://ec.europa.eu/eurostat/databrowser/view/DS-056120__custom_6262207/default/table" xr:uid="{366BAA97-82E2-4E64-8A28-BF3CFA3592E9}"/>
    <hyperlink ref="E157" r:id="rId247" display="https://ec.europa.eu/eurostat/databrowser/view/DS-056120__custom_6262207/default/table" xr:uid="{9842C3D9-E46E-4B6C-A2CB-0C40F70379D2}"/>
    <hyperlink ref="E253" r:id="rId248" display="https://ec.europa.eu/eurostat/databrowser/view/DS-056120__custom_6262207/default/table" xr:uid="{38912661-C5C5-4B6C-B34F-30957ED166C5}"/>
    <hyperlink ref="E268" r:id="rId249" display="https://ec.europa.eu/eurostat/databrowser/view/DS-056120__custom_6262207/default/table" xr:uid="{FD456AA6-4075-434B-BE47-0A0BB17041C6}"/>
    <hyperlink ref="E269" r:id="rId250" display="https://ec.europa.eu/eurostat/databrowser/view/DS-056120__custom_6262207/default/table" xr:uid="{020C4771-6587-492F-9A1F-E93A40818F28}"/>
    <hyperlink ref="E270" r:id="rId251" display="https://ec.europa.eu/eurostat/databrowser/view/DS-056120__custom_6262207/default/table" xr:uid="{6AD4BA07-480E-411E-BB9B-39B8AAEFA58F}"/>
    <hyperlink ref="E271" r:id="rId252" display="https://ec.europa.eu/eurostat/databrowser/view/DS-056120__custom_6262207/default/table" xr:uid="{60444564-C065-4873-BA15-396495078D29}"/>
    <hyperlink ref="E272" r:id="rId253" display="https://ec.europa.eu/eurostat/databrowser/view/DS-056120__custom_6262207/default/table" xr:uid="{E7599506-B1F4-4C91-B49D-631C496140F8}"/>
    <hyperlink ref="E273" r:id="rId254" display="https://ec.europa.eu/eurostat/databrowser/view/DS-056120__custom_6262207/default/table" xr:uid="{D2A47E1F-9604-4319-AFC4-6A0C829059B0}"/>
    <hyperlink ref="E274" r:id="rId255" display="https://ec.europa.eu/eurostat/databrowser/view/DS-056120__custom_6262207/default/table" xr:uid="{1FEC6A75-B13F-4B09-AA99-872C3AF97166}"/>
    <hyperlink ref="E275" r:id="rId256" display="https://ec.europa.eu/eurostat/databrowser/view/DS-056120__custom_6262207/default/table" xr:uid="{7E310A14-5E53-4B2A-B0CD-B61D412A15CE}"/>
    <hyperlink ref="E276" r:id="rId257" display="https://ec.europa.eu/eurostat/databrowser/view/DS-056120__custom_6262207/default/table" xr:uid="{B43F55F6-1088-4304-93BD-5CE3696523D7}"/>
    <hyperlink ref="E277" r:id="rId258" display="https://ec.europa.eu/eurostat/databrowser/view/DS-056120__custom_6262207/default/table" xr:uid="{188D2D3A-C29E-474D-AFF7-1776EAE5A660}"/>
    <hyperlink ref="E278" r:id="rId259" display="https://ec.europa.eu/eurostat/databrowser/view/DS-056120__custom_6262207/default/table" xr:uid="{B5D053B4-7633-4E46-9322-C623BBA98846}"/>
    <hyperlink ref="E279" r:id="rId260" display="https://ec.europa.eu/eurostat/databrowser/view/DS-056120__custom_6262207/default/table" xr:uid="{36A56383-3EC2-4D98-A155-00C2A54D7A1F}"/>
    <hyperlink ref="E280" r:id="rId261" display="https://ec.europa.eu/eurostat/databrowser/view/DS-056120__custom_6262207/default/table" xr:uid="{2231A592-FA55-4770-AD97-6F58FB88558B}"/>
    <hyperlink ref="E281" r:id="rId262" display="https://ec.europa.eu/eurostat/databrowser/view/DS-056120__custom_6262207/default/table" xr:uid="{328DA63B-104A-4F4D-AE6F-82F452AEF556}"/>
    <hyperlink ref="E282" r:id="rId263" display="https://ec.europa.eu/eurostat/databrowser/view/DS-056120__custom_6262207/default/table" xr:uid="{0C8ED762-59A5-42AA-A8E5-B7443175F15C}"/>
    <hyperlink ref="E283" r:id="rId264" display="https://ec.europa.eu/eurostat/databrowser/view/DS-056120__custom_6262207/default/table" xr:uid="{0D7727EB-D181-4A2E-8F91-51E204126989}"/>
    <hyperlink ref="E284" r:id="rId265" display="https://ec.europa.eu/eurostat/databrowser/view/DS-056120__custom_6262207/default/table" xr:uid="{3B4419CC-34F6-4132-AAC9-2924BF9B79A6}"/>
    <hyperlink ref="E285" r:id="rId266" display="https://ec.europa.eu/eurostat/databrowser/view/DS-056120__custom_6262207/default/table" xr:uid="{D243E669-05ED-4A45-B555-E083ED95E3BA}"/>
    <hyperlink ref="E286" r:id="rId267" display="https://ec.europa.eu/eurostat/databrowser/view/DS-056120__custom_6262207/default/table" xr:uid="{748B6E5B-8D71-4F10-8B08-97F027A7F388}"/>
    <hyperlink ref="E287" r:id="rId268" display="https://ec.europa.eu/eurostat/databrowser/view/DS-056120__custom_6262207/default/table" xr:uid="{19331325-648D-4600-9C4F-D84AFDD48970}"/>
    <hyperlink ref="E288" r:id="rId269" display="https://ec.europa.eu/eurostat/databrowser/view/DS-056120__custom_6262207/default/table" xr:uid="{2E767DF8-7D5E-437E-8928-0B9C74451E53}"/>
    <hyperlink ref="E289" r:id="rId270" display="https://ec.europa.eu/eurostat/databrowser/view/DS-056120__custom_6262207/default/table" xr:uid="{3B33F15E-98C6-4CCD-A23C-817ED8C35E3C}"/>
    <hyperlink ref="E290" r:id="rId271" display="https://ec.europa.eu/eurostat/databrowser/view/DS-056120__custom_6262207/default/table" xr:uid="{B253F8D4-25EB-4797-A35E-99CAC56AD666}"/>
    <hyperlink ref="E291" r:id="rId272" display="https://ec.europa.eu/eurostat/databrowser/view/DS-056120__custom_6262207/default/table" xr:uid="{B6123721-E6B4-4DD4-8FBA-EBF9261E9950}"/>
    <hyperlink ref="E292" r:id="rId273" display="https://ec.europa.eu/eurostat/databrowser/view/DS-056120__custom_6262207/default/table" xr:uid="{BC21A54F-1627-492C-8B53-BA4B51E50AAA}"/>
    <hyperlink ref="E293" r:id="rId274" display="https://ec.europa.eu/eurostat/databrowser/view/DS-056120__custom_6262207/default/table" xr:uid="{4748E617-9739-4FD3-9824-42393325AB20}"/>
    <hyperlink ref="E294" r:id="rId275" display="https://ec.europa.eu/eurostat/databrowser/view/DS-056120__custom_6262207/default/table" xr:uid="{F7B82879-D75D-4937-BD8C-E5BBF30D312D}"/>
    <hyperlink ref="E295" r:id="rId276" display="https://ec.europa.eu/eurostat/databrowser/view/DS-056120__custom_6262207/default/table" xr:uid="{467DC69E-D477-4126-89B6-71F2758FB875}"/>
    <hyperlink ref="E296" r:id="rId277" display="https://ec.europa.eu/eurostat/databrowser/view/DS-056120__custom_6262207/default/table" xr:uid="{888E0D74-E5F1-4AD8-9D09-3A3129A8AA6D}"/>
    <hyperlink ref="E297" r:id="rId278" display="https://ec.europa.eu/eurostat/databrowser/view/DS-056120__custom_6262207/default/table" xr:uid="{335DA9B8-586F-49B3-A8D4-514FECF9C18C}"/>
    <hyperlink ref="E298" r:id="rId279" display="https://ec.europa.eu/eurostat/databrowser/view/DS-056120__custom_6262207/default/table" xr:uid="{29396490-C53A-454A-ACDE-043ABEF349B0}"/>
    <hyperlink ref="E299" r:id="rId280" display="https://ec.europa.eu/eurostat/databrowser/view/DS-056120__custom_6262207/default/table" xr:uid="{86C4C7B8-3150-4442-86F3-B70D1C36D78A}"/>
    <hyperlink ref="E300" r:id="rId281" display="https://ec.europa.eu/eurostat/databrowser/view/DS-056120__custom_6262207/default/table" xr:uid="{BA494505-CFC6-4BD3-BD3B-94A93B14EEA3}"/>
    <hyperlink ref="E301" r:id="rId282" display="https://ec.europa.eu/eurostat/databrowser/view/DS-056120__custom_6262207/default/table" xr:uid="{6BA730FC-EB5D-43C4-8036-83F73006B519}"/>
    <hyperlink ref="E302" r:id="rId283" display="https://ec.europa.eu/eurostat/databrowser/view/DS-056120__custom_6262207/default/table" xr:uid="{AEC8D50F-E31F-4BEB-A5B3-2BDC5A2D2608}"/>
    <hyperlink ref="E303" r:id="rId284" display="https://ec.europa.eu/eurostat/databrowser/view/DS-056120__custom_6262207/default/table" xr:uid="{7B996ECB-0C4F-4534-A4AD-230A9ABC77D7}"/>
    <hyperlink ref="E304" r:id="rId285" display="https://ec.europa.eu/eurostat/databrowser/view/DS-056120__custom_6262207/default/table" xr:uid="{57725F6F-B365-428D-8C9A-7750ABE66BEC}"/>
    <hyperlink ref="E305" r:id="rId286" display="https://ec.europa.eu/eurostat/databrowser/view/DS-056120__custom_6262207/default/table" xr:uid="{694DCA1D-5B6F-421A-9AE5-569A46815DC6}"/>
    <hyperlink ref="E306" r:id="rId287" display="https://ec.europa.eu/eurostat/databrowser/view/DS-056120__custom_6262207/default/table" xr:uid="{BE3C8F56-9CC7-4E17-9258-C0736AD4FE66}"/>
    <hyperlink ref="E307" r:id="rId288" display="https://ec.europa.eu/eurostat/databrowser/view/DS-056120__custom_6262207/default/table" xr:uid="{D67FAD9B-0F95-4DD5-B9FB-47091AF6BCD3}"/>
    <hyperlink ref="E308" r:id="rId289" display="https://ec.europa.eu/eurostat/databrowser/view/DS-056120__custom_6262207/default/table" xr:uid="{C3A8AC9C-1F34-49E8-873A-B0620FD4CD83}"/>
    <hyperlink ref="E309" r:id="rId290" display="https://ec.europa.eu/eurostat/databrowser/view/DS-056120__custom_6262207/default/table" xr:uid="{A2946427-4055-40E3-8990-98109A3FA1EC}"/>
    <hyperlink ref="E310" r:id="rId291" display="https://ec.europa.eu/eurostat/databrowser/view/DS-056120__custom_6262207/default/table" xr:uid="{DB2CB828-A340-4E51-AC42-C90C8E733357}"/>
    <hyperlink ref="E311" r:id="rId292" display="https://ec.europa.eu/eurostat/databrowser/view/DS-056120__custom_6262207/default/table" xr:uid="{A87FE6C0-6C90-4A1A-98B5-2D6D308E7109}"/>
    <hyperlink ref="E312" r:id="rId293" display="https://ec.europa.eu/eurostat/databrowser/view/DS-056120__custom_6262207/default/table" xr:uid="{DE295E71-9957-4927-A0FE-ADE4E1057798}"/>
    <hyperlink ref="E313" r:id="rId294" display="https://ec.europa.eu/eurostat/databrowser/view/DS-056120__custom_6262207/default/table" xr:uid="{D101FBF4-87B3-4E80-8DD6-E0A934E4D7B5}"/>
    <hyperlink ref="E314" r:id="rId295" display="https://ec.europa.eu/eurostat/databrowser/view/DS-056120__custom_6262207/default/table" xr:uid="{F9F9A612-82CD-46DC-8CF0-0562F4F60294}"/>
    <hyperlink ref="E315" r:id="rId296" display="https://ec.europa.eu/eurostat/databrowser/view/DS-056120__custom_6262207/default/table" xr:uid="{1BBC47DB-AAED-45D2-BD23-21BCEE1456B6}"/>
    <hyperlink ref="E316" r:id="rId297" display="https://ec.europa.eu/eurostat/databrowser/view/DS-056120__custom_6262207/default/table" xr:uid="{D6777486-355E-4470-93D0-68361F9C484B}"/>
    <hyperlink ref="E317" r:id="rId298" display="https://ec.europa.eu/eurostat/databrowser/view/DS-056120__custom_6262207/default/table" xr:uid="{941A825D-7C25-4120-A283-A654B1565D7C}"/>
    <hyperlink ref="E318" r:id="rId299" display="https://ec.europa.eu/eurostat/databrowser/view/DS-056120__custom_6262207/default/table" xr:uid="{2839BAC2-EBAF-4CD3-B52C-B0D3C4B06F6F}"/>
    <hyperlink ref="E319" r:id="rId300" display="https://ec.europa.eu/eurostat/databrowser/view/DS-056120__custom_6262207/default/table" xr:uid="{0E657644-3434-4A0F-BEF1-231B442B134F}"/>
    <hyperlink ref="E320" r:id="rId301" display="https://ec.europa.eu/eurostat/databrowser/view/DS-056120__custom_6262207/default/table" xr:uid="{1761A52B-FEFD-4F65-AC3C-527DE7BA3526}"/>
    <hyperlink ref="E321" r:id="rId302" display="https://ec.europa.eu/eurostat/databrowser/view/DS-056120__custom_6262207/default/table" xr:uid="{62E8DD83-5E53-4E00-84DC-3F8B21EF0F67}"/>
    <hyperlink ref="E322" r:id="rId303" display="https://ec.europa.eu/eurostat/databrowser/view/DS-056120__custom_6262207/default/table" xr:uid="{E6BBAE81-747C-4A28-9C8D-06EFCAC7423B}"/>
    <hyperlink ref="E323" r:id="rId304" display="https://ec.europa.eu/eurostat/databrowser/view/DS-056120__custom_6262207/default/table" xr:uid="{F6A2E8EF-A65C-4F3C-86F3-E9C8655DFEC9}"/>
    <hyperlink ref="E324" r:id="rId305" display="https://ec.europa.eu/eurostat/databrowser/view/DS-056120__custom_6262207/default/table" xr:uid="{216B16AF-19AE-4944-86A6-172210239A88}"/>
    <hyperlink ref="E325" r:id="rId306" display="https://ec.europa.eu/eurostat/databrowser/view/DS-056120__custom_6262207/default/table" xr:uid="{7618D355-2289-45D6-A092-56241BFE5BBF}"/>
    <hyperlink ref="E326" r:id="rId307" display="https://ec.europa.eu/eurostat/databrowser/view/DS-056120__custom_6262207/default/table" xr:uid="{8A69762C-8898-48FF-99B1-317B3833FF60}"/>
    <hyperlink ref="E327" r:id="rId308" display="https://ec.europa.eu/eurostat/databrowser/view/DS-056120__custom_6262207/default/table" xr:uid="{A37BEB00-93EF-4F48-97DE-38C071C09668}"/>
    <hyperlink ref="E328" r:id="rId309" display="https://ec.europa.eu/eurostat/databrowser/view/DS-056120__custom_6262207/default/table" xr:uid="{DE5CA885-051A-424C-99D9-CAB1B9B39634}"/>
    <hyperlink ref="E329" r:id="rId310" display="https://ec.europa.eu/eurostat/databrowser/view/DS-056120__custom_6262207/default/table" xr:uid="{8A68680D-C358-4845-A251-5AFD3CDE7835}"/>
    <hyperlink ref="E330" r:id="rId311" display="https://ec.europa.eu/eurostat/databrowser/view/DS-056120__custom_6262207/default/table" xr:uid="{627CF42F-5EB5-478F-B288-DCAA33C6F988}"/>
    <hyperlink ref="E331" r:id="rId312" display="https://ec.europa.eu/eurostat/databrowser/view/DS-056120__custom_6262207/default/table" xr:uid="{F0AD6AA6-17CC-4B75-9C55-E754B7D28ED4}"/>
    <hyperlink ref="E332" r:id="rId313" display="https://ec.europa.eu/eurostat/databrowser/view/DS-056120__custom_6262207/default/table" xr:uid="{EA0D1B95-3E17-421E-94B2-875D7A225ECA}"/>
    <hyperlink ref="E333" r:id="rId314" display="https://ec.europa.eu/eurostat/databrowser/view/DS-056120__custom_6262207/default/table" xr:uid="{E02FCFAD-986A-4B11-975E-271D10ABA757}"/>
    <hyperlink ref="E334" r:id="rId315" display="https://ec.europa.eu/eurostat/databrowser/view/DS-056120__custom_6262207/default/table" xr:uid="{8EE7A8C6-A17E-4B19-B7F2-A02AFA628768}"/>
    <hyperlink ref="E335" r:id="rId316" display="https://ec.europa.eu/eurostat/databrowser/view/DS-056120__custom_6262207/default/table" xr:uid="{E59C1D46-1BE9-4F1A-AAD7-6088FE6560E8}"/>
    <hyperlink ref="E336" r:id="rId317" display="https://ec.europa.eu/eurostat/databrowser/view/DS-056120__custom_6262207/default/table" xr:uid="{897CEA97-6190-4948-B5DC-D6CF4E398DA8}"/>
    <hyperlink ref="E337" r:id="rId318" display="https://ec.europa.eu/eurostat/databrowser/view/DS-056120__custom_6262207/default/table" xr:uid="{EE8BC9B2-069F-4B84-A0B3-75508AEB1A07}"/>
    <hyperlink ref="E338" r:id="rId319" display="https://ec.europa.eu/eurostat/databrowser/view/DS-056120__custom_6262207/default/table" xr:uid="{AC501496-0581-4806-808A-5A8E307619A2}"/>
    <hyperlink ref="E339" r:id="rId320" display="https://ec.europa.eu/eurostat/databrowser/view/DS-056120__custom_6262207/default/table" xr:uid="{1EB845C1-000B-46F4-9748-8AA752B74191}"/>
    <hyperlink ref="E340" r:id="rId321" display="https://ec.europa.eu/eurostat/databrowser/view/DS-056120__custom_6262207/default/table" xr:uid="{1BACADC9-DD38-4386-9EC6-79DBB266CDE4}"/>
    <hyperlink ref="E341" r:id="rId322" display="https://ec.europa.eu/eurostat/databrowser/view/DS-056120__custom_6262207/default/table" xr:uid="{8559CD28-3949-487A-945F-D1E8DEDEF70E}"/>
    <hyperlink ref="E342" r:id="rId323" display="https://ec.europa.eu/eurostat/databrowser/view/DS-056120__custom_6262207/default/table" xr:uid="{DBE54B43-6EF0-43B8-A577-B226AE859BCC}"/>
    <hyperlink ref="E343" r:id="rId324" display="https://ec.europa.eu/eurostat/databrowser/view/DS-056120__custom_6262207/default/table" xr:uid="{E8DFDC9C-7BBC-49D4-9608-9476210D4145}"/>
    <hyperlink ref="E344" r:id="rId325" display="https://ec.europa.eu/eurostat/databrowser/view/DS-056120__custom_6262207/default/table" xr:uid="{1055A378-CAD7-4221-BE08-971BB34B5CF1}"/>
    <hyperlink ref="E345" r:id="rId326" display="https://ec.europa.eu/eurostat/databrowser/view/DS-056120__custom_6262207/default/table" xr:uid="{1EAC1F75-E41A-4354-9175-8FF7F8D0D56C}"/>
    <hyperlink ref="E346" r:id="rId327" display="https://ec.europa.eu/eurostat/databrowser/view/DS-056120__custom_6262207/default/table" xr:uid="{DF6B9E93-7DBF-441D-A8EE-D17DB8356B9C}"/>
    <hyperlink ref="E347" r:id="rId328" display="https://ec.europa.eu/eurostat/databrowser/view/DS-056120__custom_6262207/default/table" xr:uid="{206E3BD4-E837-4ED7-BC10-6D52C476F272}"/>
    <hyperlink ref="E348" r:id="rId329" display="https://ec.europa.eu/eurostat/databrowser/view/DS-056120__custom_6262207/default/table" xr:uid="{68C98B2C-4938-46DC-A296-B43BE2E327CF}"/>
    <hyperlink ref="E349" r:id="rId330" display="https://ec.europa.eu/eurostat/databrowser/view/DS-056120__custom_6262207/default/table" xr:uid="{D71D3ECC-DB09-4F55-B15C-4658AC6EF7CB}"/>
    <hyperlink ref="E350" r:id="rId331" display="https://ec.europa.eu/eurostat/databrowser/view/DS-056120__custom_6262207/default/table" xr:uid="{45087012-3213-4431-AE79-15D92F00956E}"/>
    <hyperlink ref="E351" r:id="rId332" display="https://ec.europa.eu/eurostat/databrowser/view/DS-056120__custom_6262207/default/table" xr:uid="{3C2AE8DA-560E-41E8-A693-84AFA50DBEA0}"/>
    <hyperlink ref="E352" r:id="rId333" display="https://ec.europa.eu/eurostat/databrowser/view/DS-056120__custom_6262207/default/table" xr:uid="{14828EF1-CA5A-446B-B040-7CCBB10A2407}"/>
    <hyperlink ref="E353" r:id="rId334" display="https://ec.europa.eu/eurostat/databrowser/view/DS-056120__custom_6262207/default/table" xr:uid="{F4A12B08-7A8E-4C03-9814-7A5A178786C1}"/>
    <hyperlink ref="E354" r:id="rId335" display="https://ec.europa.eu/eurostat/databrowser/view/DS-056120__custom_6262207/default/table" xr:uid="{CCF77E7D-399C-430A-9702-95857EC069C3}"/>
    <hyperlink ref="E355" r:id="rId336" display="https://ec.europa.eu/eurostat/databrowser/view/DS-056120__custom_6262207/default/table" xr:uid="{7CA28300-2912-4B54-BEC0-6247419DE455}"/>
    <hyperlink ref="E356" r:id="rId337" display="https://ec.europa.eu/eurostat/databrowser/view/DS-056120__custom_6262207/default/table" xr:uid="{F1481316-3B65-4ADE-8420-92FF7B9434A8}"/>
    <hyperlink ref="E357" r:id="rId338" display="https://ec.europa.eu/eurostat/databrowser/view/DS-056120__custom_6262207/default/table" xr:uid="{26CA70B9-0B7E-464A-9BC2-05AD0FC40D35}"/>
    <hyperlink ref="E358" r:id="rId339" display="https://ec.europa.eu/eurostat/databrowser/view/DS-056120__custom_6262207/default/table" xr:uid="{CC4E1054-E141-4245-A5B4-F70B7B5F2754}"/>
    <hyperlink ref="E359" r:id="rId340" display="https://ec.europa.eu/eurostat/databrowser/view/DS-056120__custom_6262207/default/table" xr:uid="{1E783DD0-D910-4135-8638-C8023589AF3D}"/>
    <hyperlink ref="E360" r:id="rId341" display="https://ec.europa.eu/eurostat/databrowser/view/DS-056120__custom_6262207/default/table" xr:uid="{D2BCD5D5-3303-474D-9D2E-ABB617BF3705}"/>
    <hyperlink ref="E361" r:id="rId342" display="https://ec.europa.eu/eurostat/databrowser/view/DS-056120__custom_6262207/default/table" xr:uid="{F7EC44C1-A438-4D0C-A3F8-7F73965FA836}"/>
    <hyperlink ref="E362" r:id="rId343" display="https://ec.europa.eu/eurostat/databrowser/view/DS-056120__custom_6262207/default/table" xr:uid="{C186F1A9-3C55-4EC3-B89B-601D672E1442}"/>
    <hyperlink ref="E363" r:id="rId344" display="https://ec.europa.eu/eurostat/databrowser/view/DS-056120__custom_6262207/default/table" xr:uid="{01C92469-34E8-49C1-947A-CABE649CC2DB}"/>
    <hyperlink ref="E364" r:id="rId345" display="https://ec.europa.eu/eurostat/databrowser/view/DS-056120__custom_6262207/default/table" xr:uid="{A4367C36-2B01-41BE-B8AF-8EFA6258763E}"/>
    <hyperlink ref="E365" r:id="rId346" display="https://ec.europa.eu/eurostat/databrowser/view/DS-056120__custom_6262207/default/table" xr:uid="{19264F4D-A132-40D7-B87F-DE1FD0E27975}"/>
    <hyperlink ref="E366" r:id="rId347" display="https://ec.europa.eu/eurostat/databrowser/view/DS-056120__custom_6262207/default/table" xr:uid="{996D332C-D388-4C55-8FC8-F9A9580E5794}"/>
    <hyperlink ref="E367" r:id="rId348" display="https://ec.europa.eu/eurostat/databrowser/view/DS-056120__custom_6262207/default/table" xr:uid="{FE65A306-F659-4E2A-8DD1-90B83F04033D}"/>
    <hyperlink ref="E368" r:id="rId349" display="https://ec.europa.eu/eurostat/databrowser/view/DS-056120__custom_6262207/default/table" xr:uid="{6455DDE7-EA90-47C3-A772-550AE24E47B5}"/>
    <hyperlink ref="E369" r:id="rId350" display="https://ec.europa.eu/eurostat/databrowser/view/DS-056120__custom_6262207/default/table" xr:uid="{471A2C1A-282F-4626-83FA-5BACD7817F06}"/>
    <hyperlink ref="E370" r:id="rId351" display="https://ec.europa.eu/eurostat/databrowser/view/DS-056120__custom_6262207/default/table" xr:uid="{0587D274-CF51-4092-A048-28BCAE644A6E}"/>
    <hyperlink ref="E371" r:id="rId352" display="https://ec.europa.eu/eurostat/databrowser/view/DS-056120__custom_6262207/default/table" xr:uid="{BC9A317D-A37B-4500-9405-E92509D906D2}"/>
    <hyperlink ref="E372" r:id="rId353" display="https://ec.europa.eu/eurostat/databrowser/view/DS-056120__custom_6262207/default/table" xr:uid="{0D51FED6-50A7-403D-8392-04EE62DA41F7}"/>
    <hyperlink ref="E373" r:id="rId354" display="https://ec.europa.eu/eurostat/databrowser/view/DS-056120__custom_6262207/default/table" xr:uid="{7CD24EE9-1A52-488B-8CC9-F695F8BDA3FA}"/>
    <hyperlink ref="E374" r:id="rId355" display="https://ec.europa.eu/eurostat/databrowser/view/DS-056120__custom_6262207/default/table" xr:uid="{1C6EB0DF-B35E-4FAB-9C9F-C8867DAD612D}"/>
    <hyperlink ref="E375" r:id="rId356" display="https://ec.europa.eu/eurostat/databrowser/view/DS-056120__custom_6262207/default/table" xr:uid="{5AFF0967-8B13-437E-B90E-89A3E97E3738}"/>
    <hyperlink ref="E376" r:id="rId357" display="https://ec.europa.eu/eurostat/databrowser/view/DS-056120__custom_6262207/default/table" xr:uid="{0346C3EF-542C-47C6-8D2E-71AD5AF87B4C}"/>
    <hyperlink ref="E377" r:id="rId358" display="https://ec.europa.eu/eurostat/databrowser/view/DS-056120__custom_6262207/default/table" xr:uid="{46F4391F-1291-4A74-A9A5-23AF18A0A0ED}"/>
    <hyperlink ref="E378" r:id="rId359" display="https://ec.europa.eu/eurostat/databrowser/view/DS-056120__custom_6262207/default/table" xr:uid="{AED78288-CF1C-436B-B5FE-8AE928B41157}"/>
    <hyperlink ref="E379" r:id="rId360" display="https://ec.europa.eu/eurostat/databrowser/view/DS-056120__custom_6262207/default/table" xr:uid="{F94AF190-4E49-4AAF-8437-CB11B5BA9A67}"/>
    <hyperlink ref="E380" r:id="rId361" display="https://ec.europa.eu/eurostat/databrowser/view/DS-056120__custom_6262207/default/table" xr:uid="{C0A905F5-6829-4BFB-8F6D-953075EAE791}"/>
    <hyperlink ref="E381" r:id="rId362" display="https://ec.europa.eu/eurostat/databrowser/view/DS-056120__custom_6262207/default/table" xr:uid="{E366385D-BE75-4B69-8D02-CF013D565B1A}"/>
    <hyperlink ref="E382" r:id="rId363" display="https://ec.europa.eu/eurostat/databrowser/view/DS-056120__custom_6262207/default/table" xr:uid="{86A8F9A8-78CF-4251-B010-05FF1C81A5F3}"/>
    <hyperlink ref="E383" r:id="rId364" display="https://ec.europa.eu/eurostat/databrowser/view/DS-056120__custom_6262207/default/table" xr:uid="{A665A25C-3981-4BE8-A7CB-75C6C42F8585}"/>
    <hyperlink ref="E384" r:id="rId365" display="https://ec.europa.eu/eurostat/databrowser/view/DS-056120__custom_6262207/default/table" xr:uid="{957166C7-227A-44E0-9E28-2933878C423F}"/>
    <hyperlink ref="E385" r:id="rId366" display="https://ec.europa.eu/eurostat/databrowser/view/DS-056120__custom_6262207/default/table" xr:uid="{3E79005F-0018-44EB-9A05-15EA78A23614}"/>
    <hyperlink ref="E386" r:id="rId367" display="https://ec.europa.eu/eurostat/databrowser/view/DS-056120__custom_6262207/default/table" xr:uid="{CE630E70-1CCB-41AD-87E8-69D7F018A97D}"/>
    <hyperlink ref="E387" r:id="rId368" display="https://ec.europa.eu/eurostat/databrowser/view/DS-056120__custom_6262207/default/table" xr:uid="{91F374CF-A94E-4AD5-A160-CE519274C4B6}"/>
    <hyperlink ref="E388" r:id="rId369" display="https://ec.europa.eu/eurostat/databrowser/view/DS-056120__custom_6262207/default/table" xr:uid="{315A5A73-53B4-4934-A090-0738B5E074CC}"/>
    <hyperlink ref="E389" r:id="rId370" display="https://ec.europa.eu/eurostat/databrowser/view/DS-056120__custom_6262207/default/table" xr:uid="{76E1C768-F2C7-425F-AA00-9147B050D564}"/>
    <hyperlink ref="E390" r:id="rId371" display="https://ec.europa.eu/eurostat/databrowser/view/DS-056120__custom_6262207/default/table" xr:uid="{5AB8B5D3-9DDA-4037-AEBF-55A0A922AA85}"/>
    <hyperlink ref="E391" r:id="rId372" display="https://ec.europa.eu/eurostat/databrowser/view/DS-056120__custom_6262207/default/table" xr:uid="{42C60B84-AC98-49CB-8D13-08F133F6974E}"/>
    <hyperlink ref="E392" r:id="rId373" display="https://ec.europa.eu/eurostat/databrowser/view/DS-056120__custom_6262207/default/table" xr:uid="{DF4AEA55-06B8-4806-B163-A51BFB8E7DDE}"/>
    <hyperlink ref="E393" r:id="rId374" display="https://ec.europa.eu/eurostat/databrowser/view/DS-056120__custom_6262207/default/table" xr:uid="{886756E9-6A2A-4E23-814B-02485008EDEE}"/>
    <hyperlink ref="E394" r:id="rId375" display="https://ec.europa.eu/eurostat/databrowser/view/DS-056120__custom_6262207/default/table" xr:uid="{3393F6AB-9266-4C2E-9F4F-7314436D1A8C}"/>
    <hyperlink ref="E395" r:id="rId376" display="https://ec.europa.eu/eurostat/databrowser/view/DS-056120__custom_6262207/default/table" xr:uid="{6DD1DA8B-B42F-44E2-9894-15483ACFDC83}"/>
    <hyperlink ref="E396" r:id="rId377" display="https://ec.europa.eu/eurostat/databrowser/view/DS-056120__custom_6262207/default/table" xr:uid="{F883FC44-4811-4AFC-9BDB-6C89F403B6FF}"/>
    <hyperlink ref="E397" r:id="rId378" display="https://ec.europa.eu/eurostat/databrowser/view/DS-056120__custom_6262207/default/table" xr:uid="{859E775F-1D71-4C61-AE24-D7328B475905}"/>
    <hyperlink ref="E398" r:id="rId379" display="https://ec.europa.eu/eurostat/databrowser/view/DS-056120__custom_6262207/default/table" xr:uid="{CA86FAF2-1FAA-45F2-9E46-7524255FED0A}"/>
    <hyperlink ref="E399" r:id="rId380" display="https://ec.europa.eu/eurostat/databrowser/view/DS-056120__custom_6262207/default/table" xr:uid="{2F79D13D-A2CE-4920-9648-F584F9DD34AD}"/>
    <hyperlink ref="E400" r:id="rId381" display="https://ec.europa.eu/eurostat/databrowser/view/DS-056120__custom_6262207/default/table" xr:uid="{0697BF63-5808-484A-AAAD-FE9789243DC5}"/>
    <hyperlink ref="E401" r:id="rId382" display="https://ec.europa.eu/eurostat/databrowser/view/DS-056120__custom_6262207/default/table" xr:uid="{22546579-2F0D-42FA-87F1-7D0D7FA494CB}"/>
    <hyperlink ref="E402" r:id="rId383" display="https://ec.europa.eu/eurostat/databrowser/view/DS-056120__custom_6262207/default/table" xr:uid="{18037198-8DE5-463C-ABFC-3AF04EAF4B36}"/>
    <hyperlink ref="E403" r:id="rId384" display="https://ec.europa.eu/eurostat/databrowser/view/DS-056120__custom_6262207/default/table" xr:uid="{59FDB143-C66D-4428-AD4E-BC5C03335901}"/>
    <hyperlink ref="E404" r:id="rId385" display="https://ec.europa.eu/eurostat/databrowser/view/DS-056120__custom_6262207/default/table" xr:uid="{C70AF2CA-EECF-49B4-B3DE-A51FB34E74C4}"/>
    <hyperlink ref="E405" r:id="rId386" display="https://ec.europa.eu/eurostat/databrowser/view/DS-056120__custom_6262207/default/table" xr:uid="{7A5F78DD-5D39-4700-B757-863F0CF7C2BC}"/>
    <hyperlink ref="E406" r:id="rId387" display="https://ec.europa.eu/eurostat/databrowser/view/DS-056120__custom_6262207/default/table" xr:uid="{DA2B2313-76FB-4E5D-B7CF-E1171615F308}"/>
    <hyperlink ref="E407" r:id="rId388" display="https://ec.europa.eu/eurostat/databrowser/view/DS-056120__custom_6262207/default/table" xr:uid="{E967951B-1582-419C-8AF8-EF42CBC3311D}"/>
    <hyperlink ref="E408" r:id="rId389" display="https://ec.europa.eu/eurostat/databrowser/view/DS-056120__custom_6262207/default/table" xr:uid="{91886F20-BE0E-4186-A64D-B5BC9FA1BBD0}"/>
    <hyperlink ref="E409" r:id="rId390" display="https://ec.europa.eu/eurostat/databrowser/view/DS-056120__custom_6262207/default/table" xr:uid="{050F24CF-3BC4-4642-8B6D-F79004E26C95}"/>
    <hyperlink ref="E410" r:id="rId391" display="https://ec.europa.eu/eurostat/databrowser/view/DS-056120__custom_6262207/default/table" xr:uid="{974853DA-A944-4C27-804E-50549E2C9A6D}"/>
    <hyperlink ref="E411" r:id="rId392" display="https://ec.europa.eu/eurostat/databrowser/view/DS-056120__custom_6262207/default/table" xr:uid="{33EBC6C0-5C32-41DE-84BF-90FF24EB5EA8}"/>
    <hyperlink ref="E412" r:id="rId393" display="https://ec.europa.eu/eurostat/databrowser/view/DS-056120__custom_6262207/default/table" xr:uid="{2C03853D-E138-44B0-A909-E9701F39CE81}"/>
    <hyperlink ref="E413" r:id="rId394" display="https://ec.europa.eu/eurostat/databrowser/view/DS-056120__custom_6262207/default/table" xr:uid="{D0B9F5D3-F7BF-4A38-AA26-EF5A6077C87D}"/>
    <hyperlink ref="E414" r:id="rId395" display="https://ec.europa.eu/eurostat/databrowser/view/DS-056120__custom_6262207/default/table" xr:uid="{0DCDBB2A-F132-430B-AFFA-8745649F68D3}"/>
    <hyperlink ref="E415" r:id="rId396" display="https://ec.europa.eu/eurostat/databrowser/view/DS-056120__custom_6262207/default/table" xr:uid="{480556B7-B5C0-4073-A7B1-1D4D652C6AAE}"/>
    <hyperlink ref="E416" r:id="rId397" display="https://ec.europa.eu/eurostat/databrowser/view/DS-056120__custom_6262207/default/table" xr:uid="{21EB8D5F-0720-4D4C-9888-71D71BAB9243}"/>
    <hyperlink ref="E417" r:id="rId398" display="https://ec.europa.eu/eurostat/databrowser/view/DS-056120__custom_6262207/default/table" xr:uid="{5D9270FC-F0F4-41FB-B986-D819D33FE668}"/>
    <hyperlink ref="E418" r:id="rId399" display="https://ec.europa.eu/eurostat/databrowser/view/DS-056120__custom_6262207/default/table" xr:uid="{3C758D74-33A0-4934-9B58-77D533F0B813}"/>
    <hyperlink ref="E419" r:id="rId400" display="https://ec.europa.eu/eurostat/databrowser/view/DS-056120__custom_6262207/default/table" xr:uid="{FB0E678B-8C92-4112-A215-7B200577A4A2}"/>
    <hyperlink ref="E420" r:id="rId401" display="https://ec.europa.eu/eurostat/databrowser/view/DS-056120__custom_6262207/default/table" xr:uid="{A73071EF-86D3-4C89-9B5B-44000F466B2C}"/>
    <hyperlink ref="E421" r:id="rId402" display="https://ec.europa.eu/eurostat/databrowser/view/DS-056120__custom_6262207/default/table" xr:uid="{99C4D422-2364-4290-B4C8-31AC8704B37E}"/>
    <hyperlink ref="E422" r:id="rId403" display="https://ec.europa.eu/eurostat/databrowser/view/DS-056120__custom_6262207/default/table" xr:uid="{E72B2A1D-F944-440F-84F1-2D90ACFAF80D}"/>
    <hyperlink ref="E423" r:id="rId404" display="https://ec.europa.eu/eurostat/databrowser/view/DS-056120__custom_6262207/default/table" xr:uid="{60C82F5A-2DF2-4545-816D-F136719A1D15}"/>
    <hyperlink ref="E424" r:id="rId405" display="https://ec.europa.eu/eurostat/databrowser/view/DS-056120__custom_6262207/default/table" xr:uid="{4CC8C237-0802-439E-9E3C-D44A7482CD48}"/>
    <hyperlink ref="E425" r:id="rId406" display="https://ec.europa.eu/eurostat/databrowser/view/DS-056120__custom_6262207/default/table" xr:uid="{B2C24E22-70F4-4227-8940-2C43E5AFA686}"/>
    <hyperlink ref="E426" r:id="rId407" display="https://ec.europa.eu/eurostat/databrowser/view/DS-056120__custom_6262207/default/table" xr:uid="{88655300-226F-481F-A98B-54E8E581BF3F}"/>
    <hyperlink ref="E427" r:id="rId408" display="https://ec.europa.eu/eurostat/databrowser/view/DS-056120__custom_6262207/default/table" xr:uid="{5CA94A91-101A-4227-9819-CAACCF7C7B57}"/>
    <hyperlink ref="E428" r:id="rId409" display="https://ec.europa.eu/eurostat/databrowser/view/DS-056120__custom_6262207/default/table" xr:uid="{6768D8A5-CA8D-4B04-9513-AF45365EA152}"/>
    <hyperlink ref="E429" r:id="rId410" display="https://ec.europa.eu/eurostat/databrowser/view/DS-056120__custom_6262207/default/table" xr:uid="{976EA528-93AD-443E-8D1D-A5FD41B1D795}"/>
    <hyperlink ref="E430" r:id="rId411" display="https://ec.europa.eu/eurostat/databrowser/view/DS-056120__custom_6262207/default/table" xr:uid="{4898097F-284F-4B62-A34B-0B98DA679506}"/>
    <hyperlink ref="E431" r:id="rId412" display="https://ec.europa.eu/eurostat/databrowser/view/DS-056120__custom_6262207/default/table" xr:uid="{590C7802-D88E-4870-8F76-6032691F2859}"/>
    <hyperlink ref="E432" r:id="rId413" display="https://ec.europa.eu/eurostat/databrowser/view/DS-056120__custom_6262207/default/table" xr:uid="{D54F5F5C-E9D6-4FCF-A818-32FACFAC7197}"/>
    <hyperlink ref="E433" r:id="rId414" display="https://ec.europa.eu/eurostat/databrowser/view/DS-056120__custom_6262207/default/table" xr:uid="{80305AA0-3271-4EAE-A6F1-8F7B099BB85E}"/>
    <hyperlink ref="E434" r:id="rId415" display="https://ec.europa.eu/eurostat/databrowser/view/DS-056120__custom_6262207/default/table" xr:uid="{CFA833BD-3DAF-4BCC-B7BF-FDF04330AE02}"/>
    <hyperlink ref="E435" r:id="rId416" display="https://ec.europa.eu/eurostat/databrowser/view/DS-056120__custom_6262207/default/table" xr:uid="{021626CE-42EF-4BEA-AE7D-79431959A687}"/>
    <hyperlink ref="E436" r:id="rId417" display="https://ec.europa.eu/eurostat/databrowser/view/DS-056120__custom_6262207/default/table" xr:uid="{8B51069B-7543-48A7-81EE-0579D23FB2B1}"/>
    <hyperlink ref="E437" r:id="rId418" display="https://ec.europa.eu/eurostat/databrowser/view/DS-056120__custom_6262207/default/table" xr:uid="{772F328F-C5D1-41F8-8306-95882F06994C}"/>
    <hyperlink ref="E438" r:id="rId419" display="https://ec.europa.eu/eurostat/databrowser/view/DS-056120__custom_6262207/default/table" xr:uid="{114085F5-176F-4321-BBEA-828042503FB2}"/>
    <hyperlink ref="E439" r:id="rId420" display="https://ec.europa.eu/eurostat/databrowser/view/DS-056120__custom_6262207/default/table" xr:uid="{935AEB98-C4E6-429C-86E6-F279B9FD54A3}"/>
    <hyperlink ref="E440" r:id="rId421" display="https://ec.europa.eu/eurostat/databrowser/view/DS-056120__custom_6262207/default/table" xr:uid="{F3ED4718-9E91-40CB-A392-561AA03C42C8}"/>
    <hyperlink ref="E441" r:id="rId422" display="https://ec.europa.eu/eurostat/databrowser/view/DS-056120__custom_6262207/default/table" xr:uid="{273951AF-80B4-4226-8E29-39864265D70E}"/>
    <hyperlink ref="E442" r:id="rId423" display="https://ec.europa.eu/eurostat/databrowser/view/DS-056120__custom_6262207/default/table" xr:uid="{375F225A-A62F-4168-B2EC-FF2F6A1A76D5}"/>
    <hyperlink ref="E443" r:id="rId424" display="https://ec.europa.eu/eurostat/databrowser/view/DS-056120__custom_6262207/default/table" xr:uid="{44617B4F-D001-4FA3-B733-53219D4422C6}"/>
    <hyperlink ref="E444" r:id="rId425" display="https://ec.europa.eu/eurostat/databrowser/view/DS-056120__custom_6262207/default/table" xr:uid="{29E48C65-1C53-4FAB-87F5-D5A9B9704AEF}"/>
    <hyperlink ref="E445" r:id="rId426" display="https://ec.europa.eu/eurostat/databrowser/view/DS-056120__custom_6262207/default/table" xr:uid="{802C9CA2-FAAB-4553-ABB2-3AB3EBE3C4B7}"/>
    <hyperlink ref="E446" r:id="rId427" display="https://ec.europa.eu/eurostat/databrowser/view/DS-056120__custom_6262207/default/table" xr:uid="{E03AF577-8F6E-42C1-8C38-4187CDD70751}"/>
    <hyperlink ref="E447" r:id="rId428" display="https://ec.europa.eu/eurostat/databrowser/view/DS-056120__custom_6262207/default/table" xr:uid="{422BFBB5-A558-4674-9F37-C1D078C89AC4}"/>
    <hyperlink ref="E448" r:id="rId429" display="https://ec.europa.eu/eurostat/databrowser/view/DS-056120__custom_6262207/default/table" xr:uid="{ED375519-9B13-4F0B-A2C7-74B6D178F6ED}"/>
    <hyperlink ref="E449" r:id="rId430" display="https://ec.europa.eu/eurostat/databrowser/view/DS-056120__custom_6262207/default/table" xr:uid="{217E6867-0200-4FA7-8144-8E33B5215EFD}"/>
    <hyperlink ref="E450" r:id="rId431" display="https://ec.europa.eu/eurostat/databrowser/view/DS-056120__custom_6262207/default/table" xr:uid="{0F8926BD-940B-44D0-91E4-D4CAB6A9F7E4}"/>
    <hyperlink ref="E451" r:id="rId432" display="https://ec.europa.eu/eurostat/databrowser/view/DS-056120__custom_6262207/default/table" xr:uid="{6CD6BC4D-2002-453F-A2A4-28544B0AF7EE}"/>
    <hyperlink ref="E452" r:id="rId433" display="https://ec.europa.eu/eurostat/databrowser/view/DS-056120__custom_6262207/default/table" xr:uid="{F0B02E4B-14F8-4C3B-9E4F-EBB2DD3B8BDB}"/>
    <hyperlink ref="E453" r:id="rId434" display="https://ec.europa.eu/eurostat/databrowser/view/DS-056120__custom_6262207/default/table" xr:uid="{48E879A2-0D3B-4935-847B-2E67528E2A1C}"/>
    <hyperlink ref="E454" r:id="rId435" display="https://ec.europa.eu/eurostat/databrowser/view/DS-056120__custom_6262207/default/table" xr:uid="{CE98B3EC-01C0-4C1B-83C0-73C9439E1661}"/>
    <hyperlink ref="E455" r:id="rId436" display="https://ec.europa.eu/eurostat/databrowser/view/DS-056120__custom_6262207/default/table" xr:uid="{609FA6DE-EE4C-467B-8C7E-0F5203720D2B}"/>
    <hyperlink ref="E456" r:id="rId437" display="https://ec.europa.eu/eurostat/databrowser/view/DS-056120__custom_6262207/default/table" xr:uid="{DBD2E213-AF7F-4302-A212-8659DD80B3DC}"/>
    <hyperlink ref="E457" r:id="rId438" display="https://ec.europa.eu/eurostat/databrowser/view/DS-056120__custom_6262207/default/table" xr:uid="{F36BA05D-9B95-4317-AF04-AC8E04333046}"/>
    <hyperlink ref="E458" r:id="rId439" display="https://ec.europa.eu/eurostat/databrowser/view/DS-056120__custom_6262207/default/table" xr:uid="{9418125E-5DBB-4C44-B7D8-F8D88EC4894A}"/>
    <hyperlink ref="E459" r:id="rId440" display="https://ec.europa.eu/eurostat/databrowser/view/DS-056120__custom_6262207/default/table" xr:uid="{3B7B20EC-C5F8-4D75-A29E-FC7868152515}"/>
    <hyperlink ref="E460" r:id="rId441" display="https://ec.europa.eu/eurostat/databrowser/view/DS-056120__custom_6262207/default/table" xr:uid="{F4DB5DDB-3D1F-4C7F-930B-6A98DF32171B}"/>
    <hyperlink ref="E461" r:id="rId442" display="https://ec.europa.eu/eurostat/databrowser/view/DS-056120__custom_6262207/default/table" xr:uid="{F827E7ED-AC2B-4C21-90DF-9C6D44429DF7}"/>
    <hyperlink ref="E462" r:id="rId443" display="https://ec.europa.eu/eurostat/databrowser/view/DS-056120__custom_6262207/default/table" xr:uid="{6971E499-AE8A-45D7-9D74-E6AD9CCB89FF}"/>
    <hyperlink ref="E463" r:id="rId444" display="https://ec.europa.eu/eurostat/databrowser/view/DS-056120__custom_6262207/default/table" xr:uid="{D336E3E7-EB08-4474-9CFA-230D721887AD}"/>
    <hyperlink ref="E464" r:id="rId445" display="https://ec.europa.eu/eurostat/databrowser/view/DS-056120__custom_6262207/default/table" xr:uid="{B80DD698-908C-4E63-8095-AEE357AAEF06}"/>
    <hyperlink ref="E465" r:id="rId446" display="https://ec.europa.eu/eurostat/databrowser/view/DS-056120__custom_6262207/default/table" xr:uid="{D774DCE3-3DE9-449C-B8D8-7445E3781507}"/>
    <hyperlink ref="E466" r:id="rId447" display="https://ec.europa.eu/eurostat/databrowser/view/DS-056120__custom_6262207/default/table" xr:uid="{E0C1559A-948E-4A1F-85C0-4A553324CE5C}"/>
    <hyperlink ref="E467" r:id="rId448" display="https://ec.europa.eu/eurostat/databrowser/view/DS-056120__custom_6262207/default/table" xr:uid="{19711C98-B808-4309-BFFF-7AFEB1768EC9}"/>
    <hyperlink ref="E468" r:id="rId449" display="https://ec.europa.eu/eurostat/databrowser/view/DS-056120__custom_6262207/default/table" xr:uid="{83AC6CC6-00B4-4638-B77B-DC5F733C7FC5}"/>
    <hyperlink ref="E469" r:id="rId450" display="https://ec.europa.eu/eurostat/databrowser/view/DS-056120__custom_6262207/default/table" xr:uid="{BC026CD7-95FA-4827-A1DA-056256755374}"/>
    <hyperlink ref="E470" r:id="rId451" display="https://ec.europa.eu/eurostat/databrowser/view/DS-056120__custom_6262207/default/table" xr:uid="{4B746491-8A9A-4AAA-9FF6-E981411546D4}"/>
    <hyperlink ref="E471" r:id="rId452" display="https://ec.europa.eu/eurostat/databrowser/view/DS-056120__custom_6262207/default/table" xr:uid="{516ABAA2-FA16-487B-A3F6-001076FB8DCE}"/>
    <hyperlink ref="E472" r:id="rId453" display="https://ec.europa.eu/eurostat/databrowser/view/DS-056120__custom_6262207/default/table" xr:uid="{68470EAB-063C-4B4A-9A14-8CC9A5516C34}"/>
    <hyperlink ref="E473" r:id="rId454" display="https://ec.europa.eu/eurostat/databrowser/view/DS-056120__custom_6262207/default/table" xr:uid="{AA8A5821-B4BB-4927-ABF6-927170F03F37}"/>
    <hyperlink ref="E474" r:id="rId455" display="https://ec.europa.eu/eurostat/databrowser/view/DS-056120__custom_6262207/default/table" xr:uid="{F85E70ED-7BD4-4053-B35C-D587B7791DD2}"/>
    <hyperlink ref="E475" r:id="rId456" display="https://ec.europa.eu/eurostat/databrowser/view/DS-056120__custom_6262207/default/table" xr:uid="{5207847A-09BE-4D6D-A9F1-633EBFA8DBA6}"/>
    <hyperlink ref="E476" r:id="rId457" display="https://ec.europa.eu/eurostat/databrowser/view/DS-056120__custom_6262207/default/table" xr:uid="{8C0CD1F9-64D9-4E4F-83EA-F4BA1A470BAA}"/>
    <hyperlink ref="E477" r:id="rId458" display="https://ec.europa.eu/eurostat/databrowser/view/DS-056120__custom_6262207/default/table" xr:uid="{B5FB34D9-4AE6-4137-BCD9-363C43216B9E}"/>
    <hyperlink ref="E478" r:id="rId459" display="https://ec.europa.eu/eurostat/databrowser/view/DS-056120__custom_6262207/default/table" xr:uid="{CD5739A7-DA9D-4009-A554-E45FCB20E3FD}"/>
    <hyperlink ref="E479" r:id="rId460" display="https://ec.europa.eu/eurostat/databrowser/view/DS-056120__custom_6262207/default/table" xr:uid="{63A67072-4368-4EB4-85BC-7FCDBD5652D7}"/>
    <hyperlink ref="E480" r:id="rId461" display="https://ec.europa.eu/eurostat/databrowser/view/DS-056120__custom_6262207/default/table" xr:uid="{78BFDCF2-715D-4FEE-829C-EFE6760E4BF5}"/>
    <hyperlink ref="E481" r:id="rId462" display="https://ec.europa.eu/eurostat/databrowser/view/DS-056120__custom_6262207/default/table" xr:uid="{A48C456B-8E7F-48AE-A2A2-2D6C4F089254}"/>
    <hyperlink ref="E482" r:id="rId463" display="https://ec.europa.eu/eurostat/databrowser/view/DS-056120__custom_6262207/default/table" xr:uid="{7E91A45B-5428-4136-94A2-273445108B10}"/>
    <hyperlink ref="E483" r:id="rId464" display="https://ec.europa.eu/eurostat/databrowser/view/DS-056120__custom_6262207/default/table" xr:uid="{2E7DDBDE-B4F7-45C3-B5D3-26067F3C4997}"/>
    <hyperlink ref="E484" r:id="rId465" display="https://ec.europa.eu/eurostat/databrowser/view/DS-056120__custom_6262207/default/table" xr:uid="{141F43C0-E3D0-4DA8-9C8E-BF189E40A765}"/>
    <hyperlink ref="E485" r:id="rId466" display="https://ec.europa.eu/eurostat/databrowser/view/DS-056120__custom_6262207/default/table" xr:uid="{3B1D81F7-3C32-4C88-B952-A98454DE9760}"/>
    <hyperlink ref="E486" r:id="rId467" display="https://ec.europa.eu/eurostat/databrowser/view/DS-056120__custom_6262207/default/table" xr:uid="{922777D4-3402-419B-B18E-5BAF376E0844}"/>
    <hyperlink ref="E487" r:id="rId468" display="https://ec.europa.eu/eurostat/databrowser/view/DS-056120__custom_6262207/default/table" xr:uid="{E637F234-4FF8-40CD-99A2-31675659A46A}"/>
    <hyperlink ref="E488" r:id="rId469" display="https://ec.europa.eu/eurostat/databrowser/view/DS-056120__custom_6262207/default/table" xr:uid="{D752E5F6-2287-4D82-AD6B-1D116C997C7D}"/>
    <hyperlink ref="E489" r:id="rId470" display="https://ec.europa.eu/eurostat/databrowser/view/DS-056120__custom_6262207/default/table" xr:uid="{6E8D8114-8EC6-4D2E-885A-193514459308}"/>
    <hyperlink ref="E490" r:id="rId471" display="https://ec.europa.eu/eurostat/databrowser/view/DS-056120__custom_6262207/default/table" xr:uid="{F70617CC-E0F3-4152-89DA-660E69A389C0}"/>
    <hyperlink ref="E491" r:id="rId472" display="https://ec.europa.eu/eurostat/databrowser/view/DS-056120__custom_6262207/default/table" xr:uid="{257129FF-C0B3-482B-8704-F8A7602E1F9B}"/>
    <hyperlink ref="E492" r:id="rId473" display="https://ec.europa.eu/eurostat/databrowser/view/DS-056120__custom_6262207/default/table" xr:uid="{094EE2A9-4AF5-4D22-BEEF-544E1FC72537}"/>
    <hyperlink ref="E493" r:id="rId474" display="https://ec.europa.eu/eurostat/databrowser/view/DS-056120__custom_6262207/default/table" xr:uid="{F121A529-CF53-4B33-8861-DF0FC0935B4C}"/>
    <hyperlink ref="E494" r:id="rId475" display="https://ec.europa.eu/eurostat/databrowser/view/DS-056120__custom_6262207/default/table" xr:uid="{7A4F57C8-7F1D-4779-A441-31D5D7DA2FC9}"/>
    <hyperlink ref="E495" r:id="rId476" display="https://ec.europa.eu/eurostat/databrowser/view/DS-056120__custom_6262207/default/table" xr:uid="{15BBE6D2-6658-44B3-BBBF-E914CD961C30}"/>
    <hyperlink ref="E496" r:id="rId477" display="https://ec.europa.eu/eurostat/databrowser/view/DS-056120__custom_6262207/default/table" xr:uid="{1B11DDD2-399D-4133-BBF7-4515EC46562A}"/>
    <hyperlink ref="E497" r:id="rId478" display="https://ec.europa.eu/eurostat/databrowser/view/DS-056120__custom_6262207/default/table" xr:uid="{749095D2-63AD-48E9-9935-549DC06ABA19}"/>
    <hyperlink ref="E498" r:id="rId479" display="https://ec.europa.eu/eurostat/databrowser/view/DS-056120__custom_6262207/default/table" xr:uid="{785F566B-6034-4701-BE87-795174069FF3}"/>
    <hyperlink ref="E499" r:id="rId480" display="https://ec.europa.eu/eurostat/databrowser/view/DS-056120__custom_6262207/default/table" xr:uid="{069027AF-710C-4FF4-9B09-0074B3EFB867}"/>
    <hyperlink ref="E500" r:id="rId481" display="https://ec.europa.eu/eurostat/databrowser/view/DS-056120__custom_6262207/default/table" xr:uid="{FED59DB3-9513-42AA-885A-EF5EC540525D}"/>
    <hyperlink ref="E501" r:id="rId482" display="https://ec.europa.eu/eurostat/databrowser/view/DS-056120__custom_6262207/default/table" xr:uid="{868290AA-4C4B-40D7-A559-CD5EEFE7D040}"/>
    <hyperlink ref="E502" r:id="rId483" display="https://ec.europa.eu/eurostat/databrowser/view/DS-056120__custom_6262207/default/table" xr:uid="{CAB0958D-3EE2-40CF-B772-DDFF49F0D461}"/>
    <hyperlink ref="E503" r:id="rId484" display="https://ec.europa.eu/eurostat/databrowser/view/DS-056120__custom_6262207/default/table" xr:uid="{2425609E-B8CB-4494-BAEC-029207551F9B}"/>
    <hyperlink ref="E504" r:id="rId485" display="https://ec.europa.eu/eurostat/databrowser/view/DS-056120__custom_6262207/default/table" xr:uid="{D7BFD267-807C-42D2-B0BE-C3D69CB6C39C}"/>
    <hyperlink ref="E505" r:id="rId486" display="https://ec.europa.eu/eurostat/databrowser/view/DS-056120__custom_6262207/default/table" xr:uid="{C1710B67-E7EB-4F58-9621-FC35574EC290}"/>
    <hyperlink ref="E506" r:id="rId487" display="https://ec.europa.eu/eurostat/databrowser/view/DS-056120__custom_6262207/default/table" xr:uid="{81B3E971-8EF2-40CA-A0BD-F4F80B4A3CA3}"/>
    <hyperlink ref="E507" r:id="rId488" display="https://ec.europa.eu/eurostat/databrowser/view/DS-056120__custom_6262207/default/table" xr:uid="{D565F81C-EEAB-47EA-97BA-7B52EBB330B7}"/>
    <hyperlink ref="E508" r:id="rId489" display="https://ec.europa.eu/eurostat/databrowser/view/DS-056120__custom_6262207/default/table" xr:uid="{5F302535-CC56-4CA7-AF5C-EBBA2E7A8865}"/>
    <hyperlink ref="E509" r:id="rId490" display="https://ec.europa.eu/eurostat/databrowser/view/DS-056120__custom_6262207/default/table" xr:uid="{BAFDA03F-6A76-47B0-9606-E7FD5560A411}"/>
    <hyperlink ref="E510" r:id="rId491" display="https://ec.europa.eu/eurostat/databrowser/view/DS-056120__custom_6262207/default/table" xr:uid="{A327D4F0-4F27-4F7A-A4E8-130F4D0F25E7}"/>
    <hyperlink ref="E511" r:id="rId492" display="https://ec.europa.eu/eurostat/databrowser/view/DS-056120__custom_6262207/default/table" xr:uid="{DE5F6BC5-9389-4300-850D-77C8645704E3}"/>
    <hyperlink ref="E512" r:id="rId493" display="https://ec.europa.eu/eurostat/databrowser/view/DS-056120__custom_6262207/default/table" xr:uid="{1CDAFCF8-CD26-4257-BBEA-3D64253A033C}"/>
    <hyperlink ref="E513" r:id="rId494" display="https://ec.europa.eu/eurostat/databrowser/view/DS-056120__custom_6262207/default/table" xr:uid="{2788C008-BFBB-4EEC-A463-5E7CF6C0832D}"/>
    <hyperlink ref="E514" r:id="rId495" display="https://ec.europa.eu/eurostat/databrowser/view/DS-056120__custom_6262207/default/table" xr:uid="{788D249D-8A00-4FA2-84F8-6D64B7E4CA40}"/>
  </hyperlinks>
  <pageMargins left="0.7" right="0.7" top="0.75" bottom="0.75" header="0.3" footer="0.3"/>
  <pageSetup paperSize="9" orientation="portrait" r:id="rId496"/>
  <extLst>
    <ext xmlns:x14="http://schemas.microsoft.com/office/spreadsheetml/2009/9/main" uri="{78C0D931-6437-407d-A8EE-F0AAD7539E65}">
      <x14:conditionalFormattings>
        <x14:conditionalFormatting xmlns:xm="http://schemas.microsoft.com/office/excel/2006/main">
          <x14:cfRule type="dataBar" id="{A9C58A51-31BA-447F-9AB1-2BF1024BB727}">
            <x14:dataBar minLength="0" maxLength="100" gradient="0">
              <x14:cfvo type="autoMin"/>
              <x14:cfvo type="num">
                <xm:f>4</xm:f>
              </x14:cfvo>
              <x14:negativeFillColor rgb="FFFF0000"/>
              <x14:axisColor rgb="FF000000"/>
            </x14:dataBar>
          </x14:cfRule>
          <xm:sqref>F570:F578</xm:sqref>
        </x14:conditionalFormatting>
        <x14:conditionalFormatting xmlns:xm="http://schemas.microsoft.com/office/excel/2006/main">
          <x14:cfRule type="dataBar" id="{BC5230D7-989F-4EBA-B737-88A8CF8C9C2D}">
            <x14:dataBar minLength="0" maxLength="100" gradient="0">
              <x14:cfvo type="autoMin"/>
              <x14:cfvo type="num">
                <xm:f>4</xm:f>
              </x14:cfvo>
              <x14:negativeFillColor rgb="FFFF0000"/>
              <x14:axisColor rgb="FF000000"/>
            </x14:dataBar>
          </x14:cfRule>
          <xm:sqref>F2:J25</xm:sqref>
        </x14:conditionalFormatting>
        <x14:conditionalFormatting xmlns:xm="http://schemas.microsoft.com/office/excel/2006/main">
          <x14:cfRule type="dataBar" id="{BDD5D7A0-5A76-4143-8AC8-88C3D184A7D9}">
            <x14:dataBar minLength="0" maxLength="100" gradient="0">
              <x14:cfvo type="autoMin"/>
              <x14:cfvo type="num">
                <xm:f>4</xm:f>
              </x14:cfvo>
              <x14:negativeFillColor rgb="FFFF0000"/>
              <x14:axisColor rgb="FF000000"/>
            </x14:dataBar>
          </x14:cfRule>
          <xm:sqref>F26:J41</xm:sqref>
        </x14:conditionalFormatting>
        <x14:conditionalFormatting xmlns:xm="http://schemas.microsoft.com/office/excel/2006/main">
          <x14:cfRule type="dataBar" id="{6621C3A7-CFE1-4625-89B8-FFE407902BE1}">
            <x14:dataBar minLength="0" maxLength="100" gradient="0">
              <x14:cfvo type="autoMin"/>
              <x14:cfvo type="num">
                <xm:f>4</xm:f>
              </x14:cfvo>
              <x14:negativeFillColor rgb="FFFF0000"/>
              <x14:axisColor rgb="FF000000"/>
            </x14:dataBar>
          </x14:cfRule>
          <xm:sqref>F42:J46</xm:sqref>
        </x14:conditionalFormatting>
        <x14:conditionalFormatting xmlns:xm="http://schemas.microsoft.com/office/excel/2006/main">
          <x14:cfRule type="dataBar" id="{DF17E12F-2C54-4B67-9962-531B7E040F19}">
            <x14:dataBar minLength="0" maxLength="100" gradient="0">
              <x14:cfvo type="autoMin"/>
              <x14:cfvo type="num">
                <xm:f>4</xm:f>
              </x14:cfvo>
              <x14:negativeFillColor rgb="FFFF0000"/>
              <x14:axisColor rgb="FF000000"/>
            </x14:dataBar>
          </x14:cfRule>
          <xm:sqref>F47:J47</xm:sqref>
        </x14:conditionalFormatting>
        <x14:conditionalFormatting xmlns:xm="http://schemas.microsoft.com/office/excel/2006/main">
          <x14:cfRule type="dataBar" id="{728F403B-7C89-487F-B15D-0AEC08C1987B}">
            <x14:dataBar minLength="0" maxLength="100" gradient="0">
              <x14:cfvo type="autoMin"/>
              <x14:cfvo type="num">
                <xm:f>4</xm:f>
              </x14:cfvo>
              <x14:negativeFillColor rgb="FFFF0000"/>
              <x14:axisColor rgb="FF000000"/>
            </x14:dataBar>
          </x14:cfRule>
          <xm:sqref>F48:J48</xm:sqref>
        </x14:conditionalFormatting>
        <x14:conditionalFormatting xmlns:xm="http://schemas.microsoft.com/office/excel/2006/main">
          <x14:cfRule type="dataBar" id="{02EBBB2B-9AFA-49B3-9DE3-D9FECD7308CA}">
            <x14:dataBar minLength="0" maxLength="100" gradient="0">
              <x14:cfvo type="autoMin"/>
              <x14:cfvo type="num">
                <xm:f>4</xm:f>
              </x14:cfvo>
              <x14:negativeFillColor rgb="FFFF0000"/>
              <x14:axisColor rgb="FF000000"/>
            </x14:dataBar>
          </x14:cfRule>
          <xm:sqref>F49:J248</xm:sqref>
        </x14:conditionalFormatting>
        <x14:conditionalFormatting xmlns:xm="http://schemas.microsoft.com/office/excel/2006/main">
          <x14:cfRule type="dataBar" id="{2EE27589-4012-4139-AFEA-BDAD27C17E09}">
            <x14:dataBar minLength="0" maxLength="100" gradient="0">
              <x14:cfvo type="autoMin"/>
              <x14:cfvo type="num">
                <xm:f>4</xm:f>
              </x14:cfvo>
              <x14:negativeFillColor rgb="FFFF0000"/>
              <x14:axisColor rgb="FF000000"/>
            </x14:dataBar>
          </x14:cfRule>
          <xm:sqref>F579:J594 G570:J578 F249:J569</xm:sqref>
        </x14:conditionalFormatting>
        <x14:conditionalFormatting xmlns:xm="http://schemas.microsoft.com/office/excel/2006/main">
          <x14:cfRule type="dataBar" id="{B5E83B2D-0374-4072-BEDA-E50576C8BB57}">
            <x14:dataBar minLength="0" maxLength="100" gradient="0">
              <x14:cfvo type="autoMin"/>
              <x14:cfvo type="autoMax"/>
              <x14:negativeFillColor rgb="FFFF0000"/>
              <x14:axisColor rgb="FF000000"/>
            </x14:dataBar>
          </x14:cfRule>
          <xm:sqref>K1:K41</xm:sqref>
        </x14:conditionalFormatting>
        <x14:conditionalFormatting xmlns:xm="http://schemas.microsoft.com/office/excel/2006/main">
          <x14:cfRule type="dataBar" id="{0C28E83C-6DDC-4A10-B92A-2AC19596BE9B}">
            <x14:dataBar minLength="0" maxLength="100" gradient="0">
              <x14:cfvo type="autoMin"/>
              <x14:cfvo type="autoMax"/>
              <x14:negativeFillColor rgb="FFFF0000"/>
              <x14:axisColor rgb="FF000000"/>
            </x14:dataBar>
          </x14:cfRule>
          <xm:sqref>K42:K46</xm:sqref>
        </x14:conditionalFormatting>
        <x14:conditionalFormatting xmlns:xm="http://schemas.microsoft.com/office/excel/2006/main">
          <x14:cfRule type="dataBar" id="{B40B2BE7-8170-4BDF-A0AE-8B1ADCE701F7}">
            <x14:dataBar minLength="0" maxLength="100" gradient="0">
              <x14:cfvo type="autoMin"/>
              <x14:cfvo type="autoMax"/>
              <x14:negativeFillColor rgb="FFFF0000"/>
              <x14:axisColor rgb="FF000000"/>
            </x14:dataBar>
          </x14:cfRule>
          <xm:sqref>K47</xm:sqref>
        </x14:conditionalFormatting>
        <x14:conditionalFormatting xmlns:xm="http://schemas.microsoft.com/office/excel/2006/main">
          <x14:cfRule type="dataBar" id="{34EBC6F7-E675-4E43-A6CA-E5E42B4B8384}">
            <x14:dataBar minLength="0" maxLength="100" gradient="0">
              <x14:cfvo type="autoMin"/>
              <x14:cfvo type="autoMax"/>
              <x14:negativeFillColor rgb="FFFF0000"/>
              <x14:axisColor rgb="FF000000"/>
            </x14:dataBar>
          </x14:cfRule>
          <xm:sqref>K48</xm:sqref>
        </x14:conditionalFormatting>
        <x14:conditionalFormatting xmlns:xm="http://schemas.microsoft.com/office/excel/2006/main">
          <x14:cfRule type="dataBar" id="{D00AEB03-79ED-48E9-9CCA-4045C96D7699}">
            <x14:dataBar minLength="0" maxLength="100" gradient="0">
              <x14:cfvo type="autoMin"/>
              <x14:cfvo type="autoMax"/>
              <x14:negativeFillColor rgb="FFFF0000"/>
              <x14:axisColor rgb="FF000000"/>
            </x14:dataBar>
          </x14:cfRule>
          <xm:sqref>K49:K594</xm:sqref>
        </x14:conditionalFormatting>
        <x14:conditionalFormatting xmlns:xm="http://schemas.microsoft.com/office/excel/2006/main">
          <x14:cfRule type="dataBar" id="{BC50288A-C672-4A14-9B7B-8DCCFADBE899}">
            <x14:dataBar minLength="0" maxLength="100" gradient="0">
              <x14:cfvo type="autoMin"/>
              <x14:cfvo type="autoMax"/>
              <x14:negativeFillColor rgb="FFFF0000"/>
              <x14:axisColor rgb="FF000000"/>
            </x14:dataBar>
          </x14:cfRule>
          <xm:sqref>K595:K930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49C5-045C-4C41-8133-90E2E1555C53}">
  <sheetPr filterMode="1">
    <tabColor rgb="FF00B0F0"/>
  </sheetPr>
  <dimension ref="A1:AGJ3029"/>
  <sheetViews>
    <sheetView tabSelected="1" zoomScale="85" zoomScaleNormal="85" workbookViewId="0">
      <pane ySplit="1" topLeftCell="A287" activePane="bottomLeft" state="frozen"/>
      <selection pane="bottomLeft" activeCell="B1442" sqref="B1442"/>
    </sheetView>
  </sheetViews>
  <sheetFormatPr defaultColWidth="9.28515625" defaultRowHeight="15"/>
  <cols>
    <col min="1" max="1" width="56.140625" style="7" customWidth="1"/>
    <col min="2" max="2" width="60.7109375" style="7" bestFit="1" customWidth="1"/>
    <col min="3" max="3" width="9.140625" style="7" customWidth="1"/>
    <col min="4" max="4" width="15.7109375" style="7" customWidth="1"/>
    <col min="5" max="5" width="16.28515625" style="120" customWidth="1"/>
    <col min="6" max="6" width="15.28515625" style="7" customWidth="1"/>
    <col min="7" max="7" width="65.85546875" style="7" customWidth="1"/>
    <col min="8" max="13" width="10.7109375" style="7" customWidth="1"/>
    <col min="14" max="15" width="10.7109375" style="64" customWidth="1"/>
    <col min="16" max="16" width="119.28515625" style="591" customWidth="1"/>
    <col min="17" max="868" width="9.28515625" style="16"/>
    <col min="869" max="16384" width="9.28515625" style="6"/>
  </cols>
  <sheetData>
    <row r="1" spans="1:868" ht="30" customHeight="1">
      <c r="A1" s="65" t="s">
        <v>129</v>
      </c>
      <c r="B1" s="107" t="s">
        <v>130</v>
      </c>
      <c r="C1" s="108" t="s">
        <v>131</v>
      </c>
      <c r="D1" s="109" t="s">
        <v>102</v>
      </c>
      <c r="E1" s="229" t="s">
        <v>132</v>
      </c>
      <c r="F1" s="108" t="s">
        <v>133</v>
      </c>
      <c r="G1" s="110" t="s">
        <v>104</v>
      </c>
      <c r="H1" s="111" t="s">
        <v>134</v>
      </c>
      <c r="I1" s="112" t="s">
        <v>135</v>
      </c>
      <c r="J1" s="112" t="s">
        <v>65</v>
      </c>
      <c r="K1" s="112" t="s">
        <v>67</v>
      </c>
      <c r="L1" s="112" t="s">
        <v>73</v>
      </c>
      <c r="M1" s="113" t="s">
        <v>79</v>
      </c>
      <c r="N1" s="841" t="s">
        <v>136</v>
      </c>
      <c r="O1" s="841" t="s">
        <v>137</v>
      </c>
      <c r="P1" s="115" t="s">
        <v>123</v>
      </c>
    </row>
    <row r="2" spans="1:868" hidden="1">
      <c r="A2" s="151" t="str">
        <f>Agriculture!A92</f>
        <v>Agriculture</v>
      </c>
      <c r="B2" s="33" t="str">
        <f>Agriculture!B92</f>
        <v>Agricultural greenhouse films (discarded)</v>
      </c>
      <c r="C2" s="39" t="str">
        <f>Agriculture!C92</f>
        <v>NL</v>
      </c>
      <c r="D2" s="33" t="str">
        <f>Agriculture!D92</f>
        <v>PVC</v>
      </c>
      <c r="E2" s="864">
        <f>Agriculture!E92</f>
        <v>6.2695657834368257E-2</v>
      </c>
      <c r="F2" s="234">
        <f>Agriculture!F92</f>
        <v>1</v>
      </c>
      <c r="G2" s="39" t="str">
        <f>Agriculture!G92</f>
        <v>Urbanus, J.H., Brunner, A., Boersma, A., Henke, S., Kooter, I., Lensen, S., Parker, L., Schwarz, A., Imhof, P., Dortmans, A., Wijngaard, M., 2022. Autobanden, verpakkingen en landbouwfolie zijn in Nederland de grootste bronnen van microplastics. TNO.</v>
      </c>
      <c r="H2" s="28">
        <v>1</v>
      </c>
      <c r="I2" s="11"/>
      <c r="J2" s="11">
        <v>2</v>
      </c>
      <c r="K2" s="11">
        <v>1</v>
      </c>
      <c r="L2" s="11">
        <v>1</v>
      </c>
      <c r="M2" s="11">
        <v>2</v>
      </c>
      <c r="N2" s="829">
        <f t="shared" ref="N2:N33" si="0">IF( OR( ISBLANK(H2),ISBLANK(J2), ISBLANK(K2), ISBLANK(L2), ISBLANK(M2) ), "", 1.5*SQRT(   EXP(2.21*(H2-1)) + EXP(2.21*(J2-1)) + EXP(2.21*(K2-1)) + EXP(2.21*(L2-1)) + EXP(2.21*M2)   )/100*2.45 )</f>
        <v>0.35859414261160716</v>
      </c>
      <c r="O2" s="159" t="str">
        <f t="shared" ref="O2:O33" si="1">IF( OR( ISBLANK(I2),ISBLANK(J2), ISBLANK(K2), ISBLANK(L2), ISBLANK(M2) ), "", 1.5*SQRT( EXP(2.21*(I2-1)) + EXP(2.21*(J2-1)) + EXP(2.21*(K2-1)) + EXP(2.21*(L2-1)) + EXP(2.21*M2)   )/100*2.45 )</f>
        <v/>
      </c>
      <c r="P2" s="351"/>
    </row>
    <row r="3" spans="1:868" hidden="1">
      <c r="A3" s="152" t="str">
        <f>Agriculture!A93</f>
        <v>Agriculture</v>
      </c>
      <c r="B3" s="34" t="str">
        <f>Agriculture!B93</f>
        <v>Agricultural greenhouse films (discarded)</v>
      </c>
      <c r="C3" s="40" t="str">
        <f>Agriculture!C93</f>
        <v>NL</v>
      </c>
      <c r="D3" s="34" t="str">
        <f>Agriculture!D93</f>
        <v>PS</v>
      </c>
      <c r="E3" s="865">
        <f>Agriculture!E93</f>
        <v>0</v>
      </c>
      <c r="F3" s="235">
        <f>Agriculture!F93</f>
        <v>1</v>
      </c>
      <c r="G3" s="40" t="str">
        <f>Agriculture!G93</f>
        <v>Urbanus, J.H., Brunner, A., Boersma, A., Henke, S., Kooter, I., Lensen, S., Parker, L., Schwarz, A., Imhof, P., Dortmans, A., Wijngaard, M., 2022. Autobanden, verpakkingen en landbouwfolie zijn in Nederland de grootste bronnen van microplastics. TNO.</v>
      </c>
      <c r="H3" s="29">
        <v>1</v>
      </c>
      <c r="I3" s="9"/>
      <c r="J3" s="9">
        <v>2</v>
      </c>
      <c r="K3" s="9">
        <v>1</v>
      </c>
      <c r="L3" s="9">
        <v>1</v>
      </c>
      <c r="M3" s="9">
        <v>2</v>
      </c>
      <c r="N3" s="186">
        <f t="shared" si="0"/>
        <v>0.35859414261160716</v>
      </c>
      <c r="O3" s="160" t="str">
        <f t="shared" si="1"/>
        <v/>
      </c>
      <c r="P3" s="63"/>
    </row>
    <row r="4" spans="1:868" hidden="1">
      <c r="A4" s="152" t="str">
        <f>Agriculture!A94</f>
        <v>Agriculture</v>
      </c>
      <c r="B4" s="34" t="str">
        <f>Agriculture!B94</f>
        <v>Agricultural greenhouse films (discarded)</v>
      </c>
      <c r="C4" s="40" t="str">
        <f>Agriculture!C94</f>
        <v>NL</v>
      </c>
      <c r="D4" s="34" t="str">
        <f>Agriculture!D94</f>
        <v>PP</v>
      </c>
      <c r="E4" s="865">
        <f>Agriculture!E94</f>
        <v>0</v>
      </c>
      <c r="F4" s="235">
        <f>Agriculture!F94</f>
        <v>1</v>
      </c>
      <c r="G4" s="40" t="str">
        <f>Agriculture!G94</f>
        <v>Urbanus, J.H., Brunner, A., Boersma, A., Henke, S., Kooter, I., Lensen, S., Parker, L., Schwarz, A., Imhof, P., Dortmans, A., Wijngaard, M., 2022. Autobanden, verpakkingen en landbouwfolie zijn in Nederland de grootste bronnen van microplastics. TNO.</v>
      </c>
      <c r="H4" s="29">
        <v>1</v>
      </c>
      <c r="I4" s="9"/>
      <c r="J4" s="9">
        <v>2</v>
      </c>
      <c r="K4" s="9">
        <v>1</v>
      </c>
      <c r="L4" s="9">
        <v>1</v>
      </c>
      <c r="M4" s="9">
        <v>2</v>
      </c>
      <c r="N4" s="186">
        <f t="shared" si="0"/>
        <v>0.35859414261160716</v>
      </c>
      <c r="O4" s="160" t="str">
        <f t="shared" si="1"/>
        <v/>
      </c>
      <c r="P4" s="63"/>
    </row>
    <row r="5" spans="1:868" hidden="1">
      <c r="A5" s="152" t="str">
        <f>Agriculture!A95</f>
        <v>Agriculture</v>
      </c>
      <c r="B5" s="34" t="str">
        <f>Agriculture!B95</f>
        <v>Agricultural greenhouse films (discarded)</v>
      </c>
      <c r="C5" s="40" t="str">
        <f>Agriculture!C95</f>
        <v>NL</v>
      </c>
      <c r="D5" s="34" t="str">
        <f>Agriculture!D95</f>
        <v>LDPE</v>
      </c>
      <c r="E5" s="865">
        <f>Agriculture!E95</f>
        <v>0.13959893420941549</v>
      </c>
      <c r="F5" s="235">
        <f>Agriculture!F95</f>
        <v>1</v>
      </c>
      <c r="G5" s="40" t="str">
        <f>Agriculture!G95</f>
        <v>Urbanus, J.H., Brunner, A., Boersma, A., Henke, S., Kooter, I., Lensen, S., Parker, L., Schwarz, A., Imhof, P., Dortmans, A., Wijngaard, M., 2022. Autobanden, verpakkingen en landbouwfolie zijn in Nederland de grootste bronnen van microplastics. TNO.</v>
      </c>
      <c r="H5" s="29">
        <v>1</v>
      </c>
      <c r="I5" s="9"/>
      <c r="J5" s="9">
        <v>2</v>
      </c>
      <c r="K5" s="9">
        <v>1</v>
      </c>
      <c r="L5" s="9">
        <v>1</v>
      </c>
      <c r="M5" s="9">
        <v>2</v>
      </c>
      <c r="N5" s="186">
        <f t="shared" si="0"/>
        <v>0.35859414261160716</v>
      </c>
      <c r="O5" s="160" t="str">
        <f t="shared" si="1"/>
        <v/>
      </c>
      <c r="P5" s="63"/>
    </row>
    <row r="6" spans="1:868" s="842" customFormat="1" hidden="1">
      <c r="A6" s="152" t="str">
        <f>Agriculture!A96</f>
        <v>Agriculture</v>
      </c>
      <c r="B6" s="34" t="str">
        <f>Agriculture!B96</f>
        <v>Agricultural greenhouse films (discarded)</v>
      </c>
      <c r="C6" s="40" t="str">
        <f>Agriculture!C96</f>
        <v>NL</v>
      </c>
      <c r="D6" s="34" t="str">
        <f>Agriculture!D96</f>
        <v>HDPE</v>
      </c>
      <c r="E6" s="865">
        <f>Agriculture!E96</f>
        <v>0</v>
      </c>
      <c r="F6" s="235">
        <f>Agriculture!F96</f>
        <v>1</v>
      </c>
      <c r="G6" s="40" t="str">
        <f>Agriculture!G96</f>
        <v>Urbanus, J.H., Brunner, A., Boersma, A., Henke, S., Kooter, I., Lensen, S., Parker, L., Schwarz, A., Imhof, P., Dortmans, A., Wijngaard, M., 2022. Autobanden, verpakkingen en landbouwfolie zijn in Nederland de grootste bronnen van microplastics. TNO.</v>
      </c>
      <c r="H6" s="29">
        <v>1</v>
      </c>
      <c r="I6" s="9"/>
      <c r="J6" s="9">
        <v>2</v>
      </c>
      <c r="K6" s="9">
        <v>1</v>
      </c>
      <c r="L6" s="9">
        <v>1</v>
      </c>
      <c r="M6" s="9">
        <v>2</v>
      </c>
      <c r="N6" s="186">
        <f t="shared" si="0"/>
        <v>0.35859414261160716</v>
      </c>
      <c r="O6" s="160" t="str">
        <f t="shared" si="1"/>
        <v/>
      </c>
      <c r="P6" s="63"/>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c r="ABQ6" s="16"/>
      <c r="ABR6" s="16"/>
      <c r="ABS6" s="16"/>
      <c r="ABT6" s="16"/>
      <c r="ABU6" s="16"/>
      <c r="ABV6" s="16"/>
      <c r="ABW6" s="16"/>
      <c r="ABX6" s="16"/>
      <c r="ABY6" s="16"/>
      <c r="ABZ6" s="16"/>
      <c r="ACA6" s="16"/>
      <c r="ACB6" s="16"/>
      <c r="ACC6" s="16"/>
      <c r="ACD6" s="16"/>
      <c r="ACE6" s="16"/>
      <c r="ACF6" s="16"/>
      <c r="ACG6" s="16"/>
      <c r="ACH6" s="16"/>
      <c r="ACI6" s="16"/>
      <c r="ACJ6" s="16"/>
      <c r="ACK6" s="16"/>
      <c r="ACL6" s="16"/>
      <c r="ACM6" s="16"/>
      <c r="ACN6" s="16"/>
      <c r="ACO6" s="16"/>
      <c r="ACP6" s="16"/>
      <c r="ACQ6" s="16"/>
      <c r="ACR6" s="16"/>
      <c r="ACS6" s="16"/>
      <c r="ACT6" s="16"/>
      <c r="ACU6" s="16"/>
      <c r="ACV6" s="16"/>
      <c r="ACW6" s="16"/>
      <c r="ACX6" s="16"/>
      <c r="ACY6" s="16"/>
      <c r="ACZ6" s="16"/>
      <c r="ADA6" s="16"/>
      <c r="ADB6" s="16"/>
      <c r="ADC6" s="16"/>
      <c r="ADD6" s="16"/>
      <c r="ADE6" s="16"/>
      <c r="ADF6" s="16"/>
      <c r="ADG6" s="16"/>
      <c r="ADH6" s="16"/>
      <c r="ADI6" s="16"/>
      <c r="ADJ6" s="16"/>
      <c r="ADK6" s="16"/>
      <c r="ADL6" s="16"/>
      <c r="ADM6" s="16"/>
      <c r="ADN6" s="16"/>
      <c r="ADO6" s="16"/>
      <c r="ADP6" s="16"/>
      <c r="ADQ6" s="16"/>
      <c r="ADR6" s="16"/>
      <c r="ADS6" s="16"/>
      <c r="ADT6" s="16"/>
      <c r="ADU6" s="16"/>
      <c r="ADV6" s="16"/>
      <c r="ADW6" s="16"/>
      <c r="ADX6" s="16"/>
      <c r="ADY6" s="16"/>
      <c r="ADZ6" s="16"/>
      <c r="AEA6" s="16"/>
      <c r="AEB6" s="16"/>
      <c r="AEC6" s="16"/>
      <c r="AED6" s="16"/>
      <c r="AEE6" s="16"/>
      <c r="AEF6" s="16"/>
      <c r="AEG6" s="16"/>
      <c r="AEH6" s="16"/>
      <c r="AEI6" s="16"/>
      <c r="AEJ6" s="16"/>
      <c r="AEK6" s="16"/>
      <c r="AEL6" s="16"/>
      <c r="AEM6" s="16"/>
      <c r="AEN6" s="16"/>
      <c r="AEO6" s="16"/>
      <c r="AEP6" s="16"/>
      <c r="AEQ6" s="16"/>
      <c r="AER6" s="16"/>
      <c r="AES6" s="16"/>
      <c r="AET6" s="16"/>
      <c r="AEU6" s="16"/>
      <c r="AEV6" s="16"/>
      <c r="AEW6" s="16"/>
      <c r="AEX6" s="16"/>
      <c r="AEY6" s="16"/>
      <c r="AEZ6" s="16"/>
      <c r="AFA6" s="16"/>
      <c r="AFB6" s="16"/>
      <c r="AFC6" s="16"/>
      <c r="AFD6" s="16"/>
      <c r="AFE6" s="16"/>
      <c r="AFF6" s="16"/>
      <c r="AFG6" s="16"/>
      <c r="AFH6" s="16"/>
      <c r="AFI6" s="16"/>
      <c r="AFJ6" s="16"/>
      <c r="AFK6" s="16"/>
      <c r="AFL6" s="16"/>
      <c r="AFM6" s="16"/>
      <c r="AFN6" s="16"/>
      <c r="AFO6" s="16"/>
      <c r="AFP6" s="16"/>
      <c r="AFQ6" s="16"/>
      <c r="AFR6" s="16"/>
      <c r="AFS6" s="16"/>
      <c r="AFT6" s="16"/>
      <c r="AFU6" s="16"/>
      <c r="AFV6" s="16"/>
      <c r="AFW6" s="16"/>
      <c r="AFX6" s="16"/>
      <c r="AFY6" s="16"/>
      <c r="AFZ6" s="16"/>
      <c r="AGA6" s="16"/>
      <c r="AGB6" s="16"/>
      <c r="AGC6" s="16"/>
      <c r="AGD6" s="16"/>
      <c r="AGE6" s="16"/>
      <c r="AGF6" s="16"/>
      <c r="AGG6" s="16"/>
      <c r="AGH6" s="16"/>
      <c r="AGI6" s="16"/>
      <c r="AGJ6" s="16"/>
    </row>
    <row r="7" spans="1:868" hidden="1">
      <c r="A7" s="152" t="str">
        <f>Agriculture!A97</f>
        <v>Agriculture</v>
      </c>
      <c r="B7" s="34" t="str">
        <f>Agriculture!B97</f>
        <v>Agricultural greenhouse films (discarded)</v>
      </c>
      <c r="C7" s="40" t="str">
        <f>Agriculture!C97</f>
        <v>EU</v>
      </c>
      <c r="D7" s="34" t="str">
        <f>Agriculture!D97</f>
        <v>PVC</v>
      </c>
      <c r="E7" s="865">
        <f>Agriculture!E97</f>
        <v>9.1158630137710292E-2</v>
      </c>
      <c r="F7" s="235">
        <f>Agriculture!F97</f>
        <v>1</v>
      </c>
      <c r="G7" s="40" t="str">
        <f>Agriculture!G97</f>
        <v>Assessment of agricultural plastics and their sustainability: A call for action, 2021. . FAO. https://doi.org/10.4060/cb7856en</v>
      </c>
      <c r="H7" s="29"/>
      <c r="I7" s="9">
        <v>1</v>
      </c>
      <c r="J7" s="9">
        <v>2</v>
      </c>
      <c r="K7" s="9">
        <v>1</v>
      </c>
      <c r="L7" s="9">
        <v>1</v>
      </c>
      <c r="M7" s="9">
        <v>2</v>
      </c>
      <c r="N7" s="186" t="str">
        <f t="shared" si="0"/>
        <v/>
      </c>
      <c r="O7" s="160">
        <f t="shared" si="1"/>
        <v>0.35859414261160716</v>
      </c>
      <c r="P7" s="63"/>
    </row>
    <row r="8" spans="1:868" hidden="1">
      <c r="A8" s="152" t="str">
        <f>Agriculture!A98</f>
        <v>Agriculture</v>
      </c>
      <c r="B8" s="34" t="str">
        <f>Agriculture!B98</f>
        <v>Agricultural greenhouse films (discarded)</v>
      </c>
      <c r="C8" s="40" t="str">
        <f>Agriculture!C98</f>
        <v>EU</v>
      </c>
      <c r="D8" s="34" t="str">
        <f>Agriculture!D98</f>
        <v>PS</v>
      </c>
      <c r="E8" s="865">
        <f>Agriculture!E98</f>
        <v>0</v>
      </c>
      <c r="F8" s="235">
        <f>Agriculture!F98</f>
        <v>1</v>
      </c>
      <c r="G8" s="40" t="str">
        <f>Agriculture!G98</f>
        <v>Assessment of agricultural plastics and their sustainability: A call for action, 2021. . FAO. https://doi.org/10.4060/cb7856en</v>
      </c>
      <c r="H8" s="29"/>
      <c r="I8" s="9">
        <v>1</v>
      </c>
      <c r="J8" s="9">
        <v>2</v>
      </c>
      <c r="K8" s="9">
        <v>1</v>
      </c>
      <c r="L8" s="9">
        <v>1</v>
      </c>
      <c r="M8" s="9">
        <v>2</v>
      </c>
      <c r="N8" s="186" t="str">
        <f t="shared" si="0"/>
        <v/>
      </c>
      <c r="O8" s="160">
        <f t="shared" si="1"/>
        <v>0.35859414261160716</v>
      </c>
      <c r="P8" s="63"/>
    </row>
    <row r="9" spans="1:868" hidden="1">
      <c r="A9" s="152" t="str">
        <f>Agriculture!A99</f>
        <v>Agriculture</v>
      </c>
      <c r="B9" s="34" t="str">
        <f>Agriculture!B99</f>
        <v>Agricultural greenhouse films (discarded)</v>
      </c>
      <c r="C9" s="40" t="str">
        <f>Agriculture!C99</f>
        <v>EU</v>
      </c>
      <c r="D9" s="34" t="str">
        <f>Agriculture!D99</f>
        <v>PP</v>
      </c>
      <c r="E9" s="865">
        <f>Agriculture!E99</f>
        <v>0</v>
      </c>
      <c r="F9" s="235">
        <f>Agriculture!F99</f>
        <v>1</v>
      </c>
      <c r="G9" s="40" t="str">
        <f>Agriculture!G99</f>
        <v>Assessment of agricultural plastics and their sustainability: A call for action, 2021. . FAO. https://doi.org/10.4060/cb7856en</v>
      </c>
      <c r="H9" s="29"/>
      <c r="I9" s="9">
        <v>1</v>
      </c>
      <c r="J9" s="9">
        <v>2</v>
      </c>
      <c r="K9" s="9">
        <v>1</v>
      </c>
      <c r="L9" s="9">
        <v>1</v>
      </c>
      <c r="M9" s="9">
        <v>2</v>
      </c>
      <c r="N9" s="186" t="str">
        <f t="shared" si="0"/>
        <v/>
      </c>
      <c r="O9" s="160">
        <f t="shared" si="1"/>
        <v>0.35859414261160716</v>
      </c>
      <c r="P9" s="63"/>
    </row>
    <row r="10" spans="1:868" hidden="1">
      <c r="A10" s="152" t="str">
        <f>Agriculture!A100</f>
        <v>Agriculture</v>
      </c>
      <c r="B10" s="34" t="str">
        <f>Agriculture!B100</f>
        <v>Agricultural greenhouse films (discarded)</v>
      </c>
      <c r="C10" s="40" t="str">
        <f>Agriculture!C100</f>
        <v>EU</v>
      </c>
      <c r="D10" s="34" t="str">
        <f>Agriculture!D100</f>
        <v>LDPE</v>
      </c>
      <c r="E10" s="865">
        <f>Agriculture!E100</f>
        <v>0.15678950022134661</v>
      </c>
      <c r="F10" s="235">
        <f>Agriculture!F100</f>
        <v>1</v>
      </c>
      <c r="G10" s="40" t="str">
        <f>Agriculture!G100</f>
        <v>Assessment of agricultural plastics and their sustainability: A call for action, 2021. . FAO. https://doi.org/10.4060/cb7856en</v>
      </c>
      <c r="H10" s="29"/>
      <c r="I10" s="9">
        <v>1</v>
      </c>
      <c r="J10" s="9">
        <v>2</v>
      </c>
      <c r="K10" s="9">
        <v>1</v>
      </c>
      <c r="L10" s="9">
        <v>1</v>
      </c>
      <c r="M10" s="9">
        <v>2</v>
      </c>
      <c r="N10" s="186" t="str">
        <f t="shared" si="0"/>
        <v/>
      </c>
      <c r="O10" s="160">
        <f t="shared" si="1"/>
        <v>0.35859414261160716</v>
      </c>
      <c r="P10" s="63"/>
    </row>
    <row r="11" spans="1:868" s="842" customFormat="1" hidden="1">
      <c r="A11" s="152" t="str">
        <f>Agriculture!A101</f>
        <v>Agriculture</v>
      </c>
      <c r="B11" s="34" t="str">
        <f>Agriculture!B101</f>
        <v>Agricultural greenhouse films (discarded)</v>
      </c>
      <c r="C11" s="40" t="str">
        <f>Agriculture!C101</f>
        <v>EU</v>
      </c>
      <c r="D11" s="34" t="str">
        <f>Agriculture!D101</f>
        <v>HDPE</v>
      </c>
      <c r="E11" s="865">
        <f>Agriculture!E101</f>
        <v>0</v>
      </c>
      <c r="F11" s="235">
        <f>Agriculture!F101</f>
        <v>1</v>
      </c>
      <c r="G11" s="40" t="str">
        <f>Agriculture!G101</f>
        <v>Assessment of agricultural plastics and their sustainability: A call for action, 2021. . FAO. https://doi.org/10.4060/cb7856en</v>
      </c>
      <c r="H11" s="29"/>
      <c r="I11" s="9">
        <v>1</v>
      </c>
      <c r="J11" s="9">
        <v>2</v>
      </c>
      <c r="K11" s="9">
        <v>1</v>
      </c>
      <c r="L11" s="9">
        <v>1</v>
      </c>
      <c r="M11" s="9">
        <v>2</v>
      </c>
      <c r="N11" s="186" t="str">
        <f t="shared" si="0"/>
        <v/>
      </c>
      <c r="O11" s="160">
        <f t="shared" si="1"/>
        <v>0.35859414261160716</v>
      </c>
      <c r="P11" s="63"/>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16"/>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16"/>
      <c r="RE11" s="16"/>
      <c r="RF11" s="16"/>
      <c r="RG11" s="16"/>
      <c r="RH11" s="16"/>
      <c r="RI11" s="16"/>
      <c r="RJ11" s="16"/>
      <c r="RK11" s="16"/>
      <c r="RL11" s="16"/>
      <c r="RM11" s="16"/>
      <c r="RN11" s="16"/>
      <c r="RO11" s="16"/>
      <c r="RP11" s="16"/>
      <c r="RQ11" s="16"/>
      <c r="RR11" s="16"/>
      <c r="RS11" s="16"/>
      <c r="RT11" s="16"/>
      <c r="RU11" s="16"/>
      <c r="RV11" s="16"/>
      <c r="RW11" s="16"/>
      <c r="RX11" s="16"/>
      <c r="RY11" s="16"/>
      <c r="RZ11" s="16"/>
      <c r="SA11" s="16"/>
      <c r="SB11" s="16"/>
      <c r="SC11" s="16"/>
      <c r="SD11" s="16"/>
      <c r="SE11" s="16"/>
      <c r="SF11" s="16"/>
      <c r="SG11" s="16"/>
      <c r="SH11" s="16"/>
      <c r="SI11" s="16"/>
      <c r="SJ11" s="16"/>
      <c r="SK11" s="16"/>
      <c r="SL11" s="16"/>
      <c r="SM11" s="16"/>
      <c r="SN11" s="16"/>
      <c r="SO11" s="16"/>
      <c r="SP11" s="16"/>
      <c r="SQ11" s="16"/>
      <c r="SR11" s="16"/>
      <c r="SS11" s="16"/>
      <c r="ST11" s="16"/>
      <c r="SU11" s="16"/>
      <c r="SV11" s="16"/>
      <c r="SW11" s="16"/>
      <c r="SX11" s="16"/>
      <c r="SY11" s="16"/>
      <c r="SZ11" s="16"/>
      <c r="TA11" s="16"/>
      <c r="TB11" s="16"/>
      <c r="TC11" s="16"/>
      <c r="TD11" s="16"/>
      <c r="TE11" s="16"/>
      <c r="TF11" s="16"/>
      <c r="TG11" s="16"/>
      <c r="TH11" s="16"/>
      <c r="TI11" s="16"/>
      <c r="TJ11" s="16"/>
      <c r="TK11" s="16"/>
      <c r="TL11" s="16"/>
      <c r="TM11" s="16"/>
      <c r="TN11" s="16"/>
      <c r="TO11" s="16"/>
      <c r="TP11" s="16"/>
      <c r="TQ11" s="16"/>
      <c r="TR11" s="16"/>
      <c r="TS11" s="16"/>
      <c r="TT11" s="16"/>
      <c r="TU11" s="16"/>
      <c r="TV11" s="16"/>
      <c r="TW11" s="16"/>
      <c r="TX11" s="16"/>
      <c r="TY11" s="16"/>
      <c r="TZ11" s="16"/>
      <c r="UA11" s="16"/>
      <c r="UB11" s="16"/>
      <c r="UC11" s="16"/>
      <c r="UD11" s="16"/>
      <c r="UE11" s="16"/>
      <c r="UF11" s="16"/>
      <c r="UG11" s="16"/>
      <c r="UH11" s="16"/>
      <c r="UI11" s="16"/>
      <c r="UJ11" s="16"/>
      <c r="UK11" s="16"/>
      <c r="UL11" s="16"/>
      <c r="UM11" s="16"/>
      <c r="UN11" s="16"/>
      <c r="UO11" s="16"/>
      <c r="UP11" s="16"/>
      <c r="UQ11" s="16"/>
      <c r="UR11" s="16"/>
      <c r="US11" s="16"/>
      <c r="UT11" s="16"/>
      <c r="UU11" s="16"/>
      <c r="UV11" s="16"/>
      <c r="UW11" s="16"/>
      <c r="UX11" s="16"/>
      <c r="UY11" s="16"/>
      <c r="UZ11" s="16"/>
      <c r="VA11" s="16"/>
      <c r="VB11" s="16"/>
      <c r="VC11" s="16"/>
      <c r="VD11" s="16"/>
      <c r="VE11" s="16"/>
      <c r="VF11" s="16"/>
      <c r="VG11" s="16"/>
      <c r="VH11" s="16"/>
      <c r="VI11" s="16"/>
      <c r="VJ11" s="16"/>
      <c r="VK11" s="16"/>
      <c r="VL11" s="16"/>
      <c r="VM11" s="16"/>
      <c r="VN11" s="16"/>
      <c r="VO11" s="16"/>
      <c r="VP11" s="16"/>
      <c r="VQ11" s="16"/>
      <c r="VR11" s="16"/>
      <c r="VS11" s="16"/>
      <c r="VT11" s="16"/>
      <c r="VU11" s="16"/>
      <c r="VV11" s="16"/>
      <c r="VW11" s="16"/>
      <c r="VX11" s="16"/>
      <c r="VY11" s="16"/>
      <c r="VZ11" s="16"/>
      <c r="WA11" s="16"/>
      <c r="WB11" s="16"/>
      <c r="WC11" s="16"/>
      <c r="WD11" s="16"/>
      <c r="WE11" s="16"/>
      <c r="WF11" s="16"/>
      <c r="WG11" s="16"/>
      <c r="WH11" s="16"/>
      <c r="WI11" s="16"/>
      <c r="WJ11" s="16"/>
      <c r="WK11" s="16"/>
      <c r="WL11" s="16"/>
      <c r="WM11" s="16"/>
      <c r="WN11" s="16"/>
      <c r="WO11" s="16"/>
      <c r="WP11" s="16"/>
      <c r="WQ11" s="16"/>
      <c r="WR11" s="16"/>
      <c r="WS11" s="16"/>
      <c r="WT11" s="16"/>
      <c r="WU11" s="16"/>
      <c r="WV11" s="16"/>
      <c r="WW11" s="16"/>
      <c r="WX11" s="16"/>
      <c r="WY11" s="16"/>
      <c r="WZ11" s="16"/>
      <c r="XA11" s="16"/>
      <c r="XB11" s="16"/>
      <c r="XC11" s="16"/>
      <c r="XD11" s="16"/>
      <c r="XE11" s="16"/>
      <c r="XF11" s="16"/>
      <c r="XG11" s="16"/>
      <c r="XH11" s="16"/>
      <c r="XI11" s="16"/>
      <c r="XJ11" s="16"/>
      <c r="XK11" s="16"/>
      <c r="XL11" s="16"/>
      <c r="XM11" s="16"/>
      <c r="XN11" s="16"/>
      <c r="XO11" s="16"/>
      <c r="XP11" s="16"/>
      <c r="XQ11" s="16"/>
      <c r="XR11" s="16"/>
      <c r="XS11" s="16"/>
      <c r="XT11" s="16"/>
      <c r="XU11" s="16"/>
      <c r="XV11" s="16"/>
      <c r="XW11" s="16"/>
      <c r="XX11" s="16"/>
      <c r="XY11" s="16"/>
      <c r="XZ11" s="16"/>
      <c r="YA11" s="16"/>
      <c r="YB11" s="16"/>
      <c r="YC11" s="16"/>
      <c r="YD11" s="16"/>
      <c r="YE11" s="16"/>
      <c r="YF11" s="16"/>
      <c r="YG11" s="16"/>
      <c r="YH11" s="16"/>
      <c r="YI11" s="16"/>
      <c r="YJ11" s="16"/>
      <c r="YK11" s="16"/>
      <c r="YL11" s="16"/>
      <c r="YM11" s="16"/>
      <c r="YN11" s="16"/>
      <c r="YO11" s="16"/>
      <c r="YP11" s="16"/>
      <c r="YQ11" s="16"/>
      <c r="YR11" s="16"/>
      <c r="YS11" s="16"/>
      <c r="YT11" s="16"/>
      <c r="YU11" s="16"/>
      <c r="YV11" s="16"/>
      <c r="YW11" s="16"/>
      <c r="YX11" s="16"/>
      <c r="YY11" s="16"/>
      <c r="YZ11" s="16"/>
      <c r="ZA11" s="16"/>
      <c r="ZB11" s="16"/>
      <c r="ZC11" s="16"/>
      <c r="ZD11" s="16"/>
      <c r="ZE11" s="16"/>
      <c r="ZF11" s="16"/>
      <c r="ZG11" s="16"/>
      <c r="ZH11" s="16"/>
      <c r="ZI11" s="16"/>
      <c r="ZJ11" s="16"/>
      <c r="ZK11" s="16"/>
      <c r="ZL11" s="16"/>
      <c r="ZM11" s="16"/>
      <c r="ZN11" s="16"/>
      <c r="ZO11" s="16"/>
      <c r="ZP11" s="16"/>
      <c r="ZQ11" s="16"/>
      <c r="ZR11" s="16"/>
      <c r="ZS11" s="16"/>
      <c r="ZT11" s="16"/>
      <c r="ZU11" s="16"/>
      <c r="ZV11" s="16"/>
      <c r="ZW11" s="16"/>
      <c r="ZX11" s="16"/>
      <c r="ZY11" s="16"/>
      <c r="ZZ11" s="16"/>
      <c r="AAA11" s="16"/>
      <c r="AAB11" s="16"/>
      <c r="AAC11" s="16"/>
      <c r="AAD11" s="16"/>
      <c r="AAE11" s="16"/>
      <c r="AAF11" s="16"/>
      <c r="AAG11" s="16"/>
      <c r="AAH11" s="16"/>
      <c r="AAI11" s="16"/>
      <c r="AAJ11" s="16"/>
      <c r="AAK11" s="16"/>
      <c r="AAL11" s="16"/>
      <c r="AAM11" s="16"/>
      <c r="AAN11" s="16"/>
      <c r="AAO11" s="16"/>
      <c r="AAP11" s="16"/>
      <c r="AAQ11" s="16"/>
      <c r="AAR11" s="16"/>
      <c r="AAS11" s="16"/>
      <c r="AAT11" s="16"/>
      <c r="AAU11" s="16"/>
      <c r="AAV11" s="16"/>
      <c r="AAW11" s="16"/>
      <c r="AAX11" s="16"/>
      <c r="AAY11" s="16"/>
      <c r="AAZ11" s="16"/>
      <c r="ABA11" s="16"/>
      <c r="ABB11" s="16"/>
      <c r="ABC11" s="16"/>
      <c r="ABD11" s="16"/>
      <c r="ABE11" s="16"/>
      <c r="ABF11" s="16"/>
      <c r="ABG11" s="16"/>
      <c r="ABH11" s="16"/>
      <c r="ABI11" s="16"/>
      <c r="ABJ11" s="16"/>
      <c r="ABK11" s="16"/>
      <c r="ABL11" s="16"/>
      <c r="ABM11" s="16"/>
      <c r="ABN11" s="16"/>
      <c r="ABO11" s="16"/>
      <c r="ABP11" s="16"/>
      <c r="ABQ11" s="16"/>
      <c r="ABR11" s="16"/>
      <c r="ABS11" s="16"/>
      <c r="ABT11" s="16"/>
      <c r="ABU11" s="16"/>
      <c r="ABV11" s="16"/>
      <c r="ABW11" s="16"/>
      <c r="ABX11" s="16"/>
      <c r="ABY11" s="16"/>
      <c r="ABZ11" s="16"/>
      <c r="ACA11" s="16"/>
      <c r="ACB11" s="16"/>
      <c r="ACC11" s="16"/>
      <c r="ACD11" s="16"/>
      <c r="ACE11" s="16"/>
      <c r="ACF11" s="16"/>
      <c r="ACG11" s="16"/>
      <c r="ACH11" s="16"/>
      <c r="ACI11" s="16"/>
      <c r="ACJ11" s="16"/>
      <c r="ACK11" s="16"/>
      <c r="ACL11" s="16"/>
      <c r="ACM11" s="16"/>
      <c r="ACN11" s="16"/>
      <c r="ACO11" s="16"/>
      <c r="ACP11" s="16"/>
      <c r="ACQ11" s="16"/>
      <c r="ACR11" s="16"/>
      <c r="ACS11" s="16"/>
      <c r="ACT11" s="16"/>
      <c r="ACU11" s="16"/>
      <c r="ACV11" s="16"/>
      <c r="ACW11" s="16"/>
      <c r="ACX11" s="16"/>
      <c r="ACY11" s="16"/>
      <c r="ACZ11" s="16"/>
      <c r="ADA11" s="16"/>
      <c r="ADB11" s="16"/>
      <c r="ADC11" s="16"/>
      <c r="ADD11" s="16"/>
      <c r="ADE11" s="16"/>
      <c r="ADF11" s="16"/>
      <c r="ADG11" s="16"/>
      <c r="ADH11" s="16"/>
      <c r="ADI11" s="16"/>
      <c r="ADJ11" s="16"/>
      <c r="ADK11" s="16"/>
      <c r="ADL11" s="16"/>
      <c r="ADM11" s="16"/>
      <c r="ADN11" s="16"/>
      <c r="ADO11" s="16"/>
      <c r="ADP11" s="16"/>
      <c r="ADQ11" s="16"/>
      <c r="ADR11" s="16"/>
      <c r="ADS11" s="16"/>
      <c r="ADT11" s="16"/>
      <c r="ADU11" s="16"/>
      <c r="ADV11" s="16"/>
      <c r="ADW11" s="16"/>
      <c r="ADX11" s="16"/>
      <c r="ADY11" s="16"/>
      <c r="ADZ11" s="16"/>
      <c r="AEA11" s="16"/>
      <c r="AEB11" s="16"/>
      <c r="AEC11" s="16"/>
      <c r="AED11" s="16"/>
      <c r="AEE11" s="16"/>
      <c r="AEF11" s="16"/>
      <c r="AEG11" s="16"/>
      <c r="AEH11" s="16"/>
      <c r="AEI11" s="16"/>
      <c r="AEJ11" s="16"/>
      <c r="AEK11" s="16"/>
      <c r="AEL11" s="16"/>
      <c r="AEM11" s="16"/>
      <c r="AEN11" s="16"/>
      <c r="AEO11" s="16"/>
      <c r="AEP11" s="16"/>
      <c r="AEQ11" s="16"/>
      <c r="AER11" s="16"/>
      <c r="AES11" s="16"/>
      <c r="AET11" s="16"/>
      <c r="AEU11" s="16"/>
      <c r="AEV11" s="16"/>
      <c r="AEW11" s="16"/>
      <c r="AEX11" s="16"/>
      <c r="AEY11" s="16"/>
      <c r="AEZ11" s="16"/>
      <c r="AFA11" s="16"/>
      <c r="AFB11" s="16"/>
      <c r="AFC11" s="16"/>
      <c r="AFD11" s="16"/>
      <c r="AFE11" s="16"/>
      <c r="AFF11" s="16"/>
      <c r="AFG11" s="16"/>
      <c r="AFH11" s="16"/>
      <c r="AFI11" s="16"/>
      <c r="AFJ11" s="16"/>
      <c r="AFK11" s="16"/>
      <c r="AFL11" s="16"/>
      <c r="AFM11" s="16"/>
      <c r="AFN11" s="16"/>
      <c r="AFO11" s="16"/>
      <c r="AFP11" s="16"/>
      <c r="AFQ11" s="16"/>
      <c r="AFR11" s="16"/>
      <c r="AFS11" s="16"/>
      <c r="AFT11" s="16"/>
      <c r="AFU11" s="16"/>
      <c r="AFV11" s="16"/>
      <c r="AFW11" s="16"/>
      <c r="AFX11" s="16"/>
      <c r="AFY11" s="16"/>
      <c r="AFZ11" s="16"/>
      <c r="AGA11" s="16"/>
      <c r="AGB11" s="16"/>
      <c r="AGC11" s="16"/>
      <c r="AGD11" s="16"/>
      <c r="AGE11" s="16"/>
      <c r="AGF11" s="16"/>
      <c r="AGG11" s="16"/>
      <c r="AGH11" s="16"/>
      <c r="AGI11" s="16"/>
      <c r="AGJ11" s="16"/>
    </row>
    <row r="12" spans="1:868" hidden="1">
      <c r="A12" s="152" t="str">
        <f>Agriculture!A72</f>
        <v>Agriculture</v>
      </c>
      <c r="B12" s="34" t="str">
        <f>Agriculture!B72</f>
        <v>Agricultural greenhouse films (in use)</v>
      </c>
      <c r="C12" s="40" t="str">
        <f>Agriculture!C72</f>
        <v>NL</v>
      </c>
      <c r="D12" s="34" t="str">
        <f>Agriculture!D72</f>
        <v>PVC</v>
      </c>
      <c r="E12" s="865">
        <f>Agriculture!E72</f>
        <v>6.3729615065902419E-3</v>
      </c>
      <c r="F12" s="235">
        <f>Agriculture!F72</f>
        <v>2</v>
      </c>
      <c r="G12" s="40" t="str">
        <f>Agriculture!G72</f>
        <v>Urbanus, J.H., Brunner, A., Boersma, A., Henke, S., Kooter, I., Lensen, S., Parker, L., Schwarz, A., Imhof, P., Dortmans, A., Wijngaard, M., 2022. Autobanden, verpakkingen en landbouwfolie zijn in Nederland de grootste bronnen van microplastics. TNO.</v>
      </c>
      <c r="H12" s="830">
        <v>1</v>
      </c>
      <c r="I12" s="636"/>
      <c r="J12" s="9">
        <v>2</v>
      </c>
      <c r="K12" s="636">
        <v>1</v>
      </c>
      <c r="L12" s="636">
        <v>1</v>
      </c>
      <c r="M12" s="9">
        <v>2</v>
      </c>
      <c r="N12" s="186">
        <f t="shared" si="0"/>
        <v>0.35859414261160716</v>
      </c>
      <c r="O12" s="160" t="str">
        <f t="shared" si="1"/>
        <v/>
      </c>
      <c r="P12" s="63"/>
    </row>
    <row r="13" spans="1:868" hidden="1">
      <c r="A13" s="152" t="str">
        <f>Agriculture!A73</f>
        <v>Agriculture</v>
      </c>
      <c r="B13" s="34" t="str">
        <f>Agriculture!B73</f>
        <v>Agricultural greenhouse films (in use)</v>
      </c>
      <c r="C13" s="40" t="str">
        <f>Agriculture!C73</f>
        <v>NL</v>
      </c>
      <c r="D13" s="34" t="str">
        <f>Agriculture!D73</f>
        <v>PS</v>
      </c>
      <c r="E13" s="865">
        <f>Agriculture!E73</f>
        <v>0</v>
      </c>
      <c r="F13" s="235">
        <f>Agriculture!F73</f>
        <v>2</v>
      </c>
      <c r="G13" s="40" t="str">
        <f>Agriculture!G73</f>
        <v>Urbanus, J.H., Brunner, A., Boersma, A., Henke, S., Kooter, I., Lensen, S., Parker, L., Schwarz, A., Imhof, P., Dortmans, A., Wijngaard, M., 2022. Autobanden, verpakkingen en landbouwfolie zijn in Nederland de grootste bronnen van microplastics. TNO.</v>
      </c>
      <c r="H13" s="830">
        <v>1</v>
      </c>
      <c r="I13" s="636"/>
      <c r="J13" s="9">
        <v>2</v>
      </c>
      <c r="K13" s="636">
        <v>1</v>
      </c>
      <c r="L13" s="636">
        <v>1</v>
      </c>
      <c r="M13" s="9">
        <v>2</v>
      </c>
      <c r="N13" s="186">
        <f t="shared" si="0"/>
        <v>0.35859414261160716</v>
      </c>
      <c r="O13" s="160" t="str">
        <f t="shared" si="1"/>
        <v/>
      </c>
      <c r="P13" s="63"/>
    </row>
    <row r="14" spans="1:868" hidden="1">
      <c r="A14" s="152" t="str">
        <f>Agriculture!A74</f>
        <v>Agriculture</v>
      </c>
      <c r="B14" s="34" t="str">
        <f>Agriculture!B74</f>
        <v>Agricultural greenhouse films (in use)</v>
      </c>
      <c r="C14" s="40" t="str">
        <f>Agriculture!C74</f>
        <v>NL</v>
      </c>
      <c r="D14" s="34" t="str">
        <f>Agriculture!D74</f>
        <v>PP</v>
      </c>
      <c r="E14" s="865">
        <f>Agriculture!E74</f>
        <v>0</v>
      </c>
      <c r="F14" s="235">
        <f>Agriculture!F74</f>
        <v>2</v>
      </c>
      <c r="G14" s="40" t="str">
        <f>Agriculture!G74</f>
        <v>Urbanus, J.H., Brunner, A., Boersma, A., Henke, S., Kooter, I., Lensen, S., Parker, L., Schwarz, A., Imhof, P., Dortmans, A., Wijngaard, M., 2022. Autobanden, verpakkingen en landbouwfolie zijn in Nederland de grootste bronnen van microplastics. TNO.</v>
      </c>
      <c r="H14" s="830">
        <v>1</v>
      </c>
      <c r="I14" s="636"/>
      <c r="J14" s="9">
        <v>2</v>
      </c>
      <c r="K14" s="636">
        <v>1</v>
      </c>
      <c r="L14" s="636">
        <v>1</v>
      </c>
      <c r="M14" s="9">
        <v>2</v>
      </c>
      <c r="N14" s="186">
        <f t="shared" si="0"/>
        <v>0.35859414261160716</v>
      </c>
      <c r="O14" s="160" t="str">
        <f t="shared" si="1"/>
        <v/>
      </c>
      <c r="P14" s="63"/>
    </row>
    <row r="15" spans="1:868" hidden="1">
      <c r="A15" s="152" t="str">
        <f>Agriculture!A75</f>
        <v>Agriculture</v>
      </c>
      <c r="B15" s="34" t="str">
        <f>Agriculture!B75</f>
        <v>Agricultural greenhouse films (in use)</v>
      </c>
      <c r="C15" s="40" t="str">
        <f>Agriculture!C75</f>
        <v>NL</v>
      </c>
      <c r="D15" s="34" t="str">
        <f>Agriculture!D75</f>
        <v>LDPE</v>
      </c>
      <c r="E15" s="865">
        <f>Agriculture!E75</f>
        <v>1.4190115628548983E-2</v>
      </c>
      <c r="F15" s="235">
        <f>Agriculture!F75</f>
        <v>2</v>
      </c>
      <c r="G15" s="40" t="str">
        <f>Agriculture!G75</f>
        <v>Urbanus, J.H., Brunner, A., Boersma, A., Henke, S., Kooter, I., Lensen, S., Parker, L., Schwarz, A., Imhof, P., Dortmans, A., Wijngaard, M., 2022. Autobanden, verpakkingen en landbouwfolie zijn in Nederland de grootste bronnen van microplastics. TNO.</v>
      </c>
      <c r="H15" s="830">
        <v>1</v>
      </c>
      <c r="I15" s="636"/>
      <c r="J15" s="9">
        <v>2</v>
      </c>
      <c r="K15" s="636">
        <v>1</v>
      </c>
      <c r="L15" s="636">
        <v>1</v>
      </c>
      <c r="M15" s="9">
        <v>2</v>
      </c>
      <c r="N15" s="186">
        <f t="shared" si="0"/>
        <v>0.35859414261160716</v>
      </c>
      <c r="O15" s="160" t="str">
        <f t="shared" si="1"/>
        <v/>
      </c>
      <c r="P15" s="63"/>
    </row>
    <row r="16" spans="1:868" hidden="1">
      <c r="A16" s="152" t="str">
        <f>Agriculture!A76</f>
        <v>Agriculture</v>
      </c>
      <c r="B16" s="34" t="str">
        <f>Agriculture!B76</f>
        <v>Agricultural greenhouse films (in use)</v>
      </c>
      <c r="C16" s="40" t="str">
        <f>Agriculture!C76</f>
        <v>NL</v>
      </c>
      <c r="D16" s="34" t="str">
        <f>Agriculture!D76</f>
        <v>HDPE</v>
      </c>
      <c r="E16" s="865">
        <f>Agriculture!E76</f>
        <v>0</v>
      </c>
      <c r="F16" s="235">
        <f>Agriculture!F76</f>
        <v>2</v>
      </c>
      <c r="G16" s="40" t="str">
        <f>Agriculture!G76</f>
        <v>Urbanus, J.H., Brunner, A., Boersma, A., Henke, S., Kooter, I., Lensen, S., Parker, L., Schwarz, A., Imhof, P., Dortmans, A., Wijngaard, M., 2022. Autobanden, verpakkingen en landbouwfolie zijn in Nederland de grootste bronnen van microplastics. TNO.</v>
      </c>
      <c r="H16" s="830">
        <v>1</v>
      </c>
      <c r="I16" s="636"/>
      <c r="J16" s="9">
        <v>2</v>
      </c>
      <c r="K16" s="636">
        <v>1</v>
      </c>
      <c r="L16" s="636">
        <v>1</v>
      </c>
      <c r="M16" s="9">
        <v>2</v>
      </c>
      <c r="N16" s="186">
        <f t="shared" si="0"/>
        <v>0.35859414261160716</v>
      </c>
      <c r="O16" s="160" t="str">
        <f t="shared" si="1"/>
        <v/>
      </c>
      <c r="P16" s="63"/>
    </row>
    <row r="17" spans="1:16" hidden="1">
      <c r="A17" s="152" t="str">
        <f>Agriculture!A77</f>
        <v>Agriculture</v>
      </c>
      <c r="B17" s="34" t="str">
        <f>Agriculture!B77</f>
        <v>Agricultural greenhouse films (in use)</v>
      </c>
      <c r="C17" s="40" t="str">
        <f>Agriculture!C77</f>
        <v>EU</v>
      </c>
      <c r="D17" s="34" t="str">
        <f>Agriculture!D77</f>
        <v>PVC</v>
      </c>
      <c r="E17" s="865">
        <f>Agriculture!E77</f>
        <v>9.2661989829646799E-3</v>
      </c>
      <c r="F17" s="235">
        <f>Agriculture!F77</f>
        <v>2</v>
      </c>
      <c r="G17" s="40" t="str">
        <f>Agriculture!G77</f>
        <v>Assessment of agricultural plastics and their sustainability: A call for action, 2021. . FAO. https://doi.org/10.4060/cb7856en</v>
      </c>
      <c r="H17" s="830"/>
      <c r="I17" s="636">
        <v>1</v>
      </c>
      <c r="J17" s="9">
        <v>2</v>
      </c>
      <c r="K17" s="636">
        <v>1</v>
      </c>
      <c r="L17" s="636">
        <v>1</v>
      </c>
      <c r="M17" s="9">
        <v>2</v>
      </c>
      <c r="N17" s="186" t="str">
        <f t="shared" si="0"/>
        <v/>
      </c>
      <c r="O17" s="160">
        <f t="shared" si="1"/>
        <v>0.35859414261160716</v>
      </c>
      <c r="P17" s="63"/>
    </row>
    <row r="18" spans="1:16" hidden="1">
      <c r="A18" s="152" t="str">
        <f>Agriculture!A78</f>
        <v>Agriculture</v>
      </c>
      <c r="B18" s="34" t="str">
        <f>Agriculture!B78</f>
        <v>Agricultural greenhouse films (in use)</v>
      </c>
      <c r="C18" s="40" t="str">
        <f>Agriculture!C78</f>
        <v>EU</v>
      </c>
      <c r="D18" s="34" t="str">
        <f>Agriculture!D78</f>
        <v>PS</v>
      </c>
      <c r="E18" s="865">
        <f>Agriculture!E78</f>
        <v>0</v>
      </c>
      <c r="F18" s="235">
        <f>Agriculture!F78</f>
        <v>2</v>
      </c>
      <c r="G18" s="40" t="str">
        <f>Agriculture!G78</f>
        <v>Assessment of agricultural plastics and their sustainability: A call for action, 2021. . FAO. https://doi.org/10.4060/cb7856en</v>
      </c>
      <c r="H18" s="830"/>
      <c r="I18" s="636">
        <v>1</v>
      </c>
      <c r="J18" s="9">
        <v>2</v>
      </c>
      <c r="K18" s="636">
        <v>1</v>
      </c>
      <c r="L18" s="636">
        <v>1</v>
      </c>
      <c r="M18" s="9">
        <v>2</v>
      </c>
      <c r="N18" s="186" t="str">
        <f t="shared" si="0"/>
        <v/>
      </c>
      <c r="O18" s="160">
        <f t="shared" si="1"/>
        <v>0.35859414261160716</v>
      </c>
      <c r="P18" s="63"/>
    </row>
    <row r="19" spans="1:16" hidden="1">
      <c r="A19" s="152" t="str">
        <f>Agriculture!A79</f>
        <v>Agriculture</v>
      </c>
      <c r="B19" s="34" t="str">
        <f>Agriculture!B79</f>
        <v>Agricultural greenhouse films (in use)</v>
      </c>
      <c r="C19" s="40" t="str">
        <f>Agriculture!C79</f>
        <v>EU</v>
      </c>
      <c r="D19" s="34" t="str">
        <f>Agriculture!D79</f>
        <v>PP</v>
      </c>
      <c r="E19" s="865">
        <f>Agriculture!E79</f>
        <v>0</v>
      </c>
      <c r="F19" s="235">
        <f>Agriculture!F79</f>
        <v>2</v>
      </c>
      <c r="G19" s="40" t="str">
        <f>Agriculture!G79</f>
        <v>Assessment of agricultural plastics and their sustainability: A call for action, 2021. . FAO. https://doi.org/10.4060/cb7856en</v>
      </c>
      <c r="H19" s="830"/>
      <c r="I19" s="636">
        <v>1</v>
      </c>
      <c r="J19" s="9">
        <v>2</v>
      </c>
      <c r="K19" s="636">
        <v>1</v>
      </c>
      <c r="L19" s="636">
        <v>1</v>
      </c>
      <c r="M19" s="9">
        <v>2</v>
      </c>
      <c r="N19" s="186" t="str">
        <f t="shared" si="0"/>
        <v/>
      </c>
      <c r="O19" s="160">
        <f t="shared" si="1"/>
        <v>0.35859414261160716</v>
      </c>
      <c r="P19" s="63"/>
    </row>
    <row r="20" spans="1:16" hidden="1">
      <c r="A20" s="152" t="str">
        <f>Agriculture!A80</f>
        <v>Agriculture</v>
      </c>
      <c r="B20" s="34" t="str">
        <f>Agriculture!B80</f>
        <v>Agricultural greenhouse films (in use)</v>
      </c>
      <c r="C20" s="40" t="str">
        <f>Agriculture!C80</f>
        <v>EU</v>
      </c>
      <c r="D20" s="34" t="str">
        <f>Agriculture!D80</f>
        <v>LDPE</v>
      </c>
      <c r="E20" s="865">
        <f>Agriculture!E80</f>
        <v>1.5937522374961335E-2</v>
      </c>
      <c r="F20" s="235">
        <f>Agriculture!F80</f>
        <v>2</v>
      </c>
      <c r="G20" s="40" t="str">
        <f>Agriculture!G80</f>
        <v>Assessment of agricultural plastics and their sustainability: A call for action, 2021. . FAO. https://doi.org/10.4060/cb7856en</v>
      </c>
      <c r="H20" s="830"/>
      <c r="I20" s="636">
        <v>1</v>
      </c>
      <c r="J20" s="9">
        <v>2</v>
      </c>
      <c r="K20" s="636">
        <v>1</v>
      </c>
      <c r="L20" s="636">
        <v>1</v>
      </c>
      <c r="M20" s="9">
        <v>2</v>
      </c>
      <c r="N20" s="186" t="str">
        <f t="shared" si="0"/>
        <v/>
      </c>
      <c r="O20" s="160">
        <f t="shared" si="1"/>
        <v>0.35859414261160716</v>
      </c>
      <c r="P20" s="63"/>
    </row>
    <row r="21" spans="1:16" hidden="1">
      <c r="A21" s="152" t="str">
        <f>Agriculture!A81</f>
        <v>Agriculture</v>
      </c>
      <c r="B21" s="34" t="str">
        <f>Agriculture!B81</f>
        <v>Agricultural greenhouse films (in use)</v>
      </c>
      <c r="C21" s="40" t="str">
        <f>Agriculture!C81</f>
        <v>EU</v>
      </c>
      <c r="D21" s="34" t="str">
        <f>Agriculture!D81</f>
        <v>HDPE</v>
      </c>
      <c r="E21" s="865">
        <f>Agriculture!E81</f>
        <v>0</v>
      </c>
      <c r="F21" s="235">
        <f>Agriculture!F81</f>
        <v>2</v>
      </c>
      <c r="G21" s="40" t="str">
        <f>Agriculture!G81</f>
        <v>Assessment of agricultural plastics and their sustainability: A call for action, 2021. . FAO. https://doi.org/10.4060/cb7856en</v>
      </c>
      <c r="H21" s="830"/>
      <c r="I21" s="636">
        <v>1</v>
      </c>
      <c r="J21" s="9">
        <v>2</v>
      </c>
      <c r="K21" s="636">
        <v>1</v>
      </c>
      <c r="L21" s="636">
        <v>1</v>
      </c>
      <c r="M21" s="9">
        <v>2</v>
      </c>
      <c r="N21" s="186" t="str">
        <f t="shared" si="0"/>
        <v/>
      </c>
      <c r="O21" s="160">
        <f t="shared" si="1"/>
        <v>0.35859414261160716</v>
      </c>
      <c r="P21" s="63"/>
    </row>
    <row r="22" spans="1:16" hidden="1">
      <c r="A22" s="152" t="str">
        <f>Agriculture!A102</f>
        <v>Agriculture</v>
      </c>
      <c r="B22" s="34" t="str">
        <f>Agriculture!B102</f>
        <v>Agricultural mulching films</v>
      </c>
      <c r="C22" s="40" t="str">
        <f>Agriculture!C102</f>
        <v>NL</v>
      </c>
      <c r="D22" s="34" t="str">
        <f>Agriculture!D102</f>
        <v>PVC</v>
      </c>
      <c r="E22" s="865">
        <f>Agriculture!E102</f>
        <v>0.27195768865502412</v>
      </c>
      <c r="F22" s="235">
        <f>Agriculture!F102</f>
        <v>1</v>
      </c>
      <c r="G22" s="40" t="str">
        <f>Agriculture!G102</f>
        <v>Urbanus, J.H., Brunner, A., Boersma, A., Henke, S., Kooter, I., Lensen, S., Parker, L., Schwarz, A., Imhof, P., Dortmans, A., Wijngaard, M., 2022. Autobanden, verpakkingen en landbouwfolie zijn in Nederland de grootste bronnen van microplastics. TNO.</v>
      </c>
      <c r="H22" s="29">
        <v>1</v>
      </c>
      <c r="I22" s="9"/>
      <c r="J22" s="9">
        <v>2</v>
      </c>
      <c r="K22" s="9">
        <v>1</v>
      </c>
      <c r="L22" s="9">
        <v>1</v>
      </c>
      <c r="M22" s="9">
        <v>2</v>
      </c>
      <c r="N22" s="186">
        <f t="shared" si="0"/>
        <v>0.35859414261160716</v>
      </c>
      <c r="O22" s="160" t="str">
        <f t="shared" si="1"/>
        <v/>
      </c>
      <c r="P22" s="63"/>
    </row>
    <row r="23" spans="1:16" hidden="1">
      <c r="A23" s="152" t="str">
        <f>Agriculture!A103</f>
        <v>Agriculture</v>
      </c>
      <c r="B23" s="34" t="str">
        <f>Agriculture!B103</f>
        <v>Agricultural mulching films</v>
      </c>
      <c r="C23" s="40" t="str">
        <f>Agriculture!C103</f>
        <v>NL</v>
      </c>
      <c r="D23" s="34" t="str">
        <f>Agriculture!D103</f>
        <v>PS</v>
      </c>
      <c r="E23" s="865">
        <f>Agriculture!E103</f>
        <v>0</v>
      </c>
      <c r="F23" s="235">
        <f>Agriculture!F103</f>
        <v>1</v>
      </c>
      <c r="G23" s="40" t="str">
        <f>Agriculture!G103</f>
        <v>Urbanus, J.H., Brunner, A., Boersma, A., Henke, S., Kooter, I., Lensen, S., Parker, L., Schwarz, A., Imhof, P., Dortmans, A., Wijngaard, M., 2022. Autobanden, verpakkingen en landbouwfolie zijn in Nederland de grootste bronnen van microplastics. TNO.</v>
      </c>
      <c r="H23" s="29">
        <v>1</v>
      </c>
      <c r="I23" s="9"/>
      <c r="J23" s="9">
        <v>2</v>
      </c>
      <c r="K23" s="9">
        <v>1</v>
      </c>
      <c r="L23" s="9">
        <v>1</v>
      </c>
      <c r="M23" s="9">
        <v>2</v>
      </c>
      <c r="N23" s="186">
        <f t="shared" si="0"/>
        <v>0.35859414261160716</v>
      </c>
      <c r="O23" s="160" t="str">
        <f t="shared" si="1"/>
        <v/>
      </c>
      <c r="P23" s="63"/>
    </row>
    <row r="24" spans="1:16" hidden="1">
      <c r="A24" s="152" t="str">
        <f>Agriculture!A104</f>
        <v>Agriculture</v>
      </c>
      <c r="B24" s="34" t="str">
        <f>Agriculture!B104</f>
        <v>Agricultural mulching films</v>
      </c>
      <c r="C24" s="40" t="str">
        <f>Agriculture!C104</f>
        <v>NL</v>
      </c>
      <c r="D24" s="34" t="str">
        <f>Agriculture!D104</f>
        <v>PP</v>
      </c>
      <c r="E24" s="865">
        <f>Agriculture!E104</f>
        <v>0</v>
      </c>
      <c r="F24" s="235">
        <f>Agriculture!F104</f>
        <v>1</v>
      </c>
      <c r="G24" s="40" t="str">
        <f>Agriculture!G104</f>
        <v>Urbanus, J.H., Brunner, A., Boersma, A., Henke, S., Kooter, I., Lensen, S., Parker, L., Schwarz, A., Imhof, P., Dortmans, A., Wijngaard, M., 2022. Autobanden, verpakkingen en landbouwfolie zijn in Nederland de grootste bronnen van microplastics. TNO.</v>
      </c>
      <c r="H24" s="29">
        <v>1</v>
      </c>
      <c r="I24" s="9"/>
      <c r="J24" s="9">
        <v>2</v>
      </c>
      <c r="K24" s="9">
        <v>1</v>
      </c>
      <c r="L24" s="9">
        <v>1</v>
      </c>
      <c r="M24" s="9">
        <v>2</v>
      </c>
      <c r="N24" s="186">
        <f t="shared" si="0"/>
        <v>0.35859414261160716</v>
      </c>
      <c r="O24" s="160" t="str">
        <f t="shared" si="1"/>
        <v/>
      </c>
      <c r="P24" s="63"/>
    </row>
    <row r="25" spans="1:16" hidden="1">
      <c r="A25" s="152" t="str">
        <f>Agriculture!A105</f>
        <v>Agriculture</v>
      </c>
      <c r="B25" s="34" t="str">
        <f>Agriculture!B105</f>
        <v>Agricultural mulching films</v>
      </c>
      <c r="C25" s="40" t="str">
        <f>Agriculture!C105</f>
        <v>NL</v>
      </c>
      <c r="D25" s="34" t="str">
        <f>Agriculture!D105</f>
        <v>LDPE</v>
      </c>
      <c r="E25" s="865">
        <f>Agriculture!E105</f>
        <v>0.60554438373698527</v>
      </c>
      <c r="F25" s="235">
        <f>Agriculture!F105</f>
        <v>1</v>
      </c>
      <c r="G25" s="40" t="str">
        <f>Agriculture!G105</f>
        <v>Urbanus, J.H., Brunner, A., Boersma, A., Henke, S., Kooter, I., Lensen, S., Parker, L., Schwarz, A., Imhof, P., Dortmans, A., Wijngaard, M., 2022. Autobanden, verpakkingen en landbouwfolie zijn in Nederland de grootste bronnen van microplastics. TNO.</v>
      </c>
      <c r="H25" s="29">
        <v>1</v>
      </c>
      <c r="I25" s="9"/>
      <c r="J25" s="9">
        <v>2</v>
      </c>
      <c r="K25" s="9">
        <v>1</v>
      </c>
      <c r="L25" s="9">
        <v>1</v>
      </c>
      <c r="M25" s="9">
        <v>2</v>
      </c>
      <c r="N25" s="186">
        <f t="shared" si="0"/>
        <v>0.35859414261160716</v>
      </c>
      <c r="O25" s="160" t="str">
        <f t="shared" si="1"/>
        <v/>
      </c>
      <c r="P25" s="63"/>
    </row>
    <row r="26" spans="1:16" hidden="1">
      <c r="A26" s="152" t="str">
        <f>Agriculture!A106</f>
        <v>Agriculture</v>
      </c>
      <c r="B26" s="34" t="str">
        <f>Agriculture!B106</f>
        <v>Agricultural mulching films</v>
      </c>
      <c r="C26" s="40" t="str">
        <f>Agriculture!C106</f>
        <v>NL</v>
      </c>
      <c r="D26" s="34" t="str">
        <f>Agriculture!D106</f>
        <v>HDPE</v>
      </c>
      <c r="E26" s="865">
        <f>Agriculture!E106</f>
        <v>0</v>
      </c>
      <c r="F26" s="235">
        <f>Agriculture!F106</f>
        <v>1</v>
      </c>
      <c r="G26" s="40" t="str">
        <f>Agriculture!G106</f>
        <v>Urbanus, J.H., Brunner, A., Boersma, A., Henke, S., Kooter, I., Lensen, S., Parker, L., Schwarz, A., Imhof, P., Dortmans, A., Wijngaard, M., 2022. Autobanden, verpakkingen en landbouwfolie zijn in Nederland de grootste bronnen van microplastics. TNO.</v>
      </c>
      <c r="H26" s="29">
        <v>1</v>
      </c>
      <c r="I26" s="9"/>
      <c r="J26" s="9">
        <v>2</v>
      </c>
      <c r="K26" s="9">
        <v>1</v>
      </c>
      <c r="L26" s="9">
        <v>1</v>
      </c>
      <c r="M26" s="9">
        <v>2</v>
      </c>
      <c r="N26" s="186">
        <f t="shared" si="0"/>
        <v>0.35859414261160716</v>
      </c>
      <c r="O26" s="160" t="str">
        <f t="shared" si="1"/>
        <v/>
      </c>
      <c r="P26" s="63"/>
    </row>
    <row r="27" spans="1:16" hidden="1">
      <c r="A27" s="152" t="str">
        <f>Agriculture!A107</f>
        <v>Agriculture</v>
      </c>
      <c r="B27" s="34" t="str">
        <f>Agriculture!B107</f>
        <v>Agricultural mulching films</v>
      </c>
      <c r="C27" s="40" t="str">
        <f>Agriculture!C107</f>
        <v>EU</v>
      </c>
      <c r="D27" s="34" t="str">
        <f>Agriculture!D107</f>
        <v>PVC</v>
      </c>
      <c r="E27" s="865">
        <f>Agriculture!E107</f>
        <v>0.39542276466265769</v>
      </c>
      <c r="F27" s="235">
        <f>Agriculture!F107</f>
        <v>1</v>
      </c>
      <c r="G27" s="40" t="str">
        <f>Agriculture!G107</f>
        <v>Assessment of agricultural plastics and their sustainability: A call for action, 2021. . FAO. https://doi.org/10.4060/cb7856en</v>
      </c>
      <c r="H27" s="29"/>
      <c r="I27" s="9">
        <v>1</v>
      </c>
      <c r="J27" s="9">
        <v>2</v>
      </c>
      <c r="K27" s="9">
        <v>1</v>
      </c>
      <c r="L27" s="9">
        <v>1</v>
      </c>
      <c r="M27" s="9">
        <v>2</v>
      </c>
      <c r="N27" s="186" t="str">
        <f t="shared" si="0"/>
        <v/>
      </c>
      <c r="O27" s="160">
        <f t="shared" si="1"/>
        <v>0.35859414261160716</v>
      </c>
      <c r="P27" s="63"/>
    </row>
    <row r="28" spans="1:16" hidden="1">
      <c r="A28" s="152" t="str">
        <f>Agriculture!A108</f>
        <v>Agriculture</v>
      </c>
      <c r="B28" s="34" t="str">
        <f>Agriculture!B108</f>
        <v>Agricultural mulching films</v>
      </c>
      <c r="C28" s="40" t="str">
        <f>Agriculture!C108</f>
        <v>EU</v>
      </c>
      <c r="D28" s="34" t="str">
        <f>Agriculture!D108</f>
        <v>PS</v>
      </c>
      <c r="E28" s="865">
        <f>Agriculture!E108</f>
        <v>0</v>
      </c>
      <c r="F28" s="235">
        <f>Agriculture!F108</f>
        <v>1</v>
      </c>
      <c r="G28" s="40" t="str">
        <f>Agriculture!G108</f>
        <v>Assessment of agricultural plastics and their sustainability: A call for action, 2021. . FAO. https://doi.org/10.4060/cb7856en</v>
      </c>
      <c r="H28" s="29"/>
      <c r="I28" s="9">
        <v>1</v>
      </c>
      <c r="J28" s="9">
        <v>2</v>
      </c>
      <c r="K28" s="9">
        <v>1</v>
      </c>
      <c r="L28" s="9">
        <v>1</v>
      </c>
      <c r="M28" s="9">
        <v>2</v>
      </c>
      <c r="N28" s="186" t="str">
        <f t="shared" si="0"/>
        <v/>
      </c>
      <c r="O28" s="160">
        <f t="shared" si="1"/>
        <v>0.35859414261160716</v>
      </c>
      <c r="P28" s="63"/>
    </row>
    <row r="29" spans="1:16" hidden="1">
      <c r="A29" s="152" t="str">
        <f>Agriculture!A109</f>
        <v>Agriculture</v>
      </c>
      <c r="B29" s="34" t="str">
        <f>Agriculture!B109</f>
        <v>Agricultural mulching films</v>
      </c>
      <c r="C29" s="40" t="str">
        <f>Agriculture!C109</f>
        <v>EU</v>
      </c>
      <c r="D29" s="34" t="str">
        <f>Agriculture!D109</f>
        <v>PP</v>
      </c>
      <c r="E29" s="865">
        <f>Agriculture!E109</f>
        <v>0</v>
      </c>
      <c r="F29" s="235">
        <f>Agriculture!F109</f>
        <v>1</v>
      </c>
      <c r="G29" s="40" t="str">
        <f>Agriculture!G109</f>
        <v>Assessment of agricultural plastics and their sustainability: A call for action, 2021. . FAO. https://doi.org/10.4060/cb7856en</v>
      </c>
      <c r="H29" s="29"/>
      <c r="I29" s="9">
        <v>1</v>
      </c>
      <c r="J29" s="9">
        <v>2</v>
      </c>
      <c r="K29" s="9">
        <v>1</v>
      </c>
      <c r="L29" s="9">
        <v>1</v>
      </c>
      <c r="M29" s="9">
        <v>2</v>
      </c>
      <c r="N29" s="186" t="str">
        <f t="shared" si="0"/>
        <v/>
      </c>
      <c r="O29" s="160">
        <f t="shared" si="1"/>
        <v>0.35859414261160716</v>
      </c>
      <c r="P29" s="63"/>
    </row>
    <row r="30" spans="1:16" hidden="1">
      <c r="A30" s="152" t="str">
        <f>Agriculture!A110</f>
        <v>Agriculture</v>
      </c>
      <c r="B30" s="34" t="str">
        <f>Agriculture!B110</f>
        <v>Agricultural mulching films</v>
      </c>
      <c r="C30" s="40" t="str">
        <f>Agriculture!C110</f>
        <v>EU</v>
      </c>
      <c r="D30" s="34" t="str">
        <f>Agriculture!D110</f>
        <v>LDPE</v>
      </c>
      <c r="E30" s="865">
        <f>Agriculture!E110</f>
        <v>0.68011265147296251</v>
      </c>
      <c r="F30" s="235">
        <f>Agriculture!F110</f>
        <v>1</v>
      </c>
      <c r="G30" s="40" t="str">
        <f>Agriculture!G110</f>
        <v>Assessment of agricultural plastics and their sustainability: A call for action, 2021. . FAO. https://doi.org/10.4060/cb7856en</v>
      </c>
      <c r="H30" s="29"/>
      <c r="I30" s="9">
        <v>1</v>
      </c>
      <c r="J30" s="9">
        <v>2</v>
      </c>
      <c r="K30" s="9">
        <v>1</v>
      </c>
      <c r="L30" s="9">
        <v>1</v>
      </c>
      <c r="M30" s="9">
        <v>2</v>
      </c>
      <c r="N30" s="186" t="str">
        <f t="shared" si="0"/>
        <v/>
      </c>
      <c r="O30" s="160">
        <f t="shared" si="1"/>
        <v>0.35859414261160716</v>
      </c>
      <c r="P30" s="63"/>
    </row>
    <row r="31" spans="1:16" hidden="1">
      <c r="A31" s="152" t="str">
        <f>Agriculture!A111</f>
        <v>Agriculture</v>
      </c>
      <c r="B31" s="34" t="str">
        <f>Agriculture!B111</f>
        <v>Agricultural mulching films</v>
      </c>
      <c r="C31" s="40" t="str">
        <f>Agriculture!C111</f>
        <v>EU</v>
      </c>
      <c r="D31" s="34" t="str">
        <f>Agriculture!D111</f>
        <v>HDPE</v>
      </c>
      <c r="E31" s="865">
        <f>Agriculture!E111</f>
        <v>0</v>
      </c>
      <c r="F31" s="235">
        <f>Agriculture!F111</f>
        <v>1</v>
      </c>
      <c r="G31" s="40" t="str">
        <f>Agriculture!G111</f>
        <v>Assessment of agricultural plastics and their sustainability: A call for action, 2021. . FAO. https://doi.org/10.4060/cb7856en</v>
      </c>
      <c r="H31" s="29"/>
      <c r="I31" s="9">
        <v>1</v>
      </c>
      <c r="J31" s="9">
        <v>2</v>
      </c>
      <c r="K31" s="9">
        <v>1</v>
      </c>
      <c r="L31" s="9">
        <v>1</v>
      </c>
      <c r="M31" s="9">
        <v>2</v>
      </c>
      <c r="N31" s="186" t="str">
        <f t="shared" si="0"/>
        <v/>
      </c>
      <c r="O31" s="160">
        <f t="shared" si="1"/>
        <v>0.35859414261160716</v>
      </c>
      <c r="P31" s="63"/>
    </row>
    <row r="32" spans="1:16" hidden="1">
      <c r="A32" s="152" t="str">
        <f>Agriculture!A62</f>
        <v>Agriculture</v>
      </c>
      <c r="B32" s="34" t="str">
        <f>Agriculture!B62</f>
        <v>Agricultural other</v>
      </c>
      <c r="C32" s="40" t="str">
        <f>Agriculture!C62</f>
        <v>NL</v>
      </c>
      <c r="D32" s="34" t="str">
        <f>Agriculture!D62</f>
        <v>PVC</v>
      </c>
      <c r="E32" s="865">
        <f>Agriculture!E62</f>
        <v>0.2192024530360637</v>
      </c>
      <c r="F32" s="235">
        <f>Agriculture!F62</f>
        <v>2</v>
      </c>
      <c r="G32" s="40" t="str">
        <f>Agriculture!G62</f>
        <v>Urbanus, J.H., Brunner, A., Boersma, A., Henke, S., Kooter, I., Lensen, S., Parker, L., Schwarz, A., Imhof, P., Dortmans, A., Wijngaard, M., 2022. Autobanden, verpakkingen en landbouwfolie zijn in Nederland de grootste bronnen van microplastics. TNO.</v>
      </c>
      <c r="H32" s="29">
        <v>1</v>
      </c>
      <c r="I32" s="9"/>
      <c r="J32" s="9">
        <v>2</v>
      </c>
      <c r="K32" s="9">
        <v>1</v>
      </c>
      <c r="L32" s="9">
        <v>1</v>
      </c>
      <c r="M32" s="9">
        <v>2</v>
      </c>
      <c r="N32" s="186">
        <f t="shared" si="0"/>
        <v>0.35859414261160716</v>
      </c>
      <c r="O32" s="160" t="str">
        <f t="shared" si="1"/>
        <v/>
      </c>
      <c r="P32" s="63"/>
    </row>
    <row r="33" spans="1:16" hidden="1">
      <c r="A33" s="152" t="str">
        <f>Agriculture!A63</f>
        <v>Agriculture</v>
      </c>
      <c r="B33" s="34" t="str">
        <f>Agriculture!B63</f>
        <v>Agricultural other</v>
      </c>
      <c r="C33" s="40" t="str">
        <f>Agriculture!C63</f>
        <v>NL</v>
      </c>
      <c r="D33" s="34" t="str">
        <f>Agriculture!D63</f>
        <v>PS</v>
      </c>
      <c r="E33" s="865">
        <f>Agriculture!E63</f>
        <v>1</v>
      </c>
      <c r="F33" s="235">
        <f>Agriculture!F63</f>
        <v>2</v>
      </c>
      <c r="G33" s="40" t="str">
        <f>Agriculture!G63</f>
        <v>Urbanus, J.H., Brunner, A., Boersma, A., Henke, S., Kooter, I., Lensen, S., Parker, L., Schwarz, A., Imhof, P., Dortmans, A., Wijngaard, M., 2022. Autobanden, verpakkingen en landbouwfolie zijn in Nederland de grootste bronnen van microplastics. TNO.</v>
      </c>
      <c r="H33" s="29">
        <v>1</v>
      </c>
      <c r="I33" s="9"/>
      <c r="J33" s="9">
        <v>2</v>
      </c>
      <c r="K33" s="9">
        <v>1</v>
      </c>
      <c r="L33" s="9">
        <v>1</v>
      </c>
      <c r="M33" s="9">
        <v>2</v>
      </c>
      <c r="N33" s="186">
        <f t="shared" si="0"/>
        <v>0.35859414261160716</v>
      </c>
      <c r="O33" s="160" t="str">
        <f t="shared" si="1"/>
        <v/>
      </c>
      <c r="P33" s="63"/>
    </row>
    <row r="34" spans="1:16" hidden="1">
      <c r="A34" s="152" t="str">
        <f>Agriculture!A64</f>
        <v>Agriculture</v>
      </c>
      <c r="B34" s="34" t="str">
        <f>Agriculture!B64</f>
        <v>Agricultural other</v>
      </c>
      <c r="C34" s="40" t="str">
        <f>Agriculture!C64</f>
        <v>NL</v>
      </c>
      <c r="D34" s="34" t="str">
        <f>Agriculture!D64</f>
        <v>PP</v>
      </c>
      <c r="E34" s="865">
        <f>Agriculture!E64</f>
        <v>1</v>
      </c>
      <c r="F34" s="235">
        <f>Agriculture!F64</f>
        <v>2</v>
      </c>
      <c r="G34" s="40" t="str">
        <f>Agriculture!G64</f>
        <v>Urbanus, J.H., Brunner, A., Boersma, A., Henke, S., Kooter, I., Lensen, S., Parker, L., Schwarz, A., Imhof, P., Dortmans, A., Wijngaard, M., 2022. Autobanden, verpakkingen en landbouwfolie zijn in Nederland de grootste bronnen van microplastics. TNO.</v>
      </c>
      <c r="H34" s="29">
        <v>1</v>
      </c>
      <c r="I34" s="9"/>
      <c r="J34" s="9">
        <v>2</v>
      </c>
      <c r="K34" s="9">
        <v>1</v>
      </c>
      <c r="L34" s="9">
        <v>1</v>
      </c>
      <c r="M34" s="9">
        <v>2</v>
      </c>
      <c r="N34" s="186">
        <f t="shared" ref="N34:N65" si="2">IF( OR( ISBLANK(H34),ISBLANK(J34), ISBLANK(K34), ISBLANK(L34), ISBLANK(M34) ), "", 1.5*SQRT(   EXP(2.21*(H34-1)) + EXP(2.21*(J34-1)) + EXP(2.21*(K34-1)) + EXP(2.21*(L34-1)) + EXP(2.21*M34)   )/100*2.45 )</f>
        <v>0.35859414261160716</v>
      </c>
      <c r="O34" s="160" t="str">
        <f t="shared" ref="O34:O65" si="3">IF( OR( ISBLANK(I34),ISBLANK(J34), ISBLANK(K34), ISBLANK(L34), ISBLANK(M34) ), "", 1.5*SQRT( EXP(2.21*(I34-1)) + EXP(2.21*(J34-1)) + EXP(2.21*(K34-1)) + EXP(2.21*(L34-1)) + EXP(2.21*M34)   )/100*2.45 )</f>
        <v/>
      </c>
      <c r="P34" s="63"/>
    </row>
    <row r="35" spans="1:16" hidden="1">
      <c r="A35" s="152" t="str">
        <f>Agriculture!A65</f>
        <v>Agriculture</v>
      </c>
      <c r="B35" s="34" t="str">
        <f>Agriculture!B65</f>
        <v>Agricultural other</v>
      </c>
      <c r="C35" s="40" t="str">
        <f>Agriculture!C65</f>
        <v>NL</v>
      </c>
      <c r="D35" s="34" t="str">
        <f>Agriculture!D65</f>
        <v>LDPE</v>
      </c>
      <c r="E35" s="865">
        <f>Agriculture!E65</f>
        <v>8.6056019698713113E-2</v>
      </c>
      <c r="F35" s="235">
        <f>Agriculture!F65</f>
        <v>2</v>
      </c>
      <c r="G35" s="40" t="str">
        <f>Agriculture!G65</f>
        <v>Urbanus, J.H., Brunner, A., Boersma, A., Henke, S., Kooter, I., Lensen, S., Parker, L., Schwarz, A., Imhof, P., Dortmans, A., Wijngaard, M., 2022. Autobanden, verpakkingen en landbouwfolie zijn in Nederland de grootste bronnen van microplastics. TNO.</v>
      </c>
      <c r="H35" s="29">
        <v>1</v>
      </c>
      <c r="I35" s="9"/>
      <c r="J35" s="9">
        <v>2</v>
      </c>
      <c r="K35" s="9">
        <v>1</v>
      </c>
      <c r="L35" s="9">
        <v>1</v>
      </c>
      <c r="M35" s="9">
        <v>2</v>
      </c>
      <c r="N35" s="186">
        <f t="shared" si="2"/>
        <v>0.35859414261160716</v>
      </c>
      <c r="O35" s="160" t="str">
        <f t="shared" si="3"/>
        <v/>
      </c>
      <c r="P35" s="63"/>
    </row>
    <row r="36" spans="1:16" hidden="1">
      <c r="A36" s="152" t="str">
        <f>Agriculture!A66</f>
        <v>Agriculture</v>
      </c>
      <c r="B36" s="34" t="str">
        <f>Agriculture!B66</f>
        <v>Agricultural other</v>
      </c>
      <c r="C36" s="40" t="str">
        <f>Agriculture!C66</f>
        <v>NL</v>
      </c>
      <c r="D36" s="34" t="str">
        <f>Agriculture!D66</f>
        <v>HDPE</v>
      </c>
      <c r="E36" s="865">
        <f>Agriculture!E66</f>
        <v>0.39319670484919866</v>
      </c>
      <c r="F36" s="235">
        <f>Agriculture!F66</f>
        <v>2</v>
      </c>
      <c r="G36" s="40" t="str">
        <f>Agriculture!G66</f>
        <v>Urbanus, J.H., Brunner, A., Boersma, A., Henke, S., Kooter, I., Lensen, S., Parker, L., Schwarz, A., Imhof, P., Dortmans, A., Wijngaard, M., 2022. Autobanden, verpakkingen en landbouwfolie zijn in Nederland de grootste bronnen van microplastics. TNO.</v>
      </c>
      <c r="H36" s="29">
        <v>1</v>
      </c>
      <c r="I36" s="9"/>
      <c r="J36" s="9">
        <v>2</v>
      </c>
      <c r="K36" s="9">
        <v>1</v>
      </c>
      <c r="L36" s="9">
        <v>1</v>
      </c>
      <c r="M36" s="9">
        <v>2</v>
      </c>
      <c r="N36" s="186">
        <f t="shared" si="2"/>
        <v>0.35859414261160716</v>
      </c>
      <c r="O36" s="160" t="str">
        <f t="shared" si="3"/>
        <v/>
      </c>
      <c r="P36" s="63"/>
    </row>
    <row r="37" spans="1:16" hidden="1">
      <c r="A37" s="152" t="str">
        <f>Agriculture!A67</f>
        <v>Agriculture</v>
      </c>
      <c r="B37" s="34" t="str">
        <f>Agriculture!B67</f>
        <v>Agricultural other</v>
      </c>
      <c r="C37" s="40" t="str">
        <f>Agriculture!C67</f>
        <v>EU</v>
      </c>
      <c r="D37" s="34" t="str">
        <f>Agriculture!D67</f>
        <v>PVC</v>
      </c>
      <c r="E37" s="865">
        <f>Agriculture!E67</f>
        <v>0.32338771379945241</v>
      </c>
      <c r="F37" s="235">
        <f>Agriculture!F67</f>
        <v>2</v>
      </c>
      <c r="G37" s="40" t="str">
        <f>Agriculture!G67</f>
        <v>Assessment of agricultural plastics and their sustainability: A call for action, 2021. . FAO. https://doi.org/10.4060/cb7856en</v>
      </c>
      <c r="H37" s="29"/>
      <c r="I37" s="9">
        <v>1</v>
      </c>
      <c r="J37" s="9">
        <v>2</v>
      </c>
      <c r="K37" s="9">
        <v>1</v>
      </c>
      <c r="L37" s="9">
        <v>1</v>
      </c>
      <c r="M37" s="9">
        <v>2</v>
      </c>
      <c r="N37" s="186" t="str">
        <f t="shared" si="2"/>
        <v/>
      </c>
      <c r="O37" s="160">
        <f t="shared" si="3"/>
        <v>0.35859414261160716</v>
      </c>
      <c r="P37" s="63"/>
    </row>
    <row r="38" spans="1:16" hidden="1">
      <c r="A38" s="152" t="str">
        <f>Agriculture!A68</f>
        <v>Agriculture</v>
      </c>
      <c r="B38" s="34" t="str">
        <f>Agriculture!B68</f>
        <v>Agricultural other</v>
      </c>
      <c r="C38" s="40" t="str">
        <f>Agriculture!C68</f>
        <v>EU</v>
      </c>
      <c r="D38" s="34" t="str">
        <f>Agriculture!D68</f>
        <v>PS</v>
      </c>
      <c r="E38" s="865">
        <f>Agriculture!E68</f>
        <v>1</v>
      </c>
      <c r="F38" s="235">
        <f>Agriculture!F68</f>
        <v>2</v>
      </c>
      <c r="G38" s="40" t="str">
        <f>Agriculture!G68</f>
        <v>Assessment of agricultural plastics and their sustainability: A call for action, 2021. . FAO. https://doi.org/10.4060/cb7856en</v>
      </c>
      <c r="H38" s="29"/>
      <c r="I38" s="9">
        <v>1</v>
      </c>
      <c r="J38" s="9">
        <v>2</v>
      </c>
      <c r="K38" s="9">
        <v>1</v>
      </c>
      <c r="L38" s="9">
        <v>1</v>
      </c>
      <c r="M38" s="9">
        <v>2</v>
      </c>
      <c r="N38" s="186" t="str">
        <f t="shared" si="2"/>
        <v/>
      </c>
      <c r="O38" s="160">
        <f t="shared" si="3"/>
        <v>0.35859414261160716</v>
      </c>
      <c r="P38" s="63"/>
    </row>
    <row r="39" spans="1:16" hidden="1">
      <c r="A39" s="152" t="str">
        <f>Agriculture!A69</f>
        <v>Agriculture</v>
      </c>
      <c r="B39" s="34" t="str">
        <f>Agriculture!B69</f>
        <v>Agricultural other</v>
      </c>
      <c r="C39" s="40" t="str">
        <f>Agriculture!C69</f>
        <v>EU</v>
      </c>
      <c r="D39" s="34" t="str">
        <f>Agriculture!D69</f>
        <v>PP</v>
      </c>
      <c r="E39" s="865">
        <f>Agriculture!E69</f>
        <v>1</v>
      </c>
      <c r="F39" s="235">
        <f>Agriculture!F69</f>
        <v>2</v>
      </c>
      <c r="G39" s="40" t="str">
        <f>Agriculture!G69</f>
        <v>Assessment of agricultural plastics and their sustainability: A call for action, 2021. . FAO. https://doi.org/10.4060/cb7856en</v>
      </c>
      <c r="H39" s="29"/>
      <c r="I39" s="9">
        <v>1</v>
      </c>
      <c r="J39" s="9">
        <v>2</v>
      </c>
      <c r="K39" s="9">
        <v>1</v>
      </c>
      <c r="L39" s="9">
        <v>1</v>
      </c>
      <c r="M39" s="9">
        <v>2</v>
      </c>
      <c r="N39" s="186" t="str">
        <f t="shared" si="2"/>
        <v/>
      </c>
      <c r="O39" s="160">
        <f t="shared" si="3"/>
        <v>0.35859414261160716</v>
      </c>
      <c r="P39" s="63"/>
    </row>
    <row r="40" spans="1:16" hidden="1">
      <c r="A40" s="152" t="str">
        <f>Agriculture!A70</f>
        <v>Agriculture</v>
      </c>
      <c r="B40" s="34" t="str">
        <f>Agriculture!B70</f>
        <v>Agricultural other</v>
      </c>
      <c r="C40" s="40" t="str">
        <f>Agriculture!C70</f>
        <v>EU</v>
      </c>
      <c r="D40" s="34" t="str">
        <f>Agriculture!D70</f>
        <v>LDPE</v>
      </c>
      <c r="E40" s="865">
        <f>Agriculture!E70</f>
        <v>9.8069487929673418E-2</v>
      </c>
      <c r="F40" s="235">
        <f>Agriculture!F70</f>
        <v>2</v>
      </c>
      <c r="G40" s="40" t="str">
        <f>Agriculture!G70</f>
        <v>Assessment of agricultural plastics and their sustainability: A call for action, 2021. . FAO. https://doi.org/10.4060/cb7856en</v>
      </c>
      <c r="H40" s="29"/>
      <c r="I40" s="9">
        <v>1</v>
      </c>
      <c r="J40" s="9">
        <v>2</v>
      </c>
      <c r="K40" s="9">
        <v>1</v>
      </c>
      <c r="L40" s="9">
        <v>1</v>
      </c>
      <c r="M40" s="9">
        <v>2</v>
      </c>
      <c r="N40" s="186" t="str">
        <f t="shared" si="2"/>
        <v/>
      </c>
      <c r="O40" s="160">
        <f t="shared" si="3"/>
        <v>0.35859414261160716</v>
      </c>
      <c r="P40" s="63"/>
    </row>
    <row r="41" spans="1:16" hidden="1">
      <c r="A41" s="152" t="str">
        <f>Agriculture!A71</f>
        <v>Agriculture</v>
      </c>
      <c r="B41" s="34" t="str">
        <f>Agriculture!B71</f>
        <v>Agricultural other</v>
      </c>
      <c r="C41" s="40" t="str">
        <f>Agriculture!C71</f>
        <v>EU</v>
      </c>
      <c r="D41" s="34" t="str">
        <f>Agriculture!D71</f>
        <v>HDPE</v>
      </c>
      <c r="E41" s="865">
        <f>Agriculture!E71</f>
        <v>0.6993112144789928</v>
      </c>
      <c r="F41" s="235">
        <f>Agriculture!F71</f>
        <v>2</v>
      </c>
      <c r="G41" s="40" t="str">
        <f>Agriculture!G71</f>
        <v>Assessment of agricultural plastics and their sustainability: A call for action, 2021. . FAO. https://doi.org/10.4060/cb7856en</v>
      </c>
      <c r="H41" s="29"/>
      <c r="I41" s="9">
        <v>1</v>
      </c>
      <c r="J41" s="9">
        <v>2</v>
      </c>
      <c r="K41" s="9">
        <v>1</v>
      </c>
      <c r="L41" s="9">
        <v>1</v>
      </c>
      <c r="M41" s="9">
        <v>2</v>
      </c>
      <c r="N41" s="186" t="str">
        <f t="shared" si="2"/>
        <v/>
      </c>
      <c r="O41" s="160">
        <f t="shared" si="3"/>
        <v>0.35859414261160716</v>
      </c>
      <c r="P41" s="63"/>
    </row>
    <row r="42" spans="1:16" hidden="1">
      <c r="A42" s="152" t="s">
        <v>39</v>
      </c>
      <c r="B42" s="34" t="s">
        <v>138</v>
      </c>
      <c r="C42" s="40" t="s">
        <v>139</v>
      </c>
      <c r="D42" s="34" t="s">
        <v>85</v>
      </c>
      <c r="E42" s="260">
        <v>0</v>
      </c>
      <c r="F42" s="235">
        <v>1</v>
      </c>
      <c r="G42" s="40" t="s">
        <v>140</v>
      </c>
      <c r="H42" s="29"/>
      <c r="I42" s="9"/>
      <c r="J42" s="9"/>
      <c r="K42" s="9"/>
      <c r="L42" s="9"/>
      <c r="M42" s="9"/>
      <c r="N42" s="186" t="str">
        <f t="shared" si="2"/>
        <v/>
      </c>
      <c r="O42" s="160" t="str">
        <f t="shared" si="3"/>
        <v/>
      </c>
      <c r="P42" s="63"/>
    </row>
    <row r="43" spans="1:16" hidden="1">
      <c r="A43" s="152" t="s">
        <v>39</v>
      </c>
      <c r="B43" s="34" t="s">
        <v>138</v>
      </c>
      <c r="C43" s="40" t="s">
        <v>139</v>
      </c>
      <c r="D43" s="34" t="s">
        <v>86</v>
      </c>
      <c r="E43" s="260">
        <v>1.2200000000000001E-2</v>
      </c>
      <c r="F43" s="235">
        <v>1</v>
      </c>
      <c r="G43" s="40" t="s">
        <v>140</v>
      </c>
      <c r="H43" s="29">
        <v>2</v>
      </c>
      <c r="I43" s="9">
        <v>2</v>
      </c>
      <c r="J43" s="9">
        <v>2</v>
      </c>
      <c r="K43" s="9">
        <v>1</v>
      </c>
      <c r="L43" s="9">
        <v>1</v>
      </c>
      <c r="M43" s="9">
        <v>2</v>
      </c>
      <c r="N43" s="186">
        <f t="shared" si="2"/>
        <v>0.37356464144298934</v>
      </c>
      <c r="O43" s="160">
        <f t="shared" si="3"/>
        <v>0.37356464144298934</v>
      </c>
      <c r="P43" s="63"/>
    </row>
    <row r="44" spans="1:16" hidden="1">
      <c r="A44" s="152" t="s">
        <v>39</v>
      </c>
      <c r="B44" s="34" t="s">
        <v>138</v>
      </c>
      <c r="C44" s="40" t="s">
        <v>139</v>
      </c>
      <c r="D44" s="34" t="s">
        <v>87</v>
      </c>
      <c r="E44" s="260">
        <v>0</v>
      </c>
      <c r="F44" s="235">
        <v>1</v>
      </c>
      <c r="G44" s="40" t="s">
        <v>140</v>
      </c>
      <c r="H44" s="29"/>
      <c r="I44" s="9"/>
      <c r="J44" s="9"/>
      <c r="K44" s="9"/>
      <c r="L44" s="9"/>
      <c r="M44" s="9"/>
      <c r="N44" s="186" t="str">
        <f t="shared" si="2"/>
        <v/>
      </c>
      <c r="O44" s="160" t="str">
        <f t="shared" si="3"/>
        <v/>
      </c>
      <c r="P44" s="63"/>
    </row>
    <row r="45" spans="1:16" hidden="1">
      <c r="A45" s="152" t="s">
        <v>39</v>
      </c>
      <c r="B45" s="34" t="s">
        <v>138</v>
      </c>
      <c r="C45" s="40" t="s">
        <v>139</v>
      </c>
      <c r="D45" s="34" t="s">
        <v>88</v>
      </c>
      <c r="E45" s="260">
        <v>0</v>
      </c>
      <c r="F45" s="235">
        <v>1</v>
      </c>
      <c r="G45" s="40" t="s">
        <v>140</v>
      </c>
      <c r="H45" s="29"/>
      <c r="I45" s="9"/>
      <c r="J45" s="9"/>
      <c r="K45" s="9"/>
      <c r="L45" s="9"/>
      <c r="M45" s="9"/>
      <c r="N45" s="186" t="str">
        <f t="shared" si="2"/>
        <v/>
      </c>
      <c r="O45" s="160" t="str">
        <f t="shared" si="3"/>
        <v/>
      </c>
      <c r="P45" s="63"/>
    </row>
    <row r="46" spans="1:16" hidden="1">
      <c r="A46" s="152" t="s">
        <v>39</v>
      </c>
      <c r="B46" s="34" t="s">
        <v>138</v>
      </c>
      <c r="C46" s="40" t="s">
        <v>139</v>
      </c>
      <c r="D46" s="34" t="s">
        <v>89</v>
      </c>
      <c r="E46" s="260">
        <v>0</v>
      </c>
      <c r="F46" s="235">
        <v>1</v>
      </c>
      <c r="G46" s="40" t="s">
        <v>140</v>
      </c>
      <c r="H46" s="29"/>
      <c r="I46" s="9"/>
      <c r="J46" s="9"/>
      <c r="K46" s="9"/>
      <c r="L46" s="9"/>
      <c r="M46" s="9"/>
      <c r="N46" s="186" t="str">
        <f t="shared" si="2"/>
        <v/>
      </c>
      <c r="O46" s="160" t="str">
        <f t="shared" si="3"/>
        <v/>
      </c>
      <c r="P46" s="63"/>
    </row>
    <row r="47" spans="1:16" hidden="1">
      <c r="A47" s="152" t="s">
        <v>39</v>
      </c>
      <c r="B47" s="34" t="s">
        <v>138</v>
      </c>
      <c r="C47" s="40" t="s">
        <v>139</v>
      </c>
      <c r="D47" s="34" t="s">
        <v>90</v>
      </c>
      <c r="E47" s="260">
        <v>0</v>
      </c>
      <c r="F47" s="235">
        <v>1</v>
      </c>
      <c r="G47" s="40" t="s">
        <v>140</v>
      </c>
      <c r="H47" s="29"/>
      <c r="I47" s="9"/>
      <c r="J47" s="9"/>
      <c r="K47" s="9"/>
      <c r="L47" s="9"/>
      <c r="M47" s="9"/>
      <c r="N47" s="186" t="str">
        <f t="shared" si="2"/>
        <v/>
      </c>
      <c r="O47" s="160" t="str">
        <f t="shared" si="3"/>
        <v/>
      </c>
      <c r="P47" s="63"/>
    </row>
    <row r="48" spans="1:16" hidden="1">
      <c r="A48" s="152" t="s">
        <v>39</v>
      </c>
      <c r="B48" s="34" t="s">
        <v>138</v>
      </c>
      <c r="C48" s="40" t="s">
        <v>139</v>
      </c>
      <c r="D48" s="34" t="s">
        <v>91</v>
      </c>
      <c r="E48" s="260">
        <v>0</v>
      </c>
      <c r="F48" s="235">
        <v>1</v>
      </c>
      <c r="G48" s="40" t="s">
        <v>140</v>
      </c>
      <c r="H48" s="29"/>
      <c r="I48" s="9"/>
      <c r="J48" s="9"/>
      <c r="K48" s="9"/>
      <c r="L48" s="9"/>
      <c r="M48" s="9"/>
      <c r="N48" s="186" t="str">
        <f t="shared" si="2"/>
        <v/>
      </c>
      <c r="O48" s="160" t="str">
        <f t="shared" si="3"/>
        <v/>
      </c>
      <c r="P48" s="63"/>
    </row>
    <row r="49" spans="1:16" hidden="1">
      <c r="A49" s="152" t="s">
        <v>39</v>
      </c>
      <c r="B49" s="34" t="s">
        <v>138</v>
      </c>
      <c r="C49" s="40" t="s">
        <v>139</v>
      </c>
      <c r="D49" s="34" t="s">
        <v>98</v>
      </c>
      <c r="E49" s="260">
        <v>0</v>
      </c>
      <c r="F49" s="235">
        <v>1</v>
      </c>
      <c r="G49" s="40" t="s">
        <v>141</v>
      </c>
      <c r="H49" s="29"/>
      <c r="I49" s="9"/>
      <c r="J49" s="9"/>
      <c r="K49" s="9"/>
      <c r="L49" s="9"/>
      <c r="M49" s="9"/>
      <c r="N49" s="186" t="str">
        <f t="shared" si="2"/>
        <v/>
      </c>
      <c r="O49" s="160" t="str">
        <f t="shared" si="3"/>
        <v/>
      </c>
      <c r="P49" s="63"/>
    </row>
    <row r="50" spans="1:16" hidden="1">
      <c r="A50" s="152" t="s">
        <v>39</v>
      </c>
      <c r="B50" s="34" t="s">
        <v>142</v>
      </c>
      <c r="C50" s="40" t="s">
        <v>139</v>
      </c>
      <c r="D50" s="34" t="s">
        <v>85</v>
      </c>
      <c r="E50" s="260">
        <v>3.2899999999999999E-2</v>
      </c>
      <c r="F50" s="235">
        <v>1</v>
      </c>
      <c r="G50" s="40" t="s">
        <v>140</v>
      </c>
      <c r="H50" s="29">
        <v>2</v>
      </c>
      <c r="I50" s="9">
        <v>2</v>
      </c>
      <c r="J50" s="9">
        <v>2</v>
      </c>
      <c r="K50" s="9">
        <v>1</v>
      </c>
      <c r="L50" s="9">
        <v>1</v>
      </c>
      <c r="M50" s="9">
        <v>2</v>
      </c>
      <c r="N50" s="186">
        <f t="shared" si="2"/>
        <v>0.37356464144298934</v>
      </c>
      <c r="O50" s="160">
        <f t="shared" si="3"/>
        <v>0.37356464144298934</v>
      </c>
      <c r="P50" s="63"/>
    </row>
    <row r="51" spans="1:16" hidden="1">
      <c r="A51" s="152" t="s">
        <v>39</v>
      </c>
      <c r="B51" s="34" t="s">
        <v>142</v>
      </c>
      <c r="C51" s="40" t="s">
        <v>139</v>
      </c>
      <c r="D51" s="34" t="s">
        <v>86</v>
      </c>
      <c r="E51" s="260">
        <v>0</v>
      </c>
      <c r="F51" s="235">
        <v>1</v>
      </c>
      <c r="G51" s="40" t="s">
        <v>140</v>
      </c>
      <c r="H51" s="29"/>
      <c r="I51" s="9"/>
      <c r="J51" s="9"/>
      <c r="K51" s="9"/>
      <c r="L51" s="9"/>
      <c r="M51" s="9"/>
      <c r="N51" s="186" t="str">
        <f t="shared" si="2"/>
        <v/>
      </c>
      <c r="O51" s="160" t="str">
        <f t="shared" si="3"/>
        <v/>
      </c>
      <c r="P51" s="63"/>
    </row>
    <row r="52" spans="1:16" hidden="1">
      <c r="A52" s="152" t="s">
        <v>39</v>
      </c>
      <c r="B52" s="34" t="s">
        <v>142</v>
      </c>
      <c r="C52" s="40" t="s">
        <v>139</v>
      </c>
      <c r="D52" s="34" t="s">
        <v>87</v>
      </c>
      <c r="E52" s="260">
        <v>2.58E-2</v>
      </c>
      <c r="F52" s="235">
        <v>1</v>
      </c>
      <c r="G52" s="40" t="s">
        <v>140</v>
      </c>
      <c r="H52" s="29">
        <v>2</v>
      </c>
      <c r="I52" s="9">
        <v>2</v>
      </c>
      <c r="J52" s="9">
        <v>2</v>
      </c>
      <c r="K52" s="9">
        <v>1</v>
      </c>
      <c r="L52" s="9">
        <v>1</v>
      </c>
      <c r="M52" s="9">
        <v>2</v>
      </c>
      <c r="N52" s="186">
        <f t="shared" si="2"/>
        <v>0.37356464144298934</v>
      </c>
      <c r="O52" s="160">
        <f t="shared" si="3"/>
        <v>0.37356464144298934</v>
      </c>
      <c r="P52" s="63"/>
    </row>
    <row r="53" spans="1:16" hidden="1">
      <c r="A53" s="152" t="s">
        <v>39</v>
      </c>
      <c r="B53" s="34" t="s">
        <v>142</v>
      </c>
      <c r="C53" s="40" t="s">
        <v>139</v>
      </c>
      <c r="D53" s="34" t="s">
        <v>88</v>
      </c>
      <c r="E53" s="260">
        <v>0</v>
      </c>
      <c r="F53" s="235">
        <v>1</v>
      </c>
      <c r="G53" s="40" t="s">
        <v>140</v>
      </c>
      <c r="H53" s="29"/>
      <c r="I53" s="9"/>
      <c r="J53" s="9"/>
      <c r="K53" s="9"/>
      <c r="L53" s="9"/>
      <c r="M53" s="9"/>
      <c r="N53" s="186" t="str">
        <f t="shared" si="2"/>
        <v/>
      </c>
      <c r="O53" s="160" t="str">
        <f t="shared" si="3"/>
        <v/>
      </c>
      <c r="P53" s="63"/>
    </row>
    <row r="54" spans="1:16" hidden="1">
      <c r="A54" s="152" t="s">
        <v>39</v>
      </c>
      <c r="B54" s="34" t="s">
        <v>142</v>
      </c>
      <c r="C54" s="40" t="s">
        <v>139</v>
      </c>
      <c r="D54" s="34" t="s">
        <v>89</v>
      </c>
      <c r="E54" s="260">
        <v>0</v>
      </c>
      <c r="F54" s="235">
        <v>1</v>
      </c>
      <c r="G54" s="40" t="s">
        <v>140</v>
      </c>
      <c r="H54" s="29"/>
      <c r="I54" s="9"/>
      <c r="J54" s="9"/>
      <c r="K54" s="9"/>
      <c r="L54" s="9"/>
      <c r="M54" s="9"/>
      <c r="N54" s="186" t="str">
        <f t="shared" si="2"/>
        <v/>
      </c>
      <c r="O54" s="160" t="str">
        <f t="shared" si="3"/>
        <v/>
      </c>
      <c r="P54" s="63"/>
    </row>
    <row r="55" spans="1:16" hidden="1">
      <c r="A55" s="152" t="s">
        <v>39</v>
      </c>
      <c r="B55" s="34" t="s">
        <v>142</v>
      </c>
      <c r="C55" s="40" t="s">
        <v>139</v>
      </c>
      <c r="D55" s="34" t="s">
        <v>90</v>
      </c>
      <c r="E55" s="260">
        <v>0</v>
      </c>
      <c r="F55" s="235">
        <v>1</v>
      </c>
      <c r="G55" s="40" t="s">
        <v>140</v>
      </c>
      <c r="H55" s="29"/>
      <c r="I55" s="9"/>
      <c r="J55" s="9"/>
      <c r="K55" s="9"/>
      <c r="L55" s="9"/>
      <c r="M55" s="9"/>
      <c r="N55" s="186" t="str">
        <f t="shared" si="2"/>
        <v/>
      </c>
      <c r="O55" s="160" t="str">
        <f t="shared" si="3"/>
        <v/>
      </c>
      <c r="P55" s="63"/>
    </row>
    <row r="56" spans="1:16" hidden="1">
      <c r="A56" s="152" t="s">
        <v>39</v>
      </c>
      <c r="B56" s="34" t="s">
        <v>142</v>
      </c>
      <c r="C56" s="40" t="s">
        <v>139</v>
      </c>
      <c r="D56" s="34" t="s">
        <v>91</v>
      </c>
      <c r="E56" s="260">
        <v>0</v>
      </c>
      <c r="F56" s="235">
        <v>1</v>
      </c>
      <c r="G56" s="40" t="s">
        <v>140</v>
      </c>
      <c r="H56" s="29"/>
      <c r="I56" s="9"/>
      <c r="J56" s="9"/>
      <c r="K56" s="9"/>
      <c r="L56" s="9"/>
      <c r="M56" s="9"/>
      <c r="N56" s="186" t="str">
        <f t="shared" si="2"/>
        <v/>
      </c>
      <c r="O56" s="160" t="str">
        <f t="shared" si="3"/>
        <v/>
      </c>
      <c r="P56" s="63"/>
    </row>
    <row r="57" spans="1:16" hidden="1">
      <c r="A57" s="152" t="s">
        <v>39</v>
      </c>
      <c r="B57" s="34" t="s">
        <v>142</v>
      </c>
      <c r="C57" s="40" t="s">
        <v>139</v>
      </c>
      <c r="D57" s="34" t="s">
        <v>98</v>
      </c>
      <c r="E57" s="260">
        <v>1.3310580204778157E-2</v>
      </c>
      <c r="F57" s="235">
        <v>1</v>
      </c>
      <c r="G57" s="40" t="s">
        <v>141</v>
      </c>
      <c r="H57" s="29">
        <v>2</v>
      </c>
      <c r="I57" s="9">
        <v>1</v>
      </c>
      <c r="J57" s="9">
        <v>2</v>
      </c>
      <c r="K57" s="9">
        <v>2</v>
      </c>
      <c r="L57" s="9">
        <v>1</v>
      </c>
      <c r="M57" s="9">
        <v>2</v>
      </c>
      <c r="N57" s="186">
        <f t="shared" si="2"/>
        <v>0.38795788889711302</v>
      </c>
      <c r="O57" s="160">
        <f t="shared" si="3"/>
        <v>0.37356464144298934</v>
      </c>
      <c r="P57" s="63"/>
    </row>
    <row r="58" spans="1:16" hidden="1">
      <c r="A58" s="152" t="str">
        <f>Agriculture!A52</f>
        <v>Agriculture</v>
      </c>
      <c r="B58" s="34" t="str">
        <f>Agriculture!B52</f>
        <v>Agricultural pipes (discarded)</v>
      </c>
      <c r="C58" s="40" t="str">
        <f>Agriculture!C52</f>
        <v>NL</v>
      </c>
      <c r="D58" s="34" t="str">
        <f>Agriculture!D52</f>
        <v>PVC</v>
      </c>
      <c r="E58" s="865">
        <f>Agriculture!E52</f>
        <v>0.40710942904980374</v>
      </c>
      <c r="F58" s="235">
        <f>Agriculture!F52</f>
        <v>2</v>
      </c>
      <c r="G58" s="40" t="str">
        <f>Agriculture!G52</f>
        <v>Urbanus, J.H., Brunner, A., Boersma, A., Henke, S., Kooter, I., Lensen, S., Parker, L., Schwarz, A., Imhof, P., Dortmans, A., Wijngaard, M., 2022. Autobanden, verpakkingen en landbouwfolie zijn in Nederland de grootste bronnen van microplastics. TNO.</v>
      </c>
      <c r="H58" s="29">
        <v>1</v>
      </c>
      <c r="I58" s="9"/>
      <c r="J58" s="9">
        <v>2</v>
      </c>
      <c r="K58" s="9">
        <v>1</v>
      </c>
      <c r="L58" s="9">
        <v>1</v>
      </c>
      <c r="M58" s="9">
        <v>2</v>
      </c>
      <c r="N58" s="186">
        <f t="shared" si="2"/>
        <v>0.35859414261160716</v>
      </c>
      <c r="O58" s="160" t="str">
        <f t="shared" si="3"/>
        <v/>
      </c>
      <c r="P58" s="63"/>
    </row>
    <row r="59" spans="1:16" hidden="1">
      <c r="A59" s="152" t="str">
        <f>Agriculture!A53</f>
        <v>Agriculture</v>
      </c>
      <c r="B59" s="34" t="str">
        <f>Agriculture!B53</f>
        <v>Agricultural pipes (discarded)</v>
      </c>
      <c r="C59" s="40" t="str">
        <f>Agriculture!C53</f>
        <v>NL</v>
      </c>
      <c r="D59" s="34" t="str">
        <f>Agriculture!D53</f>
        <v>PS</v>
      </c>
      <c r="E59" s="865">
        <f>Agriculture!E53</f>
        <v>0</v>
      </c>
      <c r="F59" s="235">
        <f>Agriculture!F53</f>
        <v>2</v>
      </c>
      <c r="G59" s="40" t="str">
        <f>Agriculture!G53</f>
        <v>Urbanus, J.H., Brunner, A., Boersma, A., Henke, S., Kooter, I., Lensen, S., Parker, L., Schwarz, A., Imhof, P., Dortmans, A., Wijngaard, M., 2022. Autobanden, verpakkingen en landbouwfolie zijn in Nederland de grootste bronnen van microplastics. TNO.</v>
      </c>
      <c r="H59" s="29">
        <v>1</v>
      </c>
      <c r="I59" s="9"/>
      <c r="J59" s="9">
        <v>2</v>
      </c>
      <c r="K59" s="9">
        <v>1</v>
      </c>
      <c r="L59" s="9">
        <v>1</v>
      </c>
      <c r="M59" s="9">
        <v>2</v>
      </c>
      <c r="N59" s="186">
        <f t="shared" si="2"/>
        <v>0.35859414261160716</v>
      </c>
      <c r="O59" s="160" t="str">
        <f t="shared" si="3"/>
        <v/>
      </c>
      <c r="P59" s="63"/>
    </row>
    <row r="60" spans="1:16" hidden="1">
      <c r="A60" s="152" t="str">
        <f>Agriculture!A54</f>
        <v>Agriculture</v>
      </c>
      <c r="B60" s="34" t="str">
        <f>Agriculture!B54</f>
        <v>Agricultural pipes (discarded)</v>
      </c>
      <c r="C60" s="40" t="str">
        <f>Agriculture!C54</f>
        <v>NL</v>
      </c>
      <c r="D60" s="34" t="str">
        <f>Agriculture!D54</f>
        <v>PP</v>
      </c>
      <c r="E60" s="865">
        <f>Agriculture!E54</f>
        <v>0</v>
      </c>
      <c r="F60" s="235">
        <f>Agriculture!F54</f>
        <v>2</v>
      </c>
      <c r="G60" s="40" t="str">
        <f>Agriculture!G54</f>
        <v>Urbanus, J.H., Brunner, A., Boersma, A., Henke, S., Kooter, I., Lensen, S., Parker, L., Schwarz, A., Imhof, P., Dortmans, A., Wijngaard, M., 2022. Autobanden, verpakkingen en landbouwfolie zijn in Nederland de grootste bronnen van microplastics. TNO.</v>
      </c>
      <c r="H60" s="29">
        <v>1</v>
      </c>
      <c r="I60" s="9"/>
      <c r="J60" s="9">
        <v>2</v>
      </c>
      <c r="K60" s="9">
        <v>1</v>
      </c>
      <c r="L60" s="9">
        <v>1</v>
      </c>
      <c r="M60" s="9">
        <v>2</v>
      </c>
      <c r="N60" s="186">
        <f t="shared" si="2"/>
        <v>0.35859414261160716</v>
      </c>
      <c r="O60" s="160" t="str">
        <f t="shared" si="3"/>
        <v/>
      </c>
      <c r="P60" s="63"/>
    </row>
    <row r="61" spans="1:16" hidden="1">
      <c r="A61" s="152" t="str">
        <f>Agriculture!A55</f>
        <v>Agriculture</v>
      </c>
      <c r="B61" s="34" t="str">
        <f>Agriculture!B55</f>
        <v>Agricultural pipes (discarded)</v>
      </c>
      <c r="C61" s="40" t="str">
        <f>Agriculture!C55</f>
        <v>NL</v>
      </c>
      <c r="D61" s="34" t="str">
        <f>Agriculture!D55</f>
        <v>LDPE</v>
      </c>
      <c r="E61" s="865">
        <f>Agriculture!E55</f>
        <v>0.14312762142097193</v>
      </c>
      <c r="F61" s="235">
        <f>Agriculture!F55</f>
        <v>2</v>
      </c>
      <c r="G61" s="40" t="str">
        <f>Agriculture!G55</f>
        <v>Urbanus, J.H., Brunner, A., Boersma, A., Henke, S., Kooter, I., Lensen, S., Parker, L., Schwarz, A., Imhof, P., Dortmans, A., Wijngaard, M., 2022. Autobanden, verpakkingen en landbouwfolie zijn in Nederland de grootste bronnen van microplastics. TNO.</v>
      </c>
      <c r="H61" s="29">
        <v>1</v>
      </c>
      <c r="I61" s="9"/>
      <c r="J61" s="9">
        <v>2</v>
      </c>
      <c r="K61" s="9">
        <v>1</v>
      </c>
      <c r="L61" s="9">
        <v>1</v>
      </c>
      <c r="M61" s="9">
        <v>2</v>
      </c>
      <c r="N61" s="186">
        <f t="shared" si="2"/>
        <v>0.35859414261160716</v>
      </c>
      <c r="O61" s="160" t="str">
        <f t="shared" si="3"/>
        <v/>
      </c>
      <c r="P61" s="63"/>
    </row>
    <row r="62" spans="1:16" hidden="1">
      <c r="A62" s="152" t="str">
        <f>Agriculture!A56</f>
        <v>Agriculture</v>
      </c>
      <c r="B62" s="34" t="str">
        <f>Agriculture!B56</f>
        <v>Agricultural pipes (discarded)</v>
      </c>
      <c r="C62" s="40" t="str">
        <f>Agriculture!C56</f>
        <v>NL</v>
      </c>
      <c r="D62" s="34" t="str">
        <f>Agriculture!D56</f>
        <v>HDPE</v>
      </c>
      <c r="E62" s="865">
        <f>Agriculture!E56</f>
        <v>0.56173601441995114</v>
      </c>
      <c r="F62" s="235">
        <f>Agriculture!F56</f>
        <v>2</v>
      </c>
      <c r="G62" s="40" t="str">
        <f>Agriculture!G56</f>
        <v>Urbanus, J.H., Brunner, A., Boersma, A., Henke, S., Kooter, I., Lensen, S., Parker, L., Schwarz, A., Imhof, P., Dortmans, A., Wijngaard, M., 2022. Autobanden, verpakkingen en landbouwfolie zijn in Nederland de grootste bronnen van microplastics. TNO.</v>
      </c>
      <c r="H62" s="29">
        <v>1</v>
      </c>
      <c r="I62" s="9"/>
      <c r="J62" s="9">
        <v>2</v>
      </c>
      <c r="K62" s="9">
        <v>1</v>
      </c>
      <c r="L62" s="9">
        <v>1</v>
      </c>
      <c r="M62" s="9">
        <v>2</v>
      </c>
      <c r="N62" s="186">
        <f t="shared" si="2"/>
        <v>0.35859414261160716</v>
      </c>
      <c r="O62" s="160" t="str">
        <f t="shared" si="3"/>
        <v/>
      </c>
      <c r="P62" s="63"/>
    </row>
    <row r="63" spans="1:16" hidden="1">
      <c r="A63" s="152" t="str">
        <f>Agriculture!A57</f>
        <v>Agriculture</v>
      </c>
      <c r="B63" s="34" t="str">
        <f>Agriculture!B57</f>
        <v>Agricultural pipes (discarded)</v>
      </c>
      <c r="C63" s="40" t="str">
        <f>Agriculture!C57</f>
        <v>EU</v>
      </c>
      <c r="D63" s="34" t="str">
        <f>Agriculture!D57</f>
        <v>PVC</v>
      </c>
      <c r="E63" s="865">
        <f>Agriculture!E57</f>
        <v>0.16733929871138836</v>
      </c>
      <c r="F63" s="235">
        <f>Agriculture!F57</f>
        <v>2</v>
      </c>
      <c r="G63" s="40" t="str">
        <f>Agriculture!G57</f>
        <v>Assessment of agricultural plastics and their sustainability: A call for action, 2021. . FAO. https://doi.org/10.4060/cb7856en</v>
      </c>
      <c r="H63" s="29"/>
      <c r="I63" s="9">
        <v>1</v>
      </c>
      <c r="J63" s="9">
        <v>2</v>
      </c>
      <c r="K63" s="9">
        <v>1</v>
      </c>
      <c r="L63" s="9">
        <v>1</v>
      </c>
      <c r="M63" s="9">
        <v>2</v>
      </c>
      <c r="N63" s="186" t="str">
        <f t="shared" si="2"/>
        <v/>
      </c>
      <c r="O63" s="160">
        <f t="shared" si="3"/>
        <v>0.35859414261160716</v>
      </c>
      <c r="P63" s="63"/>
    </row>
    <row r="64" spans="1:16" hidden="1">
      <c r="A64" s="152" t="str">
        <f>Agriculture!A58</f>
        <v>Agriculture</v>
      </c>
      <c r="B64" s="34" t="str">
        <f>Agriculture!B58</f>
        <v>Agricultural pipes (discarded)</v>
      </c>
      <c r="C64" s="40" t="str">
        <f>Agriculture!C58</f>
        <v>EU</v>
      </c>
      <c r="D64" s="34" t="str">
        <f>Agriculture!D58</f>
        <v>PS</v>
      </c>
      <c r="E64" s="865">
        <f>Agriculture!E58</f>
        <v>0</v>
      </c>
      <c r="F64" s="235">
        <f>Agriculture!F58</f>
        <v>2</v>
      </c>
      <c r="G64" s="40" t="str">
        <f>Agriculture!G58</f>
        <v>Assessment of agricultural plastics and their sustainability: A call for action, 2021. . FAO. https://doi.org/10.4060/cb7856en</v>
      </c>
      <c r="H64" s="29"/>
      <c r="I64" s="9">
        <v>1</v>
      </c>
      <c r="J64" s="9">
        <v>2</v>
      </c>
      <c r="K64" s="9">
        <v>1</v>
      </c>
      <c r="L64" s="9">
        <v>1</v>
      </c>
      <c r="M64" s="9">
        <v>2</v>
      </c>
      <c r="N64" s="186" t="str">
        <f t="shared" si="2"/>
        <v/>
      </c>
      <c r="O64" s="160">
        <f t="shared" si="3"/>
        <v>0.35859414261160716</v>
      </c>
      <c r="P64" s="63"/>
    </row>
    <row r="65" spans="1:16" hidden="1">
      <c r="A65" s="152" t="str">
        <f>Agriculture!A59</f>
        <v>Agriculture</v>
      </c>
      <c r="B65" s="34" t="str">
        <f>Agriculture!B59</f>
        <v>Agricultural pipes (discarded)</v>
      </c>
      <c r="C65" s="40" t="str">
        <f>Agriculture!C59</f>
        <v>EU</v>
      </c>
      <c r="D65" s="34" t="str">
        <f>Agriculture!D59</f>
        <v>PP</v>
      </c>
      <c r="E65" s="865">
        <f>Agriculture!E59</f>
        <v>0</v>
      </c>
      <c r="F65" s="235">
        <f>Agriculture!F59</f>
        <v>2</v>
      </c>
      <c r="G65" s="40" t="str">
        <f>Agriculture!G59</f>
        <v>Assessment of agricultural plastics and their sustainability: A call for action, 2021. . FAO. https://doi.org/10.4060/cb7856en</v>
      </c>
      <c r="H65" s="29"/>
      <c r="I65" s="9">
        <v>1</v>
      </c>
      <c r="J65" s="9">
        <v>2</v>
      </c>
      <c r="K65" s="9">
        <v>1</v>
      </c>
      <c r="L65" s="9">
        <v>1</v>
      </c>
      <c r="M65" s="9">
        <v>2</v>
      </c>
      <c r="N65" s="186" t="str">
        <f t="shared" si="2"/>
        <v/>
      </c>
      <c r="O65" s="160">
        <f t="shared" si="3"/>
        <v>0.35859414261160716</v>
      </c>
      <c r="P65" s="63"/>
    </row>
    <row r="66" spans="1:16" hidden="1">
      <c r="A66" s="152" t="str">
        <f>Agriculture!A60</f>
        <v>Agriculture</v>
      </c>
      <c r="B66" s="34" t="str">
        <f>Agriculture!B60</f>
        <v>Agricultural pipes (discarded)</v>
      </c>
      <c r="C66" s="40" t="str">
        <f>Agriculture!C60</f>
        <v>EU</v>
      </c>
      <c r="D66" s="34" t="str">
        <f>Agriculture!D60</f>
        <v>LDPE</v>
      </c>
      <c r="E66" s="865">
        <f>Agriculture!E60</f>
        <v>4.5444861462717513E-2</v>
      </c>
      <c r="F66" s="235">
        <f>Agriculture!F60</f>
        <v>2</v>
      </c>
      <c r="G66" s="40" t="str">
        <f>Agriculture!G60</f>
        <v>Assessment of agricultural plastics and their sustainability: A call for action, 2021. . FAO. https://doi.org/10.4060/cb7856en</v>
      </c>
      <c r="H66" s="29"/>
      <c r="I66" s="9">
        <v>1</v>
      </c>
      <c r="J66" s="9">
        <v>2</v>
      </c>
      <c r="K66" s="9">
        <v>1</v>
      </c>
      <c r="L66" s="9">
        <v>1</v>
      </c>
      <c r="M66" s="9">
        <v>2</v>
      </c>
      <c r="N66" s="186" t="str">
        <f t="shared" ref="N66:N77" si="4">IF( OR( ISBLANK(H66),ISBLANK(J66), ISBLANK(K66), ISBLANK(L66), ISBLANK(M66) ), "", 1.5*SQRT(   EXP(2.21*(H66-1)) + EXP(2.21*(J66-1)) + EXP(2.21*(K66-1)) + EXP(2.21*(L66-1)) + EXP(2.21*M66)   )/100*2.45 )</f>
        <v/>
      </c>
      <c r="O66" s="160">
        <f t="shared" ref="O66:O77" si="5">IF( OR( ISBLANK(I66),ISBLANK(J66), ISBLANK(K66), ISBLANK(L66), ISBLANK(M66) ), "", 1.5*SQRT( EXP(2.21*(I66-1)) + EXP(2.21*(J66-1)) + EXP(2.21*(K66-1)) + EXP(2.21*(L66-1)) + EXP(2.21*M66)   )/100*2.45 )</f>
        <v>0.35859414261160716</v>
      </c>
      <c r="P66" s="63"/>
    </row>
    <row r="67" spans="1:16" hidden="1">
      <c r="A67" s="152" t="str">
        <f>Agriculture!A61</f>
        <v>Agriculture</v>
      </c>
      <c r="B67" s="34" t="str">
        <f>Agriculture!B61</f>
        <v>Agricultural pipes (discarded)</v>
      </c>
      <c r="C67" s="40" t="str">
        <f>Agriculture!C61</f>
        <v>EU</v>
      </c>
      <c r="D67" s="34" t="str">
        <f>Agriculture!D61</f>
        <v>HDPE</v>
      </c>
      <c r="E67" s="865">
        <f>Agriculture!E61</f>
        <v>0.27835662942036199</v>
      </c>
      <c r="F67" s="235">
        <f>Agriculture!F61</f>
        <v>2</v>
      </c>
      <c r="G67" s="40" t="str">
        <f>Agriculture!G61</f>
        <v>Assessment of agricultural plastics and their sustainability: A call for action, 2021. . FAO. https://doi.org/10.4060/cb7856en</v>
      </c>
      <c r="H67" s="29"/>
      <c r="I67" s="9">
        <v>1</v>
      </c>
      <c r="J67" s="9">
        <v>2</v>
      </c>
      <c r="K67" s="9">
        <v>1</v>
      </c>
      <c r="L67" s="9">
        <v>1</v>
      </c>
      <c r="M67" s="9">
        <v>2</v>
      </c>
      <c r="N67" s="186" t="str">
        <f t="shared" si="4"/>
        <v/>
      </c>
      <c r="O67" s="160">
        <f t="shared" si="5"/>
        <v>0.35859414261160716</v>
      </c>
      <c r="P67" s="63"/>
    </row>
    <row r="68" spans="1:16" hidden="1">
      <c r="A68" s="152" t="str">
        <f>Agriculture!A82</f>
        <v>Agriculture</v>
      </c>
      <c r="B68" s="34" t="str">
        <f>Agriculture!B82</f>
        <v>Agricultural pipes (in use)</v>
      </c>
      <c r="C68" s="40" t="str">
        <f>Agriculture!C82</f>
        <v>NL</v>
      </c>
      <c r="D68" s="34" t="str">
        <f>Agriculture!D82</f>
        <v>PVC</v>
      </c>
      <c r="E68" s="865">
        <f>Agriculture!E82</f>
        <v>3.2661809918149924E-2</v>
      </c>
      <c r="F68" s="235">
        <f>Agriculture!F82</f>
        <v>2</v>
      </c>
      <c r="G68" s="40" t="str">
        <f>Agriculture!G82</f>
        <v>Urbanus, J.H., Brunner, A., Boersma, A., Henke, S., Kooter, I., Lensen, S., Parker, L., Schwarz, A., Imhof, P., Dortmans, A., Wijngaard, M., 2022. Autobanden, verpakkingen en landbouwfolie zijn in Nederland de grootste bronnen van microplastics. TNO.</v>
      </c>
      <c r="H68" s="830">
        <v>1</v>
      </c>
      <c r="I68" s="636"/>
      <c r="J68" s="9">
        <v>2</v>
      </c>
      <c r="K68" s="636">
        <v>1</v>
      </c>
      <c r="L68" s="636">
        <v>1</v>
      </c>
      <c r="M68" s="9">
        <v>2</v>
      </c>
      <c r="N68" s="186">
        <f t="shared" si="4"/>
        <v>0.35859414261160716</v>
      </c>
      <c r="O68" s="160" t="str">
        <f t="shared" si="5"/>
        <v/>
      </c>
      <c r="P68" s="63"/>
    </row>
    <row r="69" spans="1:16" hidden="1">
      <c r="A69" s="152" t="str">
        <f>Agriculture!A83</f>
        <v>Agriculture</v>
      </c>
      <c r="B69" s="34" t="str">
        <f>Agriculture!B83</f>
        <v>Agricultural pipes (in use)</v>
      </c>
      <c r="C69" s="40" t="str">
        <f>Agriculture!C83</f>
        <v>NL</v>
      </c>
      <c r="D69" s="34" t="str">
        <f>Agriculture!D83</f>
        <v>PS</v>
      </c>
      <c r="E69" s="865">
        <f>Agriculture!E83</f>
        <v>0</v>
      </c>
      <c r="F69" s="235">
        <f>Agriculture!F83</f>
        <v>2</v>
      </c>
      <c r="G69" s="40" t="str">
        <f>Agriculture!G83</f>
        <v>Urbanus, J.H., Brunner, A., Boersma, A., Henke, S., Kooter, I., Lensen, S., Parker, L., Schwarz, A., Imhof, P., Dortmans, A., Wijngaard, M., 2022. Autobanden, verpakkingen en landbouwfolie zijn in Nederland de grootste bronnen van microplastics. TNO.</v>
      </c>
      <c r="H69" s="830">
        <v>1</v>
      </c>
      <c r="I69" s="636"/>
      <c r="J69" s="9">
        <v>2</v>
      </c>
      <c r="K69" s="636">
        <v>1</v>
      </c>
      <c r="L69" s="636">
        <v>1</v>
      </c>
      <c r="M69" s="9">
        <v>2</v>
      </c>
      <c r="N69" s="186">
        <f t="shared" si="4"/>
        <v>0.35859414261160716</v>
      </c>
      <c r="O69" s="160" t="str">
        <f t="shared" si="5"/>
        <v/>
      </c>
      <c r="P69" s="63"/>
    </row>
    <row r="70" spans="1:16" hidden="1">
      <c r="A70" s="152" t="str">
        <f>Agriculture!A84</f>
        <v>Agriculture</v>
      </c>
      <c r="B70" s="34" t="str">
        <f>Agriculture!B84</f>
        <v>Agricultural pipes (in use)</v>
      </c>
      <c r="C70" s="40" t="str">
        <f>Agriculture!C84</f>
        <v>NL</v>
      </c>
      <c r="D70" s="34" t="str">
        <f>Agriculture!D84</f>
        <v>PP</v>
      </c>
      <c r="E70" s="865">
        <f>Agriculture!E84</f>
        <v>0</v>
      </c>
      <c r="F70" s="235">
        <f>Agriculture!F84</f>
        <v>2</v>
      </c>
      <c r="G70" s="40" t="str">
        <f>Agriculture!G84</f>
        <v>Urbanus, J.H., Brunner, A., Boersma, A., Henke, S., Kooter, I., Lensen, S., Parker, L., Schwarz, A., Imhof, P., Dortmans, A., Wijngaard, M., 2022. Autobanden, verpakkingen en landbouwfolie zijn in Nederland de grootste bronnen van microplastics. TNO.</v>
      </c>
      <c r="H70" s="830">
        <v>1</v>
      </c>
      <c r="I70" s="636"/>
      <c r="J70" s="9">
        <v>2</v>
      </c>
      <c r="K70" s="636">
        <v>1</v>
      </c>
      <c r="L70" s="636">
        <v>1</v>
      </c>
      <c r="M70" s="9">
        <v>2</v>
      </c>
      <c r="N70" s="186">
        <f t="shared" si="4"/>
        <v>0.35859414261160716</v>
      </c>
      <c r="O70" s="160" t="str">
        <f t="shared" si="5"/>
        <v/>
      </c>
      <c r="P70" s="63"/>
    </row>
    <row r="71" spans="1:16" hidden="1">
      <c r="A71" s="152" t="str">
        <f>Agriculture!A85</f>
        <v>Agriculture</v>
      </c>
      <c r="B71" s="34" t="str">
        <f>Agriculture!B85</f>
        <v>Agricultural pipes (in use)</v>
      </c>
      <c r="C71" s="40" t="str">
        <f>Agriculture!C85</f>
        <v>NL</v>
      </c>
      <c r="D71" s="34" t="str">
        <f>Agriculture!D85</f>
        <v>LDPE</v>
      </c>
      <c r="E71" s="865">
        <f>Agriculture!E85</f>
        <v>1.1482925305365051E-2</v>
      </c>
      <c r="F71" s="235">
        <f>Agriculture!F85</f>
        <v>2</v>
      </c>
      <c r="G71" s="40" t="str">
        <f>Agriculture!G85</f>
        <v>Urbanus, J.H., Brunner, A., Boersma, A., Henke, S., Kooter, I., Lensen, S., Parker, L., Schwarz, A., Imhof, P., Dortmans, A., Wijngaard, M., 2022. Autobanden, verpakkingen en landbouwfolie zijn in Nederland de grootste bronnen van microplastics. TNO.</v>
      </c>
      <c r="H71" s="830">
        <v>1</v>
      </c>
      <c r="I71" s="636"/>
      <c r="J71" s="9">
        <v>2</v>
      </c>
      <c r="K71" s="636">
        <v>1</v>
      </c>
      <c r="L71" s="636">
        <v>1</v>
      </c>
      <c r="M71" s="9">
        <v>2</v>
      </c>
      <c r="N71" s="186">
        <f t="shared" si="4"/>
        <v>0.35859414261160716</v>
      </c>
      <c r="O71" s="160" t="str">
        <f t="shared" si="5"/>
        <v/>
      </c>
      <c r="P71" s="63"/>
    </row>
    <row r="72" spans="1:16" hidden="1">
      <c r="A72" s="152" t="str">
        <f>Agriculture!A86</f>
        <v>Agriculture</v>
      </c>
      <c r="B72" s="34" t="str">
        <f>Agriculture!B86</f>
        <v>Agricultural pipes (in use)</v>
      </c>
      <c r="C72" s="40" t="str">
        <f>Agriculture!C86</f>
        <v>NL</v>
      </c>
      <c r="D72" s="34" t="str">
        <f>Agriculture!D86</f>
        <v>HDPE</v>
      </c>
      <c r="E72" s="865">
        <f>Agriculture!E86</f>
        <v>4.5067280730850014E-2</v>
      </c>
      <c r="F72" s="235">
        <f>Agriculture!F86</f>
        <v>2</v>
      </c>
      <c r="G72" s="40" t="str">
        <f>Agriculture!G86</f>
        <v>Urbanus, J.H., Brunner, A., Boersma, A., Henke, S., Kooter, I., Lensen, S., Parker, L., Schwarz, A., Imhof, P., Dortmans, A., Wijngaard, M., 2022. Autobanden, verpakkingen en landbouwfolie zijn in Nederland de grootste bronnen van microplastics. TNO.</v>
      </c>
      <c r="H72" s="830">
        <v>1</v>
      </c>
      <c r="I72" s="636"/>
      <c r="J72" s="9">
        <v>2</v>
      </c>
      <c r="K72" s="636">
        <v>1</v>
      </c>
      <c r="L72" s="636">
        <v>1</v>
      </c>
      <c r="M72" s="9">
        <v>2</v>
      </c>
      <c r="N72" s="186">
        <f t="shared" si="4"/>
        <v>0.35859414261160716</v>
      </c>
      <c r="O72" s="160" t="str">
        <f t="shared" si="5"/>
        <v/>
      </c>
      <c r="P72" s="63"/>
    </row>
    <row r="73" spans="1:16" hidden="1">
      <c r="A73" s="152" t="str">
        <f>Agriculture!A87</f>
        <v>Agriculture</v>
      </c>
      <c r="B73" s="34" t="str">
        <f>Agriculture!B87</f>
        <v>Agricultural pipes (in use)</v>
      </c>
      <c r="C73" s="40" t="str">
        <f>Agriculture!C87</f>
        <v>EU</v>
      </c>
      <c r="D73" s="34" t="str">
        <f>Agriculture!D87</f>
        <v>PVC</v>
      </c>
      <c r="E73" s="865">
        <f>Agriculture!E87</f>
        <v>1.3425393705826556E-2</v>
      </c>
      <c r="F73" s="235">
        <f>Agriculture!F87</f>
        <v>2</v>
      </c>
      <c r="G73" s="40" t="str">
        <f>Agriculture!G87</f>
        <v>Assessment of agricultural plastics and their sustainability: A call for action, 2021. . FAO. https://doi.org/10.4060/cb7856en</v>
      </c>
      <c r="H73" s="830"/>
      <c r="I73" s="636">
        <v>1</v>
      </c>
      <c r="J73" s="9">
        <v>2</v>
      </c>
      <c r="K73" s="636">
        <v>1</v>
      </c>
      <c r="L73" s="636">
        <v>1</v>
      </c>
      <c r="M73" s="9">
        <v>2</v>
      </c>
      <c r="N73" s="186" t="str">
        <f t="shared" si="4"/>
        <v/>
      </c>
      <c r="O73" s="160">
        <f t="shared" si="5"/>
        <v>0.35859414261160716</v>
      </c>
      <c r="P73" s="63"/>
    </row>
    <row r="74" spans="1:16" hidden="1">
      <c r="A74" s="152" t="str">
        <f>Agriculture!A88</f>
        <v>Agriculture</v>
      </c>
      <c r="B74" s="34" t="str">
        <f>Agriculture!B88</f>
        <v>Agricultural pipes (in use)</v>
      </c>
      <c r="C74" s="40" t="str">
        <f>Agriculture!C88</f>
        <v>EU</v>
      </c>
      <c r="D74" s="34" t="str">
        <f>Agriculture!D88</f>
        <v>PS</v>
      </c>
      <c r="E74" s="865">
        <f>Agriculture!E88</f>
        <v>0</v>
      </c>
      <c r="F74" s="235">
        <f>Agriculture!F88</f>
        <v>2</v>
      </c>
      <c r="G74" s="40" t="str">
        <f>Agriculture!G88</f>
        <v>Assessment of agricultural plastics and their sustainability: A call for action, 2021. . FAO. https://doi.org/10.4060/cb7856en</v>
      </c>
      <c r="H74" s="830"/>
      <c r="I74" s="636">
        <v>1</v>
      </c>
      <c r="J74" s="9">
        <v>2</v>
      </c>
      <c r="K74" s="636">
        <v>1</v>
      </c>
      <c r="L74" s="636">
        <v>1</v>
      </c>
      <c r="M74" s="9">
        <v>2</v>
      </c>
      <c r="N74" s="186" t="str">
        <f t="shared" si="4"/>
        <v/>
      </c>
      <c r="O74" s="160">
        <f t="shared" si="5"/>
        <v>0.35859414261160716</v>
      </c>
      <c r="P74" s="63"/>
    </row>
    <row r="75" spans="1:16" hidden="1">
      <c r="A75" s="152" t="str">
        <f>Agriculture!A89</f>
        <v>Agriculture</v>
      </c>
      <c r="B75" s="34" t="str">
        <f>Agriculture!B89</f>
        <v>Agricultural pipes (in use)</v>
      </c>
      <c r="C75" s="40" t="str">
        <f>Agriculture!C89</f>
        <v>EU</v>
      </c>
      <c r="D75" s="34" t="str">
        <f>Agriculture!D89</f>
        <v>PP</v>
      </c>
      <c r="E75" s="865">
        <f>Agriculture!E89</f>
        <v>0</v>
      </c>
      <c r="F75" s="235">
        <f>Agriculture!F89</f>
        <v>2</v>
      </c>
      <c r="G75" s="40" t="str">
        <f>Agriculture!G89</f>
        <v>Assessment of agricultural plastics and their sustainability: A call for action, 2021. . FAO. https://doi.org/10.4060/cb7856en</v>
      </c>
      <c r="H75" s="830"/>
      <c r="I75" s="636">
        <v>1</v>
      </c>
      <c r="J75" s="9">
        <v>2</v>
      </c>
      <c r="K75" s="636">
        <v>1</v>
      </c>
      <c r="L75" s="636">
        <v>1</v>
      </c>
      <c r="M75" s="9">
        <v>2</v>
      </c>
      <c r="N75" s="186" t="str">
        <f t="shared" si="4"/>
        <v/>
      </c>
      <c r="O75" s="160">
        <f t="shared" si="5"/>
        <v>0.35859414261160716</v>
      </c>
      <c r="P75" s="63"/>
    </row>
    <row r="76" spans="1:16" s="16" customFormat="1" hidden="1">
      <c r="A76" s="152" t="str">
        <f>Agriculture!A90</f>
        <v>Agriculture</v>
      </c>
      <c r="B76" s="34" t="str">
        <f>Agriculture!B90</f>
        <v>Agricultural pipes (in use)</v>
      </c>
      <c r="C76" s="40" t="str">
        <f>Agriculture!C90</f>
        <v>EU</v>
      </c>
      <c r="D76" s="34" t="str">
        <f>Agriculture!D90</f>
        <v>LDPE</v>
      </c>
      <c r="E76" s="865">
        <f>Agriculture!E90</f>
        <v>3.6459765383384255E-3</v>
      </c>
      <c r="F76" s="235">
        <f>Agriculture!F90</f>
        <v>2</v>
      </c>
      <c r="G76" s="40" t="str">
        <f>Agriculture!G90</f>
        <v>Assessment of agricultural plastics and their sustainability: A call for action, 2021. . FAO. https://doi.org/10.4060/cb7856en</v>
      </c>
      <c r="H76" s="830"/>
      <c r="I76" s="636">
        <v>1</v>
      </c>
      <c r="J76" s="9">
        <v>2</v>
      </c>
      <c r="K76" s="636">
        <v>1</v>
      </c>
      <c r="L76" s="636">
        <v>1</v>
      </c>
      <c r="M76" s="9">
        <v>2</v>
      </c>
      <c r="N76" s="186" t="str">
        <f t="shared" si="4"/>
        <v/>
      </c>
      <c r="O76" s="160">
        <f t="shared" si="5"/>
        <v>0.35859414261160716</v>
      </c>
      <c r="P76" s="63"/>
    </row>
    <row r="77" spans="1:16" s="16" customFormat="1" hidden="1">
      <c r="A77" s="152" t="str">
        <f>Agriculture!A91</f>
        <v>Agriculture</v>
      </c>
      <c r="B77" s="34" t="str">
        <f>Agriculture!B91</f>
        <v>Agricultural pipes (in use)</v>
      </c>
      <c r="C77" s="40" t="str">
        <f>Agriculture!C91</f>
        <v>EU</v>
      </c>
      <c r="D77" s="34" t="str">
        <f>Agriculture!D91</f>
        <v>HDPE</v>
      </c>
      <c r="E77" s="865">
        <f>Agriculture!E91</f>
        <v>2.233215610064521E-2</v>
      </c>
      <c r="F77" s="235">
        <f>Agriculture!F91</f>
        <v>2</v>
      </c>
      <c r="G77" s="40" t="str">
        <f>Agriculture!G91</f>
        <v>Assessment of agricultural plastics and their sustainability: A call for action, 2021. . FAO. https://doi.org/10.4060/cb7856en</v>
      </c>
      <c r="H77" s="830"/>
      <c r="I77" s="636">
        <v>1</v>
      </c>
      <c r="J77" s="9">
        <v>2</v>
      </c>
      <c r="K77" s="636">
        <v>1</v>
      </c>
      <c r="L77" s="636">
        <v>1</v>
      </c>
      <c r="M77" s="9">
        <v>2</v>
      </c>
      <c r="N77" s="186" t="str">
        <f t="shared" si="4"/>
        <v/>
      </c>
      <c r="O77" s="160">
        <f t="shared" si="5"/>
        <v>0.35859414261160716</v>
      </c>
      <c r="P77" s="63"/>
    </row>
    <row r="78" spans="1:16" s="16" customFormat="1" hidden="1">
      <c r="A78" s="152" t="str">
        <f>Agriculture!A146</f>
        <v>Agricultural waste collection</v>
      </c>
      <c r="B78" s="34" t="str">
        <f>Agriculture!B146</f>
        <v>Agricultural plastic recycling</v>
      </c>
      <c r="C78" s="40" t="str">
        <f>Agriculture!C146</f>
        <v>any</v>
      </c>
      <c r="D78" s="34" t="str">
        <f>Agriculture!D146</f>
        <v>any</v>
      </c>
      <c r="E78" s="265">
        <f>Agriculture!E146</f>
        <v>0.12</v>
      </c>
      <c r="F78" s="235">
        <f>Agriculture!F146</f>
        <v>1</v>
      </c>
      <c r="G78" s="40" t="str">
        <f>Agriculture!G146</f>
        <v>Schelker, Raymond, and Patrik Geisselhardt, Welche Fraktionen - Hauptkunststoffe, 2011</v>
      </c>
      <c r="H78" s="29">
        <v>2</v>
      </c>
      <c r="I78" s="9">
        <v>2</v>
      </c>
      <c r="J78" s="9">
        <v>2</v>
      </c>
      <c r="K78" s="9">
        <v>3</v>
      </c>
      <c r="L78" s="9">
        <v>1</v>
      </c>
      <c r="M78" s="9">
        <v>2</v>
      </c>
      <c r="N78" s="186">
        <f t="shared" ref="N78:N84" si="6">IF( OR( ISBLANK(H78),ISBLANK(J78), ISBLANK(K78), ISBLANK(L78), ISBLANK(M78) ), "", 1.5*SQRT(   EXP(2.21*(H78-1)) + EXP(2.21*(J78-1)) + EXP(2.21*(K78-1)) + EXP(2.21*(L78-1)) + EXP(2.21*M78)   )/100*2.45 )</f>
        <v>0.50042652380814845</v>
      </c>
      <c r="O78" s="160">
        <f t="shared" ref="O78:O84" si="7">IF( OR( ISBLANK(I78),ISBLANK(J78), ISBLANK(K78), ISBLANK(L78), ISBLANK(M78) ), "", 1.5*SQRT( EXP(2.21*(I78-1)) + EXP(2.21*(J78-1)) + EXP(2.21*(K78-1)) + EXP(2.21*(L78-1)) + EXP(2.21*M78)   )/100*2.45 )</f>
        <v>0.50042652380814845</v>
      </c>
      <c r="P78" s="63"/>
    </row>
    <row r="79" spans="1:16" s="16" customFormat="1" hidden="1">
      <c r="A79" s="152" t="str">
        <f>Agriculture!A147</f>
        <v>Agricultural waste collection</v>
      </c>
      <c r="B79" s="34" t="str">
        <f>Agriculture!B147</f>
        <v>Agricultural plastic recycling</v>
      </c>
      <c r="C79" s="40" t="str">
        <f>Agriculture!C147</f>
        <v>any</v>
      </c>
      <c r="D79" s="34" t="str">
        <f>Agriculture!D147</f>
        <v>any</v>
      </c>
      <c r="E79" s="265">
        <f>Agriculture!E147</f>
        <v>0.1333</v>
      </c>
      <c r="F79" s="235">
        <f>Agriculture!F147</f>
        <v>1</v>
      </c>
      <c r="G79" s="40" t="str">
        <f>Agriculture!G147</f>
        <v>Müller Andreas, 2016</v>
      </c>
      <c r="H79" s="29">
        <v>2</v>
      </c>
      <c r="I79" s="9">
        <v>2</v>
      </c>
      <c r="J79" s="9">
        <v>2</v>
      </c>
      <c r="K79" s="9">
        <v>3</v>
      </c>
      <c r="L79" s="9">
        <v>1</v>
      </c>
      <c r="M79" s="9">
        <v>2</v>
      </c>
      <c r="N79" s="186">
        <f t="shared" si="6"/>
        <v>0.50042652380814845</v>
      </c>
      <c r="O79" s="160">
        <f t="shared" si="7"/>
        <v>0.50042652380814845</v>
      </c>
      <c r="P79" s="63"/>
    </row>
    <row r="80" spans="1:16" s="16" customFormat="1" hidden="1">
      <c r="A80" s="152" t="str">
        <f>Agriculture!A148</f>
        <v>Agricultural waste collection</v>
      </c>
      <c r="B80" s="34" t="str">
        <f>Agriculture!B148</f>
        <v>Agricultural plastic recycling</v>
      </c>
      <c r="C80" s="40" t="str">
        <f>Agriculture!C148</f>
        <v>any</v>
      </c>
      <c r="D80" s="34" t="str">
        <f>Agriculture!D148</f>
        <v>any</v>
      </c>
      <c r="E80" s="265">
        <f>Agriculture!E148</f>
        <v>0.26669999999999999</v>
      </c>
      <c r="F80" s="235">
        <f>Agriculture!F148</f>
        <v>1</v>
      </c>
      <c r="G80" s="40" t="str">
        <f>Agriculture!G148</f>
        <v>Müller Andreas, 2016</v>
      </c>
      <c r="H80" s="29">
        <v>2</v>
      </c>
      <c r="I80" s="9">
        <v>2</v>
      </c>
      <c r="J80" s="9">
        <v>2</v>
      </c>
      <c r="K80" s="9">
        <v>3</v>
      </c>
      <c r="L80" s="9">
        <v>1</v>
      </c>
      <c r="M80" s="9">
        <v>2</v>
      </c>
      <c r="N80" s="186">
        <f t="shared" si="6"/>
        <v>0.50042652380814845</v>
      </c>
      <c r="O80" s="160">
        <f t="shared" si="7"/>
        <v>0.50042652380814845</v>
      </c>
      <c r="P80" s="63"/>
    </row>
    <row r="81" spans="1:16" s="16" customFormat="1" hidden="1">
      <c r="A81" s="152" t="str">
        <f>Agriculture!A149</f>
        <v>Agricultural waste collection</v>
      </c>
      <c r="B81" s="34" t="str">
        <f>Agriculture!B149</f>
        <v>Agricultural plastic recycling</v>
      </c>
      <c r="C81" s="40" t="str">
        <f>Agriculture!C149</f>
        <v>any</v>
      </c>
      <c r="D81" s="34" t="str">
        <f>Agriculture!D149</f>
        <v>any</v>
      </c>
      <c r="E81" s="265">
        <f>Agriculture!E149</f>
        <v>0.2</v>
      </c>
      <c r="F81" s="235">
        <f>Agriculture!F149</f>
        <v>1</v>
      </c>
      <c r="G81" s="40" t="str">
        <f>Agriculture!G149</f>
        <v>Schelker, Raymond, and Patrik Geisselhardt, Projekt „ Kunststoff-Verwertung Schweiz “: Bericht Module 1 Und 2, 2011</v>
      </c>
      <c r="H81" s="29">
        <v>2</v>
      </c>
      <c r="I81" s="9">
        <v>2</v>
      </c>
      <c r="J81" s="9">
        <v>2</v>
      </c>
      <c r="K81" s="9">
        <v>3</v>
      </c>
      <c r="L81" s="9">
        <v>1</v>
      </c>
      <c r="M81" s="9">
        <v>2</v>
      </c>
      <c r="N81" s="186">
        <f t="shared" si="6"/>
        <v>0.50042652380814845</v>
      </c>
      <c r="O81" s="160">
        <f t="shared" si="7"/>
        <v>0.50042652380814845</v>
      </c>
      <c r="P81" s="63" t="str">
        <f>Agriculture!P149</f>
        <v>Value for films</v>
      </c>
    </row>
    <row r="82" spans="1:16" s="16" customFormat="1" hidden="1">
      <c r="A82" s="152" t="str">
        <f>Agriculture!A145</f>
        <v>Agricultural waste collection</v>
      </c>
      <c r="B82" s="34" t="str">
        <f>Agriculture!B145</f>
        <v>Incineration</v>
      </c>
      <c r="C82" s="40" t="str">
        <f>Agriculture!C145</f>
        <v>any</v>
      </c>
      <c r="D82" s="34" t="str">
        <f>Agriculture!D145</f>
        <v>any</v>
      </c>
      <c r="E82" s="265" t="str">
        <f>Agriculture!E145</f>
        <v>rest</v>
      </c>
      <c r="F82" s="235">
        <f>Agriculture!F145</f>
        <v>1</v>
      </c>
      <c r="G82" s="40">
        <f>Agriculture!G145</f>
        <v>0</v>
      </c>
      <c r="H82" s="29"/>
      <c r="I82" s="9"/>
      <c r="J82" s="9"/>
      <c r="K82" s="9"/>
      <c r="L82" s="9"/>
      <c r="M82" s="9"/>
      <c r="N82" s="186" t="str">
        <f t="shared" si="6"/>
        <v/>
      </c>
      <c r="O82" s="160" t="str">
        <f t="shared" si="7"/>
        <v/>
      </c>
      <c r="P82" s="63"/>
    </row>
    <row r="83" spans="1:16" hidden="1">
      <c r="A83" s="152" t="str">
        <f>Agriculture!A144</f>
        <v>Agricultural waste collection</v>
      </c>
      <c r="B83" s="34" t="str">
        <f>Agriculture!B144</f>
        <v>Landfill</v>
      </c>
      <c r="C83" s="40" t="str">
        <f>Agriculture!C144</f>
        <v>any</v>
      </c>
      <c r="D83" s="34" t="str">
        <f>Agriculture!D144</f>
        <v>any</v>
      </c>
      <c r="E83" s="265">
        <f>Agriculture!E144</f>
        <v>0</v>
      </c>
      <c r="F83" s="235">
        <f>Agriculture!F144</f>
        <v>1</v>
      </c>
      <c r="G83" s="40">
        <f>Agriculture!G144</f>
        <v>0</v>
      </c>
      <c r="H83" s="29"/>
      <c r="I83" s="9"/>
      <c r="J83" s="9"/>
      <c r="K83" s="9"/>
      <c r="L83" s="9"/>
      <c r="M83" s="9"/>
      <c r="N83" s="186" t="str">
        <f t="shared" si="6"/>
        <v/>
      </c>
      <c r="O83" s="160" t="str">
        <f t="shared" si="7"/>
        <v/>
      </c>
      <c r="P83" s="63"/>
    </row>
    <row r="84" spans="1:16" hidden="1">
      <c r="A84" s="152" t="str">
        <f>Agriculture!A143</f>
        <v>Agricultural waste collection</v>
      </c>
      <c r="B84" s="34" t="str">
        <f>Agriculture!B143</f>
        <v>Residential soil (macro)</v>
      </c>
      <c r="C84" s="40" t="str">
        <f>Agriculture!C143</f>
        <v>any</v>
      </c>
      <c r="D84" s="34" t="str">
        <f>Agriculture!D143</f>
        <v>any</v>
      </c>
      <c r="E84" s="265">
        <f>Agriculture!E143</f>
        <v>1E-4</v>
      </c>
      <c r="F84" s="235">
        <f>Agriculture!F143</f>
        <v>2</v>
      </c>
      <c r="G84" s="40" t="str">
        <f>Agriculture!G143</f>
        <v>Assumption</v>
      </c>
      <c r="H84" s="29">
        <v>1</v>
      </c>
      <c r="I84" s="9">
        <v>2</v>
      </c>
      <c r="J84" s="9">
        <v>1</v>
      </c>
      <c r="K84" s="9">
        <v>1</v>
      </c>
      <c r="L84" s="9">
        <v>1</v>
      </c>
      <c r="M84" s="9">
        <v>3</v>
      </c>
      <c r="N84" s="186">
        <f t="shared" si="6"/>
        <v>1.0141150152164344</v>
      </c>
      <c r="O84" s="160">
        <f t="shared" si="7"/>
        <v>1.0195048044558224</v>
      </c>
      <c r="P84" s="63"/>
    </row>
    <row r="85" spans="1:16" hidden="1">
      <c r="A85" s="152" t="s">
        <v>143</v>
      </c>
      <c r="B85" s="34" t="s">
        <v>144</v>
      </c>
      <c r="C85" s="40" t="s">
        <v>139</v>
      </c>
      <c r="D85" s="34" t="s">
        <v>139</v>
      </c>
      <c r="E85" s="265">
        <v>0.12</v>
      </c>
      <c r="F85" s="235">
        <v>1</v>
      </c>
      <c r="G85" s="40" t="s">
        <v>145</v>
      </c>
      <c r="H85" s="29">
        <v>2</v>
      </c>
      <c r="I85" s="9">
        <v>2</v>
      </c>
      <c r="J85" s="9">
        <v>2</v>
      </c>
      <c r="K85" s="9">
        <v>3</v>
      </c>
      <c r="L85" s="9">
        <v>1</v>
      </c>
      <c r="M85" s="9">
        <v>2</v>
      </c>
      <c r="N85" s="186">
        <v>0.50042652380814845</v>
      </c>
      <c r="O85" s="160">
        <v>0.50042652380814845</v>
      </c>
      <c r="P85" s="63"/>
    </row>
    <row r="86" spans="1:16" hidden="1">
      <c r="A86" s="152" t="s">
        <v>138</v>
      </c>
      <c r="B86" s="34" t="s">
        <v>146</v>
      </c>
      <c r="C86" s="40" t="s">
        <v>139</v>
      </c>
      <c r="D86" s="34" t="s">
        <v>139</v>
      </c>
      <c r="E86" s="260">
        <v>0</v>
      </c>
      <c r="F86" s="235">
        <v>2</v>
      </c>
      <c r="G86" s="40" t="s">
        <v>147</v>
      </c>
      <c r="H86" s="29"/>
      <c r="I86" s="9"/>
      <c r="J86" s="9"/>
      <c r="K86" s="9"/>
      <c r="L86" s="9"/>
      <c r="M86" s="9"/>
      <c r="N86" s="186" t="str">
        <f t="shared" ref="N86:N112" si="8">IF( OR( ISBLANK(H86),ISBLANK(J86), ISBLANK(K86), ISBLANK(L86), ISBLANK(M86) ), "", 1.5*SQRT(   EXP(2.21*(H86-1)) + EXP(2.21*(J86-1)) + EXP(2.21*(K86-1)) + EXP(2.21*(L86-1)) + EXP(2.21*M86)   )/100*2.45 )</f>
        <v/>
      </c>
      <c r="O86" s="160" t="str">
        <f t="shared" ref="O86:O149" si="9">IF( OR( ISBLANK(I86),ISBLANK(J86), ISBLANK(K86), ISBLANK(L86), ISBLANK(M86) ), "", 1.5*SQRT( EXP(2.21*(I86-1)) + EXP(2.21*(J86-1)) + EXP(2.21*(K86-1)) + EXP(2.21*(L86-1)) + EXP(2.21*M86)   )/100*2.45 )</f>
        <v/>
      </c>
      <c r="P86" s="63"/>
    </row>
    <row r="87" spans="1:16" hidden="1">
      <c r="A87" s="152" t="s">
        <v>138</v>
      </c>
      <c r="B87" s="34" t="s">
        <v>146</v>
      </c>
      <c r="C87" s="40" t="s">
        <v>139</v>
      </c>
      <c r="D87" s="34" t="s">
        <v>139</v>
      </c>
      <c r="E87" s="260">
        <v>1.6E-2</v>
      </c>
      <c r="F87" s="235">
        <v>2</v>
      </c>
      <c r="G87" s="40" t="s">
        <v>148</v>
      </c>
      <c r="H87" s="29">
        <v>1</v>
      </c>
      <c r="I87" s="9"/>
      <c r="J87" s="9">
        <v>1</v>
      </c>
      <c r="K87" s="9">
        <v>1</v>
      </c>
      <c r="L87" s="9">
        <v>1</v>
      </c>
      <c r="M87" s="9">
        <v>3</v>
      </c>
      <c r="N87" s="186">
        <f t="shared" si="8"/>
        <v>1.0141150152164344</v>
      </c>
      <c r="O87" s="160" t="str">
        <f t="shared" si="9"/>
        <v/>
      </c>
      <c r="P87" s="63"/>
    </row>
    <row r="88" spans="1:16" hidden="1">
      <c r="A88" s="152" t="s">
        <v>142</v>
      </c>
      <c r="B88" s="34" t="s">
        <v>146</v>
      </c>
      <c r="C88" s="40" t="s">
        <v>139</v>
      </c>
      <c r="D88" s="34" t="s">
        <v>139</v>
      </c>
      <c r="E88" s="260">
        <v>0</v>
      </c>
      <c r="F88" s="235">
        <v>2</v>
      </c>
      <c r="G88" s="40" t="s">
        <v>147</v>
      </c>
      <c r="H88" s="29"/>
      <c r="I88" s="9"/>
      <c r="J88" s="9"/>
      <c r="K88" s="9"/>
      <c r="L88" s="9"/>
      <c r="M88" s="9"/>
      <c r="N88" s="186" t="str">
        <f t="shared" si="8"/>
        <v/>
      </c>
      <c r="O88" s="160" t="str">
        <f t="shared" si="9"/>
        <v/>
      </c>
      <c r="P88" s="63"/>
    </row>
    <row r="89" spans="1:16" hidden="1">
      <c r="A89" s="152" t="s">
        <v>142</v>
      </c>
      <c r="B89" s="34" t="s">
        <v>146</v>
      </c>
      <c r="C89" s="40" t="s">
        <v>139</v>
      </c>
      <c r="D89" s="34" t="s">
        <v>139</v>
      </c>
      <c r="E89" s="260">
        <v>5.8999999999999997E-2</v>
      </c>
      <c r="F89" s="235">
        <v>2</v>
      </c>
      <c r="G89" s="40" t="s">
        <v>148</v>
      </c>
      <c r="H89" s="29">
        <v>1</v>
      </c>
      <c r="I89" s="9"/>
      <c r="J89" s="9">
        <v>1</v>
      </c>
      <c r="K89" s="9">
        <v>1</v>
      </c>
      <c r="L89" s="9">
        <v>1</v>
      </c>
      <c r="M89" s="9">
        <v>3</v>
      </c>
      <c r="N89" s="186">
        <f t="shared" si="8"/>
        <v>1.0141150152164344</v>
      </c>
      <c r="O89" s="160" t="str">
        <f t="shared" si="9"/>
        <v/>
      </c>
      <c r="P89" s="63"/>
    </row>
    <row r="90" spans="1:16" hidden="1">
      <c r="A90" s="152" t="s">
        <v>149</v>
      </c>
      <c r="B90" s="34" t="s">
        <v>146</v>
      </c>
      <c r="C90" s="40" t="s">
        <v>139</v>
      </c>
      <c r="D90" s="34" t="s">
        <v>139</v>
      </c>
      <c r="E90" s="260" t="s">
        <v>150</v>
      </c>
      <c r="F90" s="235">
        <v>1</v>
      </c>
      <c r="G90" s="40"/>
      <c r="H90" s="29"/>
      <c r="I90" s="9"/>
      <c r="J90" s="9"/>
      <c r="K90" s="9"/>
      <c r="L90" s="9"/>
      <c r="M90" s="9"/>
      <c r="N90" s="186" t="str">
        <f t="shared" si="8"/>
        <v/>
      </c>
      <c r="O90" s="160" t="str">
        <f t="shared" si="9"/>
        <v/>
      </c>
      <c r="P90" s="63" t="s">
        <v>151</v>
      </c>
    </row>
    <row r="91" spans="1:16" hidden="1">
      <c r="A91" s="292" t="s">
        <v>152</v>
      </c>
      <c r="B91" s="55" t="s">
        <v>153</v>
      </c>
      <c r="C91" s="265" t="s">
        <v>139</v>
      </c>
      <c r="D91" s="55" t="s">
        <v>139</v>
      </c>
      <c r="E91" s="260" t="s">
        <v>150</v>
      </c>
      <c r="F91" s="235">
        <v>1</v>
      </c>
      <c r="G91" s="265"/>
      <c r="H91" s="29"/>
      <c r="I91" s="9"/>
      <c r="J91" s="9"/>
      <c r="K91" s="9"/>
      <c r="L91" s="9"/>
      <c r="M91" s="9"/>
      <c r="N91" s="186" t="str">
        <f t="shared" si="8"/>
        <v/>
      </c>
      <c r="O91" s="160" t="str">
        <f t="shared" si="9"/>
        <v/>
      </c>
      <c r="P91" s="63"/>
    </row>
    <row r="92" spans="1:16" hidden="1">
      <c r="A92" s="152" t="str">
        <f>Agriculture!A115</f>
        <v>Agricultural mulching films</v>
      </c>
      <c r="B92" s="34" t="str">
        <f>Agriculture!B115</f>
        <v>Agricultural soil (macro)</v>
      </c>
      <c r="C92" s="40" t="str">
        <f>Agriculture!C115</f>
        <v>any</v>
      </c>
      <c r="D92" s="34" t="str">
        <f>Agriculture!D115</f>
        <v>any</v>
      </c>
      <c r="E92" s="243">
        <f>Agriculture!E115</f>
        <v>0</v>
      </c>
      <c r="F92" s="235">
        <f>Agriculture!F115</f>
        <v>2</v>
      </c>
      <c r="G92" s="40" t="str">
        <f>Agriculture!G115</f>
        <v>Best case scenario</v>
      </c>
      <c r="H92" s="29"/>
      <c r="I92" s="9"/>
      <c r="J92" s="9"/>
      <c r="K92" s="9"/>
      <c r="L92" s="9"/>
      <c r="M92" s="9"/>
      <c r="N92" s="186" t="str">
        <f t="shared" si="8"/>
        <v/>
      </c>
      <c r="O92" s="160" t="str">
        <f t="shared" si="9"/>
        <v/>
      </c>
      <c r="P92" s="63"/>
    </row>
    <row r="93" spans="1:16" hidden="1">
      <c r="A93" s="152" t="str">
        <f>Agriculture!A116</f>
        <v>Agricultural mulching films</v>
      </c>
      <c r="B93" s="34" t="str">
        <f>Agriculture!B116</f>
        <v>Agricultural soil (macro)</v>
      </c>
      <c r="C93" s="40" t="str">
        <f>Agriculture!C116</f>
        <v>any</v>
      </c>
      <c r="D93" s="34" t="str">
        <f>Agriculture!D116</f>
        <v>any</v>
      </c>
      <c r="E93" s="243">
        <f>Agriculture!E116</f>
        <v>3.6999999999999998E-2</v>
      </c>
      <c r="F93" s="235">
        <f>Agriculture!F116</f>
        <v>2</v>
      </c>
      <c r="G93" s="40" t="str">
        <f>Agriculture!G116</f>
        <v>Based on Agreste. Chiffres-Clés : 61 Hectares En Moyenne Par Exploitation; 2017</v>
      </c>
      <c r="H93" s="29">
        <v>2</v>
      </c>
      <c r="I93" s="9">
        <v>2</v>
      </c>
      <c r="J93" s="9">
        <v>2</v>
      </c>
      <c r="K93" s="9">
        <v>1</v>
      </c>
      <c r="L93" s="9">
        <v>1</v>
      </c>
      <c r="M93" s="9">
        <v>3</v>
      </c>
      <c r="N93" s="186">
        <f t="shared" si="8"/>
        <v>1.0248662490928169</v>
      </c>
      <c r="O93" s="160">
        <f t="shared" si="9"/>
        <v>1.0248662490928169</v>
      </c>
      <c r="P93" s="63"/>
    </row>
    <row r="94" spans="1:16" hidden="1">
      <c r="A94" s="152" t="str">
        <f>Agriculture!A121</f>
        <v>Agricultural other</v>
      </c>
      <c r="B94" s="34" t="str">
        <f>Agriculture!B121</f>
        <v>Agricultural soil (macro)</v>
      </c>
      <c r="C94" s="40" t="str">
        <f>Agriculture!C121</f>
        <v>any</v>
      </c>
      <c r="D94" s="34" t="str">
        <f>Agriculture!D121</f>
        <v>any</v>
      </c>
      <c r="E94" s="243">
        <f>Agriculture!E121</f>
        <v>0</v>
      </c>
      <c r="F94" s="235">
        <f>Agriculture!F121</f>
        <v>2</v>
      </c>
      <c r="G94" s="40" t="str">
        <f>Agriculture!G121</f>
        <v>Best case scenario</v>
      </c>
      <c r="H94" s="29"/>
      <c r="I94" s="9"/>
      <c r="J94" s="9"/>
      <c r="K94" s="9"/>
      <c r="L94" s="9"/>
      <c r="M94" s="9"/>
      <c r="N94" s="186" t="str">
        <f t="shared" si="8"/>
        <v/>
      </c>
      <c r="O94" s="160" t="str">
        <f t="shared" si="9"/>
        <v/>
      </c>
      <c r="P94" s="63"/>
    </row>
    <row r="95" spans="1:16" hidden="1">
      <c r="A95" s="152" t="str">
        <f>Agriculture!A122</f>
        <v>Agricultural other</v>
      </c>
      <c r="B95" s="34" t="str">
        <f>Agriculture!B122</f>
        <v>Agricultural soil (macro)</v>
      </c>
      <c r="C95" s="40" t="str">
        <f>Agriculture!C122</f>
        <v>any</v>
      </c>
      <c r="D95" s="34" t="str">
        <f>Agriculture!D122</f>
        <v>any</v>
      </c>
      <c r="E95" s="243">
        <f>Agriculture!E122</f>
        <v>3.7999999999999999E-2</v>
      </c>
      <c r="F95" s="235">
        <f>Agriculture!F122</f>
        <v>2</v>
      </c>
      <c r="G95" s="40" t="str">
        <f>Agriculture!G122</f>
        <v>Based on Agreste. Chiffres-Clés : 61 Hectares En Moyenne Par Exploitation; 2017</v>
      </c>
      <c r="H95" s="29">
        <v>2</v>
      </c>
      <c r="I95" s="9">
        <v>2</v>
      </c>
      <c r="J95" s="9">
        <v>2</v>
      </c>
      <c r="K95" s="9">
        <v>1</v>
      </c>
      <c r="L95" s="9">
        <v>1</v>
      </c>
      <c r="M95" s="9">
        <v>3</v>
      </c>
      <c r="N95" s="186">
        <f t="shared" si="8"/>
        <v>1.0248662490928169</v>
      </c>
      <c r="O95" s="160">
        <f t="shared" si="9"/>
        <v>1.0248662490928169</v>
      </c>
      <c r="P95" s="63"/>
    </row>
    <row r="96" spans="1:16" hidden="1">
      <c r="A96" s="152" t="str">
        <f>Agriculture!A125</f>
        <v>Agricultural pipes (in use)</v>
      </c>
      <c r="B96" s="34" t="str">
        <f>Agriculture!B125</f>
        <v>Agricultural soil (macro)</v>
      </c>
      <c r="C96" s="40" t="str">
        <f>Agriculture!C125</f>
        <v>any</v>
      </c>
      <c r="D96" s="34" t="str">
        <f>Agriculture!D125</f>
        <v>any</v>
      </c>
      <c r="E96" s="243">
        <f>Agriculture!E125</f>
        <v>0</v>
      </c>
      <c r="F96" s="235">
        <f>Agriculture!F125</f>
        <v>2</v>
      </c>
      <c r="G96" s="40" t="str">
        <f>Agriculture!G125</f>
        <v>Best case scenario</v>
      </c>
      <c r="H96" s="29"/>
      <c r="I96" s="9"/>
      <c r="J96" s="9"/>
      <c r="K96" s="9"/>
      <c r="L96" s="9"/>
      <c r="M96" s="9"/>
      <c r="N96" s="186" t="str">
        <f t="shared" si="8"/>
        <v/>
      </c>
      <c r="O96" s="160" t="str">
        <f t="shared" si="9"/>
        <v/>
      </c>
      <c r="P96" s="63" t="str">
        <f>Agriculture!P125</f>
        <v>Normalized (See Agriculture sheet)</v>
      </c>
    </row>
    <row r="97" spans="1:16" hidden="1">
      <c r="A97" s="152" t="str">
        <f>Agriculture!A126</f>
        <v>Agricultural pipes (in use)</v>
      </c>
      <c r="B97" s="34" t="str">
        <f>Agriculture!B126</f>
        <v>Agricultural soil (macro)</v>
      </c>
      <c r="C97" s="40" t="str">
        <f>Agriculture!C126</f>
        <v>any</v>
      </c>
      <c r="D97" s="34" t="str">
        <f>Agriculture!D126</f>
        <v>any</v>
      </c>
      <c r="E97" s="243">
        <f>Agriculture!E126</f>
        <v>0.51351351351351338</v>
      </c>
      <c r="F97" s="235">
        <f>Agriculture!F126</f>
        <v>2</v>
      </c>
      <c r="G97" s="40" t="str">
        <f>Agriculture!G126</f>
        <v>Based on Agreste. Chiffres-Clés : 61 Hectares En Moyenne Par Exploitation; 2017</v>
      </c>
      <c r="H97" s="29">
        <v>2</v>
      </c>
      <c r="I97" s="9">
        <v>2</v>
      </c>
      <c r="J97" s="9">
        <v>2</v>
      </c>
      <c r="K97" s="9">
        <v>1</v>
      </c>
      <c r="L97" s="9">
        <v>1</v>
      </c>
      <c r="M97" s="9">
        <v>3</v>
      </c>
      <c r="N97" s="186">
        <f t="shared" si="8"/>
        <v>1.0248662490928169</v>
      </c>
      <c r="O97" s="160">
        <f t="shared" si="9"/>
        <v>1.0248662490928169</v>
      </c>
      <c r="P97" s="63" t="str">
        <f>Agriculture!P126</f>
        <v>Normalized (See Agriculture sheet)</v>
      </c>
    </row>
    <row r="98" spans="1:16" hidden="1">
      <c r="A98" s="152" t="str">
        <f>Agriculture!A129</f>
        <v>Agricultural greenhouse films (in use)</v>
      </c>
      <c r="B98" s="34" t="str">
        <f>Agriculture!B129</f>
        <v>Agricultural soil (macro)</v>
      </c>
      <c r="C98" s="40" t="str">
        <f>Agriculture!C129</f>
        <v>any</v>
      </c>
      <c r="D98" s="34" t="str">
        <f>Agriculture!D129</f>
        <v>any</v>
      </c>
      <c r="E98" s="243">
        <f>Agriculture!E129</f>
        <v>0</v>
      </c>
      <c r="F98" s="235">
        <f>Agriculture!F129</f>
        <v>2</v>
      </c>
      <c r="G98" s="40" t="str">
        <f>Agriculture!G129</f>
        <v>Best case scenario</v>
      </c>
      <c r="H98" s="29"/>
      <c r="I98" s="9"/>
      <c r="J98" s="9"/>
      <c r="K98" s="9"/>
      <c r="L98" s="9"/>
      <c r="M98" s="9"/>
      <c r="N98" s="186" t="str">
        <f t="shared" si="8"/>
        <v/>
      </c>
      <c r="O98" s="160" t="str">
        <f t="shared" si="9"/>
        <v/>
      </c>
      <c r="P98" s="63" t="str">
        <f>Agriculture!P129</f>
        <v>Normalized (See Agriculture sheet)</v>
      </c>
    </row>
    <row r="99" spans="1:16" hidden="1">
      <c r="A99" s="152" t="str">
        <f>Agriculture!A130</f>
        <v>Agricultural greenhouse films (in use)</v>
      </c>
      <c r="B99" s="34" t="str">
        <f>Agriculture!B130</f>
        <v>Agricultural soil (macro)</v>
      </c>
      <c r="C99" s="40" t="str">
        <f>Agriculture!C130</f>
        <v>any</v>
      </c>
      <c r="D99" s="34" t="str">
        <f>Agriculture!D130</f>
        <v>any</v>
      </c>
      <c r="E99" s="243">
        <f>Agriculture!E130</f>
        <v>0.40217391304347827</v>
      </c>
      <c r="F99" s="235">
        <f>Agriculture!F130</f>
        <v>2</v>
      </c>
      <c r="G99" s="40" t="str">
        <f>Agriculture!G130</f>
        <v>Based on Agreste. Chiffres-Clés : 61 Hectares En Moyenne Par Exploitation; 2017</v>
      </c>
      <c r="H99" s="29">
        <v>2</v>
      </c>
      <c r="I99" s="9">
        <v>2</v>
      </c>
      <c r="J99" s="9">
        <v>2</v>
      </c>
      <c r="K99" s="9">
        <v>1</v>
      </c>
      <c r="L99" s="9">
        <v>1</v>
      </c>
      <c r="M99" s="9">
        <v>3</v>
      </c>
      <c r="N99" s="186">
        <f t="shared" si="8"/>
        <v>1.0248662490928169</v>
      </c>
      <c r="O99" s="160">
        <f t="shared" si="9"/>
        <v>1.0248662490928169</v>
      </c>
      <c r="P99" s="63" t="str">
        <f>Agriculture!P130</f>
        <v>Normalized (See Agriculture sheet)</v>
      </c>
    </row>
    <row r="100" spans="1:16" hidden="1">
      <c r="A100" s="152" t="s">
        <v>154</v>
      </c>
      <c r="B100" s="34" t="s">
        <v>155</v>
      </c>
      <c r="C100" s="40" t="s">
        <v>139</v>
      </c>
      <c r="D100" s="34" t="s">
        <v>139</v>
      </c>
      <c r="E100" s="260" t="s">
        <v>150</v>
      </c>
      <c r="F100" s="235">
        <v>1</v>
      </c>
      <c r="G100" s="40"/>
      <c r="H100" s="29"/>
      <c r="I100" s="9"/>
      <c r="J100" s="9"/>
      <c r="K100" s="9"/>
      <c r="L100" s="9"/>
      <c r="M100" s="9"/>
      <c r="N100" s="186" t="str">
        <f t="shared" si="8"/>
        <v/>
      </c>
      <c r="O100" s="160" t="str">
        <f t="shared" si="9"/>
        <v/>
      </c>
      <c r="P100" s="63" t="s">
        <v>151</v>
      </c>
    </row>
    <row r="101" spans="1:16" hidden="1">
      <c r="A101" s="152" t="s">
        <v>156</v>
      </c>
      <c r="B101" s="34" t="s">
        <v>155</v>
      </c>
      <c r="C101" s="40" t="s">
        <v>139</v>
      </c>
      <c r="D101" s="34" t="s">
        <v>139</v>
      </c>
      <c r="E101" s="260" t="s">
        <v>150</v>
      </c>
      <c r="F101" s="235">
        <v>1</v>
      </c>
      <c r="G101" s="866" t="s">
        <v>157</v>
      </c>
      <c r="H101" s="29">
        <v>1</v>
      </c>
      <c r="I101" s="9">
        <v>1</v>
      </c>
      <c r="J101" s="9">
        <v>1</v>
      </c>
      <c r="K101" s="9">
        <v>3</v>
      </c>
      <c r="L101" s="9">
        <v>3</v>
      </c>
      <c r="M101" s="9">
        <v>3</v>
      </c>
      <c r="N101" s="186">
        <f t="shared" si="8"/>
        <v>1.1181151966036349</v>
      </c>
      <c r="O101" s="160">
        <f t="shared" si="9"/>
        <v>1.1181151966036349</v>
      </c>
      <c r="P101" s="63" t="s">
        <v>158</v>
      </c>
    </row>
    <row r="102" spans="1:16" hidden="1">
      <c r="A102" s="152" t="s">
        <v>159</v>
      </c>
      <c r="B102" s="34" t="s">
        <v>155</v>
      </c>
      <c r="C102" s="40" t="s">
        <v>139</v>
      </c>
      <c r="D102" s="34" t="s">
        <v>139</v>
      </c>
      <c r="E102" s="260" t="s">
        <v>150</v>
      </c>
      <c r="F102" s="235">
        <v>1</v>
      </c>
      <c r="G102" s="40" t="s">
        <v>157</v>
      </c>
      <c r="H102" s="29">
        <v>1</v>
      </c>
      <c r="I102" s="9">
        <v>1</v>
      </c>
      <c r="J102" s="9">
        <v>1</v>
      </c>
      <c r="K102" s="9">
        <v>3</v>
      </c>
      <c r="L102" s="9">
        <v>3</v>
      </c>
      <c r="M102" s="9">
        <v>3</v>
      </c>
      <c r="N102" s="186">
        <f t="shared" si="8"/>
        <v>1.1181151966036349</v>
      </c>
      <c r="O102" s="160">
        <f t="shared" si="9"/>
        <v>1.1181151966036349</v>
      </c>
      <c r="P102" s="63" t="s">
        <v>158</v>
      </c>
    </row>
    <row r="103" spans="1:16" hidden="1">
      <c r="A103" s="152" t="str">
        <f>Agriculture!A114</f>
        <v>Agricultural mulching films</v>
      </c>
      <c r="B103" s="34" t="str">
        <f>Agriculture!B114</f>
        <v>Agricultural soil (micro)</v>
      </c>
      <c r="C103" s="40" t="str">
        <f>Agriculture!C114</f>
        <v>any</v>
      </c>
      <c r="D103" s="34" t="str">
        <f>Agriculture!D114</f>
        <v>any</v>
      </c>
      <c r="E103" s="243">
        <f>Agriculture!E114</f>
        <v>0.02</v>
      </c>
      <c r="F103" s="235">
        <f>Agriculture!F114</f>
        <v>2</v>
      </c>
      <c r="G103" s="40" t="str">
        <f>Agriculture!G114</f>
        <v>Assumption by Kawecki and Nowack (explained on page 38 of the SI)</v>
      </c>
      <c r="H103" s="29">
        <v>2</v>
      </c>
      <c r="I103" s="9">
        <v>2</v>
      </c>
      <c r="J103" s="9">
        <v>2</v>
      </c>
      <c r="K103" s="9">
        <v>1</v>
      </c>
      <c r="L103" s="9">
        <v>1</v>
      </c>
      <c r="M103" s="9">
        <v>3</v>
      </c>
      <c r="N103" s="186">
        <f t="shared" si="8"/>
        <v>1.0248662490928169</v>
      </c>
      <c r="O103" s="160">
        <f t="shared" si="9"/>
        <v>1.0248662490928169</v>
      </c>
      <c r="P103" s="63" t="str">
        <f>Agriculture!P114</f>
        <v>Assume that for a film with 1m width, 1cm is lost on both sides when removing. This results in a total loss of 2% of plastic.</v>
      </c>
    </row>
    <row r="104" spans="1:16" hidden="1">
      <c r="A104" s="152" t="str">
        <f>Agriculture!A120</f>
        <v>Agricultural other</v>
      </c>
      <c r="B104" s="34" t="str">
        <f>Agriculture!B120</f>
        <v>Agricultural soil (micro)</v>
      </c>
      <c r="C104" s="40" t="str">
        <f>Agriculture!C120</f>
        <v>any</v>
      </c>
      <c r="D104" s="34" t="str">
        <f>Agriculture!D120</f>
        <v>any</v>
      </c>
      <c r="E104" s="243">
        <f>Agriculture!E120</f>
        <v>1E-3</v>
      </c>
      <c r="F104" s="235">
        <f>Agriculture!F120</f>
        <v>2</v>
      </c>
      <c r="G104" s="40" t="str">
        <f>Agriculture!G120</f>
        <v>Assumption</v>
      </c>
      <c r="H104" s="29">
        <v>1</v>
      </c>
      <c r="I104" s="9">
        <v>1</v>
      </c>
      <c r="J104" s="9">
        <v>1</v>
      </c>
      <c r="K104" s="9">
        <v>1</v>
      </c>
      <c r="L104" s="9">
        <v>1</v>
      </c>
      <c r="M104" s="9">
        <v>3</v>
      </c>
      <c r="N104" s="186">
        <f t="shared" si="8"/>
        <v>1.0141150152164344</v>
      </c>
      <c r="O104" s="160">
        <f t="shared" si="9"/>
        <v>1.0141150152164344</v>
      </c>
      <c r="P104" s="63"/>
    </row>
    <row r="105" spans="1:16" hidden="1">
      <c r="A105" s="152" t="str">
        <f>Agriculture!A124</f>
        <v>Agricultural pipes (in use)</v>
      </c>
      <c r="B105" s="34" t="str">
        <f>Agriculture!B124</f>
        <v>Agricultural soil (micro)</v>
      </c>
      <c r="C105" s="40" t="str">
        <f>Agriculture!C124</f>
        <v>any</v>
      </c>
      <c r="D105" s="34" t="str">
        <f>Agriculture!D124</f>
        <v>any</v>
      </c>
      <c r="E105" s="243" t="str">
        <f>Agriculture!E124</f>
        <v>rest</v>
      </c>
      <c r="F105" s="235">
        <f>Agriculture!F124</f>
        <v>2</v>
      </c>
      <c r="G105" s="40" t="str">
        <f>Agriculture!G124</f>
        <v>Assumption</v>
      </c>
      <c r="H105" s="29">
        <v>1</v>
      </c>
      <c r="I105" s="9">
        <v>1</v>
      </c>
      <c r="J105" s="9">
        <v>1</v>
      </c>
      <c r="K105" s="9">
        <v>1</v>
      </c>
      <c r="L105" s="9">
        <v>1</v>
      </c>
      <c r="M105" s="9">
        <v>3</v>
      </c>
      <c r="N105" s="186">
        <f t="shared" si="8"/>
        <v>1.0141150152164344</v>
      </c>
      <c r="O105" s="160">
        <f t="shared" si="9"/>
        <v>1.0141150152164344</v>
      </c>
      <c r="P105" s="63" t="str">
        <f>Agriculture!P124</f>
        <v>Assume that for a film with 1m width, 1cm is lost on both sides when removing. This results in a total loss of 2% of plastic.</v>
      </c>
    </row>
    <row r="106" spans="1:16" hidden="1">
      <c r="A106" s="152" t="str">
        <f>Agriculture!A128</f>
        <v>Agricultural greenhouse films (in use)</v>
      </c>
      <c r="B106" s="34" t="str">
        <f>Agriculture!B128</f>
        <v>Agricultural soil (micro)</v>
      </c>
      <c r="C106" s="40" t="str">
        <f>Agriculture!C128</f>
        <v>any</v>
      </c>
      <c r="D106" s="34" t="str">
        <f>Agriculture!D128</f>
        <v>any</v>
      </c>
      <c r="E106" s="243" t="str">
        <f>Agriculture!E128</f>
        <v>rest</v>
      </c>
      <c r="F106" s="235">
        <f>Agriculture!F128</f>
        <v>1</v>
      </c>
      <c r="G106" s="40" t="str">
        <f>Agriculture!G128</f>
        <v>Assumption by Kawecki and Nowack (explained on page 38 of the SI)</v>
      </c>
      <c r="H106" s="29">
        <v>2</v>
      </c>
      <c r="I106" s="9">
        <v>2</v>
      </c>
      <c r="J106" s="9">
        <v>1</v>
      </c>
      <c r="K106" s="9">
        <v>1</v>
      </c>
      <c r="L106" s="9">
        <v>1</v>
      </c>
      <c r="M106" s="9">
        <v>3</v>
      </c>
      <c r="N106" s="186">
        <f t="shared" si="8"/>
        <v>1.0195048044558224</v>
      </c>
      <c r="O106" s="160">
        <f t="shared" si="9"/>
        <v>1.0195048044558224</v>
      </c>
      <c r="P106" s="63"/>
    </row>
    <row r="107" spans="1:16" hidden="1">
      <c r="A107" s="152" t="s">
        <v>160</v>
      </c>
      <c r="B107" s="34" t="s">
        <v>155</v>
      </c>
      <c r="C107" s="40" t="s">
        <v>139</v>
      </c>
      <c r="D107" s="34" t="s">
        <v>139</v>
      </c>
      <c r="E107" s="260" t="s">
        <v>150</v>
      </c>
      <c r="F107" s="235">
        <v>1</v>
      </c>
      <c r="G107" s="40" t="s">
        <v>157</v>
      </c>
      <c r="H107" s="29">
        <v>1</v>
      </c>
      <c r="I107" s="9">
        <v>1</v>
      </c>
      <c r="J107" s="9">
        <v>1</v>
      </c>
      <c r="K107" s="9">
        <v>3</v>
      </c>
      <c r="L107" s="9">
        <v>3</v>
      </c>
      <c r="M107" s="9">
        <v>3</v>
      </c>
      <c r="N107" s="186">
        <f t="shared" si="8"/>
        <v>1.1181151966036349</v>
      </c>
      <c r="O107" s="160">
        <f t="shared" si="9"/>
        <v>1.1181151966036349</v>
      </c>
      <c r="P107" s="63" t="s">
        <v>158</v>
      </c>
    </row>
    <row r="108" spans="1:16" hidden="1">
      <c r="A108" s="152" t="s">
        <v>161</v>
      </c>
      <c r="B108" s="34" t="s">
        <v>155</v>
      </c>
      <c r="C108" s="40" t="s">
        <v>139</v>
      </c>
      <c r="D108" s="34" t="s">
        <v>139</v>
      </c>
      <c r="E108" s="260" t="s">
        <v>150</v>
      </c>
      <c r="F108" s="235">
        <v>1</v>
      </c>
      <c r="G108" s="40" t="s">
        <v>157</v>
      </c>
      <c r="H108" s="29">
        <v>1</v>
      </c>
      <c r="I108" s="9">
        <v>1</v>
      </c>
      <c r="J108" s="9">
        <v>1</v>
      </c>
      <c r="K108" s="9">
        <v>3</v>
      </c>
      <c r="L108" s="9">
        <v>3</v>
      </c>
      <c r="M108" s="9">
        <v>3</v>
      </c>
      <c r="N108" s="186">
        <f t="shared" si="8"/>
        <v>1.1181151966036349</v>
      </c>
      <c r="O108" s="160">
        <f t="shared" si="9"/>
        <v>1.1181151966036349</v>
      </c>
      <c r="P108" s="63" t="s">
        <v>158</v>
      </c>
    </row>
    <row r="109" spans="1:16" hidden="1">
      <c r="A109" s="292" t="s">
        <v>152</v>
      </c>
      <c r="B109" s="55" t="s">
        <v>162</v>
      </c>
      <c r="C109" s="265" t="s">
        <v>139</v>
      </c>
      <c r="D109" s="55" t="s">
        <v>139</v>
      </c>
      <c r="E109" s="260">
        <v>9.8000000000000004E-2</v>
      </c>
      <c r="F109" s="235">
        <v>2</v>
      </c>
      <c r="G109" s="265" t="s">
        <v>163</v>
      </c>
      <c r="H109" s="29">
        <v>2</v>
      </c>
      <c r="I109" s="9">
        <v>2</v>
      </c>
      <c r="J109" s="9">
        <v>1</v>
      </c>
      <c r="K109" s="9">
        <v>1</v>
      </c>
      <c r="L109" s="9">
        <v>1</v>
      </c>
      <c r="M109" s="9">
        <v>3</v>
      </c>
      <c r="N109" s="186">
        <f t="shared" si="8"/>
        <v>1.0195048044558224</v>
      </c>
      <c r="O109" s="160">
        <f t="shared" si="9"/>
        <v>1.0195048044558224</v>
      </c>
      <c r="P109" s="63" t="s">
        <v>164</v>
      </c>
    </row>
    <row r="110" spans="1:16" hidden="1">
      <c r="A110" s="152" t="s">
        <v>138</v>
      </c>
      <c r="B110" s="34" t="s">
        <v>165</v>
      </c>
      <c r="C110" s="40" t="s">
        <v>139</v>
      </c>
      <c r="D110" s="34" t="s">
        <v>139</v>
      </c>
      <c r="E110" s="260" t="s">
        <v>150</v>
      </c>
      <c r="F110" s="235">
        <v>1</v>
      </c>
      <c r="G110" s="40"/>
      <c r="H110" s="29"/>
      <c r="I110" s="9"/>
      <c r="J110" s="9"/>
      <c r="K110" s="9"/>
      <c r="L110" s="9"/>
      <c r="M110" s="9"/>
      <c r="N110" s="186" t="str">
        <f t="shared" si="8"/>
        <v/>
      </c>
      <c r="O110" s="160" t="str">
        <f t="shared" si="9"/>
        <v/>
      </c>
      <c r="P110" s="63"/>
    </row>
    <row r="111" spans="1:16" hidden="1">
      <c r="A111" s="152" t="s">
        <v>142</v>
      </c>
      <c r="B111" s="34" t="s">
        <v>165</v>
      </c>
      <c r="C111" s="40" t="s">
        <v>139</v>
      </c>
      <c r="D111" s="34" t="s">
        <v>139</v>
      </c>
      <c r="E111" s="260" t="s">
        <v>150</v>
      </c>
      <c r="F111" s="235">
        <v>1</v>
      </c>
      <c r="G111" s="40"/>
      <c r="H111" s="29"/>
      <c r="I111" s="9"/>
      <c r="J111" s="9"/>
      <c r="K111" s="9"/>
      <c r="L111" s="9"/>
      <c r="M111" s="9"/>
      <c r="N111" s="186" t="str">
        <f t="shared" si="8"/>
        <v/>
      </c>
      <c r="O111" s="160" t="str">
        <f t="shared" si="9"/>
        <v/>
      </c>
      <c r="P111" s="63"/>
    </row>
    <row r="112" spans="1:16" hidden="1">
      <c r="A112" s="152" t="str">
        <f>Agriculture!A113</f>
        <v>Agricultural mulching films</v>
      </c>
      <c r="B112" s="34" t="str">
        <f>Agriculture!B113</f>
        <v>Agricultural waste collection</v>
      </c>
      <c r="C112" s="40" t="str">
        <f>Agriculture!C113</f>
        <v>any</v>
      </c>
      <c r="D112" s="34" t="str">
        <f>Agriculture!D113</f>
        <v>any</v>
      </c>
      <c r="E112" s="243" t="str">
        <f>Agriculture!E113</f>
        <v>rest</v>
      </c>
      <c r="F112" s="235">
        <f>Agriculture!F113</f>
        <v>1</v>
      </c>
      <c r="G112" s="40">
        <f>Agriculture!G113</f>
        <v>0</v>
      </c>
      <c r="H112" s="29"/>
      <c r="I112" s="9"/>
      <c r="J112" s="9"/>
      <c r="K112" s="9"/>
      <c r="L112" s="9"/>
      <c r="M112" s="9"/>
      <c r="N112" s="186" t="str">
        <f t="shared" si="8"/>
        <v/>
      </c>
      <c r="O112" s="160" t="str">
        <f t="shared" si="9"/>
        <v/>
      </c>
      <c r="P112" s="63"/>
    </row>
    <row r="113" spans="1:16" hidden="1">
      <c r="A113" s="152" t="str">
        <f>Agriculture!A119</f>
        <v>Agricultural other</v>
      </c>
      <c r="B113" s="34" t="str">
        <f>Agriculture!B119</f>
        <v>Agricultural waste collection</v>
      </c>
      <c r="C113" s="40" t="str">
        <f>Agriculture!C119</f>
        <v>any</v>
      </c>
      <c r="D113" s="34" t="str">
        <f>Agriculture!D119</f>
        <v>any</v>
      </c>
      <c r="E113" s="243" t="str">
        <f>Agriculture!E119</f>
        <v>rest</v>
      </c>
      <c r="F113" s="235">
        <f>Agriculture!F119</f>
        <v>1</v>
      </c>
      <c r="G113" s="40">
        <f>Agriculture!G119</f>
        <v>0</v>
      </c>
      <c r="H113" s="29"/>
      <c r="I113" s="9"/>
      <c r="J113" s="9"/>
      <c r="K113" s="9"/>
      <c r="L113" s="9"/>
      <c r="M113" s="9"/>
      <c r="N113" s="186"/>
      <c r="O113" s="160" t="str">
        <f t="shared" si="9"/>
        <v/>
      </c>
      <c r="P113" s="63"/>
    </row>
    <row r="114" spans="1:16" hidden="1">
      <c r="A114" s="152" t="str">
        <f>Agriculture!A133</f>
        <v>Agricultural pipes (discarded)</v>
      </c>
      <c r="B114" s="34" t="str">
        <f>Agriculture!B133</f>
        <v>Agricultural waste collection</v>
      </c>
      <c r="C114" s="40" t="str">
        <f>Agriculture!C133</f>
        <v>any</v>
      </c>
      <c r="D114" s="34" t="str">
        <f>Agriculture!D133</f>
        <v>any</v>
      </c>
      <c r="E114" s="243" t="str">
        <f>Agriculture!E133</f>
        <v>rest</v>
      </c>
      <c r="F114" s="235">
        <f>Agriculture!F133</f>
        <v>1</v>
      </c>
      <c r="G114" s="40">
        <f>Agriculture!G133</f>
        <v>0</v>
      </c>
      <c r="H114" s="29"/>
      <c r="I114" s="9"/>
      <c r="J114" s="9"/>
      <c r="K114" s="9"/>
      <c r="L114" s="9"/>
      <c r="M114" s="9"/>
      <c r="N114" s="186" t="str">
        <f t="shared" ref="N114:N145" si="10">IF( OR( ISBLANK(H114),ISBLANK(J114), ISBLANK(K114), ISBLANK(L114), ISBLANK(M114) ), "", 1.5*SQRT(   EXP(2.21*(H114-1)) + EXP(2.21*(J114-1)) + EXP(2.21*(K114-1)) + EXP(2.21*(L114-1)) + EXP(2.21*M114)   )/100*2.45 )</f>
        <v/>
      </c>
      <c r="O114" s="160" t="str">
        <f t="shared" si="9"/>
        <v/>
      </c>
      <c r="P114" s="63"/>
    </row>
    <row r="115" spans="1:16" hidden="1">
      <c r="A115" s="152" t="str">
        <f>Agriculture!A135</f>
        <v>Agricultural greenhouse films (discarded)</v>
      </c>
      <c r="B115" s="34" t="str">
        <f>Agriculture!B135</f>
        <v>Agricultural waste collection</v>
      </c>
      <c r="C115" s="40" t="str">
        <f>Agriculture!C135</f>
        <v>any</v>
      </c>
      <c r="D115" s="34" t="str">
        <f>Agriculture!D135</f>
        <v>any</v>
      </c>
      <c r="E115" s="243" t="str">
        <f>Agriculture!E135</f>
        <v>rest</v>
      </c>
      <c r="F115" s="235">
        <f>Agriculture!F135</f>
        <v>1</v>
      </c>
      <c r="G115" s="40">
        <f>Agriculture!G135</f>
        <v>0</v>
      </c>
      <c r="H115" s="29"/>
      <c r="I115" s="9"/>
      <c r="J115" s="9"/>
      <c r="K115" s="9"/>
      <c r="L115" s="9"/>
      <c r="M115" s="9"/>
      <c r="N115" s="186" t="str">
        <f t="shared" si="10"/>
        <v/>
      </c>
      <c r="O115" s="160" t="str">
        <f t="shared" si="9"/>
        <v/>
      </c>
      <c r="P115" s="63"/>
    </row>
    <row r="116" spans="1:16" hidden="1">
      <c r="A116" s="292" t="s">
        <v>153</v>
      </c>
      <c r="B116" s="55" t="s">
        <v>165</v>
      </c>
      <c r="C116" s="265" t="s">
        <v>139</v>
      </c>
      <c r="D116" s="55" t="s">
        <v>139</v>
      </c>
      <c r="E116" s="260" t="s">
        <v>150</v>
      </c>
      <c r="F116" s="235">
        <v>1</v>
      </c>
      <c r="G116" s="265"/>
      <c r="H116" s="29"/>
      <c r="I116" s="9"/>
      <c r="J116" s="9"/>
      <c r="K116" s="9"/>
      <c r="L116" s="9"/>
      <c r="M116" s="9"/>
      <c r="N116" s="186" t="str">
        <f t="shared" si="10"/>
        <v/>
      </c>
      <c r="O116" s="160" t="str">
        <f t="shared" si="9"/>
        <v/>
      </c>
      <c r="P116" s="63"/>
    </row>
    <row r="117" spans="1:16" hidden="1">
      <c r="A117" s="152" t="s">
        <v>156</v>
      </c>
      <c r="B117" s="34" t="s">
        <v>143</v>
      </c>
      <c r="C117" s="40" t="s">
        <v>139</v>
      </c>
      <c r="D117" s="34" t="s">
        <v>139</v>
      </c>
      <c r="E117" s="260">
        <v>0.05</v>
      </c>
      <c r="F117" s="235">
        <v>2</v>
      </c>
      <c r="G117" s="40" t="s">
        <v>166</v>
      </c>
      <c r="H117" s="29">
        <v>1</v>
      </c>
      <c r="I117" s="9">
        <v>1</v>
      </c>
      <c r="J117" s="9">
        <v>1</v>
      </c>
      <c r="K117" s="9">
        <v>3</v>
      </c>
      <c r="L117" s="9">
        <v>3</v>
      </c>
      <c r="M117" s="9">
        <v>3</v>
      </c>
      <c r="N117" s="186">
        <f t="shared" si="10"/>
        <v>1.1181151966036349</v>
      </c>
      <c r="O117" s="160">
        <f t="shared" si="9"/>
        <v>1.1181151966036349</v>
      </c>
      <c r="P117" s="63" t="s">
        <v>158</v>
      </c>
    </row>
    <row r="118" spans="1:16" hidden="1">
      <c r="A118" s="152" t="s">
        <v>159</v>
      </c>
      <c r="B118" s="34" t="s">
        <v>143</v>
      </c>
      <c r="C118" s="40" t="s">
        <v>139</v>
      </c>
      <c r="D118" s="34" t="s">
        <v>139</v>
      </c>
      <c r="E118" s="260">
        <v>0.05</v>
      </c>
      <c r="F118" s="235">
        <v>2</v>
      </c>
      <c r="G118" s="40" t="s">
        <v>166</v>
      </c>
      <c r="H118" s="29">
        <v>1</v>
      </c>
      <c r="I118" s="9">
        <v>1</v>
      </c>
      <c r="J118" s="9">
        <v>1</v>
      </c>
      <c r="K118" s="9">
        <v>3</v>
      </c>
      <c r="L118" s="9">
        <v>3</v>
      </c>
      <c r="M118" s="9">
        <v>3</v>
      </c>
      <c r="N118" s="838">
        <f t="shared" si="10"/>
        <v>1.1181151966036349</v>
      </c>
      <c r="O118" s="839">
        <f t="shared" si="9"/>
        <v>1.1181151966036349</v>
      </c>
      <c r="P118" s="63" t="s">
        <v>158</v>
      </c>
    </row>
    <row r="119" spans="1:16" hidden="1">
      <c r="A119" s="152" t="s">
        <v>160</v>
      </c>
      <c r="B119" s="34" t="s">
        <v>143</v>
      </c>
      <c r="C119" s="40" t="s">
        <v>139</v>
      </c>
      <c r="D119" s="34" t="s">
        <v>139</v>
      </c>
      <c r="E119" s="260">
        <v>0.05</v>
      </c>
      <c r="F119" s="235">
        <v>2</v>
      </c>
      <c r="G119" s="40" t="s">
        <v>166</v>
      </c>
      <c r="H119" s="29">
        <v>1</v>
      </c>
      <c r="I119" s="9">
        <v>1</v>
      </c>
      <c r="J119" s="9">
        <v>1</v>
      </c>
      <c r="K119" s="9">
        <v>3</v>
      </c>
      <c r="L119" s="9">
        <v>3</v>
      </c>
      <c r="M119" s="9">
        <v>3</v>
      </c>
      <c r="N119" s="186">
        <f t="shared" si="10"/>
        <v>1.1181151966036349</v>
      </c>
      <c r="O119" s="160">
        <f t="shared" si="9"/>
        <v>1.1181151966036349</v>
      </c>
      <c r="P119" s="63" t="s">
        <v>158</v>
      </c>
    </row>
    <row r="120" spans="1:16" hidden="1">
      <c r="A120" s="152" t="s">
        <v>161</v>
      </c>
      <c r="B120" s="34" t="s">
        <v>143</v>
      </c>
      <c r="C120" s="40" t="s">
        <v>139</v>
      </c>
      <c r="D120" s="34" t="s">
        <v>139</v>
      </c>
      <c r="E120" s="260">
        <v>0.05</v>
      </c>
      <c r="F120" s="235">
        <v>2</v>
      </c>
      <c r="G120" s="40" t="s">
        <v>166</v>
      </c>
      <c r="H120" s="29">
        <v>1</v>
      </c>
      <c r="I120" s="9">
        <v>1</v>
      </c>
      <c r="J120" s="9">
        <v>1</v>
      </c>
      <c r="K120" s="9">
        <v>3</v>
      </c>
      <c r="L120" s="9">
        <v>3</v>
      </c>
      <c r="M120" s="9">
        <v>3</v>
      </c>
      <c r="N120" s="186">
        <f t="shared" si="10"/>
        <v>1.1181151966036349</v>
      </c>
      <c r="O120" s="160">
        <f t="shared" si="9"/>
        <v>1.1181151966036349</v>
      </c>
      <c r="P120" s="63" t="s">
        <v>158</v>
      </c>
    </row>
    <row r="121" spans="1:16" hidden="1">
      <c r="A121" s="292" t="s">
        <v>153</v>
      </c>
      <c r="B121" s="55" t="s">
        <v>167</v>
      </c>
      <c r="C121" s="265" t="s">
        <v>139</v>
      </c>
      <c r="D121" s="55" t="s">
        <v>139</v>
      </c>
      <c r="E121" s="260">
        <v>3.7999999999999999E-2</v>
      </c>
      <c r="F121" s="235">
        <v>2</v>
      </c>
      <c r="G121" s="265" t="s">
        <v>168</v>
      </c>
      <c r="H121" s="29">
        <v>1</v>
      </c>
      <c r="I121" s="9">
        <v>2</v>
      </c>
      <c r="J121" s="9">
        <v>2</v>
      </c>
      <c r="K121" s="9">
        <v>3</v>
      </c>
      <c r="L121" s="9">
        <v>2</v>
      </c>
      <c r="M121" s="9">
        <v>2</v>
      </c>
      <c r="N121" s="186">
        <f t="shared" si="10"/>
        <v>0.50042652380814845</v>
      </c>
      <c r="O121" s="160">
        <f t="shared" si="9"/>
        <v>0.51126068492676302</v>
      </c>
      <c r="P121" s="63" t="s">
        <v>169</v>
      </c>
    </row>
    <row r="122" spans="1:16" hidden="1">
      <c r="A122" s="152" t="str">
        <f>Agriculture!A134</f>
        <v>Agricultural greenhouse films (discarded)</v>
      </c>
      <c r="B122" s="34" t="str">
        <f>Agriculture!B134</f>
        <v>Dumping</v>
      </c>
      <c r="C122" s="40" t="str">
        <f>Agriculture!C134</f>
        <v>any</v>
      </c>
      <c r="D122" s="34" t="str">
        <f>Agriculture!D134</f>
        <v>any</v>
      </c>
      <c r="E122" s="243">
        <f>Agriculture!E134</f>
        <v>2.9735682819383261E-4</v>
      </c>
      <c r="F122" s="235">
        <f>Agriculture!F134</f>
        <v>2</v>
      </c>
      <c r="G122" s="40" t="str">
        <f>Agriculture!G134</f>
        <v>SI Kawecki and Nowack, 2019</v>
      </c>
      <c r="H122" s="29">
        <v>2</v>
      </c>
      <c r="I122" s="9">
        <v>2</v>
      </c>
      <c r="J122" s="9">
        <v>1</v>
      </c>
      <c r="K122" s="9">
        <v>3</v>
      </c>
      <c r="L122" s="9">
        <v>3</v>
      </c>
      <c r="M122" s="9">
        <v>3</v>
      </c>
      <c r="N122" s="186">
        <f t="shared" si="10"/>
        <v>1.123005955058592</v>
      </c>
      <c r="O122" s="160">
        <f t="shared" si="9"/>
        <v>1.123005955058592</v>
      </c>
      <c r="P122" s="63" t="str">
        <f>Agriculture!P134</f>
        <v>Normalized (See Agriculture sheet)</v>
      </c>
    </row>
    <row r="123" spans="1:16" hidden="1">
      <c r="A123" s="292" t="s">
        <v>162</v>
      </c>
      <c r="B123" s="55" t="s">
        <v>146</v>
      </c>
      <c r="C123" s="265" t="s">
        <v>139</v>
      </c>
      <c r="D123" s="55" t="s">
        <v>139</v>
      </c>
      <c r="E123" s="260">
        <v>0.86734693877551028</v>
      </c>
      <c r="F123" s="235">
        <v>2</v>
      </c>
      <c r="G123" s="265" t="s">
        <v>163</v>
      </c>
      <c r="H123" s="29">
        <v>2</v>
      </c>
      <c r="I123" s="9">
        <v>2</v>
      </c>
      <c r="J123" s="9">
        <v>1</v>
      </c>
      <c r="K123" s="9">
        <v>1</v>
      </c>
      <c r="L123" s="9">
        <v>1</v>
      </c>
      <c r="M123" s="9">
        <v>3</v>
      </c>
      <c r="N123" s="186">
        <f t="shared" si="10"/>
        <v>1.0195048044558224</v>
      </c>
      <c r="O123" s="160">
        <f t="shared" si="9"/>
        <v>1.0195048044558224</v>
      </c>
      <c r="P123" s="63" t="s">
        <v>148</v>
      </c>
    </row>
    <row r="124" spans="1:16" hidden="1">
      <c r="A124" s="292" t="s">
        <v>162</v>
      </c>
      <c r="B124" s="55" t="s">
        <v>155</v>
      </c>
      <c r="C124" s="265" t="s">
        <v>139</v>
      </c>
      <c r="D124" s="55" t="s">
        <v>139</v>
      </c>
      <c r="E124" s="260" t="s">
        <v>150</v>
      </c>
      <c r="F124" s="235">
        <v>1</v>
      </c>
      <c r="G124" s="265"/>
      <c r="H124" s="29"/>
      <c r="I124" s="9"/>
      <c r="J124" s="9"/>
      <c r="K124" s="9"/>
      <c r="L124" s="9"/>
      <c r="M124" s="9"/>
      <c r="N124" s="186" t="str">
        <f t="shared" si="10"/>
        <v/>
      </c>
      <c r="O124" s="160" t="str">
        <f t="shared" si="9"/>
        <v/>
      </c>
      <c r="P124" s="63"/>
    </row>
    <row r="125" spans="1:16" hidden="1">
      <c r="A125" s="292" t="s">
        <v>170</v>
      </c>
      <c r="B125" s="55" t="s">
        <v>171</v>
      </c>
      <c r="C125" s="265" t="s">
        <v>139</v>
      </c>
      <c r="D125" s="55" t="s">
        <v>139</v>
      </c>
      <c r="E125" s="260" t="s">
        <v>150</v>
      </c>
      <c r="F125" s="235">
        <v>1</v>
      </c>
      <c r="G125" s="265"/>
      <c r="H125" s="29"/>
      <c r="I125" s="9"/>
      <c r="J125" s="9"/>
      <c r="K125" s="9"/>
      <c r="L125" s="9"/>
      <c r="M125" s="9"/>
      <c r="N125" s="186" t="str">
        <f t="shared" si="10"/>
        <v/>
      </c>
      <c r="O125" s="160" t="str">
        <f t="shared" si="9"/>
        <v/>
      </c>
      <c r="P125" s="63"/>
    </row>
    <row r="126" spans="1:16" hidden="1">
      <c r="A126" s="292" t="s">
        <v>170</v>
      </c>
      <c r="B126" s="55" t="s">
        <v>172</v>
      </c>
      <c r="C126" s="265" t="s">
        <v>139</v>
      </c>
      <c r="D126" s="55" t="s">
        <v>139</v>
      </c>
      <c r="E126" s="260">
        <v>1.2999999999999999E-3</v>
      </c>
      <c r="F126" s="235">
        <v>2</v>
      </c>
      <c r="G126" s="265" t="s">
        <v>163</v>
      </c>
      <c r="H126" s="29">
        <v>2</v>
      </c>
      <c r="I126" s="9">
        <v>2</v>
      </c>
      <c r="J126" s="9">
        <v>2</v>
      </c>
      <c r="K126" s="9">
        <v>3</v>
      </c>
      <c r="L126" s="9">
        <v>2</v>
      </c>
      <c r="M126" s="9">
        <v>2</v>
      </c>
      <c r="N126" s="186">
        <f t="shared" si="10"/>
        <v>0.51126068492676302</v>
      </c>
      <c r="O126" s="160">
        <f t="shared" si="9"/>
        <v>0.51126068492676302</v>
      </c>
      <c r="P126" s="63" t="s">
        <v>173</v>
      </c>
    </row>
    <row r="127" spans="1:16" hidden="1">
      <c r="A127" s="292" t="s">
        <v>170</v>
      </c>
      <c r="B127" s="55" t="s">
        <v>172</v>
      </c>
      <c r="C127" s="265" t="s">
        <v>139</v>
      </c>
      <c r="D127" s="55" t="s">
        <v>139</v>
      </c>
      <c r="E127" s="260">
        <v>1.47E-2</v>
      </c>
      <c r="F127" s="235">
        <v>2</v>
      </c>
      <c r="G127" s="265" t="s">
        <v>163</v>
      </c>
      <c r="H127" s="29">
        <v>2</v>
      </c>
      <c r="I127" s="9">
        <v>2</v>
      </c>
      <c r="J127" s="9">
        <v>2</v>
      </c>
      <c r="K127" s="9">
        <v>3</v>
      </c>
      <c r="L127" s="9">
        <v>2</v>
      </c>
      <c r="M127" s="9">
        <v>2</v>
      </c>
      <c r="N127" s="186">
        <f t="shared" si="10"/>
        <v>0.51126068492676302</v>
      </c>
      <c r="O127" s="160">
        <f t="shared" si="9"/>
        <v>0.51126068492676302</v>
      </c>
      <c r="P127" s="63" t="s">
        <v>174</v>
      </c>
    </row>
    <row r="128" spans="1:16" hidden="1">
      <c r="A128" s="292" t="s">
        <v>171</v>
      </c>
      <c r="B128" s="55" t="s">
        <v>175</v>
      </c>
      <c r="C128" s="265" t="s">
        <v>139</v>
      </c>
      <c r="D128" s="55" t="s">
        <v>139</v>
      </c>
      <c r="E128" s="260" t="s">
        <v>150</v>
      </c>
      <c r="F128" s="235">
        <v>1</v>
      </c>
      <c r="G128" s="265" t="s">
        <v>163</v>
      </c>
      <c r="H128" s="29"/>
      <c r="I128" s="9"/>
      <c r="J128" s="9"/>
      <c r="K128" s="9"/>
      <c r="L128" s="9"/>
      <c r="M128" s="9"/>
      <c r="N128" s="186" t="str">
        <f t="shared" si="10"/>
        <v/>
      </c>
      <c r="O128" s="160" t="str">
        <f t="shared" si="9"/>
        <v/>
      </c>
      <c r="P128" s="63"/>
    </row>
    <row r="129" spans="1:16" hidden="1">
      <c r="A129" s="152" t="str">
        <f>Agriculture!A112</f>
        <v>Agricultural mulching films</v>
      </c>
      <c r="B129" s="34" t="str">
        <f>Agriculture!B112</f>
        <v>Dumping</v>
      </c>
      <c r="C129" s="40" t="str">
        <f>Agriculture!C112</f>
        <v>any</v>
      </c>
      <c r="D129" s="34" t="str">
        <f>Agriculture!D112</f>
        <v>any</v>
      </c>
      <c r="E129" s="243">
        <f>Agriculture!E112</f>
        <v>2.7E-4</v>
      </c>
      <c r="F129" s="235">
        <f>Agriculture!F112</f>
        <v>2</v>
      </c>
      <c r="G129" s="40" t="str">
        <f>Agriculture!G112</f>
        <v>SI Kawecki and Nowack, 2019</v>
      </c>
      <c r="H129" s="29">
        <v>2</v>
      </c>
      <c r="I129" s="9">
        <v>2</v>
      </c>
      <c r="J129" s="9">
        <v>2</v>
      </c>
      <c r="K129" s="9">
        <v>3</v>
      </c>
      <c r="L129" s="9">
        <v>3</v>
      </c>
      <c r="M129" s="9">
        <v>3</v>
      </c>
      <c r="N129" s="186">
        <f t="shared" si="10"/>
        <v>1.1278755061256258</v>
      </c>
      <c r="O129" s="160">
        <f t="shared" si="9"/>
        <v>1.1278755061256258</v>
      </c>
      <c r="P129" s="63"/>
    </row>
    <row r="130" spans="1:16" hidden="1">
      <c r="A130" s="292" t="s">
        <v>172</v>
      </c>
      <c r="B130" s="55" t="s">
        <v>176</v>
      </c>
      <c r="C130" s="265" t="s">
        <v>139</v>
      </c>
      <c r="D130" s="55" t="s">
        <v>139</v>
      </c>
      <c r="E130" s="260">
        <v>1</v>
      </c>
      <c r="F130" s="235">
        <v>1</v>
      </c>
      <c r="G130" s="265"/>
      <c r="H130" s="29"/>
      <c r="I130" s="9"/>
      <c r="J130" s="9"/>
      <c r="K130" s="9"/>
      <c r="L130" s="9"/>
      <c r="M130" s="9"/>
      <c r="N130" s="186" t="str">
        <f t="shared" si="10"/>
        <v/>
      </c>
      <c r="O130" s="160" t="str">
        <f t="shared" si="9"/>
        <v/>
      </c>
      <c r="P130" s="63" t="s">
        <v>177</v>
      </c>
    </row>
    <row r="131" spans="1:16" hidden="1">
      <c r="A131" s="292" t="s">
        <v>178</v>
      </c>
      <c r="B131" s="55" t="s">
        <v>179</v>
      </c>
      <c r="C131" s="265" t="s">
        <v>180</v>
      </c>
      <c r="D131" s="55" t="s">
        <v>139</v>
      </c>
      <c r="E131" s="260">
        <v>1</v>
      </c>
      <c r="F131" s="235">
        <v>2</v>
      </c>
      <c r="G131" s="265" t="s">
        <v>181</v>
      </c>
      <c r="H131" s="29"/>
      <c r="I131" s="9"/>
      <c r="J131" s="9"/>
      <c r="K131" s="9"/>
      <c r="L131" s="9"/>
      <c r="M131" s="9"/>
      <c r="N131" s="186" t="str">
        <f t="shared" si="10"/>
        <v/>
      </c>
      <c r="O131" s="160" t="str">
        <f t="shared" si="9"/>
        <v/>
      </c>
      <c r="P131" s="63"/>
    </row>
    <row r="132" spans="1:16" hidden="1">
      <c r="A132" s="292" t="s">
        <v>178</v>
      </c>
      <c r="B132" s="55" t="s">
        <v>179</v>
      </c>
      <c r="C132" s="265" t="s">
        <v>182</v>
      </c>
      <c r="D132" s="55" t="s">
        <v>139</v>
      </c>
      <c r="E132" s="260">
        <v>0.5</v>
      </c>
      <c r="F132" s="235">
        <v>2</v>
      </c>
      <c r="G132" s="265" t="s">
        <v>181</v>
      </c>
      <c r="H132" s="29"/>
      <c r="I132" s="9">
        <v>1</v>
      </c>
      <c r="J132" s="9">
        <v>2</v>
      </c>
      <c r="K132" s="9">
        <v>2</v>
      </c>
      <c r="L132" s="9">
        <v>2</v>
      </c>
      <c r="M132" s="9">
        <v>3</v>
      </c>
      <c r="N132" s="186" t="str">
        <f t="shared" si="10"/>
        <v/>
      </c>
      <c r="O132" s="160">
        <f t="shared" si="9"/>
        <v>1.0301997916669636</v>
      </c>
      <c r="P132" s="63"/>
    </row>
    <row r="133" spans="1:16" hidden="1">
      <c r="A133" s="292" t="s">
        <v>178</v>
      </c>
      <c r="B133" s="55" t="s">
        <v>179</v>
      </c>
      <c r="C133" s="265" t="s">
        <v>182</v>
      </c>
      <c r="D133" s="55" t="s">
        <v>139</v>
      </c>
      <c r="E133" s="260">
        <v>1</v>
      </c>
      <c r="F133" s="235">
        <v>2</v>
      </c>
      <c r="G133" s="265" t="s">
        <v>181</v>
      </c>
      <c r="H133" s="29"/>
      <c r="I133" s="9"/>
      <c r="J133" s="9"/>
      <c r="K133" s="9"/>
      <c r="L133" s="9"/>
      <c r="M133" s="9"/>
      <c r="N133" s="186" t="str">
        <f t="shared" si="10"/>
        <v/>
      </c>
      <c r="O133" s="160" t="str">
        <f t="shared" si="9"/>
        <v/>
      </c>
      <c r="P133" s="63"/>
    </row>
    <row r="134" spans="1:16" hidden="1">
      <c r="A134" s="152" t="s">
        <v>39</v>
      </c>
      <c r="B134" s="34" t="s">
        <v>183</v>
      </c>
      <c r="C134" s="40" t="s">
        <v>139</v>
      </c>
      <c r="D134" s="34" t="s">
        <v>85</v>
      </c>
      <c r="E134" s="260">
        <v>1.41E-2</v>
      </c>
      <c r="F134" s="235">
        <v>1</v>
      </c>
      <c r="G134" s="40" t="s">
        <v>140</v>
      </c>
      <c r="H134" s="29">
        <v>2</v>
      </c>
      <c r="I134" s="9">
        <v>2</v>
      </c>
      <c r="J134" s="9">
        <v>2</v>
      </c>
      <c r="K134" s="9">
        <v>1</v>
      </c>
      <c r="L134" s="9">
        <v>1</v>
      </c>
      <c r="M134" s="9">
        <v>2</v>
      </c>
      <c r="N134" s="186">
        <f t="shared" si="10"/>
        <v>0.37356464144298934</v>
      </c>
      <c r="O134" s="160">
        <f t="shared" si="9"/>
        <v>0.37356464144298934</v>
      </c>
      <c r="P134" s="63"/>
    </row>
    <row r="135" spans="1:16" hidden="1">
      <c r="A135" s="152" t="s">
        <v>39</v>
      </c>
      <c r="B135" s="34" t="s">
        <v>183</v>
      </c>
      <c r="C135" s="40" t="s">
        <v>139</v>
      </c>
      <c r="D135" s="34" t="s">
        <v>86</v>
      </c>
      <c r="E135" s="260">
        <v>0</v>
      </c>
      <c r="F135" s="235">
        <v>1</v>
      </c>
      <c r="G135" s="40" t="s">
        <v>140</v>
      </c>
      <c r="H135" s="29"/>
      <c r="I135" s="9"/>
      <c r="J135" s="9"/>
      <c r="K135" s="9"/>
      <c r="L135" s="9"/>
      <c r="M135" s="9"/>
      <c r="N135" s="186" t="str">
        <f t="shared" si="10"/>
        <v/>
      </c>
      <c r="O135" s="160" t="str">
        <f t="shared" si="9"/>
        <v/>
      </c>
      <c r="P135" s="63"/>
    </row>
    <row r="136" spans="1:16" hidden="1">
      <c r="A136" s="152" t="s">
        <v>39</v>
      </c>
      <c r="B136" s="34" t="s">
        <v>183</v>
      </c>
      <c r="C136" s="40" t="s">
        <v>139</v>
      </c>
      <c r="D136" s="34" t="s">
        <v>87</v>
      </c>
      <c r="E136" s="260">
        <v>0</v>
      </c>
      <c r="F136" s="235">
        <v>1</v>
      </c>
      <c r="G136" s="40" t="s">
        <v>140</v>
      </c>
      <c r="H136" s="29"/>
      <c r="I136" s="9"/>
      <c r="J136" s="9"/>
      <c r="K136" s="9"/>
      <c r="L136" s="9"/>
      <c r="M136" s="9"/>
      <c r="N136" s="186" t="str">
        <f t="shared" si="10"/>
        <v/>
      </c>
      <c r="O136" s="160" t="str">
        <f t="shared" si="9"/>
        <v/>
      </c>
      <c r="P136" s="63"/>
    </row>
    <row r="137" spans="1:16" hidden="1">
      <c r="A137" s="152" t="s">
        <v>39</v>
      </c>
      <c r="B137" s="34" t="s">
        <v>183</v>
      </c>
      <c r="C137" s="40" t="s">
        <v>139</v>
      </c>
      <c r="D137" s="34" t="s">
        <v>88</v>
      </c>
      <c r="E137" s="260">
        <v>0</v>
      </c>
      <c r="F137" s="235">
        <v>1</v>
      </c>
      <c r="G137" s="40" t="s">
        <v>140</v>
      </c>
      <c r="H137" s="29"/>
      <c r="I137" s="9"/>
      <c r="J137" s="9"/>
      <c r="K137" s="9"/>
      <c r="L137" s="9"/>
      <c r="M137" s="9"/>
      <c r="N137" s="186" t="str">
        <f t="shared" si="10"/>
        <v/>
      </c>
      <c r="O137" s="160" t="str">
        <f t="shared" si="9"/>
        <v/>
      </c>
      <c r="P137" s="63"/>
    </row>
    <row r="138" spans="1:16" hidden="1">
      <c r="A138" s="152" t="s">
        <v>39</v>
      </c>
      <c r="B138" s="34" t="s">
        <v>183</v>
      </c>
      <c r="C138" s="40" t="s">
        <v>139</v>
      </c>
      <c r="D138" s="34" t="s">
        <v>89</v>
      </c>
      <c r="E138" s="260">
        <v>0</v>
      </c>
      <c r="F138" s="235">
        <v>1</v>
      </c>
      <c r="G138" s="40" t="s">
        <v>140</v>
      </c>
      <c r="H138" s="29"/>
      <c r="I138" s="9"/>
      <c r="J138" s="9"/>
      <c r="K138" s="9"/>
      <c r="L138" s="9"/>
      <c r="M138" s="9"/>
      <c r="N138" s="186" t="str">
        <f t="shared" si="10"/>
        <v/>
      </c>
      <c r="O138" s="160" t="str">
        <f t="shared" si="9"/>
        <v/>
      </c>
      <c r="P138" s="63"/>
    </row>
    <row r="139" spans="1:16" hidden="1">
      <c r="A139" s="152" t="s">
        <v>39</v>
      </c>
      <c r="B139" s="34" t="s">
        <v>183</v>
      </c>
      <c r="C139" s="40" t="s">
        <v>139</v>
      </c>
      <c r="D139" s="34" t="s">
        <v>90</v>
      </c>
      <c r="E139" s="260">
        <v>0</v>
      </c>
      <c r="F139" s="235">
        <v>1</v>
      </c>
      <c r="G139" s="40" t="s">
        <v>140</v>
      </c>
      <c r="H139" s="29"/>
      <c r="I139" s="9"/>
      <c r="J139" s="9"/>
      <c r="K139" s="9"/>
      <c r="L139" s="9"/>
      <c r="M139" s="9"/>
      <c r="N139" s="186" t="str">
        <f t="shared" si="10"/>
        <v/>
      </c>
      <c r="O139" s="160" t="str">
        <f t="shared" si="9"/>
        <v/>
      </c>
      <c r="P139" s="63"/>
    </row>
    <row r="140" spans="1:16" hidden="1">
      <c r="A140" s="152" t="s">
        <v>39</v>
      </c>
      <c r="B140" s="34" t="s">
        <v>183</v>
      </c>
      <c r="C140" s="40" t="s">
        <v>139</v>
      </c>
      <c r="D140" s="34" t="s">
        <v>91</v>
      </c>
      <c r="E140" s="260">
        <v>0</v>
      </c>
      <c r="F140" s="235">
        <v>1</v>
      </c>
      <c r="G140" s="40" t="s">
        <v>140</v>
      </c>
      <c r="H140" s="29"/>
      <c r="I140" s="9"/>
      <c r="J140" s="9"/>
      <c r="K140" s="9"/>
      <c r="L140" s="9"/>
      <c r="M140" s="9"/>
      <c r="N140" s="186" t="str">
        <f t="shared" si="10"/>
        <v/>
      </c>
      <c r="O140" s="160" t="str">
        <f t="shared" si="9"/>
        <v/>
      </c>
      <c r="P140" s="63"/>
    </row>
    <row r="141" spans="1:16" hidden="1">
      <c r="A141" s="152" t="s">
        <v>39</v>
      </c>
      <c r="B141" s="34" t="s">
        <v>183</v>
      </c>
      <c r="C141" s="40" t="s">
        <v>139</v>
      </c>
      <c r="D141" s="34" t="s">
        <v>98</v>
      </c>
      <c r="E141" s="260">
        <v>0</v>
      </c>
      <c r="F141" s="235">
        <v>1</v>
      </c>
      <c r="G141" s="40" t="s">
        <v>141</v>
      </c>
      <c r="H141" s="29"/>
      <c r="I141" s="9"/>
      <c r="J141" s="9"/>
      <c r="K141" s="9"/>
      <c r="L141" s="9"/>
      <c r="M141" s="9"/>
      <c r="N141" s="186" t="str">
        <f t="shared" si="10"/>
        <v/>
      </c>
      <c r="O141" s="160" t="str">
        <f t="shared" si="9"/>
        <v/>
      </c>
      <c r="P141" s="63"/>
    </row>
    <row r="142" spans="1:16" hidden="1">
      <c r="A142" s="292" t="s">
        <v>178</v>
      </c>
      <c r="B142" s="55" t="s">
        <v>184</v>
      </c>
      <c r="C142" s="265" t="s">
        <v>139</v>
      </c>
      <c r="D142" s="55" t="s">
        <v>139</v>
      </c>
      <c r="E142" s="260" t="s">
        <v>150</v>
      </c>
      <c r="F142" s="235">
        <v>1</v>
      </c>
      <c r="G142" s="265"/>
      <c r="H142" s="29"/>
      <c r="I142" s="9"/>
      <c r="J142" s="9"/>
      <c r="K142" s="9"/>
      <c r="L142" s="9"/>
      <c r="M142" s="9"/>
      <c r="N142" s="186" t="str">
        <f t="shared" si="10"/>
        <v/>
      </c>
      <c r="O142" s="160" t="str">
        <f t="shared" si="9"/>
        <v/>
      </c>
      <c r="P142" s="63"/>
    </row>
    <row r="143" spans="1:16" hidden="1">
      <c r="A143" s="292" t="s">
        <v>185</v>
      </c>
      <c r="B143" s="55" t="s">
        <v>186</v>
      </c>
      <c r="C143" s="265" t="s">
        <v>139</v>
      </c>
      <c r="D143" s="55" t="s">
        <v>139</v>
      </c>
      <c r="E143" s="260" t="s">
        <v>150</v>
      </c>
      <c r="F143" s="235">
        <v>1</v>
      </c>
      <c r="G143" s="265"/>
      <c r="H143" s="29"/>
      <c r="I143" s="9"/>
      <c r="J143" s="9"/>
      <c r="K143" s="9"/>
      <c r="L143" s="9"/>
      <c r="M143" s="9"/>
      <c r="N143" s="186" t="str">
        <f t="shared" si="10"/>
        <v/>
      </c>
      <c r="O143" s="160" t="str">
        <f t="shared" si="9"/>
        <v/>
      </c>
      <c r="P143" s="63"/>
    </row>
    <row r="144" spans="1:16" hidden="1">
      <c r="A144" s="292" t="s">
        <v>185</v>
      </c>
      <c r="B144" s="55" t="s">
        <v>187</v>
      </c>
      <c r="C144" s="265" t="s">
        <v>139</v>
      </c>
      <c r="D144" s="55" t="s">
        <v>139</v>
      </c>
      <c r="E144" s="260">
        <v>1.3299999999999999E-2</v>
      </c>
      <c r="F144" s="235">
        <v>2</v>
      </c>
      <c r="G144" s="265" t="s">
        <v>163</v>
      </c>
      <c r="H144" s="29">
        <v>2</v>
      </c>
      <c r="I144" s="9">
        <v>2</v>
      </c>
      <c r="J144" s="9">
        <v>2</v>
      </c>
      <c r="K144" s="9">
        <v>3</v>
      </c>
      <c r="L144" s="9">
        <v>2</v>
      </c>
      <c r="M144" s="9">
        <v>2</v>
      </c>
      <c r="N144" s="186">
        <f t="shared" si="10"/>
        <v>0.51126068492676302</v>
      </c>
      <c r="O144" s="160">
        <f t="shared" si="9"/>
        <v>0.51126068492676302</v>
      </c>
      <c r="P144" s="63" t="s">
        <v>173</v>
      </c>
    </row>
    <row r="145" spans="1:16" hidden="1">
      <c r="A145" s="292" t="s">
        <v>185</v>
      </c>
      <c r="B145" s="55" t="s">
        <v>187</v>
      </c>
      <c r="C145" s="265" t="s">
        <v>139</v>
      </c>
      <c r="D145" s="55" t="s">
        <v>139</v>
      </c>
      <c r="E145" s="260">
        <v>2.6700000000000002E-2</v>
      </c>
      <c r="F145" s="235">
        <v>2</v>
      </c>
      <c r="G145" s="265" t="s">
        <v>163</v>
      </c>
      <c r="H145" s="29">
        <v>2</v>
      </c>
      <c r="I145" s="9">
        <v>2</v>
      </c>
      <c r="J145" s="9">
        <v>2</v>
      </c>
      <c r="K145" s="9">
        <v>3</v>
      </c>
      <c r="L145" s="9">
        <v>2</v>
      </c>
      <c r="M145" s="9">
        <v>2</v>
      </c>
      <c r="N145" s="186">
        <f t="shared" si="10"/>
        <v>0.51126068492676302</v>
      </c>
      <c r="O145" s="160">
        <f t="shared" si="9"/>
        <v>0.51126068492676302</v>
      </c>
      <c r="P145" s="63" t="s">
        <v>174</v>
      </c>
    </row>
    <row r="146" spans="1:16" hidden="1">
      <c r="A146" s="292" t="s">
        <v>186</v>
      </c>
      <c r="B146" s="55" t="s">
        <v>175</v>
      </c>
      <c r="C146" s="265" t="s">
        <v>139</v>
      </c>
      <c r="D146" s="55" t="s">
        <v>139</v>
      </c>
      <c r="E146" s="260" t="s">
        <v>150</v>
      </c>
      <c r="F146" s="235">
        <v>1</v>
      </c>
      <c r="G146" s="265" t="s">
        <v>163</v>
      </c>
      <c r="H146" s="29"/>
      <c r="I146" s="9"/>
      <c r="J146" s="9"/>
      <c r="K146" s="9"/>
      <c r="L146" s="9"/>
      <c r="M146" s="9"/>
      <c r="N146" s="186" t="str">
        <f t="shared" ref="N146:N153" si="11">IF( OR( ISBLANK(H146),ISBLANK(J146), ISBLANK(K146), ISBLANK(L146), ISBLANK(M146) ), "", 1.5*SQRT(   EXP(2.21*(H146-1)) + EXP(2.21*(J146-1)) + EXP(2.21*(K146-1)) + EXP(2.21*(L146-1)) + EXP(2.21*M146)   )/100*2.45 )</f>
        <v/>
      </c>
      <c r="O146" s="160" t="str">
        <f t="shared" si="9"/>
        <v/>
      </c>
      <c r="P146" s="63"/>
    </row>
    <row r="147" spans="1:16" hidden="1">
      <c r="A147" s="152" t="str">
        <f>Agriculture!A118</f>
        <v>Agricultural other</v>
      </c>
      <c r="B147" s="34" t="str">
        <f>Agriculture!B118</f>
        <v>Dumping</v>
      </c>
      <c r="C147" s="40" t="str">
        <f>Agriculture!C118</f>
        <v>any</v>
      </c>
      <c r="D147" s="34" t="str">
        <f>Agriculture!D118</f>
        <v>any</v>
      </c>
      <c r="E147" s="243">
        <f>Agriculture!E118</f>
        <v>2.7E-4</v>
      </c>
      <c r="F147" s="235">
        <f>Agriculture!F118</f>
        <v>2</v>
      </c>
      <c r="G147" s="40" t="str">
        <f>Agriculture!G118</f>
        <v>SI Kawecki and Nowack, 2019</v>
      </c>
      <c r="H147" s="29">
        <v>2</v>
      </c>
      <c r="I147" s="9">
        <v>2</v>
      </c>
      <c r="J147" s="9">
        <v>2</v>
      </c>
      <c r="K147" s="9">
        <v>3</v>
      </c>
      <c r="L147" s="9">
        <v>3</v>
      </c>
      <c r="M147" s="9">
        <v>3</v>
      </c>
      <c r="N147" s="186">
        <f t="shared" si="11"/>
        <v>1.1278755061256258</v>
      </c>
      <c r="O147" s="160">
        <f t="shared" si="9"/>
        <v>1.1278755061256258</v>
      </c>
      <c r="P147" s="63"/>
    </row>
    <row r="148" spans="1:16" hidden="1">
      <c r="A148" s="292" t="s">
        <v>187</v>
      </c>
      <c r="B148" s="55" t="s">
        <v>176</v>
      </c>
      <c r="C148" s="265" t="s">
        <v>139</v>
      </c>
      <c r="D148" s="55" t="s">
        <v>139</v>
      </c>
      <c r="E148" s="260">
        <v>9.7744360902255634E-2</v>
      </c>
      <c r="F148" s="235">
        <v>2</v>
      </c>
      <c r="G148" s="265" t="s">
        <v>163</v>
      </c>
      <c r="H148" s="29">
        <v>2</v>
      </c>
      <c r="I148" s="9">
        <v>2</v>
      </c>
      <c r="J148" s="9">
        <v>2</v>
      </c>
      <c r="K148" s="9">
        <v>3</v>
      </c>
      <c r="L148" s="9">
        <v>2</v>
      </c>
      <c r="M148" s="9">
        <v>2</v>
      </c>
      <c r="N148" s="186">
        <f t="shared" si="11"/>
        <v>0.51126068492676302</v>
      </c>
      <c r="O148" s="160">
        <f t="shared" si="9"/>
        <v>0.51126068492676302</v>
      </c>
      <c r="P148" s="63" t="s">
        <v>173</v>
      </c>
    </row>
    <row r="149" spans="1:16" hidden="1">
      <c r="A149" s="292" t="s">
        <v>187</v>
      </c>
      <c r="B149" s="55" t="s">
        <v>176</v>
      </c>
      <c r="C149" s="265" t="s">
        <v>139</v>
      </c>
      <c r="D149" s="55" t="s">
        <v>139</v>
      </c>
      <c r="E149" s="260">
        <v>0.55056179775280889</v>
      </c>
      <c r="F149" s="235">
        <v>2</v>
      </c>
      <c r="G149" s="265" t="s">
        <v>163</v>
      </c>
      <c r="H149" s="29">
        <v>2</v>
      </c>
      <c r="I149" s="9">
        <v>2</v>
      </c>
      <c r="J149" s="9">
        <v>2</v>
      </c>
      <c r="K149" s="9">
        <v>3</v>
      </c>
      <c r="L149" s="9">
        <v>2</v>
      </c>
      <c r="M149" s="9">
        <v>2</v>
      </c>
      <c r="N149" s="186">
        <f t="shared" si="11"/>
        <v>0.51126068492676302</v>
      </c>
      <c r="O149" s="160">
        <f t="shared" si="9"/>
        <v>0.51126068492676302</v>
      </c>
      <c r="P149" s="63" t="s">
        <v>174</v>
      </c>
    </row>
    <row r="150" spans="1:16" hidden="1">
      <c r="A150" s="292" t="s">
        <v>187</v>
      </c>
      <c r="B150" s="55" t="s">
        <v>188</v>
      </c>
      <c r="C150" s="265" t="s">
        <v>139</v>
      </c>
      <c r="D150" s="55" t="s">
        <v>139</v>
      </c>
      <c r="E150" s="260" t="s">
        <v>150</v>
      </c>
      <c r="F150" s="235">
        <v>1</v>
      </c>
      <c r="G150" s="265" t="s">
        <v>163</v>
      </c>
      <c r="H150" s="29"/>
      <c r="I150" s="9"/>
      <c r="J150" s="9"/>
      <c r="K150" s="9"/>
      <c r="L150" s="9"/>
      <c r="M150" s="9"/>
      <c r="N150" s="186" t="str">
        <f t="shared" si="11"/>
        <v/>
      </c>
      <c r="O150" s="160" t="str">
        <f t="shared" ref="O150:O183" si="12">IF( OR( ISBLANK(I150),ISBLANK(J150), ISBLANK(K150), ISBLANK(L150), ISBLANK(M150) ), "", 1.5*SQRT( EXP(2.21*(I150-1)) + EXP(2.21*(J150-1)) + EXP(2.21*(K150-1)) + EXP(2.21*(L150-1)) + EXP(2.21*M150)   )/100*2.45 )</f>
        <v/>
      </c>
      <c r="P150" s="63"/>
    </row>
    <row r="151" spans="1:16" hidden="1">
      <c r="A151" s="292" t="s">
        <v>189</v>
      </c>
      <c r="B151" s="55" t="s">
        <v>190</v>
      </c>
      <c r="C151" s="265" t="s">
        <v>139</v>
      </c>
      <c r="D151" s="55" t="s">
        <v>139</v>
      </c>
      <c r="E151" s="260" t="s">
        <v>150</v>
      </c>
      <c r="F151" s="235">
        <v>1</v>
      </c>
      <c r="G151" s="265"/>
      <c r="H151" s="29"/>
      <c r="I151" s="9"/>
      <c r="J151" s="9"/>
      <c r="K151" s="9"/>
      <c r="L151" s="9"/>
      <c r="M151" s="9"/>
      <c r="N151" s="186" t="str">
        <f t="shared" si="11"/>
        <v/>
      </c>
      <c r="O151" s="160" t="str">
        <f t="shared" si="12"/>
        <v/>
      </c>
      <c r="P151" s="63"/>
    </row>
    <row r="152" spans="1:16" hidden="1">
      <c r="A152" s="152" t="s">
        <v>189</v>
      </c>
      <c r="B152" s="34" t="s">
        <v>191</v>
      </c>
      <c r="C152" s="40" t="s">
        <v>139</v>
      </c>
      <c r="D152" s="34" t="s">
        <v>139</v>
      </c>
      <c r="E152" s="260">
        <v>2.6169999999999999E-2</v>
      </c>
      <c r="F152" s="235">
        <v>2</v>
      </c>
      <c r="G152" s="260" t="s">
        <v>163</v>
      </c>
      <c r="H152" s="29">
        <v>2</v>
      </c>
      <c r="I152" s="9">
        <v>2</v>
      </c>
      <c r="J152" s="9">
        <v>3</v>
      </c>
      <c r="K152" s="9">
        <v>1</v>
      </c>
      <c r="L152" s="9">
        <v>1</v>
      </c>
      <c r="M152" s="9">
        <v>1</v>
      </c>
      <c r="N152" s="186">
        <f t="shared" si="11"/>
        <v>0.37356464144298934</v>
      </c>
      <c r="O152" s="160">
        <f t="shared" si="12"/>
        <v>0.37356464144298934</v>
      </c>
      <c r="P152" s="63" t="s">
        <v>192</v>
      </c>
    </row>
    <row r="153" spans="1:16" hidden="1">
      <c r="A153" s="152" t="s">
        <v>189</v>
      </c>
      <c r="B153" s="34" t="s">
        <v>191</v>
      </c>
      <c r="C153" s="40" t="s">
        <v>139</v>
      </c>
      <c r="D153" s="34" t="s">
        <v>139</v>
      </c>
      <c r="E153" s="260">
        <v>3.057E-2</v>
      </c>
      <c r="F153" s="235">
        <v>2</v>
      </c>
      <c r="G153" s="260" t="s">
        <v>163</v>
      </c>
      <c r="H153" s="29">
        <v>2</v>
      </c>
      <c r="I153" s="9">
        <v>2</v>
      </c>
      <c r="J153" s="9">
        <v>3</v>
      </c>
      <c r="K153" s="9">
        <v>1</v>
      </c>
      <c r="L153" s="9">
        <v>1</v>
      </c>
      <c r="M153" s="9">
        <v>1</v>
      </c>
      <c r="N153" s="186">
        <f t="shared" si="11"/>
        <v>0.37356464144298934</v>
      </c>
      <c r="O153" s="160">
        <f t="shared" si="12"/>
        <v>0.37356464144298934</v>
      </c>
      <c r="P153" s="63" t="s">
        <v>193</v>
      </c>
    </row>
    <row r="154" spans="1:16" hidden="1">
      <c r="A154" s="152" t="s">
        <v>138</v>
      </c>
      <c r="B154" s="34" t="s">
        <v>167</v>
      </c>
      <c r="C154" s="40" t="s">
        <v>139</v>
      </c>
      <c r="D154" s="34" t="s">
        <v>139</v>
      </c>
      <c r="E154" s="260">
        <v>3.5000000000000003E-2</v>
      </c>
      <c r="F154" s="235">
        <v>2</v>
      </c>
      <c r="G154" s="40" t="s">
        <v>199</v>
      </c>
      <c r="H154" s="29">
        <v>1</v>
      </c>
      <c r="I154" s="9"/>
      <c r="J154" s="9">
        <v>3</v>
      </c>
      <c r="K154" s="9">
        <v>3</v>
      </c>
      <c r="L154" s="9">
        <v>3</v>
      </c>
      <c r="M154" s="9">
        <v>2</v>
      </c>
      <c r="N154" s="186">
        <f t="shared" ref="N154:N179" si="13">IF( OR( ISBLANK(H154),ISBLANK(J154), ISBLANK(K154), ISBLANK(L154), ISBLANK(M154) ), "", 1.5*SQRT(   EXP(2.21*(H154-1)) + EXP(2.21*(J154-1)) + EXP(2.21*(K154-1)) + EXP(2.21*(L154-1)) + EXP(2.21*M154)   )/100*2.45 )</f>
        <v>0.67101227267249941</v>
      </c>
      <c r="O154" s="160" t="str">
        <f t="shared" si="12"/>
        <v/>
      </c>
      <c r="P154" s="63"/>
    </row>
    <row r="155" spans="1:16" hidden="1">
      <c r="A155" s="152" t="s">
        <v>142</v>
      </c>
      <c r="B155" s="34" t="s">
        <v>167</v>
      </c>
      <c r="C155" s="40" t="s">
        <v>139</v>
      </c>
      <c r="D155" s="34" t="s">
        <v>139</v>
      </c>
      <c r="E155" s="260">
        <v>3.5000000000000003E-2</v>
      </c>
      <c r="F155" s="235">
        <v>2</v>
      </c>
      <c r="G155" s="40" t="s">
        <v>199</v>
      </c>
      <c r="H155" s="29">
        <v>1</v>
      </c>
      <c r="I155" s="9"/>
      <c r="J155" s="9">
        <v>3</v>
      </c>
      <c r="K155" s="9">
        <v>3</v>
      </c>
      <c r="L155" s="9">
        <v>3</v>
      </c>
      <c r="M155" s="9">
        <v>2</v>
      </c>
      <c r="N155" s="186">
        <f t="shared" si="13"/>
        <v>0.67101227267249941</v>
      </c>
      <c r="O155" s="160" t="str">
        <f t="shared" si="12"/>
        <v/>
      </c>
      <c r="P155" s="63"/>
    </row>
    <row r="156" spans="1:16" hidden="1">
      <c r="A156" s="152" t="s">
        <v>200</v>
      </c>
      <c r="B156" s="34" t="s">
        <v>167</v>
      </c>
      <c r="C156" s="40" t="s">
        <v>139</v>
      </c>
      <c r="D156" s="34" t="s">
        <v>139</v>
      </c>
      <c r="E156" s="260">
        <v>3.5000000000000003E-2</v>
      </c>
      <c r="F156" s="235">
        <v>2</v>
      </c>
      <c r="G156" s="40" t="s">
        <v>199</v>
      </c>
      <c r="H156" s="29">
        <v>1</v>
      </c>
      <c r="I156" s="9"/>
      <c r="J156" s="9">
        <v>3</v>
      </c>
      <c r="K156" s="9">
        <v>3</v>
      </c>
      <c r="L156" s="9">
        <v>3</v>
      </c>
      <c r="M156" s="9">
        <v>2</v>
      </c>
      <c r="N156" s="186">
        <f t="shared" si="13"/>
        <v>0.67101227267249941</v>
      </c>
      <c r="O156" s="160" t="str">
        <f t="shared" si="12"/>
        <v/>
      </c>
      <c r="P156" s="63"/>
    </row>
    <row r="157" spans="1:16" hidden="1">
      <c r="A157" s="152" t="s">
        <v>201</v>
      </c>
      <c r="B157" s="34" t="s">
        <v>167</v>
      </c>
      <c r="C157" s="40" t="s">
        <v>139</v>
      </c>
      <c r="D157" s="34" t="s">
        <v>139</v>
      </c>
      <c r="E157" s="260">
        <v>3.5000000000000003E-2</v>
      </c>
      <c r="F157" s="235">
        <v>2</v>
      </c>
      <c r="G157" s="40" t="s">
        <v>199</v>
      </c>
      <c r="H157" s="29">
        <v>1</v>
      </c>
      <c r="I157" s="9"/>
      <c r="J157" s="9">
        <v>3</v>
      </c>
      <c r="K157" s="9">
        <v>3</v>
      </c>
      <c r="L157" s="9">
        <v>3</v>
      </c>
      <c r="M157" s="9">
        <v>2</v>
      </c>
      <c r="N157" s="186">
        <f t="shared" si="13"/>
        <v>0.67101227267249941</v>
      </c>
      <c r="O157" s="160" t="str">
        <f t="shared" si="12"/>
        <v/>
      </c>
      <c r="P157" s="63"/>
    </row>
    <row r="158" spans="1:16" hidden="1">
      <c r="A158" s="152" t="s">
        <v>202</v>
      </c>
      <c r="B158" s="34" t="s">
        <v>167</v>
      </c>
      <c r="C158" s="40" t="s">
        <v>139</v>
      </c>
      <c r="D158" s="34" t="s">
        <v>139</v>
      </c>
      <c r="E158" s="260">
        <v>3.5000000000000003E-2</v>
      </c>
      <c r="F158" s="235">
        <v>2</v>
      </c>
      <c r="G158" s="40" t="s">
        <v>199</v>
      </c>
      <c r="H158" s="29">
        <v>1</v>
      </c>
      <c r="I158" s="9"/>
      <c r="J158" s="9">
        <v>3</v>
      </c>
      <c r="K158" s="9">
        <v>3</v>
      </c>
      <c r="L158" s="9">
        <v>3</v>
      </c>
      <c r="M158" s="9">
        <v>2</v>
      </c>
      <c r="N158" s="186">
        <f t="shared" si="13"/>
        <v>0.67101227267249941</v>
      </c>
      <c r="O158" s="160" t="str">
        <f t="shared" si="12"/>
        <v/>
      </c>
      <c r="P158" s="63"/>
    </row>
    <row r="159" spans="1:16" hidden="1">
      <c r="A159" s="152" t="s">
        <v>203</v>
      </c>
      <c r="B159" s="34" t="s">
        <v>167</v>
      </c>
      <c r="C159" s="40" t="s">
        <v>139</v>
      </c>
      <c r="D159" s="34" t="s">
        <v>139</v>
      </c>
      <c r="E159" s="260">
        <v>3.5000000000000003E-2</v>
      </c>
      <c r="F159" s="235">
        <v>2</v>
      </c>
      <c r="G159" s="40" t="s">
        <v>199</v>
      </c>
      <c r="H159" s="29">
        <v>1</v>
      </c>
      <c r="I159" s="9"/>
      <c r="J159" s="9">
        <v>3</v>
      </c>
      <c r="K159" s="9">
        <v>3</v>
      </c>
      <c r="L159" s="9">
        <v>3</v>
      </c>
      <c r="M159" s="9">
        <v>2</v>
      </c>
      <c r="N159" s="186">
        <f t="shared" si="13"/>
        <v>0.67101227267249941</v>
      </c>
      <c r="O159" s="160" t="str">
        <f t="shared" si="12"/>
        <v/>
      </c>
      <c r="P159" s="63"/>
    </row>
    <row r="160" spans="1:16" hidden="1">
      <c r="A160" s="152" t="str">
        <f>Agriculture!A117</f>
        <v>Agricultural mulching films</v>
      </c>
      <c r="B160" s="34" t="str">
        <f>Agriculture!B117</f>
        <v>Collected organic waste</v>
      </c>
      <c r="C160" s="40" t="str">
        <f>Agriculture!C117</f>
        <v>any</v>
      </c>
      <c r="D160" s="34" t="str">
        <f>Agriculture!D117</f>
        <v>any</v>
      </c>
      <c r="E160" s="243">
        <f>Agriculture!E117</f>
        <v>3.5000000000000003E-2</v>
      </c>
      <c r="F160" s="235">
        <f>Agriculture!F117</f>
        <v>2</v>
      </c>
      <c r="G160" s="40" t="str">
        <f>Agriculture!G117</f>
        <v>See calculation in Compost sheet</v>
      </c>
      <c r="H160" s="29">
        <v>1</v>
      </c>
      <c r="I160" s="9">
        <v>2</v>
      </c>
      <c r="J160" s="9">
        <v>3</v>
      </c>
      <c r="K160" s="9">
        <v>3</v>
      </c>
      <c r="L160" s="9">
        <v>3</v>
      </c>
      <c r="M160" s="9">
        <v>2</v>
      </c>
      <c r="N160" s="186">
        <f t="shared" si="13"/>
        <v>0.67101227267249941</v>
      </c>
      <c r="O160" s="160">
        <f t="shared" si="12"/>
        <v>0.67913051197703389</v>
      </c>
      <c r="P160" s="63"/>
    </row>
    <row r="161" spans="1:16" hidden="1">
      <c r="A161" s="152" t="str">
        <f>Agriculture!A123</f>
        <v>Agricultural other</v>
      </c>
      <c r="B161" s="34" t="str">
        <f>Agriculture!B123</f>
        <v>Collected organic waste</v>
      </c>
      <c r="C161" s="40" t="str">
        <f>Agriculture!C123</f>
        <v>any</v>
      </c>
      <c r="D161" s="34" t="str">
        <f>Agriculture!D123</f>
        <v>any</v>
      </c>
      <c r="E161" s="243">
        <f>Agriculture!E123</f>
        <v>3.5000000000000003E-2</v>
      </c>
      <c r="F161" s="235">
        <f>Agriculture!F123</f>
        <v>2</v>
      </c>
      <c r="G161" s="40" t="str">
        <f>Agriculture!G123</f>
        <v>See calculation in Compost sheet</v>
      </c>
      <c r="H161" s="29">
        <v>1</v>
      </c>
      <c r="I161" s="9">
        <v>2</v>
      </c>
      <c r="J161" s="9">
        <v>3</v>
      </c>
      <c r="K161" s="9">
        <v>3</v>
      </c>
      <c r="L161" s="9">
        <v>3</v>
      </c>
      <c r="M161" s="9">
        <v>2</v>
      </c>
      <c r="N161" s="186">
        <f t="shared" si="13"/>
        <v>0.67101227267249941</v>
      </c>
      <c r="O161" s="160">
        <f t="shared" si="12"/>
        <v>0.67913051197703389</v>
      </c>
      <c r="P161" s="63"/>
    </row>
    <row r="162" spans="1:16" hidden="1">
      <c r="A162" s="152" t="str">
        <f>Agriculture!A127</f>
        <v>Agricultural pipes (in use)</v>
      </c>
      <c r="B162" s="34" t="str">
        <f>Agriculture!B127</f>
        <v>Collected organic waste</v>
      </c>
      <c r="C162" s="40" t="str">
        <f>Agriculture!C127</f>
        <v>any</v>
      </c>
      <c r="D162" s="34" t="str">
        <f>Agriculture!D127</f>
        <v>any</v>
      </c>
      <c r="E162" s="243">
        <f>Agriculture!E127</f>
        <v>0.47297297297297297</v>
      </c>
      <c r="F162" s="235">
        <f>Agriculture!F127</f>
        <v>2</v>
      </c>
      <c r="G162" s="40" t="str">
        <f>Agriculture!G127</f>
        <v>See calculation in Compost sheet</v>
      </c>
      <c r="H162" s="29">
        <v>1</v>
      </c>
      <c r="I162" s="9">
        <v>2</v>
      </c>
      <c r="J162" s="9">
        <v>3</v>
      </c>
      <c r="K162" s="9">
        <v>3</v>
      </c>
      <c r="L162" s="9">
        <v>3</v>
      </c>
      <c r="M162" s="9">
        <v>2</v>
      </c>
      <c r="N162" s="186">
        <f t="shared" si="13"/>
        <v>0.67101227267249941</v>
      </c>
      <c r="O162" s="160">
        <f t="shared" si="12"/>
        <v>0.67913051197703389</v>
      </c>
      <c r="P162" s="63" t="str">
        <f>Agriculture!P127</f>
        <v>Normalized (See Agriculture sheet)</v>
      </c>
    </row>
    <row r="163" spans="1:16" hidden="1">
      <c r="A163" s="152" t="str">
        <f>Agriculture!A131</f>
        <v>Agricultural greenhouse films (in use)</v>
      </c>
      <c r="B163" s="34" t="str">
        <f>Agriculture!B131</f>
        <v>Collected organic waste</v>
      </c>
      <c r="C163" s="40" t="str">
        <f>Agriculture!C131</f>
        <v>any</v>
      </c>
      <c r="D163" s="34" t="str">
        <f>Agriculture!D131</f>
        <v>any</v>
      </c>
      <c r="E163" s="243">
        <f>Agriculture!E131</f>
        <v>0.38043478260869568</v>
      </c>
      <c r="F163" s="235">
        <f>Agriculture!F131</f>
        <v>2</v>
      </c>
      <c r="G163" s="40" t="str">
        <f>Agriculture!G131</f>
        <v>See calculation in Compost sheet</v>
      </c>
      <c r="H163" s="29">
        <v>1</v>
      </c>
      <c r="I163" s="9">
        <v>2</v>
      </c>
      <c r="J163" s="9">
        <v>3</v>
      </c>
      <c r="K163" s="9">
        <v>3</v>
      </c>
      <c r="L163" s="9">
        <v>3</v>
      </c>
      <c r="M163" s="9">
        <v>2</v>
      </c>
      <c r="N163" s="186">
        <f t="shared" si="13"/>
        <v>0.67101227267249941</v>
      </c>
      <c r="O163" s="160">
        <f t="shared" si="12"/>
        <v>0.67913051197703389</v>
      </c>
      <c r="P163" s="63" t="str">
        <f>Agriculture!P131</f>
        <v>Normalized (See Agriculture sheet)</v>
      </c>
    </row>
    <row r="164" spans="1:16" hidden="1">
      <c r="A164" s="152" t="s">
        <v>138</v>
      </c>
      <c r="B164" s="34" t="s">
        <v>204</v>
      </c>
      <c r="C164" s="40" t="s">
        <v>139</v>
      </c>
      <c r="D164" s="34" t="s">
        <v>139</v>
      </c>
      <c r="E164" s="260">
        <v>2.7E-4</v>
      </c>
      <c r="F164" s="235">
        <v>2</v>
      </c>
      <c r="G164" s="40" t="s">
        <v>205</v>
      </c>
      <c r="H164" s="29">
        <v>1</v>
      </c>
      <c r="I164" s="9"/>
      <c r="J164" s="9">
        <v>1</v>
      </c>
      <c r="K164" s="9">
        <v>3</v>
      </c>
      <c r="L164" s="9">
        <v>3</v>
      </c>
      <c r="M164" s="9">
        <v>3</v>
      </c>
      <c r="N164" s="186">
        <f t="shared" si="13"/>
        <v>1.1181151966036349</v>
      </c>
      <c r="O164" s="160" t="str">
        <f t="shared" si="12"/>
        <v/>
      </c>
      <c r="P164" s="63"/>
    </row>
    <row r="165" spans="1:16" hidden="1">
      <c r="A165" s="152" t="s">
        <v>167</v>
      </c>
      <c r="B165" s="34" t="s">
        <v>206</v>
      </c>
      <c r="C165" s="40" t="s">
        <v>139</v>
      </c>
      <c r="D165" s="34" t="s">
        <v>139</v>
      </c>
      <c r="E165" s="260" t="s">
        <v>150</v>
      </c>
      <c r="F165" s="235">
        <v>1</v>
      </c>
      <c r="G165" s="40"/>
      <c r="H165" s="29"/>
      <c r="I165" s="9"/>
      <c r="J165" s="9"/>
      <c r="K165" s="9"/>
      <c r="L165" s="9"/>
      <c r="M165" s="9"/>
      <c r="N165" s="186" t="str">
        <f t="shared" si="13"/>
        <v/>
      </c>
      <c r="O165" s="160" t="str">
        <f t="shared" si="12"/>
        <v/>
      </c>
      <c r="P165" s="63"/>
    </row>
    <row r="166" spans="1:16" hidden="1">
      <c r="A166" s="152" t="s">
        <v>167</v>
      </c>
      <c r="B166" s="34" t="s">
        <v>207</v>
      </c>
      <c r="C166" s="40" t="s">
        <v>139</v>
      </c>
      <c r="D166" s="34" t="s">
        <v>139</v>
      </c>
      <c r="E166" s="260">
        <v>0.15</v>
      </c>
      <c r="F166" s="235">
        <v>2</v>
      </c>
      <c r="G166" s="40" t="s">
        <v>208</v>
      </c>
      <c r="H166" s="29">
        <v>2</v>
      </c>
      <c r="I166" s="9"/>
      <c r="J166" s="9">
        <v>2</v>
      </c>
      <c r="K166" s="9">
        <v>1</v>
      </c>
      <c r="L166" s="9">
        <v>1</v>
      </c>
      <c r="M166" s="9">
        <v>1</v>
      </c>
      <c r="N166" s="186">
        <f t="shared" si="13"/>
        <v>0.19908580854301616</v>
      </c>
      <c r="O166" s="160" t="str">
        <f t="shared" si="12"/>
        <v/>
      </c>
      <c r="P166" s="63"/>
    </row>
    <row r="167" spans="1:16" hidden="1">
      <c r="A167" s="152" t="s">
        <v>209</v>
      </c>
      <c r="B167" s="34" t="s">
        <v>210</v>
      </c>
      <c r="C167" s="40" t="s">
        <v>139</v>
      </c>
      <c r="D167" s="34" t="s">
        <v>139</v>
      </c>
      <c r="E167" s="260">
        <v>0.08</v>
      </c>
      <c r="F167" s="235">
        <v>2</v>
      </c>
      <c r="G167" s="40" t="s">
        <v>211</v>
      </c>
      <c r="H167" s="29">
        <v>1</v>
      </c>
      <c r="I167" s="9">
        <v>2</v>
      </c>
      <c r="J167" s="9">
        <v>3</v>
      </c>
      <c r="K167" s="9">
        <v>2</v>
      </c>
      <c r="L167" s="9">
        <v>3</v>
      </c>
      <c r="M167" s="9">
        <v>1</v>
      </c>
      <c r="N167" s="186">
        <f t="shared" si="13"/>
        <v>0.50042652380814845</v>
      </c>
      <c r="O167" s="160">
        <f t="shared" si="12"/>
        <v>0.51126068492676302</v>
      </c>
      <c r="P167" s="63" t="s">
        <v>212</v>
      </c>
    </row>
    <row r="168" spans="1:16" hidden="1">
      <c r="A168" s="152" t="s">
        <v>209</v>
      </c>
      <c r="B168" s="34" t="s">
        <v>210</v>
      </c>
      <c r="C168" s="40" t="s">
        <v>139</v>
      </c>
      <c r="D168" s="34" t="s">
        <v>139</v>
      </c>
      <c r="E168" s="260">
        <v>3.2000000000000001E-2</v>
      </c>
      <c r="F168" s="235">
        <v>2</v>
      </c>
      <c r="G168" s="40" t="s">
        <v>213</v>
      </c>
      <c r="H168" s="29">
        <v>2</v>
      </c>
      <c r="I168" s="9">
        <v>2</v>
      </c>
      <c r="J168" s="9">
        <v>3</v>
      </c>
      <c r="K168" s="9">
        <v>3</v>
      </c>
      <c r="L168" s="9">
        <v>3</v>
      </c>
      <c r="M168" s="9">
        <v>3</v>
      </c>
      <c r="N168" s="186">
        <f t="shared" si="13"/>
        <v>1.1713319510247036</v>
      </c>
      <c r="O168" s="160">
        <f t="shared" si="12"/>
        <v>1.1713319510247036</v>
      </c>
      <c r="P168" s="63" t="s">
        <v>212</v>
      </c>
    </row>
    <row r="169" spans="1:16" hidden="1">
      <c r="A169" s="152" t="s">
        <v>209</v>
      </c>
      <c r="B169" s="34" t="s">
        <v>210</v>
      </c>
      <c r="C169" s="40" t="s">
        <v>139</v>
      </c>
      <c r="D169" s="34" t="s">
        <v>139</v>
      </c>
      <c r="E169" s="260">
        <v>2.9826370000000001E-2</v>
      </c>
      <c r="F169" s="235">
        <v>2</v>
      </c>
      <c r="G169" s="40" t="s">
        <v>214</v>
      </c>
      <c r="H169" s="29">
        <v>2</v>
      </c>
      <c r="I169" s="9">
        <v>2</v>
      </c>
      <c r="J169" s="9">
        <v>4</v>
      </c>
      <c r="K169" s="9">
        <v>3</v>
      </c>
      <c r="L169" s="9">
        <v>3</v>
      </c>
      <c r="M169" s="9">
        <v>1</v>
      </c>
      <c r="N169" s="186">
        <f t="shared" si="13"/>
        <v>1.1278755061256256</v>
      </c>
      <c r="O169" s="160">
        <f t="shared" si="12"/>
        <v>1.1278755061256256</v>
      </c>
      <c r="P169" s="63"/>
    </row>
    <row r="170" spans="1:16" hidden="1">
      <c r="A170" s="152" t="s">
        <v>215</v>
      </c>
      <c r="B170" s="34" t="s">
        <v>216</v>
      </c>
      <c r="C170" s="40" t="s">
        <v>139</v>
      </c>
      <c r="D170" s="34" t="s">
        <v>139</v>
      </c>
      <c r="E170" s="260">
        <v>0.08</v>
      </c>
      <c r="F170" s="235">
        <v>2</v>
      </c>
      <c r="G170" s="40" t="s">
        <v>211</v>
      </c>
      <c r="H170" s="29">
        <v>1</v>
      </c>
      <c r="I170" s="9">
        <v>2</v>
      </c>
      <c r="J170" s="9">
        <v>3</v>
      </c>
      <c r="K170" s="9">
        <v>2</v>
      </c>
      <c r="L170" s="9">
        <v>3</v>
      </c>
      <c r="M170" s="9">
        <v>1</v>
      </c>
      <c r="N170" s="186">
        <f t="shared" si="13"/>
        <v>0.50042652380814845</v>
      </c>
      <c r="O170" s="160">
        <f t="shared" si="12"/>
        <v>0.51126068492676302</v>
      </c>
      <c r="P170" s="63"/>
    </row>
    <row r="171" spans="1:16" hidden="1">
      <c r="A171" s="152" t="s">
        <v>215</v>
      </c>
      <c r="B171" s="34" t="s">
        <v>216</v>
      </c>
      <c r="C171" s="40" t="s">
        <v>139</v>
      </c>
      <c r="D171" s="34" t="s">
        <v>139</v>
      </c>
      <c r="E171" s="260">
        <v>3.2000000000000001E-2</v>
      </c>
      <c r="F171" s="235">
        <v>2</v>
      </c>
      <c r="G171" s="40" t="s">
        <v>213</v>
      </c>
      <c r="H171" s="29">
        <v>2</v>
      </c>
      <c r="I171" s="9">
        <v>2</v>
      </c>
      <c r="J171" s="9">
        <v>3</v>
      </c>
      <c r="K171" s="9">
        <v>3</v>
      </c>
      <c r="L171" s="9">
        <v>3</v>
      </c>
      <c r="M171" s="9">
        <v>3</v>
      </c>
      <c r="N171" s="186">
        <f t="shared" si="13"/>
        <v>1.1713319510247036</v>
      </c>
      <c r="O171" s="160">
        <f t="shared" si="12"/>
        <v>1.1713319510247036</v>
      </c>
      <c r="P171" s="63" t="s">
        <v>212</v>
      </c>
    </row>
    <row r="172" spans="1:16" hidden="1">
      <c r="A172" s="152" t="s">
        <v>215</v>
      </c>
      <c r="B172" s="34" t="s">
        <v>216</v>
      </c>
      <c r="C172" s="40" t="s">
        <v>139</v>
      </c>
      <c r="D172" s="34" t="s">
        <v>139</v>
      </c>
      <c r="E172" s="260">
        <v>2.9826370000000001E-2</v>
      </c>
      <c r="F172" s="235">
        <v>2</v>
      </c>
      <c r="G172" s="40" t="s">
        <v>214</v>
      </c>
      <c r="H172" s="29">
        <v>2</v>
      </c>
      <c r="I172" s="9">
        <v>2</v>
      </c>
      <c r="J172" s="9">
        <v>4</v>
      </c>
      <c r="K172" s="9">
        <v>3</v>
      </c>
      <c r="L172" s="9">
        <v>3</v>
      </c>
      <c r="M172" s="9">
        <v>1</v>
      </c>
      <c r="N172" s="186">
        <f t="shared" si="13"/>
        <v>1.1278755061256256</v>
      </c>
      <c r="O172" s="160">
        <f t="shared" si="12"/>
        <v>1.1278755061256256</v>
      </c>
      <c r="P172" s="63" t="s">
        <v>217</v>
      </c>
    </row>
    <row r="173" spans="1:16" hidden="1">
      <c r="A173" s="152" t="s">
        <v>218</v>
      </c>
      <c r="B173" s="34" t="s">
        <v>149</v>
      </c>
      <c r="C173" s="40" t="s">
        <v>139</v>
      </c>
      <c r="D173" s="34" t="s">
        <v>139</v>
      </c>
      <c r="E173" s="260">
        <v>0</v>
      </c>
      <c r="F173" s="235">
        <v>2</v>
      </c>
      <c r="G173" s="40" t="s">
        <v>208</v>
      </c>
      <c r="H173" s="29">
        <v>2</v>
      </c>
      <c r="I173" s="9"/>
      <c r="J173" s="9">
        <v>2</v>
      </c>
      <c r="K173" s="9">
        <v>3</v>
      </c>
      <c r="L173" s="9">
        <v>3</v>
      </c>
      <c r="M173" s="9">
        <v>2</v>
      </c>
      <c r="N173" s="186">
        <f t="shared" si="13"/>
        <v>0.60108474454521421</v>
      </c>
      <c r="O173" s="160" t="str">
        <f t="shared" si="12"/>
        <v/>
      </c>
      <c r="P173" s="63" t="s">
        <v>219</v>
      </c>
    </row>
    <row r="174" spans="1:16" hidden="1">
      <c r="A174" s="152" t="s">
        <v>218</v>
      </c>
      <c r="B174" s="34" t="s">
        <v>149</v>
      </c>
      <c r="C174" s="40" t="s">
        <v>139</v>
      </c>
      <c r="D174" s="34" t="s">
        <v>139</v>
      </c>
      <c r="E174" s="260">
        <v>0.79999999999999993</v>
      </c>
      <c r="F174" s="235">
        <v>2</v>
      </c>
      <c r="G174" s="40" t="s">
        <v>208</v>
      </c>
      <c r="H174" s="29">
        <v>2</v>
      </c>
      <c r="I174" s="9"/>
      <c r="J174" s="9">
        <v>2</v>
      </c>
      <c r="K174" s="9">
        <v>3</v>
      </c>
      <c r="L174" s="9">
        <v>3</v>
      </c>
      <c r="M174" s="9">
        <v>2</v>
      </c>
      <c r="N174" s="186">
        <f t="shared" si="13"/>
        <v>0.60108474454521421</v>
      </c>
      <c r="O174" s="160" t="str">
        <f t="shared" si="12"/>
        <v/>
      </c>
      <c r="P174" s="63" t="s">
        <v>219</v>
      </c>
    </row>
    <row r="175" spans="1:16" hidden="1">
      <c r="A175" s="152" t="s">
        <v>207</v>
      </c>
      <c r="B175" s="34" t="s">
        <v>154</v>
      </c>
      <c r="C175" s="40" t="s">
        <v>139</v>
      </c>
      <c r="D175" s="34" t="s">
        <v>139</v>
      </c>
      <c r="E175" s="260">
        <v>1</v>
      </c>
      <c r="F175" s="235">
        <v>2</v>
      </c>
      <c r="G175" s="40"/>
      <c r="H175" s="29"/>
      <c r="I175" s="9"/>
      <c r="J175" s="9"/>
      <c r="K175" s="9"/>
      <c r="L175" s="9"/>
      <c r="M175" s="9"/>
      <c r="N175" s="186" t="str">
        <f t="shared" si="13"/>
        <v/>
      </c>
      <c r="O175" s="160" t="str">
        <f t="shared" si="12"/>
        <v/>
      </c>
      <c r="P175" s="63" t="s">
        <v>220</v>
      </c>
    </row>
    <row r="176" spans="1:16" hidden="1">
      <c r="A176" s="152" t="s">
        <v>218</v>
      </c>
      <c r="B176" s="34" t="s">
        <v>154</v>
      </c>
      <c r="C176" s="40" t="s">
        <v>139</v>
      </c>
      <c r="D176" s="34" t="s">
        <v>139</v>
      </c>
      <c r="E176" s="260" t="s">
        <v>150</v>
      </c>
      <c r="F176" s="235">
        <v>1</v>
      </c>
      <c r="G176" s="40"/>
      <c r="H176" s="29"/>
      <c r="I176" s="9"/>
      <c r="J176" s="9"/>
      <c r="K176" s="9"/>
      <c r="L176" s="9"/>
      <c r="M176" s="9"/>
      <c r="N176" s="186" t="str">
        <f t="shared" si="13"/>
        <v/>
      </c>
      <c r="O176" s="160" t="str">
        <f t="shared" si="12"/>
        <v/>
      </c>
      <c r="P176" s="63"/>
    </row>
    <row r="177" spans="1:16" hidden="1">
      <c r="A177" s="152" t="s">
        <v>206</v>
      </c>
      <c r="B177" s="34" t="s">
        <v>218</v>
      </c>
      <c r="C177" s="40" t="s">
        <v>139</v>
      </c>
      <c r="D177" s="34" t="s">
        <v>139</v>
      </c>
      <c r="E177" s="260">
        <v>0.01</v>
      </c>
      <c r="F177" s="235">
        <v>2</v>
      </c>
      <c r="G177" s="40" t="s">
        <v>221</v>
      </c>
      <c r="H177" s="29">
        <v>2</v>
      </c>
      <c r="I177" s="9"/>
      <c r="J177" s="9">
        <v>2</v>
      </c>
      <c r="K177" s="9">
        <v>3</v>
      </c>
      <c r="L177" s="9">
        <v>3</v>
      </c>
      <c r="M177" s="9">
        <v>2</v>
      </c>
      <c r="N177" s="186">
        <f t="shared" si="13"/>
        <v>0.60108474454521421</v>
      </c>
      <c r="O177" s="160" t="str">
        <f t="shared" si="12"/>
        <v/>
      </c>
      <c r="P177" s="63" t="s">
        <v>222</v>
      </c>
    </row>
    <row r="178" spans="1:16" hidden="1">
      <c r="A178" s="292" t="s">
        <v>190</v>
      </c>
      <c r="B178" s="55" t="s">
        <v>223</v>
      </c>
      <c r="C178" s="265" t="s">
        <v>139</v>
      </c>
      <c r="D178" s="55" t="s">
        <v>139</v>
      </c>
      <c r="E178" s="260" t="s">
        <v>150</v>
      </c>
      <c r="F178" s="235">
        <v>1</v>
      </c>
      <c r="G178" s="265" t="s">
        <v>224</v>
      </c>
      <c r="H178" s="29">
        <v>1</v>
      </c>
      <c r="I178" s="9">
        <v>2</v>
      </c>
      <c r="J178" s="9">
        <v>2</v>
      </c>
      <c r="K178" s="9">
        <v>1</v>
      </c>
      <c r="L178" s="9">
        <v>1</v>
      </c>
      <c r="M178" s="9">
        <v>2</v>
      </c>
      <c r="N178" s="186">
        <f t="shared" si="13"/>
        <v>0.35859414261160716</v>
      </c>
      <c r="O178" s="160">
        <f t="shared" si="12"/>
        <v>0.37356464144298934</v>
      </c>
      <c r="P178" s="63"/>
    </row>
    <row r="179" spans="1:16" hidden="1">
      <c r="A179" s="292" t="s">
        <v>190</v>
      </c>
      <c r="B179" s="55" t="s">
        <v>225</v>
      </c>
      <c r="C179" s="265" t="s">
        <v>139</v>
      </c>
      <c r="D179" s="55" t="s">
        <v>139</v>
      </c>
      <c r="E179" s="260">
        <v>0.44587958</v>
      </c>
      <c r="F179" s="235">
        <v>2</v>
      </c>
      <c r="G179" s="265" t="s">
        <v>224</v>
      </c>
      <c r="H179" s="29">
        <v>1</v>
      </c>
      <c r="I179" s="9">
        <v>2</v>
      </c>
      <c r="J179" s="9">
        <v>2</v>
      </c>
      <c r="K179" s="9">
        <v>1</v>
      </c>
      <c r="L179" s="9">
        <v>1</v>
      </c>
      <c r="M179" s="9">
        <v>2</v>
      </c>
      <c r="N179" s="186">
        <f t="shared" si="13"/>
        <v>0.35859414261160716</v>
      </c>
      <c r="O179" s="160">
        <f t="shared" si="12"/>
        <v>0.37356464144298934</v>
      </c>
      <c r="P179" s="63"/>
    </row>
    <row r="180" spans="1:16" hidden="1">
      <c r="A180" s="152" t="s">
        <v>183</v>
      </c>
      <c r="B180" s="34" t="s">
        <v>175</v>
      </c>
      <c r="C180" s="40" t="s">
        <v>139</v>
      </c>
      <c r="D180" s="34" t="s">
        <v>139</v>
      </c>
      <c r="E180" s="40">
        <v>1</v>
      </c>
      <c r="F180" s="235">
        <v>1</v>
      </c>
      <c r="G180" s="40"/>
      <c r="H180" s="29"/>
      <c r="I180" s="9"/>
      <c r="J180" s="9"/>
      <c r="K180" s="9"/>
      <c r="L180" s="9"/>
      <c r="M180" s="9"/>
      <c r="N180" s="186" t="str">
        <f t="shared" ref="N180:N211" si="14">IF( OR( ISBLANK(H180),ISBLANK(J180), ISBLANK(K180), ISBLANK(L180), ISBLANK(M180) ), "", 1.5*SQRT(   EXP(2.21*(H180-1)) + EXP(2.21*(J180-1)) + EXP(2.21*(K180-1)) + EXP(2.21*(L180-1)) + EXP(2.21*M180)   )/100*2.45 )</f>
        <v/>
      </c>
      <c r="O180" s="160" t="str">
        <f t="shared" si="12"/>
        <v/>
      </c>
      <c r="P180" s="857"/>
    </row>
    <row r="181" spans="1:16" hidden="1">
      <c r="A181" s="152" t="s">
        <v>39</v>
      </c>
      <c r="B181" s="34" t="s">
        <v>200</v>
      </c>
      <c r="C181" s="40" t="s">
        <v>139</v>
      </c>
      <c r="D181" s="34" t="s">
        <v>85</v>
      </c>
      <c r="E181" s="260">
        <v>0.1348</v>
      </c>
      <c r="F181" s="235">
        <v>1</v>
      </c>
      <c r="G181" s="40" t="s">
        <v>140</v>
      </c>
      <c r="H181" s="29">
        <v>2</v>
      </c>
      <c r="I181" s="9">
        <v>2</v>
      </c>
      <c r="J181" s="9">
        <v>2</v>
      </c>
      <c r="K181" s="9">
        <v>1</v>
      </c>
      <c r="L181" s="9">
        <v>1</v>
      </c>
      <c r="M181" s="9">
        <v>2</v>
      </c>
      <c r="N181" s="186">
        <f t="shared" si="14"/>
        <v>0.37356464144298934</v>
      </c>
      <c r="O181" s="160">
        <f t="shared" si="12"/>
        <v>0.37356464144298934</v>
      </c>
      <c r="P181" s="63"/>
    </row>
    <row r="182" spans="1:16" hidden="1">
      <c r="A182" s="152" t="s">
        <v>39</v>
      </c>
      <c r="B182" s="34" t="s">
        <v>200</v>
      </c>
      <c r="C182" s="40" t="s">
        <v>139</v>
      </c>
      <c r="D182" s="34" t="s">
        <v>86</v>
      </c>
      <c r="E182" s="260">
        <v>0.27379999999999999</v>
      </c>
      <c r="F182" s="235">
        <v>1</v>
      </c>
      <c r="G182" s="40" t="s">
        <v>140</v>
      </c>
      <c r="H182" s="29">
        <v>2</v>
      </c>
      <c r="I182" s="9">
        <v>2</v>
      </c>
      <c r="J182" s="9">
        <v>2</v>
      </c>
      <c r="K182" s="9">
        <v>1</v>
      </c>
      <c r="L182" s="9">
        <v>1</v>
      </c>
      <c r="M182" s="9">
        <v>2</v>
      </c>
      <c r="N182" s="186">
        <f t="shared" si="14"/>
        <v>0.37356464144298934</v>
      </c>
      <c r="O182" s="160">
        <f t="shared" si="12"/>
        <v>0.37356464144298934</v>
      </c>
      <c r="P182" s="63"/>
    </row>
    <row r="183" spans="1:16" hidden="1">
      <c r="A183" s="152" t="s">
        <v>39</v>
      </c>
      <c r="B183" s="34" t="s">
        <v>200</v>
      </c>
      <c r="C183" s="40" t="s">
        <v>139</v>
      </c>
      <c r="D183" s="34" t="s">
        <v>87</v>
      </c>
      <c r="E183" s="260">
        <v>0.1031</v>
      </c>
      <c r="F183" s="235">
        <v>1</v>
      </c>
      <c r="G183" s="40" t="s">
        <v>140</v>
      </c>
      <c r="H183" s="29">
        <v>2</v>
      </c>
      <c r="I183" s="9">
        <v>2</v>
      </c>
      <c r="J183" s="9">
        <v>2</v>
      </c>
      <c r="K183" s="9">
        <v>1</v>
      </c>
      <c r="L183" s="9">
        <v>1</v>
      </c>
      <c r="M183" s="9">
        <v>2</v>
      </c>
      <c r="N183" s="186">
        <f t="shared" si="14"/>
        <v>0.37356464144298934</v>
      </c>
      <c r="O183" s="160">
        <f t="shared" si="12"/>
        <v>0.37356464144298934</v>
      </c>
      <c r="P183" s="63"/>
    </row>
    <row r="184" spans="1:16" hidden="1">
      <c r="A184" s="152" t="s">
        <v>39</v>
      </c>
      <c r="B184" s="34" t="s">
        <v>200</v>
      </c>
      <c r="C184" s="40" t="s">
        <v>139</v>
      </c>
      <c r="D184" s="34" t="s">
        <v>88</v>
      </c>
      <c r="E184" s="260">
        <v>1.1900000000000001E-2</v>
      </c>
      <c r="F184" s="235">
        <v>1</v>
      </c>
      <c r="G184" s="40" t="s">
        <v>140</v>
      </c>
      <c r="H184" s="29">
        <v>2</v>
      </c>
      <c r="I184" s="9">
        <v>2</v>
      </c>
      <c r="J184" s="9">
        <v>2</v>
      </c>
      <c r="K184" s="9">
        <v>1</v>
      </c>
      <c r="L184" s="9">
        <v>1</v>
      </c>
      <c r="M184" s="9">
        <v>2</v>
      </c>
      <c r="N184" s="186">
        <f t="shared" si="14"/>
        <v>0.37356464144298934</v>
      </c>
      <c r="O184" s="160">
        <f t="shared" ref="O184:O246" si="15">IF( OR( ISBLANK(I184),ISBLANK(J184), ISBLANK(K184), ISBLANK(L184), ISBLANK(M184) ), "", 1.5*SQRT( EXP(2.21*(I184-1)) + EXP(2.21*(J184-1)) + EXP(2.21*(K184-1)) + EXP(2.21*(L184-1)) + EXP(2.21*M184)   )/100*2.45 )</f>
        <v>0.37356464144298934</v>
      </c>
      <c r="P184" s="63"/>
    </row>
    <row r="185" spans="1:16" hidden="1">
      <c r="A185" s="152" t="s">
        <v>39</v>
      </c>
      <c r="B185" s="34" t="s">
        <v>200</v>
      </c>
      <c r="C185" s="40" t="s">
        <v>139</v>
      </c>
      <c r="D185" s="34" t="s">
        <v>89</v>
      </c>
      <c r="E185" s="260">
        <v>0</v>
      </c>
      <c r="F185" s="235">
        <v>1</v>
      </c>
      <c r="G185" s="40" t="s">
        <v>140</v>
      </c>
      <c r="H185" s="29"/>
      <c r="I185" s="9"/>
      <c r="J185" s="9"/>
      <c r="K185" s="9"/>
      <c r="L185" s="9"/>
      <c r="M185" s="9"/>
      <c r="N185" s="186" t="str">
        <f t="shared" si="14"/>
        <v/>
      </c>
      <c r="O185" s="160" t="str">
        <f t="shared" si="15"/>
        <v/>
      </c>
      <c r="P185" s="63"/>
    </row>
    <row r="186" spans="1:16" hidden="1">
      <c r="A186" s="152" t="s">
        <v>39</v>
      </c>
      <c r="B186" s="34" t="s">
        <v>200</v>
      </c>
      <c r="C186" s="40" t="s">
        <v>139</v>
      </c>
      <c r="D186" s="34" t="s">
        <v>90</v>
      </c>
      <c r="E186" s="260">
        <v>1.14E-2</v>
      </c>
      <c r="F186" s="235">
        <v>1</v>
      </c>
      <c r="G186" s="40" t="s">
        <v>140</v>
      </c>
      <c r="H186" s="29">
        <v>2</v>
      </c>
      <c r="I186" s="9">
        <v>2</v>
      </c>
      <c r="J186" s="9">
        <v>2</v>
      </c>
      <c r="K186" s="9">
        <v>1</v>
      </c>
      <c r="L186" s="9">
        <v>1</v>
      </c>
      <c r="M186" s="9">
        <v>2</v>
      </c>
      <c r="N186" s="186">
        <f t="shared" si="14"/>
        <v>0.37356464144298934</v>
      </c>
      <c r="O186" s="160">
        <f t="shared" si="15"/>
        <v>0.37356464144298934</v>
      </c>
      <c r="P186" s="63"/>
    </row>
    <row r="187" spans="1:16" hidden="1">
      <c r="A187" s="152" t="s">
        <v>39</v>
      </c>
      <c r="B187" s="34" t="s">
        <v>200</v>
      </c>
      <c r="C187" s="40" t="s">
        <v>139</v>
      </c>
      <c r="D187" s="34" t="s">
        <v>91</v>
      </c>
      <c r="E187" s="260">
        <v>1.12E-2</v>
      </c>
      <c r="F187" s="235">
        <v>1</v>
      </c>
      <c r="G187" s="40" t="s">
        <v>140</v>
      </c>
      <c r="H187" s="29">
        <v>2</v>
      </c>
      <c r="I187" s="9">
        <v>2</v>
      </c>
      <c r="J187" s="9">
        <v>2</v>
      </c>
      <c r="K187" s="9">
        <v>1</v>
      </c>
      <c r="L187" s="9">
        <v>1</v>
      </c>
      <c r="M187" s="9">
        <v>2</v>
      </c>
      <c r="N187" s="186">
        <f t="shared" si="14"/>
        <v>0.37356464144298934</v>
      </c>
      <c r="O187" s="160">
        <f t="shared" si="15"/>
        <v>0.37356464144298934</v>
      </c>
      <c r="P187" s="63"/>
    </row>
    <row r="188" spans="1:16" hidden="1">
      <c r="A188" s="152" t="s">
        <v>39</v>
      </c>
      <c r="B188" s="34" t="s">
        <v>200</v>
      </c>
      <c r="C188" s="40" t="s">
        <v>139</v>
      </c>
      <c r="D188" s="34" t="s">
        <v>98</v>
      </c>
      <c r="E188" s="260">
        <v>0.12556313993174059</v>
      </c>
      <c r="F188" s="235">
        <v>1</v>
      </c>
      <c r="G188" s="40" t="s">
        <v>141</v>
      </c>
      <c r="H188" s="29">
        <v>2</v>
      </c>
      <c r="I188" s="9">
        <v>1</v>
      </c>
      <c r="J188" s="9">
        <v>2</v>
      </c>
      <c r="K188" s="9">
        <v>2</v>
      </c>
      <c r="L188" s="9">
        <v>1</v>
      </c>
      <c r="M188" s="9">
        <v>2</v>
      </c>
      <c r="N188" s="186">
        <f t="shared" si="14"/>
        <v>0.38795788889711302</v>
      </c>
      <c r="O188" s="160">
        <f t="shared" si="15"/>
        <v>0.37356464144298934</v>
      </c>
      <c r="P188" s="63"/>
    </row>
    <row r="189" spans="1:16" hidden="1">
      <c r="A189" s="152" t="s">
        <v>39</v>
      </c>
      <c r="B189" s="34" t="s">
        <v>201</v>
      </c>
      <c r="C189" s="40" t="s">
        <v>139</v>
      </c>
      <c r="D189" s="34" t="s">
        <v>85</v>
      </c>
      <c r="E189" s="260">
        <v>1.6000000000000001E-3</v>
      </c>
      <c r="F189" s="235">
        <v>1</v>
      </c>
      <c r="G189" s="40" t="s">
        <v>140</v>
      </c>
      <c r="H189" s="29">
        <v>2</v>
      </c>
      <c r="I189" s="9">
        <v>2</v>
      </c>
      <c r="J189" s="9">
        <v>2</v>
      </c>
      <c r="K189" s="9">
        <v>1</v>
      </c>
      <c r="L189" s="9">
        <v>1</v>
      </c>
      <c r="M189" s="9">
        <v>2</v>
      </c>
      <c r="N189" s="186">
        <f t="shared" si="14"/>
        <v>0.37356464144298934</v>
      </c>
      <c r="O189" s="160">
        <f t="shared" si="15"/>
        <v>0.37356464144298934</v>
      </c>
      <c r="P189" s="63"/>
    </row>
    <row r="190" spans="1:16" hidden="1">
      <c r="A190" s="152" t="s">
        <v>39</v>
      </c>
      <c r="B190" s="34" t="s">
        <v>201</v>
      </c>
      <c r="C190" s="40" t="s">
        <v>139</v>
      </c>
      <c r="D190" s="34" t="s">
        <v>86</v>
      </c>
      <c r="E190" s="260">
        <v>0.38629999999999998</v>
      </c>
      <c r="F190" s="235">
        <v>1</v>
      </c>
      <c r="G190" s="40" t="s">
        <v>140</v>
      </c>
      <c r="H190" s="29">
        <v>2</v>
      </c>
      <c r="I190" s="9">
        <v>2</v>
      </c>
      <c r="J190" s="9">
        <v>2</v>
      </c>
      <c r="K190" s="9">
        <v>1</v>
      </c>
      <c r="L190" s="9">
        <v>1</v>
      </c>
      <c r="M190" s="9">
        <v>2</v>
      </c>
      <c r="N190" s="186">
        <f t="shared" si="14"/>
        <v>0.37356464144298934</v>
      </c>
      <c r="O190" s="160">
        <f t="shared" si="15"/>
        <v>0.37356464144298934</v>
      </c>
      <c r="P190" s="63"/>
    </row>
    <row r="191" spans="1:16" hidden="1">
      <c r="A191" s="152" t="s">
        <v>39</v>
      </c>
      <c r="B191" s="34" t="s">
        <v>201</v>
      </c>
      <c r="C191" s="40" t="s">
        <v>139</v>
      </c>
      <c r="D191" s="34" t="s">
        <v>87</v>
      </c>
      <c r="E191" s="260">
        <v>1.03E-2</v>
      </c>
      <c r="F191" s="235">
        <v>1</v>
      </c>
      <c r="G191" s="40" t="s">
        <v>140</v>
      </c>
      <c r="H191" s="29">
        <v>2</v>
      </c>
      <c r="I191" s="9">
        <v>2</v>
      </c>
      <c r="J191" s="9">
        <v>2</v>
      </c>
      <c r="K191" s="9">
        <v>1</v>
      </c>
      <c r="L191" s="9">
        <v>1</v>
      </c>
      <c r="M191" s="9">
        <v>2</v>
      </c>
      <c r="N191" s="186">
        <f t="shared" si="14"/>
        <v>0.37356464144298934</v>
      </c>
      <c r="O191" s="160">
        <f t="shared" si="15"/>
        <v>0.37356464144298934</v>
      </c>
      <c r="P191" s="63"/>
    </row>
    <row r="192" spans="1:16" hidden="1">
      <c r="A192" s="152" t="s">
        <v>39</v>
      </c>
      <c r="B192" s="34" t="s">
        <v>201</v>
      </c>
      <c r="C192" s="40" t="s">
        <v>139</v>
      </c>
      <c r="D192" s="34" t="s">
        <v>88</v>
      </c>
      <c r="E192" s="260">
        <v>0</v>
      </c>
      <c r="F192" s="235">
        <v>1</v>
      </c>
      <c r="G192" s="40" t="s">
        <v>140</v>
      </c>
      <c r="H192" s="29"/>
      <c r="I192" s="9"/>
      <c r="J192" s="9"/>
      <c r="K192" s="9"/>
      <c r="L192" s="9"/>
      <c r="M192" s="9"/>
      <c r="N192" s="186" t="str">
        <f t="shared" si="14"/>
        <v/>
      </c>
      <c r="O192" s="160" t="str">
        <f t="shared" si="15"/>
        <v/>
      </c>
      <c r="P192" s="63"/>
    </row>
    <row r="193" spans="1:16" hidden="1">
      <c r="A193" s="152" t="s">
        <v>39</v>
      </c>
      <c r="B193" s="34" t="s">
        <v>201</v>
      </c>
      <c r="C193" s="40" t="s">
        <v>139</v>
      </c>
      <c r="D193" s="34" t="s">
        <v>89</v>
      </c>
      <c r="E193" s="260">
        <v>0</v>
      </c>
      <c r="F193" s="235">
        <v>1</v>
      </c>
      <c r="G193" s="40" t="s">
        <v>140</v>
      </c>
      <c r="H193" s="29"/>
      <c r="I193" s="9"/>
      <c r="J193" s="9"/>
      <c r="K193" s="9"/>
      <c r="L193" s="9"/>
      <c r="M193" s="9"/>
      <c r="N193" s="186" t="str">
        <f t="shared" si="14"/>
        <v/>
      </c>
      <c r="O193" s="160" t="str">
        <f t="shared" si="15"/>
        <v/>
      </c>
      <c r="P193" s="63"/>
    </row>
    <row r="194" spans="1:16" hidden="1">
      <c r="A194" s="152" t="s">
        <v>39</v>
      </c>
      <c r="B194" s="34" t="s">
        <v>201</v>
      </c>
      <c r="C194" s="40" t="s">
        <v>139</v>
      </c>
      <c r="D194" s="34" t="s">
        <v>90</v>
      </c>
      <c r="E194" s="260">
        <v>2.2700000000000001E-2</v>
      </c>
      <c r="F194" s="235">
        <v>1</v>
      </c>
      <c r="G194" s="40" t="s">
        <v>140</v>
      </c>
      <c r="H194" s="29">
        <v>2</v>
      </c>
      <c r="I194" s="9">
        <v>2</v>
      </c>
      <c r="J194" s="9">
        <v>2</v>
      </c>
      <c r="K194" s="9">
        <v>1</v>
      </c>
      <c r="L194" s="9">
        <v>1</v>
      </c>
      <c r="M194" s="9">
        <v>2</v>
      </c>
      <c r="N194" s="186">
        <f t="shared" si="14"/>
        <v>0.37356464144298934</v>
      </c>
      <c r="O194" s="160">
        <f t="shared" si="15"/>
        <v>0.37356464144298934</v>
      </c>
      <c r="P194" s="63"/>
    </row>
    <row r="195" spans="1:16" hidden="1">
      <c r="A195" s="152" t="s">
        <v>39</v>
      </c>
      <c r="B195" s="34" t="s">
        <v>201</v>
      </c>
      <c r="C195" s="40" t="s">
        <v>139</v>
      </c>
      <c r="D195" s="34" t="s">
        <v>91</v>
      </c>
      <c r="E195" s="260">
        <v>0.41420000000000001</v>
      </c>
      <c r="F195" s="235">
        <v>2</v>
      </c>
      <c r="G195" s="40" t="s">
        <v>140</v>
      </c>
      <c r="H195" s="29">
        <v>2</v>
      </c>
      <c r="I195" s="9">
        <v>2</v>
      </c>
      <c r="J195" s="9">
        <v>2</v>
      </c>
      <c r="K195" s="9">
        <v>1</v>
      </c>
      <c r="L195" s="9">
        <v>1</v>
      </c>
      <c r="M195" s="9">
        <v>2</v>
      </c>
      <c r="N195" s="186">
        <f t="shared" si="14"/>
        <v>0.37356464144298934</v>
      </c>
      <c r="O195" s="160">
        <f t="shared" si="15"/>
        <v>0.37356464144298934</v>
      </c>
      <c r="P195" s="63" t="s">
        <v>226</v>
      </c>
    </row>
    <row r="196" spans="1:16" hidden="1">
      <c r="A196" s="152" t="s">
        <v>39</v>
      </c>
      <c r="B196" s="34" t="s">
        <v>201</v>
      </c>
      <c r="C196" s="40" t="s">
        <v>139</v>
      </c>
      <c r="D196" s="34" t="s">
        <v>98</v>
      </c>
      <c r="E196" s="260">
        <v>0</v>
      </c>
      <c r="F196" s="235">
        <v>1</v>
      </c>
      <c r="G196" s="40" t="s">
        <v>141</v>
      </c>
      <c r="H196" s="29"/>
      <c r="I196" s="9"/>
      <c r="J196" s="9"/>
      <c r="K196" s="9"/>
      <c r="L196" s="9"/>
      <c r="M196" s="9"/>
      <c r="N196" s="186" t="str">
        <f t="shared" si="14"/>
        <v/>
      </c>
      <c r="O196" s="160" t="str">
        <f t="shared" si="15"/>
        <v/>
      </c>
      <c r="P196" s="63"/>
    </row>
    <row r="197" spans="1:16" hidden="1">
      <c r="A197" s="152" t="s">
        <v>39</v>
      </c>
      <c r="B197" s="34" t="s">
        <v>202</v>
      </c>
      <c r="C197" s="40" t="s">
        <v>139</v>
      </c>
      <c r="D197" s="34" t="s">
        <v>85</v>
      </c>
      <c r="E197" s="260">
        <v>9.2499999999999999E-2</v>
      </c>
      <c r="F197" s="235">
        <v>1</v>
      </c>
      <c r="G197" s="40" t="s">
        <v>140</v>
      </c>
      <c r="H197" s="29">
        <v>2</v>
      </c>
      <c r="I197" s="9">
        <v>2</v>
      </c>
      <c r="J197" s="9">
        <v>2</v>
      </c>
      <c r="K197" s="9">
        <v>1</v>
      </c>
      <c r="L197" s="9">
        <v>1</v>
      </c>
      <c r="M197" s="9">
        <v>2</v>
      </c>
      <c r="N197" s="186">
        <f t="shared" si="14"/>
        <v>0.37356464144298934</v>
      </c>
      <c r="O197" s="160">
        <f t="shared" si="15"/>
        <v>0.37356464144298934</v>
      </c>
      <c r="P197" s="63"/>
    </row>
    <row r="198" spans="1:16" hidden="1">
      <c r="A198" s="152" t="s">
        <v>39</v>
      </c>
      <c r="B198" s="34" t="s">
        <v>202</v>
      </c>
      <c r="C198" s="40" t="s">
        <v>139</v>
      </c>
      <c r="D198" s="34" t="s">
        <v>86</v>
      </c>
      <c r="E198" s="260">
        <v>6.8500000000000005E-2</v>
      </c>
      <c r="F198" s="235">
        <v>1</v>
      </c>
      <c r="G198" s="40" t="s">
        <v>140</v>
      </c>
      <c r="H198" s="29">
        <v>2</v>
      </c>
      <c r="I198" s="9">
        <v>2</v>
      </c>
      <c r="J198" s="9">
        <v>2</v>
      </c>
      <c r="K198" s="9">
        <v>1</v>
      </c>
      <c r="L198" s="9">
        <v>1</v>
      </c>
      <c r="M198" s="9">
        <v>2</v>
      </c>
      <c r="N198" s="186">
        <f t="shared" si="14"/>
        <v>0.37356464144298934</v>
      </c>
      <c r="O198" s="160">
        <f t="shared" si="15"/>
        <v>0.37356464144298934</v>
      </c>
      <c r="P198" s="63"/>
    </row>
    <row r="199" spans="1:16" hidden="1">
      <c r="A199" s="152" t="s">
        <v>39</v>
      </c>
      <c r="B199" s="34" t="s">
        <v>202</v>
      </c>
      <c r="C199" s="40" t="s">
        <v>139</v>
      </c>
      <c r="D199" s="34" t="s">
        <v>87</v>
      </c>
      <c r="E199" s="260">
        <v>0.17780000000000001</v>
      </c>
      <c r="F199" s="235">
        <v>1</v>
      </c>
      <c r="G199" s="40" t="s">
        <v>140</v>
      </c>
      <c r="H199" s="29">
        <v>2</v>
      </c>
      <c r="I199" s="9">
        <v>2</v>
      </c>
      <c r="J199" s="9">
        <v>2</v>
      </c>
      <c r="K199" s="9">
        <v>1</v>
      </c>
      <c r="L199" s="9">
        <v>1</v>
      </c>
      <c r="M199" s="9">
        <v>2</v>
      </c>
      <c r="N199" s="186">
        <f t="shared" si="14"/>
        <v>0.37356464144298934</v>
      </c>
      <c r="O199" s="160">
        <f t="shared" si="15"/>
        <v>0.37356464144298934</v>
      </c>
      <c r="P199" s="63"/>
    </row>
    <row r="200" spans="1:16" hidden="1">
      <c r="A200" s="152" t="s">
        <v>39</v>
      </c>
      <c r="B200" s="34" t="s">
        <v>202</v>
      </c>
      <c r="C200" s="40" t="s">
        <v>139</v>
      </c>
      <c r="D200" s="34" t="s">
        <v>88</v>
      </c>
      <c r="E200" s="260">
        <v>0</v>
      </c>
      <c r="F200" s="235">
        <v>1</v>
      </c>
      <c r="G200" s="40" t="s">
        <v>140</v>
      </c>
      <c r="H200" s="29"/>
      <c r="I200" s="9"/>
      <c r="J200" s="9"/>
      <c r="K200" s="9"/>
      <c r="L200" s="9"/>
      <c r="M200" s="9"/>
      <c r="N200" s="186" t="str">
        <f t="shared" si="14"/>
        <v/>
      </c>
      <c r="O200" s="160" t="str">
        <f t="shared" si="15"/>
        <v/>
      </c>
      <c r="P200" s="63"/>
    </row>
    <row r="201" spans="1:16" hidden="1">
      <c r="A201" s="152" t="s">
        <v>39</v>
      </c>
      <c r="B201" s="34" t="s">
        <v>202</v>
      </c>
      <c r="C201" s="40" t="s">
        <v>139</v>
      </c>
      <c r="D201" s="34" t="s">
        <v>89</v>
      </c>
      <c r="E201" s="260">
        <v>0</v>
      </c>
      <c r="F201" s="235">
        <v>1</v>
      </c>
      <c r="G201" s="40" t="s">
        <v>140</v>
      </c>
      <c r="H201" s="29"/>
      <c r="I201" s="9"/>
      <c r="J201" s="9"/>
      <c r="K201" s="9"/>
      <c r="L201" s="9"/>
      <c r="M201" s="9"/>
      <c r="N201" s="186" t="str">
        <f t="shared" si="14"/>
        <v/>
      </c>
      <c r="O201" s="160" t="str">
        <f t="shared" si="15"/>
        <v/>
      </c>
      <c r="P201" s="63"/>
    </row>
    <row r="202" spans="1:16" hidden="1">
      <c r="A202" s="152" t="s">
        <v>39</v>
      </c>
      <c r="B202" s="34" t="s">
        <v>202</v>
      </c>
      <c r="C202" s="40" t="s">
        <v>139</v>
      </c>
      <c r="D202" s="34" t="s">
        <v>90</v>
      </c>
      <c r="E202" s="260">
        <v>5.6800000000000003E-2</v>
      </c>
      <c r="F202" s="235">
        <v>1</v>
      </c>
      <c r="G202" s="40" t="s">
        <v>140</v>
      </c>
      <c r="H202" s="29">
        <v>2</v>
      </c>
      <c r="I202" s="9">
        <v>2</v>
      </c>
      <c r="J202" s="9">
        <v>2</v>
      </c>
      <c r="K202" s="9">
        <v>1</v>
      </c>
      <c r="L202" s="9">
        <v>1</v>
      </c>
      <c r="M202" s="9">
        <v>2</v>
      </c>
      <c r="N202" s="186">
        <f t="shared" si="14"/>
        <v>0.37356464144298934</v>
      </c>
      <c r="O202" s="160">
        <f t="shared" si="15"/>
        <v>0.37356464144298934</v>
      </c>
      <c r="P202" s="63"/>
    </row>
    <row r="203" spans="1:16" hidden="1">
      <c r="A203" s="152" t="s">
        <v>39</v>
      </c>
      <c r="B203" s="34" t="s">
        <v>202</v>
      </c>
      <c r="C203" s="40" t="s">
        <v>139</v>
      </c>
      <c r="D203" s="34" t="s">
        <v>91</v>
      </c>
      <c r="E203" s="260">
        <v>6.2199999999999998E-2</v>
      </c>
      <c r="F203" s="235">
        <v>1</v>
      </c>
      <c r="G203" s="40" t="s">
        <v>140</v>
      </c>
      <c r="H203" s="29">
        <v>2</v>
      </c>
      <c r="I203" s="9">
        <v>2</v>
      </c>
      <c r="J203" s="9">
        <v>2</v>
      </c>
      <c r="K203" s="9">
        <v>1</v>
      </c>
      <c r="L203" s="9">
        <v>1</v>
      </c>
      <c r="M203" s="9">
        <v>2</v>
      </c>
      <c r="N203" s="186">
        <f t="shared" si="14"/>
        <v>0.37356464144298934</v>
      </c>
      <c r="O203" s="160">
        <f t="shared" si="15"/>
        <v>0.37356464144298934</v>
      </c>
      <c r="P203" s="63"/>
    </row>
    <row r="204" spans="1:16" hidden="1">
      <c r="A204" s="152" t="s">
        <v>39</v>
      </c>
      <c r="B204" s="34" t="s">
        <v>202</v>
      </c>
      <c r="C204" s="40" t="s">
        <v>139</v>
      </c>
      <c r="D204" s="34" t="s">
        <v>98</v>
      </c>
      <c r="E204" s="260">
        <v>0.28529010238907848</v>
      </c>
      <c r="F204" s="235">
        <v>1</v>
      </c>
      <c r="G204" s="40" t="s">
        <v>141</v>
      </c>
      <c r="H204" s="29">
        <v>2</v>
      </c>
      <c r="I204" s="9">
        <v>1</v>
      </c>
      <c r="J204" s="9">
        <v>2</v>
      </c>
      <c r="K204" s="9">
        <v>2</v>
      </c>
      <c r="L204" s="9">
        <v>1</v>
      </c>
      <c r="M204" s="9">
        <v>2</v>
      </c>
      <c r="N204" s="186">
        <f t="shared" si="14"/>
        <v>0.38795788889711302</v>
      </c>
      <c r="O204" s="160">
        <f t="shared" si="15"/>
        <v>0.37356464144298934</v>
      </c>
      <c r="P204" s="63"/>
    </row>
    <row r="205" spans="1:16" hidden="1">
      <c r="A205" s="152" t="s">
        <v>37</v>
      </c>
      <c r="B205" s="34" t="s">
        <v>156</v>
      </c>
      <c r="C205" s="40" t="s">
        <v>139</v>
      </c>
      <c r="D205" s="34" t="s">
        <v>85</v>
      </c>
      <c r="E205" s="260">
        <f>Intentionally_produced_MPs!F127</f>
        <v>0.88888888888888895</v>
      </c>
      <c r="F205" s="235">
        <v>1</v>
      </c>
      <c r="G205" s="40"/>
      <c r="H205" s="29">
        <v>3</v>
      </c>
      <c r="I205" s="9">
        <v>2</v>
      </c>
      <c r="J205" s="9">
        <v>3</v>
      </c>
      <c r="K205" s="9">
        <v>3</v>
      </c>
      <c r="L205" s="9">
        <v>3</v>
      </c>
      <c r="M205" s="9">
        <v>3</v>
      </c>
      <c r="N205" s="186">
        <f t="shared" si="14"/>
        <v>1.2132328390150593</v>
      </c>
      <c r="O205" s="160">
        <f t="shared" si="15"/>
        <v>1.1713319510247036</v>
      </c>
      <c r="P205" s="63"/>
    </row>
    <row r="206" spans="1:16" hidden="1">
      <c r="A206" s="152" t="s">
        <v>37</v>
      </c>
      <c r="B206" s="34" t="s">
        <v>156</v>
      </c>
      <c r="C206" s="40" t="s">
        <v>139</v>
      </c>
      <c r="D206" s="34" t="s">
        <v>86</v>
      </c>
      <c r="E206" s="260">
        <f>Intentionally_produced_MPs!F128</f>
        <v>0.14218906731735478</v>
      </c>
      <c r="F206" s="235">
        <v>1</v>
      </c>
      <c r="G206" s="40"/>
      <c r="H206" s="29">
        <v>3</v>
      </c>
      <c r="I206" s="9">
        <v>2</v>
      </c>
      <c r="J206" s="9">
        <v>3</v>
      </c>
      <c r="K206" s="9">
        <v>3</v>
      </c>
      <c r="L206" s="9">
        <v>3</v>
      </c>
      <c r="M206" s="9">
        <v>3</v>
      </c>
      <c r="N206" s="186">
        <f t="shared" si="14"/>
        <v>1.2132328390150593</v>
      </c>
      <c r="O206" s="160">
        <f t="shared" si="15"/>
        <v>1.1713319510247036</v>
      </c>
      <c r="P206" s="63"/>
    </row>
    <row r="207" spans="1:16" hidden="1">
      <c r="A207" s="152" t="s">
        <v>37</v>
      </c>
      <c r="B207" s="34" t="s">
        <v>156</v>
      </c>
      <c r="C207" s="40" t="s">
        <v>139</v>
      </c>
      <c r="D207" s="34" t="s">
        <v>87</v>
      </c>
      <c r="E207" s="260">
        <f>Intentionally_produced_MPs!F129</f>
        <v>1</v>
      </c>
      <c r="F207" s="235">
        <v>1</v>
      </c>
      <c r="G207" s="40"/>
      <c r="H207" s="29">
        <v>3</v>
      </c>
      <c r="I207" s="9">
        <v>2</v>
      </c>
      <c r="J207" s="9">
        <v>3</v>
      </c>
      <c r="K207" s="9">
        <v>3</v>
      </c>
      <c r="L207" s="9">
        <v>3</v>
      </c>
      <c r="M207" s="9">
        <v>3</v>
      </c>
      <c r="N207" s="186">
        <f t="shared" si="14"/>
        <v>1.2132328390150593</v>
      </c>
      <c r="O207" s="160">
        <f t="shared" si="15"/>
        <v>1.1713319510247036</v>
      </c>
      <c r="P207" s="63"/>
    </row>
    <row r="208" spans="1:16" hidden="1">
      <c r="A208" s="152" t="s">
        <v>37</v>
      </c>
      <c r="B208" s="34" t="s">
        <v>156</v>
      </c>
      <c r="C208" s="40" t="s">
        <v>139</v>
      </c>
      <c r="D208" s="34" t="s">
        <v>88</v>
      </c>
      <c r="E208" s="260">
        <f>Intentionally_produced_MPs!F130</f>
        <v>0</v>
      </c>
      <c r="F208" s="235">
        <v>1</v>
      </c>
      <c r="G208" s="40"/>
      <c r="H208" s="29"/>
      <c r="I208" s="9"/>
      <c r="J208" s="9"/>
      <c r="K208" s="9"/>
      <c r="L208" s="9"/>
      <c r="M208" s="9"/>
      <c r="N208" s="186" t="str">
        <f t="shared" si="14"/>
        <v/>
      </c>
      <c r="O208" s="160" t="str">
        <f t="shared" si="15"/>
        <v/>
      </c>
      <c r="P208" s="63"/>
    </row>
    <row r="209" spans="1:16" hidden="1">
      <c r="A209" s="152" t="s">
        <v>37</v>
      </c>
      <c r="B209" s="34" t="s">
        <v>156</v>
      </c>
      <c r="C209" s="40" t="s">
        <v>139</v>
      </c>
      <c r="D209" s="34" t="s">
        <v>89</v>
      </c>
      <c r="E209" s="260">
        <f>Intentionally_produced_MPs!F131</f>
        <v>0</v>
      </c>
      <c r="F209" s="235">
        <v>1</v>
      </c>
      <c r="G209" s="40"/>
      <c r="H209" s="29"/>
      <c r="I209" s="9"/>
      <c r="J209" s="9"/>
      <c r="K209" s="9"/>
      <c r="L209" s="9"/>
      <c r="M209" s="9"/>
      <c r="N209" s="186" t="str">
        <f t="shared" si="14"/>
        <v/>
      </c>
      <c r="O209" s="160" t="str">
        <f t="shared" si="15"/>
        <v/>
      </c>
      <c r="P209" s="63"/>
    </row>
    <row r="210" spans="1:16" hidden="1">
      <c r="A210" s="152" t="s">
        <v>37</v>
      </c>
      <c r="B210" s="34" t="s">
        <v>156</v>
      </c>
      <c r="C210" s="40" t="s">
        <v>139</v>
      </c>
      <c r="D210" s="34" t="s">
        <v>90</v>
      </c>
      <c r="E210" s="260">
        <f>Intentionally_produced_MPs!F132</f>
        <v>0.88888888888888895</v>
      </c>
      <c r="F210" s="235">
        <v>1</v>
      </c>
      <c r="G210" s="40"/>
      <c r="H210" s="29">
        <v>3</v>
      </c>
      <c r="I210" s="9">
        <v>2</v>
      </c>
      <c r="J210" s="9">
        <v>3</v>
      </c>
      <c r="K210" s="9">
        <v>3</v>
      </c>
      <c r="L210" s="9">
        <v>3</v>
      </c>
      <c r="M210" s="9">
        <v>3</v>
      </c>
      <c r="N210" s="186">
        <f t="shared" si="14"/>
        <v>1.2132328390150593</v>
      </c>
      <c r="O210" s="160">
        <f t="shared" si="15"/>
        <v>1.1713319510247036</v>
      </c>
      <c r="P210" s="63"/>
    </row>
    <row r="211" spans="1:16" hidden="1">
      <c r="A211" s="152" t="s">
        <v>37</v>
      </c>
      <c r="B211" s="34" t="s">
        <v>156</v>
      </c>
      <c r="C211" s="40" t="s">
        <v>139</v>
      </c>
      <c r="D211" s="34" t="s">
        <v>91</v>
      </c>
      <c r="E211" s="260">
        <f>Intentionally_produced_MPs!F133</f>
        <v>0</v>
      </c>
      <c r="F211" s="235">
        <v>1</v>
      </c>
      <c r="G211" s="40"/>
      <c r="H211" s="29"/>
      <c r="I211" s="9"/>
      <c r="J211" s="9"/>
      <c r="K211" s="9"/>
      <c r="L211" s="9"/>
      <c r="M211" s="9"/>
      <c r="N211" s="186" t="str">
        <f t="shared" si="14"/>
        <v/>
      </c>
      <c r="O211" s="160" t="str">
        <f t="shared" si="15"/>
        <v/>
      </c>
      <c r="P211" s="63"/>
    </row>
    <row r="212" spans="1:16" hidden="1">
      <c r="A212" s="152" t="s">
        <v>37</v>
      </c>
      <c r="B212" s="34" t="s">
        <v>156</v>
      </c>
      <c r="C212" s="40" t="s">
        <v>139</v>
      </c>
      <c r="D212" s="34" t="s">
        <v>92</v>
      </c>
      <c r="E212" s="260">
        <f>Intentionally_produced_MPs!F134</f>
        <v>0</v>
      </c>
      <c r="F212" s="235">
        <v>1</v>
      </c>
      <c r="G212" s="40"/>
      <c r="H212" s="29"/>
      <c r="I212" s="9"/>
      <c r="J212" s="9"/>
      <c r="K212" s="9"/>
      <c r="L212" s="9"/>
      <c r="M212" s="9"/>
      <c r="N212" s="186" t="str">
        <f t="shared" ref="N212:N243" si="16">IF( OR( ISBLANK(H212),ISBLANK(J212), ISBLANK(K212), ISBLANK(L212), ISBLANK(M212) ), "", 1.5*SQRT(   EXP(2.21*(H212-1)) + EXP(2.21*(J212-1)) + EXP(2.21*(K212-1)) + EXP(2.21*(L212-1)) + EXP(2.21*M212)   )/100*2.45 )</f>
        <v/>
      </c>
      <c r="O212" s="160" t="str">
        <f t="shared" si="15"/>
        <v/>
      </c>
      <c r="P212" s="63"/>
    </row>
    <row r="213" spans="1:16" hidden="1">
      <c r="A213" s="152" t="s">
        <v>37</v>
      </c>
      <c r="B213" s="34" t="s">
        <v>156</v>
      </c>
      <c r="C213" s="40" t="s">
        <v>139</v>
      </c>
      <c r="D213" s="34" t="s">
        <v>93</v>
      </c>
      <c r="E213" s="260">
        <f>Intentionally_produced_MPs!F135</f>
        <v>7.5795900719019996E-2</v>
      </c>
      <c r="F213" s="235">
        <v>1</v>
      </c>
      <c r="G213" s="40"/>
      <c r="H213" s="29">
        <v>3</v>
      </c>
      <c r="I213" s="9">
        <v>2</v>
      </c>
      <c r="J213" s="9">
        <v>3</v>
      </c>
      <c r="K213" s="9">
        <v>3</v>
      </c>
      <c r="L213" s="9">
        <v>3</v>
      </c>
      <c r="M213" s="9">
        <v>3</v>
      </c>
      <c r="N213" s="186">
        <f t="shared" si="16"/>
        <v>1.2132328390150593</v>
      </c>
      <c r="O213" s="160">
        <f t="shared" si="15"/>
        <v>1.1713319510247036</v>
      </c>
      <c r="P213" s="63"/>
    </row>
    <row r="214" spans="1:16" hidden="1">
      <c r="A214" s="152" t="s">
        <v>37</v>
      </c>
      <c r="B214" s="34" t="s">
        <v>156</v>
      </c>
      <c r="C214" s="40" t="s">
        <v>139</v>
      </c>
      <c r="D214" s="34" t="s">
        <v>94</v>
      </c>
      <c r="E214" s="260">
        <f>Intentionally_produced_MPs!F136</f>
        <v>0</v>
      </c>
      <c r="F214" s="235">
        <v>1</v>
      </c>
      <c r="G214" s="40"/>
      <c r="H214" s="29"/>
      <c r="I214" s="9"/>
      <c r="J214" s="9"/>
      <c r="K214" s="9"/>
      <c r="L214" s="9"/>
      <c r="M214" s="9"/>
      <c r="N214" s="186" t="str">
        <f t="shared" si="16"/>
        <v/>
      </c>
      <c r="O214" s="160" t="str">
        <f t="shared" si="15"/>
        <v/>
      </c>
      <c r="P214" s="63"/>
    </row>
    <row r="215" spans="1:16" hidden="1">
      <c r="A215" s="152" t="s">
        <v>37</v>
      </c>
      <c r="B215" s="34" t="s">
        <v>156</v>
      </c>
      <c r="C215" s="40" t="s">
        <v>139</v>
      </c>
      <c r="D215" s="34" t="s">
        <v>95</v>
      </c>
      <c r="E215" s="260">
        <f>Intentionally_produced_MPs!F137</f>
        <v>0.70934316508109096</v>
      </c>
      <c r="F215" s="235">
        <v>1</v>
      </c>
      <c r="G215" s="40"/>
      <c r="H215" s="29">
        <v>3</v>
      </c>
      <c r="I215" s="9">
        <v>2</v>
      </c>
      <c r="J215" s="9">
        <v>3</v>
      </c>
      <c r="K215" s="9">
        <v>3</v>
      </c>
      <c r="L215" s="9">
        <v>3</v>
      </c>
      <c r="M215" s="9">
        <v>3</v>
      </c>
      <c r="N215" s="186">
        <f t="shared" si="16"/>
        <v>1.2132328390150593</v>
      </c>
      <c r="O215" s="160">
        <f t="shared" si="15"/>
        <v>1.1713319510247036</v>
      </c>
      <c r="P215" s="63"/>
    </row>
    <row r="216" spans="1:16" hidden="1">
      <c r="A216" s="152" t="s">
        <v>37</v>
      </c>
      <c r="B216" s="34" t="s">
        <v>156</v>
      </c>
      <c r="C216" s="40" t="s">
        <v>139</v>
      </c>
      <c r="D216" s="34" t="s">
        <v>96</v>
      </c>
      <c r="E216" s="260">
        <f>Intentionally_produced_MPs!F138</f>
        <v>0</v>
      </c>
      <c r="F216" s="235">
        <v>1</v>
      </c>
      <c r="G216" s="40"/>
      <c r="H216" s="29"/>
      <c r="I216" s="9"/>
      <c r="J216" s="9"/>
      <c r="K216" s="9"/>
      <c r="L216" s="9"/>
      <c r="M216" s="9"/>
      <c r="N216" s="186" t="str">
        <f t="shared" si="16"/>
        <v/>
      </c>
      <c r="O216" s="160" t="str">
        <f t="shared" si="15"/>
        <v/>
      </c>
      <c r="P216" s="63"/>
    </row>
    <row r="217" spans="1:16" hidden="1">
      <c r="A217" s="152" t="s">
        <v>37</v>
      </c>
      <c r="B217" s="34" t="s">
        <v>156</v>
      </c>
      <c r="C217" s="40" t="s">
        <v>139</v>
      </c>
      <c r="D217" s="34" t="s">
        <v>97</v>
      </c>
      <c r="E217" s="260">
        <f>Intentionally_produced_MPs!F139</f>
        <v>0.71338128368314402</v>
      </c>
      <c r="F217" s="235">
        <v>1</v>
      </c>
      <c r="G217" s="40"/>
      <c r="H217" s="29">
        <v>3</v>
      </c>
      <c r="I217" s="9">
        <v>2</v>
      </c>
      <c r="J217" s="9">
        <v>3</v>
      </c>
      <c r="K217" s="9">
        <v>3</v>
      </c>
      <c r="L217" s="9">
        <v>3</v>
      </c>
      <c r="M217" s="9">
        <v>3</v>
      </c>
      <c r="N217" s="186">
        <f t="shared" si="16"/>
        <v>1.2132328390150593</v>
      </c>
      <c r="O217" s="160">
        <f t="shared" si="15"/>
        <v>1.1713319510247036</v>
      </c>
      <c r="P217" s="63"/>
    </row>
    <row r="218" spans="1:16" hidden="1">
      <c r="A218" s="152" t="s">
        <v>37</v>
      </c>
      <c r="B218" s="34" t="s">
        <v>156</v>
      </c>
      <c r="C218" s="40" t="s">
        <v>139</v>
      </c>
      <c r="D218" s="34" t="s">
        <v>98</v>
      </c>
      <c r="E218" s="260">
        <f>Intentionally_produced_MPs!F140</f>
        <v>0.3279842619534431</v>
      </c>
      <c r="F218" s="235">
        <v>1</v>
      </c>
      <c r="G218" s="40"/>
      <c r="H218" s="29">
        <v>3</v>
      </c>
      <c r="I218" s="9">
        <v>2</v>
      </c>
      <c r="J218" s="9">
        <v>3</v>
      </c>
      <c r="K218" s="9">
        <v>3</v>
      </c>
      <c r="L218" s="9">
        <v>3</v>
      </c>
      <c r="M218" s="9">
        <v>3</v>
      </c>
      <c r="N218" s="186">
        <f t="shared" si="16"/>
        <v>1.2132328390150593</v>
      </c>
      <c r="O218" s="160">
        <f t="shared" si="15"/>
        <v>1.1713319510247036</v>
      </c>
      <c r="P218" s="63"/>
    </row>
    <row r="219" spans="1:16" hidden="1">
      <c r="A219" s="152" t="s">
        <v>37</v>
      </c>
      <c r="B219" s="34" t="s">
        <v>227</v>
      </c>
      <c r="C219" s="40" t="s">
        <v>139</v>
      </c>
      <c r="D219" s="34" t="s">
        <v>85</v>
      </c>
      <c r="E219" s="260">
        <f>Intentionally_produced_MPs!D127</f>
        <v>0</v>
      </c>
      <c r="F219" s="235">
        <v>1</v>
      </c>
      <c r="G219" s="40"/>
      <c r="H219" s="29"/>
      <c r="I219" s="9"/>
      <c r="J219" s="9"/>
      <c r="K219" s="9"/>
      <c r="L219" s="9"/>
      <c r="M219" s="9"/>
      <c r="N219" s="186" t="str">
        <f t="shared" si="16"/>
        <v/>
      </c>
      <c r="O219" s="160" t="str">
        <f t="shared" si="15"/>
        <v/>
      </c>
      <c r="P219" s="63"/>
    </row>
    <row r="220" spans="1:16" hidden="1">
      <c r="A220" s="152" t="s">
        <v>37</v>
      </c>
      <c r="B220" s="34" t="s">
        <v>227</v>
      </c>
      <c r="C220" s="40" t="s">
        <v>139</v>
      </c>
      <c r="D220" s="34" t="s">
        <v>86</v>
      </c>
      <c r="E220" s="260">
        <f>Intentionally_produced_MPs!D128</f>
        <v>0</v>
      </c>
      <c r="F220" s="235">
        <v>1</v>
      </c>
      <c r="G220" s="40"/>
      <c r="H220" s="29"/>
      <c r="I220" s="9"/>
      <c r="J220" s="9"/>
      <c r="K220" s="9"/>
      <c r="L220" s="9"/>
      <c r="M220" s="9"/>
      <c r="N220" s="186" t="str">
        <f t="shared" si="16"/>
        <v/>
      </c>
      <c r="O220" s="160" t="str">
        <f t="shared" si="15"/>
        <v/>
      </c>
      <c r="P220" s="63"/>
    </row>
    <row r="221" spans="1:16" hidden="1">
      <c r="A221" s="152" t="s">
        <v>37</v>
      </c>
      <c r="B221" s="34" t="s">
        <v>227</v>
      </c>
      <c r="C221" s="40" t="s">
        <v>139</v>
      </c>
      <c r="D221" s="34" t="s">
        <v>87</v>
      </c>
      <c r="E221" s="260">
        <f>Intentionally_produced_MPs!D129</f>
        <v>0</v>
      </c>
      <c r="F221" s="235">
        <v>1</v>
      </c>
      <c r="G221" s="40"/>
      <c r="H221" s="29"/>
      <c r="I221" s="9"/>
      <c r="J221" s="9"/>
      <c r="K221" s="9"/>
      <c r="L221" s="9"/>
      <c r="M221" s="9"/>
      <c r="N221" s="186" t="str">
        <f t="shared" si="16"/>
        <v/>
      </c>
      <c r="O221" s="160" t="str">
        <f t="shared" si="15"/>
        <v/>
      </c>
      <c r="P221" s="63"/>
    </row>
    <row r="222" spans="1:16" hidden="1">
      <c r="A222" s="152" t="s">
        <v>37</v>
      </c>
      <c r="B222" s="34" t="s">
        <v>227</v>
      </c>
      <c r="C222" s="40" t="s">
        <v>139</v>
      </c>
      <c r="D222" s="34" t="s">
        <v>88</v>
      </c>
      <c r="E222" s="260">
        <f>Intentionally_produced_MPs!D130</f>
        <v>0</v>
      </c>
      <c r="F222" s="235">
        <v>1</v>
      </c>
      <c r="G222" s="40"/>
      <c r="H222" s="29"/>
      <c r="I222" s="9"/>
      <c r="J222" s="9"/>
      <c r="K222" s="9"/>
      <c r="L222" s="9"/>
      <c r="M222" s="9"/>
      <c r="N222" s="186" t="str">
        <f t="shared" si="16"/>
        <v/>
      </c>
      <c r="O222" s="160" t="str">
        <f t="shared" si="15"/>
        <v/>
      </c>
      <c r="P222" s="63"/>
    </row>
    <row r="223" spans="1:16" hidden="1">
      <c r="A223" s="152" t="s">
        <v>37</v>
      </c>
      <c r="B223" s="34" t="s">
        <v>227</v>
      </c>
      <c r="C223" s="40" t="s">
        <v>139</v>
      </c>
      <c r="D223" s="34" t="s">
        <v>89</v>
      </c>
      <c r="E223" s="260">
        <f>Intentionally_produced_MPs!D131</f>
        <v>0</v>
      </c>
      <c r="F223" s="235">
        <v>1</v>
      </c>
      <c r="G223" s="40"/>
      <c r="H223" s="29"/>
      <c r="I223" s="9"/>
      <c r="J223" s="9"/>
      <c r="K223" s="9"/>
      <c r="L223" s="9"/>
      <c r="M223" s="9"/>
      <c r="N223" s="186" t="str">
        <f t="shared" si="16"/>
        <v/>
      </c>
      <c r="O223" s="160" t="str">
        <f t="shared" si="15"/>
        <v/>
      </c>
      <c r="P223" s="63"/>
    </row>
    <row r="224" spans="1:16" hidden="1">
      <c r="A224" s="152" t="s">
        <v>37</v>
      </c>
      <c r="B224" s="34" t="s">
        <v>227</v>
      </c>
      <c r="C224" s="40" t="s">
        <v>139</v>
      </c>
      <c r="D224" s="34" t="s">
        <v>90</v>
      </c>
      <c r="E224" s="260">
        <f>Intentionally_produced_MPs!D132</f>
        <v>0</v>
      </c>
      <c r="F224" s="235">
        <v>1</v>
      </c>
      <c r="G224" s="40"/>
      <c r="H224" s="29"/>
      <c r="I224" s="9"/>
      <c r="J224" s="9"/>
      <c r="K224" s="9"/>
      <c r="L224" s="9"/>
      <c r="M224" s="9"/>
      <c r="N224" s="186" t="str">
        <f t="shared" si="16"/>
        <v/>
      </c>
      <c r="O224" s="160" t="str">
        <f t="shared" si="15"/>
        <v/>
      </c>
      <c r="P224" s="63"/>
    </row>
    <row r="225" spans="1:868" hidden="1">
      <c r="A225" s="152" t="s">
        <v>37</v>
      </c>
      <c r="B225" s="34" t="s">
        <v>227</v>
      </c>
      <c r="C225" s="40" t="s">
        <v>139</v>
      </c>
      <c r="D225" s="34" t="s">
        <v>91</v>
      </c>
      <c r="E225" s="260">
        <f>Intentionally_produced_MPs!D133</f>
        <v>0.68888053925336512</v>
      </c>
      <c r="F225" s="235">
        <v>1</v>
      </c>
      <c r="G225" s="40"/>
      <c r="H225" s="29">
        <v>3</v>
      </c>
      <c r="I225" s="9">
        <v>2</v>
      </c>
      <c r="J225" s="9">
        <v>3</v>
      </c>
      <c r="K225" s="9">
        <v>3</v>
      </c>
      <c r="L225" s="9">
        <v>3</v>
      </c>
      <c r="M225" s="9">
        <v>3</v>
      </c>
      <c r="N225" s="186">
        <f t="shared" si="16"/>
        <v>1.2132328390150593</v>
      </c>
      <c r="O225" s="160">
        <f t="shared" si="15"/>
        <v>1.1713319510247036</v>
      </c>
      <c r="P225" s="63"/>
    </row>
    <row r="226" spans="1:868" hidden="1">
      <c r="A226" s="152" t="s">
        <v>37</v>
      </c>
      <c r="B226" s="34" t="s">
        <v>227</v>
      </c>
      <c r="C226" s="40" t="s">
        <v>139</v>
      </c>
      <c r="D226" s="34" t="s">
        <v>92</v>
      </c>
      <c r="E226" s="260">
        <f>Intentionally_produced_MPs!D134</f>
        <v>0</v>
      </c>
      <c r="F226" s="235">
        <v>1</v>
      </c>
      <c r="G226" s="40"/>
      <c r="H226" s="29"/>
      <c r="I226" s="9"/>
      <c r="J226" s="9"/>
      <c r="K226" s="9"/>
      <c r="L226" s="9"/>
      <c r="M226" s="9"/>
      <c r="N226" s="186" t="str">
        <f t="shared" si="16"/>
        <v/>
      </c>
      <c r="O226" s="160" t="str">
        <f t="shared" si="15"/>
        <v/>
      </c>
      <c r="P226" s="63"/>
    </row>
    <row r="227" spans="1:868" hidden="1">
      <c r="A227" s="152" t="s">
        <v>37</v>
      </c>
      <c r="B227" s="34" t="s">
        <v>227</v>
      </c>
      <c r="C227" s="40" t="s">
        <v>139</v>
      </c>
      <c r="D227" s="34" t="s">
        <v>93</v>
      </c>
      <c r="E227" s="260">
        <f>Intentionally_produced_MPs!D135</f>
        <v>0.67917586906964822</v>
      </c>
      <c r="F227" s="235">
        <v>1</v>
      </c>
      <c r="G227" s="40"/>
      <c r="H227" s="29">
        <v>3</v>
      </c>
      <c r="I227" s="9">
        <v>2</v>
      </c>
      <c r="J227" s="9">
        <v>3</v>
      </c>
      <c r="K227" s="9">
        <v>3</v>
      </c>
      <c r="L227" s="9">
        <v>3</v>
      </c>
      <c r="M227" s="9">
        <v>3</v>
      </c>
      <c r="N227" s="186">
        <f t="shared" si="16"/>
        <v>1.2132328390150593</v>
      </c>
      <c r="O227" s="160">
        <f t="shared" si="15"/>
        <v>1.1713319510247036</v>
      </c>
      <c r="P227" s="63"/>
    </row>
    <row r="228" spans="1:868" hidden="1">
      <c r="A228" s="152" t="s">
        <v>37</v>
      </c>
      <c r="B228" s="34" t="s">
        <v>227</v>
      </c>
      <c r="C228" s="40" t="s">
        <v>139</v>
      </c>
      <c r="D228" s="34" t="s">
        <v>94</v>
      </c>
      <c r="E228" s="260">
        <f>Intentionally_produced_MPs!D136</f>
        <v>0</v>
      </c>
      <c r="F228" s="235">
        <v>1</v>
      </c>
      <c r="G228" s="40"/>
      <c r="H228" s="29"/>
      <c r="I228" s="9"/>
      <c r="J228" s="9"/>
      <c r="K228" s="9"/>
      <c r="L228" s="9"/>
      <c r="M228" s="9"/>
      <c r="N228" s="186" t="str">
        <f t="shared" si="16"/>
        <v/>
      </c>
      <c r="O228" s="160" t="str">
        <f t="shared" si="15"/>
        <v/>
      </c>
      <c r="P228" s="63"/>
    </row>
    <row r="229" spans="1:868" hidden="1">
      <c r="A229" s="152" t="s">
        <v>37</v>
      </c>
      <c r="B229" s="34" t="s">
        <v>227</v>
      </c>
      <c r="C229" s="40" t="s">
        <v>139</v>
      </c>
      <c r="D229" s="34" t="s">
        <v>95</v>
      </c>
      <c r="E229" s="260">
        <f>Intentionally_produced_MPs!D137</f>
        <v>0.19632840585737768</v>
      </c>
      <c r="F229" s="235">
        <v>1</v>
      </c>
      <c r="G229" s="40"/>
      <c r="H229" s="29">
        <v>3</v>
      </c>
      <c r="I229" s="9">
        <v>2</v>
      </c>
      <c r="J229" s="9">
        <v>3</v>
      </c>
      <c r="K229" s="9">
        <v>3</v>
      </c>
      <c r="L229" s="9">
        <v>3</v>
      </c>
      <c r="M229" s="9">
        <v>3</v>
      </c>
      <c r="N229" s="186">
        <f t="shared" si="16"/>
        <v>1.2132328390150593</v>
      </c>
      <c r="O229" s="160">
        <f t="shared" si="15"/>
        <v>1.1713319510247036</v>
      </c>
      <c r="P229" s="63"/>
    </row>
    <row r="230" spans="1:868" hidden="1">
      <c r="A230" s="152" t="s">
        <v>37</v>
      </c>
      <c r="B230" s="34" t="s">
        <v>227</v>
      </c>
      <c r="C230" s="40" t="s">
        <v>139</v>
      </c>
      <c r="D230" s="34" t="s">
        <v>96</v>
      </c>
      <c r="E230" s="260">
        <f>Intentionally_produced_MPs!D138</f>
        <v>0</v>
      </c>
      <c r="F230" s="235">
        <v>1</v>
      </c>
      <c r="G230" s="40"/>
      <c r="H230" s="29"/>
      <c r="I230" s="9"/>
      <c r="J230" s="9"/>
      <c r="K230" s="9"/>
      <c r="L230" s="9"/>
      <c r="M230" s="9"/>
      <c r="N230" s="186" t="str">
        <f t="shared" si="16"/>
        <v/>
      </c>
      <c r="O230" s="160" t="str">
        <f t="shared" si="15"/>
        <v/>
      </c>
      <c r="P230" s="63"/>
    </row>
    <row r="231" spans="1:868" hidden="1">
      <c r="A231" s="152" t="s">
        <v>37</v>
      </c>
      <c r="B231" s="34" t="s">
        <v>227</v>
      </c>
      <c r="C231" s="40" t="s">
        <v>139</v>
      </c>
      <c r="D231" s="34" t="s">
        <v>97</v>
      </c>
      <c r="E231" s="260">
        <f>Intentionally_produced_MPs!D139</f>
        <v>0.19744605585646305</v>
      </c>
      <c r="F231" s="235">
        <v>1</v>
      </c>
      <c r="G231" s="40"/>
      <c r="H231" s="29">
        <v>3</v>
      </c>
      <c r="I231" s="9">
        <v>2</v>
      </c>
      <c r="J231" s="9">
        <v>3</v>
      </c>
      <c r="K231" s="9">
        <v>3</v>
      </c>
      <c r="L231" s="9">
        <v>3</v>
      </c>
      <c r="M231" s="9">
        <v>3</v>
      </c>
      <c r="N231" s="186">
        <f t="shared" si="16"/>
        <v>1.2132328390150593</v>
      </c>
      <c r="O231" s="160">
        <f t="shared" si="15"/>
        <v>1.1713319510247036</v>
      </c>
      <c r="P231" s="63"/>
    </row>
    <row r="232" spans="1:868" hidden="1">
      <c r="A232" s="152" t="s">
        <v>37</v>
      </c>
      <c r="B232" s="34" t="s">
        <v>227</v>
      </c>
      <c r="C232" s="40" t="s">
        <v>139</v>
      </c>
      <c r="D232" s="34" t="s">
        <v>98</v>
      </c>
      <c r="E232" s="260">
        <f>Intentionally_produced_MPs!D140</f>
        <v>3.7824092334929553E-4</v>
      </c>
      <c r="F232" s="235">
        <v>1</v>
      </c>
      <c r="G232" s="40"/>
      <c r="H232" s="29">
        <v>3</v>
      </c>
      <c r="I232" s="9">
        <v>2</v>
      </c>
      <c r="J232" s="9">
        <v>3</v>
      </c>
      <c r="K232" s="9">
        <v>3</v>
      </c>
      <c r="L232" s="9">
        <v>3</v>
      </c>
      <c r="M232" s="9">
        <v>3</v>
      </c>
      <c r="N232" s="186">
        <f t="shared" si="16"/>
        <v>1.2132328390150593</v>
      </c>
      <c r="O232" s="160">
        <f t="shared" si="15"/>
        <v>1.1713319510247036</v>
      </c>
      <c r="P232" s="63"/>
    </row>
    <row r="233" spans="1:868" hidden="1">
      <c r="A233" s="292" t="s">
        <v>191</v>
      </c>
      <c r="B233" s="55" t="s">
        <v>228</v>
      </c>
      <c r="C233" s="265" t="s">
        <v>139</v>
      </c>
      <c r="D233" s="55" t="s">
        <v>139</v>
      </c>
      <c r="E233" s="260">
        <v>0.32862055789071459</v>
      </c>
      <c r="F233" s="235">
        <v>2</v>
      </c>
      <c r="G233" s="265" t="s">
        <v>163</v>
      </c>
      <c r="H233" s="29">
        <v>2</v>
      </c>
      <c r="I233" s="9">
        <v>2</v>
      </c>
      <c r="J233" s="9">
        <v>3</v>
      </c>
      <c r="K233" s="9">
        <v>1</v>
      </c>
      <c r="L233" s="9">
        <v>1</v>
      </c>
      <c r="M233" s="9">
        <v>1</v>
      </c>
      <c r="N233" s="186">
        <f t="shared" si="16"/>
        <v>0.37356464144298934</v>
      </c>
      <c r="O233" s="160">
        <f t="shared" si="15"/>
        <v>0.37356464144298934</v>
      </c>
      <c r="P233" s="63" t="s">
        <v>229</v>
      </c>
    </row>
    <row r="234" spans="1:868" hidden="1">
      <c r="A234" s="292" t="s">
        <v>191</v>
      </c>
      <c r="B234" s="55" t="s">
        <v>228</v>
      </c>
      <c r="C234" s="265" t="s">
        <v>139</v>
      </c>
      <c r="D234" s="55" t="s">
        <v>139</v>
      </c>
      <c r="E234" s="260">
        <v>0.42525351651946353</v>
      </c>
      <c r="F234" s="235">
        <v>2</v>
      </c>
      <c r="G234" s="265" t="s">
        <v>163</v>
      </c>
      <c r="H234" s="29">
        <v>2</v>
      </c>
      <c r="I234" s="9">
        <v>2</v>
      </c>
      <c r="J234" s="9">
        <v>3</v>
      </c>
      <c r="K234" s="9">
        <v>1</v>
      </c>
      <c r="L234" s="9">
        <v>1</v>
      </c>
      <c r="M234" s="9">
        <v>1</v>
      </c>
      <c r="N234" s="186">
        <f t="shared" si="16"/>
        <v>0.37356464144298934</v>
      </c>
      <c r="O234" s="160">
        <f t="shared" si="15"/>
        <v>0.37356464144298934</v>
      </c>
      <c r="P234" s="63" t="s">
        <v>230</v>
      </c>
    </row>
    <row r="235" spans="1:868" hidden="1">
      <c r="A235" s="292" t="s">
        <v>191</v>
      </c>
      <c r="B235" s="55" t="s">
        <v>231</v>
      </c>
      <c r="C235" s="265" t="s">
        <v>139</v>
      </c>
      <c r="D235" s="55" t="s">
        <v>139</v>
      </c>
      <c r="E235" s="260">
        <v>0</v>
      </c>
      <c r="F235" s="235">
        <v>2</v>
      </c>
      <c r="G235" s="265" t="s">
        <v>163</v>
      </c>
      <c r="H235" s="29"/>
      <c r="I235" s="9"/>
      <c r="J235" s="9"/>
      <c r="K235" s="9"/>
      <c r="L235" s="9"/>
      <c r="M235" s="9"/>
      <c r="N235" s="186" t="str">
        <f t="shared" si="16"/>
        <v/>
      </c>
      <c r="O235" s="160" t="str">
        <f t="shared" si="15"/>
        <v/>
      </c>
      <c r="P235" s="63"/>
    </row>
    <row r="236" spans="1:868" hidden="1">
      <c r="A236" s="292" t="s">
        <v>191</v>
      </c>
      <c r="B236" s="55" t="s">
        <v>232</v>
      </c>
      <c r="C236" s="265" t="s">
        <v>139</v>
      </c>
      <c r="D236" s="55" t="s">
        <v>139</v>
      </c>
      <c r="E236" s="260" t="s">
        <v>150</v>
      </c>
      <c r="F236" s="235">
        <v>1</v>
      </c>
      <c r="G236" s="265" t="s">
        <v>168</v>
      </c>
      <c r="H236" s="29"/>
      <c r="I236" s="9"/>
      <c r="J236" s="9"/>
      <c r="K236" s="9"/>
      <c r="L236" s="9"/>
      <c r="M236" s="9"/>
      <c r="N236" s="186" t="str">
        <f t="shared" si="16"/>
        <v/>
      </c>
      <c r="O236" s="160" t="str">
        <f t="shared" si="15"/>
        <v/>
      </c>
      <c r="P236" s="63" t="s">
        <v>233</v>
      </c>
    </row>
    <row r="237" spans="1:868" hidden="1">
      <c r="A237" s="152" t="s">
        <v>112</v>
      </c>
      <c r="B237" s="34" t="s">
        <v>234</v>
      </c>
      <c r="C237" s="40" t="s">
        <v>139</v>
      </c>
      <c r="D237" s="34" t="s">
        <v>85</v>
      </c>
      <c r="E237" s="260">
        <v>0</v>
      </c>
      <c r="F237" s="235">
        <v>1</v>
      </c>
      <c r="G237" s="40"/>
      <c r="H237" s="29"/>
      <c r="I237" s="9"/>
      <c r="J237" s="9"/>
      <c r="K237" s="9"/>
      <c r="L237" s="9"/>
      <c r="M237" s="9"/>
      <c r="N237" s="186" t="str">
        <f t="shared" si="16"/>
        <v/>
      </c>
      <c r="O237" s="160" t="str">
        <f t="shared" si="15"/>
        <v/>
      </c>
      <c r="P237" s="63"/>
    </row>
    <row r="238" spans="1:868" hidden="1">
      <c r="A238" s="152" t="s">
        <v>112</v>
      </c>
      <c r="B238" s="34" t="s">
        <v>234</v>
      </c>
      <c r="C238" s="40" t="s">
        <v>139</v>
      </c>
      <c r="D238" s="34" t="s">
        <v>86</v>
      </c>
      <c r="E238" s="260">
        <v>0</v>
      </c>
      <c r="F238" s="235">
        <v>1</v>
      </c>
      <c r="G238" s="40"/>
      <c r="H238" s="29"/>
      <c r="I238" s="9"/>
      <c r="J238" s="9"/>
      <c r="K238" s="9"/>
      <c r="L238" s="9"/>
      <c r="M238" s="9"/>
      <c r="N238" s="186" t="str">
        <f t="shared" si="16"/>
        <v/>
      </c>
      <c r="O238" s="160" t="str">
        <f t="shared" si="15"/>
        <v/>
      </c>
      <c r="P238" s="63"/>
    </row>
    <row r="239" spans="1:868" s="844" customFormat="1" hidden="1">
      <c r="A239" s="152" t="s">
        <v>112</v>
      </c>
      <c r="B239" s="34" t="s">
        <v>234</v>
      </c>
      <c r="C239" s="40" t="s">
        <v>139</v>
      </c>
      <c r="D239" s="34" t="s">
        <v>87</v>
      </c>
      <c r="E239" s="260">
        <v>0</v>
      </c>
      <c r="F239" s="235">
        <v>1</v>
      </c>
      <c r="G239" s="40"/>
      <c r="H239" s="29"/>
      <c r="I239" s="9"/>
      <c r="J239" s="9"/>
      <c r="K239" s="9"/>
      <c r="L239" s="9"/>
      <c r="M239" s="9"/>
      <c r="N239" s="186" t="str">
        <f t="shared" si="16"/>
        <v/>
      </c>
      <c r="O239" s="160" t="str">
        <f t="shared" si="15"/>
        <v/>
      </c>
      <c r="P239" s="63"/>
      <c r="Q239" s="843"/>
      <c r="R239" s="843"/>
      <c r="S239" s="843"/>
      <c r="T239" s="843"/>
      <c r="U239" s="843"/>
      <c r="V239" s="843"/>
      <c r="W239" s="843"/>
      <c r="X239" s="843"/>
      <c r="Y239" s="843"/>
      <c r="Z239" s="843"/>
      <c r="AA239" s="843"/>
      <c r="AB239" s="843"/>
      <c r="AC239" s="843"/>
      <c r="AD239" s="843"/>
      <c r="AE239" s="843"/>
      <c r="AF239" s="843"/>
      <c r="AG239" s="843"/>
      <c r="AH239" s="843"/>
      <c r="AI239" s="843"/>
      <c r="AJ239" s="843"/>
      <c r="AK239" s="843"/>
      <c r="AL239" s="843"/>
      <c r="AM239" s="843"/>
      <c r="AN239" s="843"/>
      <c r="AO239" s="843"/>
      <c r="AP239" s="843"/>
      <c r="AQ239" s="843"/>
      <c r="AR239" s="843"/>
      <c r="AS239" s="843"/>
      <c r="AT239" s="843"/>
      <c r="AU239" s="843"/>
      <c r="AV239" s="843"/>
      <c r="AW239" s="843"/>
      <c r="AX239" s="843"/>
      <c r="AY239" s="843"/>
      <c r="AZ239" s="843"/>
      <c r="BA239" s="843"/>
      <c r="BB239" s="843"/>
      <c r="BC239" s="843"/>
      <c r="BD239" s="843"/>
      <c r="BE239" s="843"/>
      <c r="BF239" s="843"/>
      <c r="BG239" s="843"/>
      <c r="BH239" s="843"/>
      <c r="BI239" s="843"/>
      <c r="BJ239" s="843"/>
      <c r="BK239" s="843"/>
      <c r="BL239" s="843"/>
      <c r="BM239" s="843"/>
      <c r="BN239" s="843"/>
      <c r="BO239" s="843"/>
      <c r="BP239" s="843"/>
      <c r="BQ239" s="843"/>
      <c r="BR239" s="843"/>
      <c r="BS239" s="843"/>
      <c r="BT239" s="843"/>
      <c r="BU239" s="843"/>
      <c r="BV239" s="843"/>
      <c r="BW239" s="843"/>
      <c r="BX239" s="843"/>
      <c r="BY239" s="843"/>
      <c r="BZ239" s="843"/>
      <c r="CA239" s="843"/>
      <c r="CB239" s="843"/>
      <c r="CC239" s="843"/>
      <c r="CD239" s="843"/>
      <c r="CE239" s="843"/>
      <c r="CF239" s="843"/>
      <c r="CG239" s="843"/>
      <c r="CH239" s="843"/>
      <c r="CI239" s="843"/>
      <c r="CJ239" s="843"/>
      <c r="CK239" s="843"/>
      <c r="CL239" s="843"/>
      <c r="CM239" s="843"/>
      <c r="CN239" s="843"/>
      <c r="CO239" s="843"/>
      <c r="CP239" s="843"/>
      <c r="CQ239" s="843"/>
      <c r="CR239" s="843"/>
      <c r="CS239" s="843"/>
      <c r="CT239" s="843"/>
      <c r="CU239" s="843"/>
      <c r="CV239" s="843"/>
      <c r="CW239" s="843"/>
      <c r="CX239" s="843"/>
      <c r="CY239" s="843"/>
      <c r="CZ239" s="843"/>
      <c r="DA239" s="843"/>
      <c r="DB239" s="843"/>
      <c r="DC239" s="843"/>
      <c r="DD239" s="843"/>
      <c r="DE239" s="843"/>
      <c r="DF239" s="843"/>
      <c r="DG239" s="843"/>
      <c r="DH239" s="843"/>
      <c r="DI239" s="843"/>
      <c r="DJ239" s="843"/>
      <c r="DK239" s="843"/>
      <c r="DL239" s="843"/>
      <c r="DM239" s="843"/>
      <c r="DN239" s="843"/>
      <c r="DO239" s="843"/>
      <c r="DP239" s="843"/>
      <c r="DQ239" s="843"/>
      <c r="DR239" s="843"/>
      <c r="DS239" s="843"/>
      <c r="DT239" s="843"/>
      <c r="DU239" s="843"/>
      <c r="DV239" s="843"/>
      <c r="DW239" s="843"/>
      <c r="DX239" s="843"/>
      <c r="DY239" s="843"/>
      <c r="DZ239" s="843"/>
      <c r="EA239" s="843"/>
      <c r="EB239" s="843"/>
      <c r="EC239" s="843"/>
      <c r="ED239" s="843"/>
      <c r="EE239" s="843"/>
      <c r="EF239" s="843"/>
      <c r="EG239" s="843"/>
      <c r="EH239" s="843"/>
      <c r="EI239" s="843"/>
      <c r="EJ239" s="843"/>
      <c r="EK239" s="843"/>
      <c r="EL239" s="843"/>
      <c r="EM239" s="843"/>
      <c r="EN239" s="843"/>
      <c r="EO239" s="843"/>
      <c r="EP239" s="843"/>
      <c r="EQ239" s="843"/>
      <c r="ER239" s="843"/>
      <c r="ES239" s="843"/>
      <c r="ET239" s="843"/>
      <c r="EU239" s="843"/>
      <c r="EV239" s="843"/>
      <c r="EW239" s="843"/>
      <c r="EX239" s="843"/>
      <c r="EY239" s="843"/>
      <c r="EZ239" s="843"/>
      <c r="FA239" s="843"/>
      <c r="FB239" s="843"/>
      <c r="FC239" s="843"/>
      <c r="FD239" s="843"/>
      <c r="FE239" s="843"/>
      <c r="FF239" s="843"/>
      <c r="FG239" s="843"/>
      <c r="FH239" s="843"/>
      <c r="FI239" s="843"/>
      <c r="FJ239" s="843"/>
      <c r="FK239" s="843"/>
      <c r="FL239" s="843"/>
      <c r="FM239" s="843"/>
      <c r="FN239" s="843"/>
      <c r="FO239" s="843"/>
      <c r="FP239" s="843"/>
      <c r="FQ239" s="843"/>
      <c r="FR239" s="843"/>
      <c r="FS239" s="843"/>
      <c r="FT239" s="843"/>
      <c r="FU239" s="843"/>
      <c r="FV239" s="843"/>
      <c r="FW239" s="843"/>
      <c r="FX239" s="843"/>
      <c r="FY239" s="843"/>
      <c r="FZ239" s="843"/>
      <c r="GA239" s="843"/>
      <c r="GB239" s="843"/>
      <c r="GC239" s="843"/>
      <c r="GD239" s="843"/>
      <c r="GE239" s="843"/>
      <c r="GF239" s="843"/>
      <c r="GG239" s="843"/>
      <c r="GH239" s="843"/>
      <c r="GI239" s="843"/>
      <c r="GJ239" s="843"/>
      <c r="GK239" s="843"/>
      <c r="GL239" s="843"/>
      <c r="GM239" s="843"/>
      <c r="GN239" s="843"/>
      <c r="GO239" s="843"/>
      <c r="GP239" s="843"/>
      <c r="GQ239" s="843"/>
      <c r="GR239" s="843"/>
      <c r="GS239" s="843"/>
      <c r="GT239" s="843"/>
      <c r="GU239" s="843"/>
      <c r="GV239" s="843"/>
      <c r="GW239" s="843"/>
      <c r="GX239" s="843"/>
      <c r="GY239" s="843"/>
      <c r="GZ239" s="843"/>
      <c r="HA239" s="843"/>
      <c r="HB239" s="843"/>
      <c r="HC239" s="843"/>
      <c r="HD239" s="843"/>
      <c r="HE239" s="843"/>
      <c r="HF239" s="843"/>
      <c r="HG239" s="843"/>
      <c r="HH239" s="843"/>
      <c r="HI239" s="843"/>
      <c r="HJ239" s="843"/>
      <c r="HK239" s="843"/>
      <c r="HL239" s="843"/>
      <c r="HM239" s="843"/>
      <c r="HN239" s="843"/>
      <c r="HO239" s="843"/>
      <c r="HP239" s="843"/>
      <c r="HQ239" s="843"/>
      <c r="HR239" s="843"/>
      <c r="HS239" s="843"/>
      <c r="HT239" s="843"/>
      <c r="HU239" s="843"/>
      <c r="HV239" s="843"/>
      <c r="HW239" s="843"/>
      <c r="HX239" s="843"/>
      <c r="HY239" s="843"/>
      <c r="HZ239" s="843"/>
      <c r="IA239" s="843"/>
      <c r="IB239" s="843"/>
      <c r="IC239" s="843"/>
      <c r="ID239" s="843"/>
      <c r="IE239" s="843"/>
      <c r="IF239" s="843"/>
      <c r="IG239" s="843"/>
      <c r="IH239" s="843"/>
      <c r="II239" s="843"/>
      <c r="IJ239" s="843"/>
      <c r="IK239" s="843"/>
      <c r="IL239" s="843"/>
      <c r="IM239" s="843"/>
      <c r="IN239" s="843"/>
      <c r="IO239" s="843"/>
      <c r="IP239" s="843"/>
      <c r="IQ239" s="843"/>
      <c r="IR239" s="843"/>
      <c r="IS239" s="843"/>
      <c r="IT239" s="843"/>
      <c r="IU239" s="843"/>
      <c r="IV239" s="843"/>
      <c r="IW239" s="843"/>
      <c r="IX239" s="843"/>
      <c r="IY239" s="843"/>
      <c r="IZ239" s="843"/>
      <c r="JA239" s="843"/>
      <c r="JB239" s="843"/>
      <c r="JC239" s="843"/>
      <c r="JD239" s="843"/>
      <c r="JE239" s="843"/>
      <c r="JF239" s="843"/>
      <c r="JG239" s="843"/>
      <c r="JH239" s="843"/>
      <c r="JI239" s="843"/>
      <c r="JJ239" s="843"/>
      <c r="JK239" s="843"/>
      <c r="JL239" s="843"/>
      <c r="JM239" s="843"/>
      <c r="JN239" s="843"/>
      <c r="JO239" s="843"/>
      <c r="JP239" s="843"/>
      <c r="JQ239" s="843"/>
      <c r="JR239" s="843"/>
      <c r="JS239" s="843"/>
      <c r="JT239" s="843"/>
      <c r="JU239" s="843"/>
      <c r="JV239" s="843"/>
      <c r="JW239" s="843"/>
      <c r="JX239" s="843"/>
      <c r="JY239" s="843"/>
      <c r="JZ239" s="843"/>
      <c r="KA239" s="843"/>
      <c r="KB239" s="843"/>
      <c r="KC239" s="843"/>
      <c r="KD239" s="843"/>
      <c r="KE239" s="843"/>
      <c r="KF239" s="843"/>
      <c r="KG239" s="843"/>
      <c r="KH239" s="843"/>
      <c r="KI239" s="843"/>
      <c r="KJ239" s="843"/>
      <c r="KK239" s="843"/>
      <c r="KL239" s="843"/>
      <c r="KM239" s="843"/>
      <c r="KN239" s="843"/>
      <c r="KO239" s="843"/>
      <c r="KP239" s="843"/>
      <c r="KQ239" s="843"/>
      <c r="KR239" s="843"/>
      <c r="KS239" s="843"/>
      <c r="KT239" s="843"/>
      <c r="KU239" s="843"/>
      <c r="KV239" s="843"/>
      <c r="KW239" s="843"/>
      <c r="KX239" s="843"/>
      <c r="KY239" s="843"/>
      <c r="KZ239" s="843"/>
      <c r="LA239" s="843"/>
      <c r="LB239" s="843"/>
      <c r="LC239" s="843"/>
      <c r="LD239" s="843"/>
      <c r="LE239" s="843"/>
      <c r="LF239" s="843"/>
      <c r="LG239" s="843"/>
      <c r="LH239" s="843"/>
      <c r="LI239" s="843"/>
      <c r="LJ239" s="843"/>
      <c r="LK239" s="843"/>
      <c r="LL239" s="843"/>
      <c r="LM239" s="843"/>
      <c r="LN239" s="843"/>
      <c r="LO239" s="843"/>
      <c r="LP239" s="843"/>
      <c r="LQ239" s="843"/>
      <c r="LR239" s="843"/>
      <c r="LS239" s="843"/>
      <c r="LT239" s="843"/>
      <c r="LU239" s="843"/>
      <c r="LV239" s="843"/>
      <c r="LW239" s="843"/>
      <c r="LX239" s="843"/>
      <c r="LY239" s="843"/>
      <c r="LZ239" s="843"/>
      <c r="MA239" s="843"/>
      <c r="MB239" s="843"/>
      <c r="MC239" s="843"/>
      <c r="MD239" s="843"/>
      <c r="ME239" s="843"/>
      <c r="MF239" s="843"/>
      <c r="MG239" s="843"/>
      <c r="MH239" s="843"/>
      <c r="MI239" s="843"/>
      <c r="MJ239" s="843"/>
      <c r="MK239" s="843"/>
      <c r="ML239" s="843"/>
      <c r="MM239" s="843"/>
      <c r="MN239" s="843"/>
      <c r="MO239" s="843"/>
      <c r="MP239" s="843"/>
      <c r="MQ239" s="843"/>
      <c r="MR239" s="843"/>
      <c r="MS239" s="843"/>
      <c r="MT239" s="843"/>
      <c r="MU239" s="843"/>
      <c r="MV239" s="843"/>
      <c r="MW239" s="843"/>
      <c r="MX239" s="843"/>
      <c r="MY239" s="843"/>
      <c r="MZ239" s="843"/>
      <c r="NA239" s="843"/>
      <c r="NB239" s="843"/>
      <c r="NC239" s="843"/>
      <c r="ND239" s="843"/>
      <c r="NE239" s="843"/>
      <c r="NF239" s="843"/>
      <c r="NG239" s="843"/>
      <c r="NH239" s="843"/>
      <c r="NI239" s="843"/>
      <c r="NJ239" s="843"/>
      <c r="NK239" s="843"/>
      <c r="NL239" s="843"/>
      <c r="NM239" s="843"/>
      <c r="NN239" s="843"/>
      <c r="NO239" s="843"/>
      <c r="NP239" s="843"/>
      <c r="NQ239" s="843"/>
      <c r="NR239" s="843"/>
      <c r="NS239" s="843"/>
      <c r="NT239" s="843"/>
      <c r="NU239" s="843"/>
      <c r="NV239" s="843"/>
      <c r="NW239" s="843"/>
      <c r="NX239" s="843"/>
      <c r="NY239" s="843"/>
      <c r="NZ239" s="843"/>
      <c r="OA239" s="843"/>
      <c r="OB239" s="843"/>
      <c r="OC239" s="843"/>
      <c r="OD239" s="843"/>
      <c r="OE239" s="843"/>
      <c r="OF239" s="843"/>
      <c r="OG239" s="843"/>
      <c r="OH239" s="843"/>
      <c r="OI239" s="843"/>
      <c r="OJ239" s="843"/>
      <c r="OK239" s="843"/>
      <c r="OL239" s="843"/>
      <c r="OM239" s="843"/>
      <c r="ON239" s="843"/>
      <c r="OO239" s="843"/>
      <c r="OP239" s="843"/>
      <c r="OQ239" s="843"/>
      <c r="OR239" s="843"/>
      <c r="OS239" s="843"/>
      <c r="OT239" s="843"/>
      <c r="OU239" s="843"/>
      <c r="OV239" s="843"/>
      <c r="OW239" s="843"/>
      <c r="OX239" s="843"/>
      <c r="OY239" s="843"/>
      <c r="OZ239" s="843"/>
      <c r="PA239" s="843"/>
      <c r="PB239" s="843"/>
      <c r="PC239" s="843"/>
      <c r="PD239" s="843"/>
      <c r="PE239" s="843"/>
      <c r="PF239" s="843"/>
      <c r="PG239" s="843"/>
      <c r="PH239" s="843"/>
      <c r="PI239" s="843"/>
      <c r="PJ239" s="843"/>
      <c r="PK239" s="843"/>
      <c r="PL239" s="843"/>
      <c r="PM239" s="843"/>
      <c r="PN239" s="843"/>
      <c r="PO239" s="843"/>
      <c r="PP239" s="843"/>
      <c r="PQ239" s="843"/>
      <c r="PR239" s="843"/>
      <c r="PS239" s="843"/>
      <c r="PT239" s="843"/>
      <c r="PU239" s="843"/>
      <c r="PV239" s="843"/>
      <c r="PW239" s="843"/>
      <c r="PX239" s="843"/>
      <c r="PY239" s="843"/>
      <c r="PZ239" s="843"/>
      <c r="QA239" s="843"/>
      <c r="QB239" s="843"/>
      <c r="QC239" s="843"/>
      <c r="QD239" s="843"/>
      <c r="QE239" s="843"/>
      <c r="QF239" s="843"/>
      <c r="QG239" s="843"/>
      <c r="QH239" s="843"/>
      <c r="QI239" s="843"/>
      <c r="QJ239" s="843"/>
      <c r="QK239" s="843"/>
      <c r="QL239" s="843"/>
      <c r="QM239" s="843"/>
      <c r="QN239" s="843"/>
      <c r="QO239" s="843"/>
      <c r="QP239" s="843"/>
      <c r="QQ239" s="843"/>
      <c r="QR239" s="843"/>
      <c r="QS239" s="843"/>
      <c r="QT239" s="843"/>
      <c r="QU239" s="843"/>
      <c r="QV239" s="843"/>
      <c r="QW239" s="843"/>
      <c r="QX239" s="843"/>
      <c r="QY239" s="843"/>
      <c r="QZ239" s="843"/>
      <c r="RA239" s="843"/>
      <c r="RB239" s="843"/>
      <c r="RC239" s="843"/>
      <c r="RD239" s="843"/>
      <c r="RE239" s="843"/>
      <c r="RF239" s="843"/>
      <c r="RG239" s="843"/>
      <c r="RH239" s="843"/>
      <c r="RI239" s="843"/>
      <c r="RJ239" s="843"/>
      <c r="RK239" s="843"/>
      <c r="RL239" s="843"/>
      <c r="RM239" s="843"/>
      <c r="RN239" s="843"/>
      <c r="RO239" s="843"/>
      <c r="RP239" s="843"/>
      <c r="RQ239" s="843"/>
      <c r="RR239" s="843"/>
      <c r="RS239" s="843"/>
      <c r="RT239" s="843"/>
      <c r="RU239" s="843"/>
      <c r="RV239" s="843"/>
      <c r="RW239" s="843"/>
      <c r="RX239" s="843"/>
      <c r="RY239" s="843"/>
      <c r="RZ239" s="843"/>
      <c r="SA239" s="843"/>
      <c r="SB239" s="843"/>
      <c r="SC239" s="843"/>
      <c r="SD239" s="843"/>
      <c r="SE239" s="843"/>
      <c r="SF239" s="843"/>
      <c r="SG239" s="843"/>
      <c r="SH239" s="843"/>
      <c r="SI239" s="843"/>
      <c r="SJ239" s="843"/>
      <c r="SK239" s="843"/>
      <c r="SL239" s="843"/>
      <c r="SM239" s="843"/>
      <c r="SN239" s="843"/>
      <c r="SO239" s="843"/>
      <c r="SP239" s="843"/>
      <c r="SQ239" s="843"/>
      <c r="SR239" s="843"/>
      <c r="SS239" s="843"/>
      <c r="ST239" s="843"/>
      <c r="SU239" s="843"/>
      <c r="SV239" s="843"/>
      <c r="SW239" s="843"/>
      <c r="SX239" s="843"/>
      <c r="SY239" s="843"/>
      <c r="SZ239" s="843"/>
      <c r="TA239" s="843"/>
      <c r="TB239" s="843"/>
      <c r="TC239" s="843"/>
      <c r="TD239" s="843"/>
      <c r="TE239" s="843"/>
      <c r="TF239" s="843"/>
      <c r="TG239" s="843"/>
      <c r="TH239" s="843"/>
      <c r="TI239" s="843"/>
      <c r="TJ239" s="843"/>
      <c r="TK239" s="843"/>
      <c r="TL239" s="843"/>
      <c r="TM239" s="843"/>
      <c r="TN239" s="843"/>
      <c r="TO239" s="843"/>
      <c r="TP239" s="843"/>
      <c r="TQ239" s="843"/>
      <c r="TR239" s="843"/>
      <c r="TS239" s="843"/>
      <c r="TT239" s="843"/>
      <c r="TU239" s="843"/>
      <c r="TV239" s="843"/>
      <c r="TW239" s="843"/>
      <c r="TX239" s="843"/>
      <c r="TY239" s="843"/>
      <c r="TZ239" s="843"/>
      <c r="UA239" s="843"/>
      <c r="UB239" s="843"/>
      <c r="UC239" s="843"/>
      <c r="UD239" s="843"/>
      <c r="UE239" s="843"/>
      <c r="UF239" s="843"/>
      <c r="UG239" s="843"/>
      <c r="UH239" s="843"/>
      <c r="UI239" s="843"/>
      <c r="UJ239" s="843"/>
      <c r="UK239" s="843"/>
      <c r="UL239" s="843"/>
      <c r="UM239" s="843"/>
      <c r="UN239" s="843"/>
      <c r="UO239" s="843"/>
      <c r="UP239" s="843"/>
      <c r="UQ239" s="843"/>
      <c r="UR239" s="843"/>
      <c r="US239" s="843"/>
      <c r="UT239" s="843"/>
      <c r="UU239" s="843"/>
      <c r="UV239" s="843"/>
      <c r="UW239" s="843"/>
      <c r="UX239" s="843"/>
      <c r="UY239" s="843"/>
      <c r="UZ239" s="843"/>
      <c r="VA239" s="843"/>
      <c r="VB239" s="843"/>
      <c r="VC239" s="843"/>
      <c r="VD239" s="843"/>
      <c r="VE239" s="843"/>
      <c r="VF239" s="843"/>
      <c r="VG239" s="843"/>
      <c r="VH239" s="843"/>
      <c r="VI239" s="843"/>
      <c r="VJ239" s="843"/>
      <c r="VK239" s="843"/>
      <c r="VL239" s="843"/>
      <c r="VM239" s="843"/>
      <c r="VN239" s="843"/>
      <c r="VO239" s="843"/>
      <c r="VP239" s="843"/>
      <c r="VQ239" s="843"/>
      <c r="VR239" s="843"/>
      <c r="VS239" s="843"/>
      <c r="VT239" s="843"/>
      <c r="VU239" s="843"/>
      <c r="VV239" s="843"/>
      <c r="VW239" s="843"/>
      <c r="VX239" s="843"/>
      <c r="VY239" s="843"/>
      <c r="VZ239" s="843"/>
      <c r="WA239" s="843"/>
      <c r="WB239" s="843"/>
      <c r="WC239" s="843"/>
      <c r="WD239" s="843"/>
      <c r="WE239" s="843"/>
      <c r="WF239" s="843"/>
      <c r="WG239" s="843"/>
      <c r="WH239" s="843"/>
      <c r="WI239" s="843"/>
      <c r="WJ239" s="843"/>
      <c r="WK239" s="843"/>
      <c r="WL239" s="843"/>
      <c r="WM239" s="843"/>
      <c r="WN239" s="843"/>
      <c r="WO239" s="843"/>
      <c r="WP239" s="843"/>
      <c r="WQ239" s="843"/>
      <c r="WR239" s="843"/>
      <c r="WS239" s="843"/>
      <c r="WT239" s="843"/>
      <c r="WU239" s="843"/>
      <c r="WV239" s="843"/>
      <c r="WW239" s="843"/>
      <c r="WX239" s="843"/>
      <c r="WY239" s="843"/>
      <c r="WZ239" s="843"/>
      <c r="XA239" s="843"/>
      <c r="XB239" s="843"/>
      <c r="XC239" s="843"/>
      <c r="XD239" s="843"/>
      <c r="XE239" s="843"/>
      <c r="XF239" s="843"/>
      <c r="XG239" s="843"/>
      <c r="XH239" s="843"/>
      <c r="XI239" s="843"/>
      <c r="XJ239" s="843"/>
      <c r="XK239" s="843"/>
      <c r="XL239" s="843"/>
      <c r="XM239" s="843"/>
      <c r="XN239" s="843"/>
      <c r="XO239" s="843"/>
      <c r="XP239" s="843"/>
      <c r="XQ239" s="843"/>
      <c r="XR239" s="843"/>
      <c r="XS239" s="843"/>
      <c r="XT239" s="843"/>
      <c r="XU239" s="843"/>
      <c r="XV239" s="843"/>
      <c r="XW239" s="843"/>
      <c r="XX239" s="843"/>
      <c r="XY239" s="843"/>
      <c r="XZ239" s="843"/>
      <c r="YA239" s="843"/>
      <c r="YB239" s="843"/>
      <c r="YC239" s="843"/>
      <c r="YD239" s="843"/>
      <c r="YE239" s="843"/>
      <c r="YF239" s="843"/>
      <c r="YG239" s="843"/>
      <c r="YH239" s="843"/>
      <c r="YI239" s="843"/>
      <c r="YJ239" s="843"/>
      <c r="YK239" s="843"/>
      <c r="YL239" s="843"/>
      <c r="YM239" s="843"/>
      <c r="YN239" s="843"/>
      <c r="YO239" s="843"/>
      <c r="YP239" s="843"/>
      <c r="YQ239" s="843"/>
      <c r="YR239" s="843"/>
      <c r="YS239" s="843"/>
      <c r="YT239" s="843"/>
      <c r="YU239" s="843"/>
      <c r="YV239" s="843"/>
      <c r="YW239" s="843"/>
      <c r="YX239" s="843"/>
      <c r="YY239" s="843"/>
      <c r="YZ239" s="843"/>
      <c r="ZA239" s="843"/>
      <c r="ZB239" s="843"/>
      <c r="ZC239" s="843"/>
      <c r="ZD239" s="843"/>
      <c r="ZE239" s="843"/>
      <c r="ZF239" s="843"/>
      <c r="ZG239" s="843"/>
      <c r="ZH239" s="843"/>
      <c r="ZI239" s="843"/>
      <c r="ZJ239" s="843"/>
      <c r="ZK239" s="843"/>
      <c r="ZL239" s="843"/>
      <c r="ZM239" s="843"/>
      <c r="ZN239" s="843"/>
      <c r="ZO239" s="843"/>
      <c r="ZP239" s="843"/>
      <c r="ZQ239" s="843"/>
      <c r="ZR239" s="843"/>
      <c r="ZS239" s="843"/>
      <c r="ZT239" s="843"/>
      <c r="ZU239" s="843"/>
      <c r="ZV239" s="843"/>
      <c r="ZW239" s="843"/>
      <c r="ZX239" s="843"/>
      <c r="ZY239" s="843"/>
      <c r="ZZ239" s="843"/>
      <c r="AAA239" s="843"/>
      <c r="AAB239" s="843"/>
      <c r="AAC239" s="843"/>
      <c r="AAD239" s="843"/>
      <c r="AAE239" s="843"/>
      <c r="AAF239" s="843"/>
      <c r="AAG239" s="843"/>
      <c r="AAH239" s="843"/>
      <c r="AAI239" s="843"/>
      <c r="AAJ239" s="843"/>
      <c r="AAK239" s="843"/>
      <c r="AAL239" s="843"/>
      <c r="AAM239" s="843"/>
      <c r="AAN239" s="843"/>
      <c r="AAO239" s="843"/>
      <c r="AAP239" s="843"/>
      <c r="AAQ239" s="843"/>
      <c r="AAR239" s="843"/>
      <c r="AAS239" s="843"/>
      <c r="AAT239" s="843"/>
      <c r="AAU239" s="843"/>
      <c r="AAV239" s="843"/>
      <c r="AAW239" s="843"/>
      <c r="AAX239" s="843"/>
      <c r="AAY239" s="843"/>
      <c r="AAZ239" s="843"/>
      <c r="ABA239" s="843"/>
      <c r="ABB239" s="843"/>
      <c r="ABC239" s="843"/>
      <c r="ABD239" s="843"/>
      <c r="ABE239" s="843"/>
      <c r="ABF239" s="843"/>
      <c r="ABG239" s="843"/>
      <c r="ABH239" s="843"/>
      <c r="ABI239" s="843"/>
      <c r="ABJ239" s="843"/>
      <c r="ABK239" s="843"/>
      <c r="ABL239" s="843"/>
      <c r="ABM239" s="843"/>
      <c r="ABN239" s="843"/>
      <c r="ABO239" s="843"/>
      <c r="ABP239" s="843"/>
      <c r="ABQ239" s="843"/>
      <c r="ABR239" s="843"/>
      <c r="ABS239" s="843"/>
      <c r="ABT239" s="843"/>
      <c r="ABU239" s="843"/>
      <c r="ABV239" s="843"/>
      <c r="ABW239" s="843"/>
      <c r="ABX239" s="843"/>
      <c r="ABY239" s="843"/>
      <c r="ABZ239" s="843"/>
      <c r="ACA239" s="843"/>
      <c r="ACB239" s="843"/>
      <c r="ACC239" s="843"/>
      <c r="ACD239" s="843"/>
      <c r="ACE239" s="843"/>
      <c r="ACF239" s="843"/>
      <c r="ACG239" s="843"/>
      <c r="ACH239" s="843"/>
      <c r="ACI239" s="843"/>
      <c r="ACJ239" s="843"/>
      <c r="ACK239" s="843"/>
      <c r="ACL239" s="843"/>
      <c r="ACM239" s="843"/>
      <c r="ACN239" s="843"/>
      <c r="ACO239" s="843"/>
      <c r="ACP239" s="843"/>
      <c r="ACQ239" s="843"/>
      <c r="ACR239" s="843"/>
      <c r="ACS239" s="843"/>
      <c r="ACT239" s="843"/>
      <c r="ACU239" s="843"/>
      <c r="ACV239" s="843"/>
      <c r="ACW239" s="843"/>
      <c r="ACX239" s="843"/>
      <c r="ACY239" s="843"/>
      <c r="ACZ239" s="843"/>
      <c r="ADA239" s="843"/>
      <c r="ADB239" s="843"/>
      <c r="ADC239" s="843"/>
      <c r="ADD239" s="843"/>
      <c r="ADE239" s="843"/>
      <c r="ADF239" s="843"/>
      <c r="ADG239" s="843"/>
      <c r="ADH239" s="843"/>
      <c r="ADI239" s="843"/>
      <c r="ADJ239" s="843"/>
      <c r="ADK239" s="843"/>
      <c r="ADL239" s="843"/>
      <c r="ADM239" s="843"/>
      <c r="ADN239" s="843"/>
      <c r="ADO239" s="843"/>
      <c r="ADP239" s="843"/>
      <c r="ADQ239" s="843"/>
      <c r="ADR239" s="843"/>
      <c r="ADS239" s="843"/>
      <c r="ADT239" s="843"/>
      <c r="ADU239" s="843"/>
      <c r="ADV239" s="843"/>
      <c r="ADW239" s="843"/>
      <c r="ADX239" s="843"/>
      <c r="ADY239" s="843"/>
      <c r="ADZ239" s="843"/>
      <c r="AEA239" s="843"/>
      <c r="AEB239" s="843"/>
      <c r="AEC239" s="843"/>
      <c r="AED239" s="843"/>
      <c r="AEE239" s="843"/>
      <c r="AEF239" s="843"/>
      <c r="AEG239" s="843"/>
      <c r="AEH239" s="843"/>
      <c r="AEI239" s="843"/>
      <c r="AEJ239" s="843"/>
      <c r="AEK239" s="843"/>
      <c r="AEL239" s="843"/>
      <c r="AEM239" s="843"/>
      <c r="AEN239" s="843"/>
      <c r="AEO239" s="843"/>
      <c r="AEP239" s="843"/>
      <c r="AEQ239" s="843"/>
      <c r="AER239" s="843"/>
      <c r="AES239" s="843"/>
      <c r="AET239" s="843"/>
      <c r="AEU239" s="843"/>
      <c r="AEV239" s="843"/>
      <c r="AEW239" s="843"/>
      <c r="AEX239" s="843"/>
      <c r="AEY239" s="843"/>
      <c r="AEZ239" s="843"/>
      <c r="AFA239" s="843"/>
      <c r="AFB239" s="843"/>
      <c r="AFC239" s="843"/>
      <c r="AFD239" s="843"/>
      <c r="AFE239" s="843"/>
      <c r="AFF239" s="843"/>
      <c r="AFG239" s="843"/>
      <c r="AFH239" s="843"/>
      <c r="AFI239" s="843"/>
      <c r="AFJ239" s="843"/>
      <c r="AFK239" s="843"/>
      <c r="AFL239" s="843"/>
      <c r="AFM239" s="843"/>
      <c r="AFN239" s="843"/>
      <c r="AFO239" s="843"/>
      <c r="AFP239" s="843"/>
      <c r="AFQ239" s="843"/>
      <c r="AFR239" s="843"/>
      <c r="AFS239" s="843"/>
      <c r="AFT239" s="843"/>
      <c r="AFU239" s="843"/>
      <c r="AFV239" s="843"/>
      <c r="AFW239" s="843"/>
      <c r="AFX239" s="843"/>
      <c r="AFY239" s="843"/>
      <c r="AFZ239" s="843"/>
      <c r="AGA239" s="843"/>
      <c r="AGB239" s="843"/>
      <c r="AGC239" s="843"/>
      <c r="AGD239" s="843"/>
      <c r="AGE239" s="843"/>
      <c r="AGF239" s="843"/>
      <c r="AGG239" s="843"/>
      <c r="AGH239" s="843"/>
      <c r="AGI239" s="843"/>
      <c r="AGJ239" s="843"/>
    </row>
    <row r="240" spans="1:868" s="844" customFormat="1" hidden="1">
      <c r="A240" s="152" t="s">
        <v>112</v>
      </c>
      <c r="B240" s="34" t="s">
        <v>234</v>
      </c>
      <c r="C240" s="40" t="s">
        <v>139</v>
      </c>
      <c r="D240" s="34" t="s">
        <v>88</v>
      </c>
      <c r="E240" s="260">
        <v>0</v>
      </c>
      <c r="F240" s="235">
        <v>1</v>
      </c>
      <c r="G240" s="40"/>
      <c r="H240" s="29"/>
      <c r="I240" s="9"/>
      <c r="J240" s="9"/>
      <c r="K240" s="9"/>
      <c r="L240" s="9"/>
      <c r="M240" s="9"/>
      <c r="N240" s="186" t="str">
        <f t="shared" si="16"/>
        <v/>
      </c>
      <c r="O240" s="160" t="str">
        <f t="shared" si="15"/>
        <v/>
      </c>
      <c r="P240" s="63"/>
      <c r="Q240" s="843"/>
      <c r="R240" s="843"/>
      <c r="S240" s="843"/>
      <c r="T240" s="843"/>
      <c r="U240" s="843"/>
      <c r="V240" s="843"/>
      <c r="W240" s="843"/>
      <c r="X240" s="843"/>
      <c r="Y240" s="843"/>
      <c r="Z240" s="843"/>
      <c r="AA240" s="843"/>
      <c r="AB240" s="843"/>
      <c r="AC240" s="843"/>
      <c r="AD240" s="843"/>
      <c r="AE240" s="843"/>
      <c r="AF240" s="843"/>
      <c r="AG240" s="843"/>
      <c r="AH240" s="843"/>
      <c r="AI240" s="843"/>
      <c r="AJ240" s="843"/>
      <c r="AK240" s="843"/>
      <c r="AL240" s="843"/>
      <c r="AM240" s="843"/>
      <c r="AN240" s="843"/>
      <c r="AO240" s="843"/>
      <c r="AP240" s="843"/>
      <c r="AQ240" s="843"/>
      <c r="AR240" s="843"/>
      <c r="AS240" s="843"/>
      <c r="AT240" s="843"/>
      <c r="AU240" s="843"/>
      <c r="AV240" s="843"/>
      <c r="AW240" s="843"/>
      <c r="AX240" s="843"/>
      <c r="AY240" s="843"/>
      <c r="AZ240" s="843"/>
      <c r="BA240" s="843"/>
      <c r="BB240" s="843"/>
      <c r="BC240" s="843"/>
      <c r="BD240" s="843"/>
      <c r="BE240" s="843"/>
      <c r="BF240" s="843"/>
      <c r="BG240" s="843"/>
      <c r="BH240" s="843"/>
      <c r="BI240" s="843"/>
      <c r="BJ240" s="843"/>
      <c r="BK240" s="843"/>
      <c r="BL240" s="843"/>
      <c r="BM240" s="843"/>
      <c r="BN240" s="843"/>
      <c r="BO240" s="843"/>
      <c r="BP240" s="843"/>
      <c r="BQ240" s="843"/>
      <c r="BR240" s="843"/>
      <c r="BS240" s="843"/>
      <c r="BT240" s="843"/>
      <c r="BU240" s="843"/>
      <c r="BV240" s="843"/>
      <c r="BW240" s="843"/>
      <c r="BX240" s="843"/>
      <c r="BY240" s="843"/>
      <c r="BZ240" s="843"/>
      <c r="CA240" s="843"/>
      <c r="CB240" s="843"/>
      <c r="CC240" s="843"/>
      <c r="CD240" s="843"/>
      <c r="CE240" s="843"/>
      <c r="CF240" s="843"/>
      <c r="CG240" s="843"/>
      <c r="CH240" s="843"/>
      <c r="CI240" s="843"/>
      <c r="CJ240" s="843"/>
      <c r="CK240" s="843"/>
      <c r="CL240" s="843"/>
      <c r="CM240" s="843"/>
      <c r="CN240" s="843"/>
      <c r="CO240" s="843"/>
      <c r="CP240" s="843"/>
      <c r="CQ240" s="843"/>
      <c r="CR240" s="843"/>
      <c r="CS240" s="843"/>
      <c r="CT240" s="843"/>
      <c r="CU240" s="843"/>
      <c r="CV240" s="843"/>
      <c r="CW240" s="843"/>
      <c r="CX240" s="843"/>
      <c r="CY240" s="843"/>
      <c r="CZ240" s="843"/>
      <c r="DA240" s="843"/>
      <c r="DB240" s="843"/>
      <c r="DC240" s="843"/>
      <c r="DD240" s="843"/>
      <c r="DE240" s="843"/>
      <c r="DF240" s="843"/>
      <c r="DG240" s="843"/>
      <c r="DH240" s="843"/>
      <c r="DI240" s="843"/>
      <c r="DJ240" s="843"/>
      <c r="DK240" s="843"/>
      <c r="DL240" s="843"/>
      <c r="DM240" s="843"/>
      <c r="DN240" s="843"/>
      <c r="DO240" s="843"/>
      <c r="DP240" s="843"/>
      <c r="DQ240" s="843"/>
      <c r="DR240" s="843"/>
      <c r="DS240" s="843"/>
      <c r="DT240" s="843"/>
      <c r="DU240" s="843"/>
      <c r="DV240" s="843"/>
      <c r="DW240" s="843"/>
      <c r="DX240" s="843"/>
      <c r="DY240" s="843"/>
      <c r="DZ240" s="843"/>
      <c r="EA240" s="843"/>
      <c r="EB240" s="843"/>
      <c r="EC240" s="843"/>
      <c r="ED240" s="843"/>
      <c r="EE240" s="843"/>
      <c r="EF240" s="843"/>
      <c r="EG240" s="843"/>
      <c r="EH240" s="843"/>
      <c r="EI240" s="843"/>
      <c r="EJ240" s="843"/>
      <c r="EK240" s="843"/>
      <c r="EL240" s="843"/>
      <c r="EM240" s="843"/>
      <c r="EN240" s="843"/>
      <c r="EO240" s="843"/>
      <c r="EP240" s="843"/>
      <c r="EQ240" s="843"/>
      <c r="ER240" s="843"/>
      <c r="ES240" s="843"/>
      <c r="ET240" s="843"/>
      <c r="EU240" s="843"/>
      <c r="EV240" s="843"/>
      <c r="EW240" s="843"/>
      <c r="EX240" s="843"/>
      <c r="EY240" s="843"/>
      <c r="EZ240" s="843"/>
      <c r="FA240" s="843"/>
      <c r="FB240" s="843"/>
      <c r="FC240" s="843"/>
      <c r="FD240" s="843"/>
      <c r="FE240" s="843"/>
      <c r="FF240" s="843"/>
      <c r="FG240" s="843"/>
      <c r="FH240" s="843"/>
      <c r="FI240" s="843"/>
      <c r="FJ240" s="843"/>
      <c r="FK240" s="843"/>
      <c r="FL240" s="843"/>
      <c r="FM240" s="843"/>
      <c r="FN240" s="843"/>
      <c r="FO240" s="843"/>
      <c r="FP240" s="843"/>
      <c r="FQ240" s="843"/>
      <c r="FR240" s="843"/>
      <c r="FS240" s="843"/>
      <c r="FT240" s="843"/>
      <c r="FU240" s="843"/>
      <c r="FV240" s="843"/>
      <c r="FW240" s="843"/>
      <c r="FX240" s="843"/>
      <c r="FY240" s="843"/>
      <c r="FZ240" s="843"/>
      <c r="GA240" s="843"/>
      <c r="GB240" s="843"/>
      <c r="GC240" s="843"/>
      <c r="GD240" s="843"/>
      <c r="GE240" s="843"/>
      <c r="GF240" s="843"/>
      <c r="GG240" s="843"/>
      <c r="GH240" s="843"/>
      <c r="GI240" s="843"/>
      <c r="GJ240" s="843"/>
      <c r="GK240" s="843"/>
      <c r="GL240" s="843"/>
      <c r="GM240" s="843"/>
      <c r="GN240" s="843"/>
      <c r="GO240" s="843"/>
      <c r="GP240" s="843"/>
      <c r="GQ240" s="843"/>
      <c r="GR240" s="843"/>
      <c r="GS240" s="843"/>
      <c r="GT240" s="843"/>
      <c r="GU240" s="843"/>
      <c r="GV240" s="843"/>
      <c r="GW240" s="843"/>
      <c r="GX240" s="843"/>
      <c r="GY240" s="843"/>
      <c r="GZ240" s="843"/>
      <c r="HA240" s="843"/>
      <c r="HB240" s="843"/>
      <c r="HC240" s="843"/>
      <c r="HD240" s="843"/>
      <c r="HE240" s="843"/>
      <c r="HF240" s="843"/>
      <c r="HG240" s="843"/>
      <c r="HH240" s="843"/>
      <c r="HI240" s="843"/>
      <c r="HJ240" s="843"/>
      <c r="HK240" s="843"/>
      <c r="HL240" s="843"/>
      <c r="HM240" s="843"/>
      <c r="HN240" s="843"/>
      <c r="HO240" s="843"/>
      <c r="HP240" s="843"/>
      <c r="HQ240" s="843"/>
      <c r="HR240" s="843"/>
      <c r="HS240" s="843"/>
      <c r="HT240" s="843"/>
      <c r="HU240" s="843"/>
      <c r="HV240" s="843"/>
      <c r="HW240" s="843"/>
      <c r="HX240" s="843"/>
      <c r="HY240" s="843"/>
      <c r="HZ240" s="843"/>
      <c r="IA240" s="843"/>
      <c r="IB240" s="843"/>
      <c r="IC240" s="843"/>
      <c r="ID240" s="843"/>
      <c r="IE240" s="843"/>
      <c r="IF240" s="843"/>
      <c r="IG240" s="843"/>
      <c r="IH240" s="843"/>
      <c r="II240" s="843"/>
      <c r="IJ240" s="843"/>
      <c r="IK240" s="843"/>
      <c r="IL240" s="843"/>
      <c r="IM240" s="843"/>
      <c r="IN240" s="843"/>
      <c r="IO240" s="843"/>
      <c r="IP240" s="843"/>
      <c r="IQ240" s="843"/>
      <c r="IR240" s="843"/>
      <c r="IS240" s="843"/>
      <c r="IT240" s="843"/>
      <c r="IU240" s="843"/>
      <c r="IV240" s="843"/>
      <c r="IW240" s="843"/>
      <c r="IX240" s="843"/>
      <c r="IY240" s="843"/>
      <c r="IZ240" s="843"/>
      <c r="JA240" s="843"/>
      <c r="JB240" s="843"/>
      <c r="JC240" s="843"/>
      <c r="JD240" s="843"/>
      <c r="JE240" s="843"/>
      <c r="JF240" s="843"/>
      <c r="JG240" s="843"/>
      <c r="JH240" s="843"/>
      <c r="JI240" s="843"/>
      <c r="JJ240" s="843"/>
      <c r="JK240" s="843"/>
      <c r="JL240" s="843"/>
      <c r="JM240" s="843"/>
      <c r="JN240" s="843"/>
      <c r="JO240" s="843"/>
      <c r="JP240" s="843"/>
      <c r="JQ240" s="843"/>
      <c r="JR240" s="843"/>
      <c r="JS240" s="843"/>
      <c r="JT240" s="843"/>
      <c r="JU240" s="843"/>
      <c r="JV240" s="843"/>
      <c r="JW240" s="843"/>
      <c r="JX240" s="843"/>
      <c r="JY240" s="843"/>
      <c r="JZ240" s="843"/>
      <c r="KA240" s="843"/>
      <c r="KB240" s="843"/>
      <c r="KC240" s="843"/>
      <c r="KD240" s="843"/>
      <c r="KE240" s="843"/>
      <c r="KF240" s="843"/>
      <c r="KG240" s="843"/>
      <c r="KH240" s="843"/>
      <c r="KI240" s="843"/>
      <c r="KJ240" s="843"/>
      <c r="KK240" s="843"/>
      <c r="KL240" s="843"/>
      <c r="KM240" s="843"/>
      <c r="KN240" s="843"/>
      <c r="KO240" s="843"/>
      <c r="KP240" s="843"/>
      <c r="KQ240" s="843"/>
      <c r="KR240" s="843"/>
      <c r="KS240" s="843"/>
      <c r="KT240" s="843"/>
      <c r="KU240" s="843"/>
      <c r="KV240" s="843"/>
      <c r="KW240" s="843"/>
      <c r="KX240" s="843"/>
      <c r="KY240" s="843"/>
      <c r="KZ240" s="843"/>
      <c r="LA240" s="843"/>
      <c r="LB240" s="843"/>
      <c r="LC240" s="843"/>
      <c r="LD240" s="843"/>
      <c r="LE240" s="843"/>
      <c r="LF240" s="843"/>
      <c r="LG240" s="843"/>
      <c r="LH240" s="843"/>
      <c r="LI240" s="843"/>
      <c r="LJ240" s="843"/>
      <c r="LK240" s="843"/>
      <c r="LL240" s="843"/>
      <c r="LM240" s="843"/>
      <c r="LN240" s="843"/>
      <c r="LO240" s="843"/>
      <c r="LP240" s="843"/>
      <c r="LQ240" s="843"/>
      <c r="LR240" s="843"/>
      <c r="LS240" s="843"/>
      <c r="LT240" s="843"/>
      <c r="LU240" s="843"/>
      <c r="LV240" s="843"/>
      <c r="LW240" s="843"/>
      <c r="LX240" s="843"/>
      <c r="LY240" s="843"/>
      <c r="LZ240" s="843"/>
      <c r="MA240" s="843"/>
      <c r="MB240" s="843"/>
      <c r="MC240" s="843"/>
      <c r="MD240" s="843"/>
      <c r="ME240" s="843"/>
      <c r="MF240" s="843"/>
      <c r="MG240" s="843"/>
      <c r="MH240" s="843"/>
      <c r="MI240" s="843"/>
      <c r="MJ240" s="843"/>
      <c r="MK240" s="843"/>
      <c r="ML240" s="843"/>
      <c r="MM240" s="843"/>
      <c r="MN240" s="843"/>
      <c r="MO240" s="843"/>
      <c r="MP240" s="843"/>
      <c r="MQ240" s="843"/>
      <c r="MR240" s="843"/>
      <c r="MS240" s="843"/>
      <c r="MT240" s="843"/>
      <c r="MU240" s="843"/>
      <c r="MV240" s="843"/>
      <c r="MW240" s="843"/>
      <c r="MX240" s="843"/>
      <c r="MY240" s="843"/>
      <c r="MZ240" s="843"/>
      <c r="NA240" s="843"/>
      <c r="NB240" s="843"/>
      <c r="NC240" s="843"/>
      <c r="ND240" s="843"/>
      <c r="NE240" s="843"/>
      <c r="NF240" s="843"/>
      <c r="NG240" s="843"/>
      <c r="NH240" s="843"/>
      <c r="NI240" s="843"/>
      <c r="NJ240" s="843"/>
      <c r="NK240" s="843"/>
      <c r="NL240" s="843"/>
      <c r="NM240" s="843"/>
      <c r="NN240" s="843"/>
      <c r="NO240" s="843"/>
      <c r="NP240" s="843"/>
      <c r="NQ240" s="843"/>
      <c r="NR240" s="843"/>
      <c r="NS240" s="843"/>
      <c r="NT240" s="843"/>
      <c r="NU240" s="843"/>
      <c r="NV240" s="843"/>
      <c r="NW240" s="843"/>
      <c r="NX240" s="843"/>
      <c r="NY240" s="843"/>
      <c r="NZ240" s="843"/>
      <c r="OA240" s="843"/>
      <c r="OB240" s="843"/>
      <c r="OC240" s="843"/>
      <c r="OD240" s="843"/>
      <c r="OE240" s="843"/>
      <c r="OF240" s="843"/>
      <c r="OG240" s="843"/>
      <c r="OH240" s="843"/>
      <c r="OI240" s="843"/>
      <c r="OJ240" s="843"/>
      <c r="OK240" s="843"/>
      <c r="OL240" s="843"/>
      <c r="OM240" s="843"/>
      <c r="ON240" s="843"/>
      <c r="OO240" s="843"/>
      <c r="OP240" s="843"/>
      <c r="OQ240" s="843"/>
      <c r="OR240" s="843"/>
      <c r="OS240" s="843"/>
      <c r="OT240" s="843"/>
      <c r="OU240" s="843"/>
      <c r="OV240" s="843"/>
      <c r="OW240" s="843"/>
      <c r="OX240" s="843"/>
      <c r="OY240" s="843"/>
      <c r="OZ240" s="843"/>
      <c r="PA240" s="843"/>
      <c r="PB240" s="843"/>
      <c r="PC240" s="843"/>
      <c r="PD240" s="843"/>
      <c r="PE240" s="843"/>
      <c r="PF240" s="843"/>
      <c r="PG240" s="843"/>
      <c r="PH240" s="843"/>
      <c r="PI240" s="843"/>
      <c r="PJ240" s="843"/>
      <c r="PK240" s="843"/>
      <c r="PL240" s="843"/>
      <c r="PM240" s="843"/>
      <c r="PN240" s="843"/>
      <c r="PO240" s="843"/>
      <c r="PP240" s="843"/>
      <c r="PQ240" s="843"/>
      <c r="PR240" s="843"/>
      <c r="PS240" s="843"/>
      <c r="PT240" s="843"/>
      <c r="PU240" s="843"/>
      <c r="PV240" s="843"/>
      <c r="PW240" s="843"/>
      <c r="PX240" s="843"/>
      <c r="PY240" s="843"/>
      <c r="PZ240" s="843"/>
      <c r="QA240" s="843"/>
      <c r="QB240" s="843"/>
      <c r="QC240" s="843"/>
      <c r="QD240" s="843"/>
      <c r="QE240" s="843"/>
      <c r="QF240" s="843"/>
      <c r="QG240" s="843"/>
      <c r="QH240" s="843"/>
      <c r="QI240" s="843"/>
      <c r="QJ240" s="843"/>
      <c r="QK240" s="843"/>
      <c r="QL240" s="843"/>
      <c r="QM240" s="843"/>
      <c r="QN240" s="843"/>
      <c r="QO240" s="843"/>
      <c r="QP240" s="843"/>
      <c r="QQ240" s="843"/>
      <c r="QR240" s="843"/>
      <c r="QS240" s="843"/>
      <c r="QT240" s="843"/>
      <c r="QU240" s="843"/>
      <c r="QV240" s="843"/>
      <c r="QW240" s="843"/>
      <c r="QX240" s="843"/>
      <c r="QY240" s="843"/>
      <c r="QZ240" s="843"/>
      <c r="RA240" s="843"/>
      <c r="RB240" s="843"/>
      <c r="RC240" s="843"/>
      <c r="RD240" s="843"/>
      <c r="RE240" s="843"/>
      <c r="RF240" s="843"/>
      <c r="RG240" s="843"/>
      <c r="RH240" s="843"/>
      <c r="RI240" s="843"/>
      <c r="RJ240" s="843"/>
      <c r="RK240" s="843"/>
      <c r="RL240" s="843"/>
      <c r="RM240" s="843"/>
      <c r="RN240" s="843"/>
      <c r="RO240" s="843"/>
      <c r="RP240" s="843"/>
      <c r="RQ240" s="843"/>
      <c r="RR240" s="843"/>
      <c r="RS240" s="843"/>
      <c r="RT240" s="843"/>
      <c r="RU240" s="843"/>
      <c r="RV240" s="843"/>
      <c r="RW240" s="843"/>
      <c r="RX240" s="843"/>
      <c r="RY240" s="843"/>
      <c r="RZ240" s="843"/>
      <c r="SA240" s="843"/>
      <c r="SB240" s="843"/>
      <c r="SC240" s="843"/>
      <c r="SD240" s="843"/>
      <c r="SE240" s="843"/>
      <c r="SF240" s="843"/>
      <c r="SG240" s="843"/>
      <c r="SH240" s="843"/>
      <c r="SI240" s="843"/>
      <c r="SJ240" s="843"/>
      <c r="SK240" s="843"/>
      <c r="SL240" s="843"/>
      <c r="SM240" s="843"/>
      <c r="SN240" s="843"/>
      <c r="SO240" s="843"/>
      <c r="SP240" s="843"/>
      <c r="SQ240" s="843"/>
      <c r="SR240" s="843"/>
      <c r="SS240" s="843"/>
      <c r="ST240" s="843"/>
      <c r="SU240" s="843"/>
      <c r="SV240" s="843"/>
      <c r="SW240" s="843"/>
      <c r="SX240" s="843"/>
      <c r="SY240" s="843"/>
      <c r="SZ240" s="843"/>
      <c r="TA240" s="843"/>
      <c r="TB240" s="843"/>
      <c r="TC240" s="843"/>
      <c r="TD240" s="843"/>
      <c r="TE240" s="843"/>
      <c r="TF240" s="843"/>
      <c r="TG240" s="843"/>
      <c r="TH240" s="843"/>
      <c r="TI240" s="843"/>
      <c r="TJ240" s="843"/>
      <c r="TK240" s="843"/>
      <c r="TL240" s="843"/>
      <c r="TM240" s="843"/>
      <c r="TN240" s="843"/>
      <c r="TO240" s="843"/>
      <c r="TP240" s="843"/>
      <c r="TQ240" s="843"/>
      <c r="TR240" s="843"/>
      <c r="TS240" s="843"/>
      <c r="TT240" s="843"/>
      <c r="TU240" s="843"/>
      <c r="TV240" s="843"/>
      <c r="TW240" s="843"/>
      <c r="TX240" s="843"/>
      <c r="TY240" s="843"/>
      <c r="TZ240" s="843"/>
      <c r="UA240" s="843"/>
      <c r="UB240" s="843"/>
      <c r="UC240" s="843"/>
      <c r="UD240" s="843"/>
      <c r="UE240" s="843"/>
      <c r="UF240" s="843"/>
      <c r="UG240" s="843"/>
      <c r="UH240" s="843"/>
      <c r="UI240" s="843"/>
      <c r="UJ240" s="843"/>
      <c r="UK240" s="843"/>
      <c r="UL240" s="843"/>
      <c r="UM240" s="843"/>
      <c r="UN240" s="843"/>
      <c r="UO240" s="843"/>
      <c r="UP240" s="843"/>
      <c r="UQ240" s="843"/>
      <c r="UR240" s="843"/>
      <c r="US240" s="843"/>
      <c r="UT240" s="843"/>
      <c r="UU240" s="843"/>
      <c r="UV240" s="843"/>
      <c r="UW240" s="843"/>
      <c r="UX240" s="843"/>
      <c r="UY240" s="843"/>
      <c r="UZ240" s="843"/>
      <c r="VA240" s="843"/>
      <c r="VB240" s="843"/>
      <c r="VC240" s="843"/>
      <c r="VD240" s="843"/>
      <c r="VE240" s="843"/>
      <c r="VF240" s="843"/>
      <c r="VG240" s="843"/>
      <c r="VH240" s="843"/>
      <c r="VI240" s="843"/>
      <c r="VJ240" s="843"/>
      <c r="VK240" s="843"/>
      <c r="VL240" s="843"/>
      <c r="VM240" s="843"/>
      <c r="VN240" s="843"/>
      <c r="VO240" s="843"/>
      <c r="VP240" s="843"/>
      <c r="VQ240" s="843"/>
      <c r="VR240" s="843"/>
      <c r="VS240" s="843"/>
      <c r="VT240" s="843"/>
      <c r="VU240" s="843"/>
      <c r="VV240" s="843"/>
      <c r="VW240" s="843"/>
      <c r="VX240" s="843"/>
      <c r="VY240" s="843"/>
      <c r="VZ240" s="843"/>
      <c r="WA240" s="843"/>
      <c r="WB240" s="843"/>
      <c r="WC240" s="843"/>
      <c r="WD240" s="843"/>
      <c r="WE240" s="843"/>
      <c r="WF240" s="843"/>
      <c r="WG240" s="843"/>
      <c r="WH240" s="843"/>
      <c r="WI240" s="843"/>
      <c r="WJ240" s="843"/>
      <c r="WK240" s="843"/>
      <c r="WL240" s="843"/>
      <c r="WM240" s="843"/>
      <c r="WN240" s="843"/>
      <c r="WO240" s="843"/>
      <c r="WP240" s="843"/>
      <c r="WQ240" s="843"/>
      <c r="WR240" s="843"/>
      <c r="WS240" s="843"/>
      <c r="WT240" s="843"/>
      <c r="WU240" s="843"/>
      <c r="WV240" s="843"/>
      <c r="WW240" s="843"/>
      <c r="WX240" s="843"/>
      <c r="WY240" s="843"/>
      <c r="WZ240" s="843"/>
      <c r="XA240" s="843"/>
      <c r="XB240" s="843"/>
      <c r="XC240" s="843"/>
      <c r="XD240" s="843"/>
      <c r="XE240" s="843"/>
      <c r="XF240" s="843"/>
      <c r="XG240" s="843"/>
      <c r="XH240" s="843"/>
      <c r="XI240" s="843"/>
      <c r="XJ240" s="843"/>
      <c r="XK240" s="843"/>
      <c r="XL240" s="843"/>
      <c r="XM240" s="843"/>
      <c r="XN240" s="843"/>
      <c r="XO240" s="843"/>
      <c r="XP240" s="843"/>
      <c r="XQ240" s="843"/>
      <c r="XR240" s="843"/>
      <c r="XS240" s="843"/>
      <c r="XT240" s="843"/>
      <c r="XU240" s="843"/>
      <c r="XV240" s="843"/>
      <c r="XW240" s="843"/>
      <c r="XX240" s="843"/>
      <c r="XY240" s="843"/>
      <c r="XZ240" s="843"/>
      <c r="YA240" s="843"/>
      <c r="YB240" s="843"/>
      <c r="YC240" s="843"/>
      <c r="YD240" s="843"/>
      <c r="YE240" s="843"/>
      <c r="YF240" s="843"/>
      <c r="YG240" s="843"/>
      <c r="YH240" s="843"/>
      <c r="YI240" s="843"/>
      <c r="YJ240" s="843"/>
      <c r="YK240" s="843"/>
      <c r="YL240" s="843"/>
      <c r="YM240" s="843"/>
      <c r="YN240" s="843"/>
      <c r="YO240" s="843"/>
      <c r="YP240" s="843"/>
      <c r="YQ240" s="843"/>
      <c r="YR240" s="843"/>
      <c r="YS240" s="843"/>
      <c r="YT240" s="843"/>
      <c r="YU240" s="843"/>
      <c r="YV240" s="843"/>
      <c r="YW240" s="843"/>
      <c r="YX240" s="843"/>
      <c r="YY240" s="843"/>
      <c r="YZ240" s="843"/>
      <c r="ZA240" s="843"/>
      <c r="ZB240" s="843"/>
      <c r="ZC240" s="843"/>
      <c r="ZD240" s="843"/>
      <c r="ZE240" s="843"/>
      <c r="ZF240" s="843"/>
      <c r="ZG240" s="843"/>
      <c r="ZH240" s="843"/>
      <c r="ZI240" s="843"/>
      <c r="ZJ240" s="843"/>
      <c r="ZK240" s="843"/>
      <c r="ZL240" s="843"/>
      <c r="ZM240" s="843"/>
      <c r="ZN240" s="843"/>
      <c r="ZO240" s="843"/>
      <c r="ZP240" s="843"/>
      <c r="ZQ240" s="843"/>
      <c r="ZR240" s="843"/>
      <c r="ZS240" s="843"/>
      <c r="ZT240" s="843"/>
      <c r="ZU240" s="843"/>
      <c r="ZV240" s="843"/>
      <c r="ZW240" s="843"/>
      <c r="ZX240" s="843"/>
      <c r="ZY240" s="843"/>
      <c r="ZZ240" s="843"/>
      <c r="AAA240" s="843"/>
      <c r="AAB240" s="843"/>
      <c r="AAC240" s="843"/>
      <c r="AAD240" s="843"/>
      <c r="AAE240" s="843"/>
      <c r="AAF240" s="843"/>
      <c r="AAG240" s="843"/>
      <c r="AAH240" s="843"/>
      <c r="AAI240" s="843"/>
      <c r="AAJ240" s="843"/>
      <c r="AAK240" s="843"/>
      <c r="AAL240" s="843"/>
      <c r="AAM240" s="843"/>
      <c r="AAN240" s="843"/>
      <c r="AAO240" s="843"/>
      <c r="AAP240" s="843"/>
      <c r="AAQ240" s="843"/>
      <c r="AAR240" s="843"/>
      <c r="AAS240" s="843"/>
      <c r="AAT240" s="843"/>
      <c r="AAU240" s="843"/>
      <c r="AAV240" s="843"/>
      <c r="AAW240" s="843"/>
      <c r="AAX240" s="843"/>
      <c r="AAY240" s="843"/>
      <c r="AAZ240" s="843"/>
      <c r="ABA240" s="843"/>
      <c r="ABB240" s="843"/>
      <c r="ABC240" s="843"/>
      <c r="ABD240" s="843"/>
      <c r="ABE240" s="843"/>
      <c r="ABF240" s="843"/>
      <c r="ABG240" s="843"/>
      <c r="ABH240" s="843"/>
      <c r="ABI240" s="843"/>
      <c r="ABJ240" s="843"/>
      <c r="ABK240" s="843"/>
      <c r="ABL240" s="843"/>
      <c r="ABM240" s="843"/>
      <c r="ABN240" s="843"/>
      <c r="ABO240" s="843"/>
      <c r="ABP240" s="843"/>
      <c r="ABQ240" s="843"/>
      <c r="ABR240" s="843"/>
      <c r="ABS240" s="843"/>
      <c r="ABT240" s="843"/>
      <c r="ABU240" s="843"/>
      <c r="ABV240" s="843"/>
      <c r="ABW240" s="843"/>
      <c r="ABX240" s="843"/>
      <c r="ABY240" s="843"/>
      <c r="ABZ240" s="843"/>
      <c r="ACA240" s="843"/>
      <c r="ACB240" s="843"/>
      <c r="ACC240" s="843"/>
      <c r="ACD240" s="843"/>
      <c r="ACE240" s="843"/>
      <c r="ACF240" s="843"/>
      <c r="ACG240" s="843"/>
      <c r="ACH240" s="843"/>
      <c r="ACI240" s="843"/>
      <c r="ACJ240" s="843"/>
      <c r="ACK240" s="843"/>
      <c r="ACL240" s="843"/>
      <c r="ACM240" s="843"/>
      <c r="ACN240" s="843"/>
      <c r="ACO240" s="843"/>
      <c r="ACP240" s="843"/>
      <c r="ACQ240" s="843"/>
      <c r="ACR240" s="843"/>
      <c r="ACS240" s="843"/>
      <c r="ACT240" s="843"/>
      <c r="ACU240" s="843"/>
      <c r="ACV240" s="843"/>
      <c r="ACW240" s="843"/>
      <c r="ACX240" s="843"/>
      <c r="ACY240" s="843"/>
      <c r="ACZ240" s="843"/>
      <c r="ADA240" s="843"/>
      <c r="ADB240" s="843"/>
      <c r="ADC240" s="843"/>
      <c r="ADD240" s="843"/>
      <c r="ADE240" s="843"/>
      <c r="ADF240" s="843"/>
      <c r="ADG240" s="843"/>
      <c r="ADH240" s="843"/>
      <c r="ADI240" s="843"/>
      <c r="ADJ240" s="843"/>
      <c r="ADK240" s="843"/>
      <c r="ADL240" s="843"/>
      <c r="ADM240" s="843"/>
      <c r="ADN240" s="843"/>
      <c r="ADO240" s="843"/>
      <c r="ADP240" s="843"/>
      <c r="ADQ240" s="843"/>
      <c r="ADR240" s="843"/>
      <c r="ADS240" s="843"/>
      <c r="ADT240" s="843"/>
      <c r="ADU240" s="843"/>
      <c r="ADV240" s="843"/>
      <c r="ADW240" s="843"/>
      <c r="ADX240" s="843"/>
      <c r="ADY240" s="843"/>
      <c r="ADZ240" s="843"/>
      <c r="AEA240" s="843"/>
      <c r="AEB240" s="843"/>
      <c r="AEC240" s="843"/>
      <c r="AED240" s="843"/>
      <c r="AEE240" s="843"/>
      <c r="AEF240" s="843"/>
      <c r="AEG240" s="843"/>
      <c r="AEH240" s="843"/>
      <c r="AEI240" s="843"/>
      <c r="AEJ240" s="843"/>
      <c r="AEK240" s="843"/>
      <c r="AEL240" s="843"/>
      <c r="AEM240" s="843"/>
      <c r="AEN240" s="843"/>
      <c r="AEO240" s="843"/>
      <c r="AEP240" s="843"/>
      <c r="AEQ240" s="843"/>
      <c r="AER240" s="843"/>
      <c r="AES240" s="843"/>
      <c r="AET240" s="843"/>
      <c r="AEU240" s="843"/>
      <c r="AEV240" s="843"/>
      <c r="AEW240" s="843"/>
      <c r="AEX240" s="843"/>
      <c r="AEY240" s="843"/>
      <c r="AEZ240" s="843"/>
      <c r="AFA240" s="843"/>
      <c r="AFB240" s="843"/>
      <c r="AFC240" s="843"/>
      <c r="AFD240" s="843"/>
      <c r="AFE240" s="843"/>
      <c r="AFF240" s="843"/>
      <c r="AFG240" s="843"/>
      <c r="AFH240" s="843"/>
      <c r="AFI240" s="843"/>
      <c r="AFJ240" s="843"/>
      <c r="AFK240" s="843"/>
      <c r="AFL240" s="843"/>
      <c r="AFM240" s="843"/>
      <c r="AFN240" s="843"/>
      <c r="AFO240" s="843"/>
      <c r="AFP240" s="843"/>
      <c r="AFQ240" s="843"/>
      <c r="AFR240" s="843"/>
      <c r="AFS240" s="843"/>
      <c r="AFT240" s="843"/>
      <c r="AFU240" s="843"/>
      <c r="AFV240" s="843"/>
      <c r="AFW240" s="843"/>
      <c r="AFX240" s="843"/>
      <c r="AFY240" s="843"/>
      <c r="AFZ240" s="843"/>
      <c r="AGA240" s="843"/>
      <c r="AGB240" s="843"/>
      <c r="AGC240" s="843"/>
      <c r="AGD240" s="843"/>
      <c r="AGE240" s="843"/>
      <c r="AGF240" s="843"/>
      <c r="AGG240" s="843"/>
      <c r="AGH240" s="843"/>
      <c r="AGI240" s="843"/>
      <c r="AGJ240" s="843"/>
    </row>
    <row r="241" spans="1:868" s="844" customFormat="1" hidden="1">
      <c r="A241" s="152" t="s">
        <v>112</v>
      </c>
      <c r="B241" s="34" t="s">
        <v>234</v>
      </c>
      <c r="C241" s="40" t="s">
        <v>139</v>
      </c>
      <c r="D241" s="34" t="s">
        <v>89</v>
      </c>
      <c r="E241" s="260">
        <v>0</v>
      </c>
      <c r="F241" s="235">
        <v>1</v>
      </c>
      <c r="G241" s="40"/>
      <c r="H241" s="29"/>
      <c r="I241" s="9"/>
      <c r="J241" s="9"/>
      <c r="K241" s="9"/>
      <c r="L241" s="9"/>
      <c r="M241" s="9"/>
      <c r="N241" s="186" t="str">
        <f t="shared" si="16"/>
        <v/>
      </c>
      <c r="O241" s="160" t="str">
        <f t="shared" si="15"/>
        <v/>
      </c>
      <c r="P241" s="63"/>
      <c r="Q241" s="843"/>
      <c r="R241" s="843"/>
      <c r="S241" s="843"/>
      <c r="T241" s="843"/>
      <c r="U241" s="843"/>
      <c r="V241" s="843"/>
      <c r="W241" s="843"/>
      <c r="X241" s="843"/>
      <c r="Y241" s="843"/>
      <c r="Z241" s="843"/>
      <c r="AA241" s="843"/>
      <c r="AB241" s="843"/>
      <c r="AC241" s="843"/>
      <c r="AD241" s="843"/>
      <c r="AE241" s="843"/>
      <c r="AF241" s="843"/>
      <c r="AG241" s="843"/>
      <c r="AH241" s="843"/>
      <c r="AI241" s="843"/>
      <c r="AJ241" s="843"/>
      <c r="AK241" s="843"/>
      <c r="AL241" s="843"/>
      <c r="AM241" s="843"/>
      <c r="AN241" s="843"/>
      <c r="AO241" s="843"/>
      <c r="AP241" s="843"/>
      <c r="AQ241" s="843"/>
      <c r="AR241" s="843"/>
      <c r="AS241" s="843"/>
      <c r="AT241" s="843"/>
      <c r="AU241" s="843"/>
      <c r="AV241" s="843"/>
      <c r="AW241" s="843"/>
      <c r="AX241" s="843"/>
      <c r="AY241" s="843"/>
      <c r="AZ241" s="843"/>
      <c r="BA241" s="843"/>
      <c r="BB241" s="843"/>
      <c r="BC241" s="843"/>
      <c r="BD241" s="843"/>
      <c r="BE241" s="843"/>
      <c r="BF241" s="843"/>
      <c r="BG241" s="843"/>
      <c r="BH241" s="843"/>
      <c r="BI241" s="843"/>
      <c r="BJ241" s="843"/>
      <c r="BK241" s="843"/>
      <c r="BL241" s="843"/>
      <c r="BM241" s="843"/>
      <c r="BN241" s="843"/>
      <c r="BO241" s="843"/>
      <c r="BP241" s="843"/>
      <c r="BQ241" s="843"/>
      <c r="BR241" s="843"/>
      <c r="BS241" s="843"/>
      <c r="BT241" s="843"/>
      <c r="BU241" s="843"/>
      <c r="BV241" s="843"/>
      <c r="BW241" s="843"/>
      <c r="BX241" s="843"/>
      <c r="BY241" s="843"/>
      <c r="BZ241" s="843"/>
      <c r="CA241" s="843"/>
      <c r="CB241" s="843"/>
      <c r="CC241" s="843"/>
      <c r="CD241" s="843"/>
      <c r="CE241" s="843"/>
      <c r="CF241" s="843"/>
      <c r="CG241" s="843"/>
      <c r="CH241" s="843"/>
      <c r="CI241" s="843"/>
      <c r="CJ241" s="843"/>
      <c r="CK241" s="843"/>
      <c r="CL241" s="843"/>
      <c r="CM241" s="843"/>
      <c r="CN241" s="843"/>
      <c r="CO241" s="843"/>
      <c r="CP241" s="843"/>
      <c r="CQ241" s="843"/>
      <c r="CR241" s="843"/>
      <c r="CS241" s="843"/>
      <c r="CT241" s="843"/>
      <c r="CU241" s="843"/>
      <c r="CV241" s="843"/>
      <c r="CW241" s="843"/>
      <c r="CX241" s="843"/>
      <c r="CY241" s="843"/>
      <c r="CZ241" s="843"/>
      <c r="DA241" s="843"/>
      <c r="DB241" s="843"/>
      <c r="DC241" s="843"/>
      <c r="DD241" s="843"/>
      <c r="DE241" s="843"/>
      <c r="DF241" s="843"/>
      <c r="DG241" s="843"/>
      <c r="DH241" s="843"/>
      <c r="DI241" s="843"/>
      <c r="DJ241" s="843"/>
      <c r="DK241" s="843"/>
      <c r="DL241" s="843"/>
      <c r="DM241" s="843"/>
      <c r="DN241" s="843"/>
      <c r="DO241" s="843"/>
      <c r="DP241" s="843"/>
      <c r="DQ241" s="843"/>
      <c r="DR241" s="843"/>
      <c r="DS241" s="843"/>
      <c r="DT241" s="843"/>
      <c r="DU241" s="843"/>
      <c r="DV241" s="843"/>
      <c r="DW241" s="843"/>
      <c r="DX241" s="843"/>
      <c r="DY241" s="843"/>
      <c r="DZ241" s="843"/>
      <c r="EA241" s="843"/>
      <c r="EB241" s="843"/>
      <c r="EC241" s="843"/>
      <c r="ED241" s="843"/>
      <c r="EE241" s="843"/>
      <c r="EF241" s="843"/>
      <c r="EG241" s="843"/>
      <c r="EH241" s="843"/>
      <c r="EI241" s="843"/>
      <c r="EJ241" s="843"/>
      <c r="EK241" s="843"/>
      <c r="EL241" s="843"/>
      <c r="EM241" s="843"/>
      <c r="EN241" s="843"/>
      <c r="EO241" s="843"/>
      <c r="EP241" s="843"/>
      <c r="EQ241" s="843"/>
      <c r="ER241" s="843"/>
      <c r="ES241" s="843"/>
      <c r="ET241" s="843"/>
      <c r="EU241" s="843"/>
      <c r="EV241" s="843"/>
      <c r="EW241" s="843"/>
      <c r="EX241" s="843"/>
      <c r="EY241" s="843"/>
      <c r="EZ241" s="843"/>
      <c r="FA241" s="843"/>
      <c r="FB241" s="843"/>
      <c r="FC241" s="843"/>
      <c r="FD241" s="843"/>
      <c r="FE241" s="843"/>
      <c r="FF241" s="843"/>
      <c r="FG241" s="843"/>
      <c r="FH241" s="843"/>
      <c r="FI241" s="843"/>
      <c r="FJ241" s="843"/>
      <c r="FK241" s="843"/>
      <c r="FL241" s="843"/>
      <c r="FM241" s="843"/>
      <c r="FN241" s="843"/>
      <c r="FO241" s="843"/>
      <c r="FP241" s="843"/>
      <c r="FQ241" s="843"/>
      <c r="FR241" s="843"/>
      <c r="FS241" s="843"/>
      <c r="FT241" s="843"/>
      <c r="FU241" s="843"/>
      <c r="FV241" s="843"/>
      <c r="FW241" s="843"/>
      <c r="FX241" s="843"/>
      <c r="FY241" s="843"/>
      <c r="FZ241" s="843"/>
      <c r="GA241" s="843"/>
      <c r="GB241" s="843"/>
      <c r="GC241" s="843"/>
      <c r="GD241" s="843"/>
      <c r="GE241" s="843"/>
      <c r="GF241" s="843"/>
      <c r="GG241" s="843"/>
      <c r="GH241" s="843"/>
      <c r="GI241" s="843"/>
      <c r="GJ241" s="843"/>
      <c r="GK241" s="843"/>
      <c r="GL241" s="843"/>
      <c r="GM241" s="843"/>
      <c r="GN241" s="843"/>
      <c r="GO241" s="843"/>
      <c r="GP241" s="843"/>
      <c r="GQ241" s="843"/>
      <c r="GR241" s="843"/>
      <c r="GS241" s="843"/>
      <c r="GT241" s="843"/>
      <c r="GU241" s="843"/>
      <c r="GV241" s="843"/>
      <c r="GW241" s="843"/>
      <c r="GX241" s="843"/>
      <c r="GY241" s="843"/>
      <c r="GZ241" s="843"/>
      <c r="HA241" s="843"/>
      <c r="HB241" s="843"/>
      <c r="HC241" s="843"/>
      <c r="HD241" s="843"/>
      <c r="HE241" s="843"/>
      <c r="HF241" s="843"/>
      <c r="HG241" s="843"/>
      <c r="HH241" s="843"/>
      <c r="HI241" s="843"/>
      <c r="HJ241" s="843"/>
      <c r="HK241" s="843"/>
      <c r="HL241" s="843"/>
      <c r="HM241" s="843"/>
      <c r="HN241" s="843"/>
      <c r="HO241" s="843"/>
      <c r="HP241" s="843"/>
      <c r="HQ241" s="843"/>
      <c r="HR241" s="843"/>
      <c r="HS241" s="843"/>
      <c r="HT241" s="843"/>
      <c r="HU241" s="843"/>
      <c r="HV241" s="843"/>
      <c r="HW241" s="843"/>
      <c r="HX241" s="843"/>
      <c r="HY241" s="843"/>
      <c r="HZ241" s="843"/>
      <c r="IA241" s="843"/>
      <c r="IB241" s="843"/>
      <c r="IC241" s="843"/>
      <c r="ID241" s="843"/>
      <c r="IE241" s="843"/>
      <c r="IF241" s="843"/>
      <c r="IG241" s="843"/>
      <c r="IH241" s="843"/>
      <c r="II241" s="843"/>
      <c r="IJ241" s="843"/>
      <c r="IK241" s="843"/>
      <c r="IL241" s="843"/>
      <c r="IM241" s="843"/>
      <c r="IN241" s="843"/>
      <c r="IO241" s="843"/>
      <c r="IP241" s="843"/>
      <c r="IQ241" s="843"/>
      <c r="IR241" s="843"/>
      <c r="IS241" s="843"/>
      <c r="IT241" s="843"/>
      <c r="IU241" s="843"/>
      <c r="IV241" s="843"/>
      <c r="IW241" s="843"/>
      <c r="IX241" s="843"/>
      <c r="IY241" s="843"/>
      <c r="IZ241" s="843"/>
      <c r="JA241" s="843"/>
      <c r="JB241" s="843"/>
      <c r="JC241" s="843"/>
      <c r="JD241" s="843"/>
      <c r="JE241" s="843"/>
      <c r="JF241" s="843"/>
      <c r="JG241" s="843"/>
      <c r="JH241" s="843"/>
      <c r="JI241" s="843"/>
      <c r="JJ241" s="843"/>
      <c r="JK241" s="843"/>
      <c r="JL241" s="843"/>
      <c r="JM241" s="843"/>
      <c r="JN241" s="843"/>
      <c r="JO241" s="843"/>
      <c r="JP241" s="843"/>
      <c r="JQ241" s="843"/>
      <c r="JR241" s="843"/>
      <c r="JS241" s="843"/>
      <c r="JT241" s="843"/>
      <c r="JU241" s="843"/>
      <c r="JV241" s="843"/>
      <c r="JW241" s="843"/>
      <c r="JX241" s="843"/>
      <c r="JY241" s="843"/>
      <c r="JZ241" s="843"/>
      <c r="KA241" s="843"/>
      <c r="KB241" s="843"/>
      <c r="KC241" s="843"/>
      <c r="KD241" s="843"/>
      <c r="KE241" s="843"/>
      <c r="KF241" s="843"/>
      <c r="KG241" s="843"/>
      <c r="KH241" s="843"/>
      <c r="KI241" s="843"/>
      <c r="KJ241" s="843"/>
      <c r="KK241" s="843"/>
      <c r="KL241" s="843"/>
      <c r="KM241" s="843"/>
      <c r="KN241" s="843"/>
      <c r="KO241" s="843"/>
      <c r="KP241" s="843"/>
      <c r="KQ241" s="843"/>
      <c r="KR241" s="843"/>
      <c r="KS241" s="843"/>
      <c r="KT241" s="843"/>
      <c r="KU241" s="843"/>
      <c r="KV241" s="843"/>
      <c r="KW241" s="843"/>
      <c r="KX241" s="843"/>
      <c r="KY241" s="843"/>
      <c r="KZ241" s="843"/>
      <c r="LA241" s="843"/>
      <c r="LB241" s="843"/>
      <c r="LC241" s="843"/>
      <c r="LD241" s="843"/>
      <c r="LE241" s="843"/>
      <c r="LF241" s="843"/>
      <c r="LG241" s="843"/>
      <c r="LH241" s="843"/>
      <c r="LI241" s="843"/>
      <c r="LJ241" s="843"/>
      <c r="LK241" s="843"/>
      <c r="LL241" s="843"/>
      <c r="LM241" s="843"/>
      <c r="LN241" s="843"/>
      <c r="LO241" s="843"/>
      <c r="LP241" s="843"/>
      <c r="LQ241" s="843"/>
      <c r="LR241" s="843"/>
      <c r="LS241" s="843"/>
      <c r="LT241" s="843"/>
      <c r="LU241" s="843"/>
      <c r="LV241" s="843"/>
      <c r="LW241" s="843"/>
      <c r="LX241" s="843"/>
      <c r="LY241" s="843"/>
      <c r="LZ241" s="843"/>
      <c r="MA241" s="843"/>
      <c r="MB241" s="843"/>
      <c r="MC241" s="843"/>
      <c r="MD241" s="843"/>
      <c r="ME241" s="843"/>
      <c r="MF241" s="843"/>
      <c r="MG241" s="843"/>
      <c r="MH241" s="843"/>
      <c r="MI241" s="843"/>
      <c r="MJ241" s="843"/>
      <c r="MK241" s="843"/>
      <c r="ML241" s="843"/>
      <c r="MM241" s="843"/>
      <c r="MN241" s="843"/>
      <c r="MO241" s="843"/>
      <c r="MP241" s="843"/>
      <c r="MQ241" s="843"/>
      <c r="MR241" s="843"/>
      <c r="MS241" s="843"/>
      <c r="MT241" s="843"/>
      <c r="MU241" s="843"/>
      <c r="MV241" s="843"/>
      <c r="MW241" s="843"/>
      <c r="MX241" s="843"/>
      <c r="MY241" s="843"/>
      <c r="MZ241" s="843"/>
      <c r="NA241" s="843"/>
      <c r="NB241" s="843"/>
      <c r="NC241" s="843"/>
      <c r="ND241" s="843"/>
      <c r="NE241" s="843"/>
      <c r="NF241" s="843"/>
      <c r="NG241" s="843"/>
      <c r="NH241" s="843"/>
      <c r="NI241" s="843"/>
      <c r="NJ241" s="843"/>
      <c r="NK241" s="843"/>
      <c r="NL241" s="843"/>
      <c r="NM241" s="843"/>
      <c r="NN241" s="843"/>
      <c r="NO241" s="843"/>
      <c r="NP241" s="843"/>
      <c r="NQ241" s="843"/>
      <c r="NR241" s="843"/>
      <c r="NS241" s="843"/>
      <c r="NT241" s="843"/>
      <c r="NU241" s="843"/>
      <c r="NV241" s="843"/>
      <c r="NW241" s="843"/>
      <c r="NX241" s="843"/>
      <c r="NY241" s="843"/>
      <c r="NZ241" s="843"/>
      <c r="OA241" s="843"/>
      <c r="OB241" s="843"/>
      <c r="OC241" s="843"/>
      <c r="OD241" s="843"/>
      <c r="OE241" s="843"/>
      <c r="OF241" s="843"/>
      <c r="OG241" s="843"/>
      <c r="OH241" s="843"/>
      <c r="OI241" s="843"/>
      <c r="OJ241" s="843"/>
      <c r="OK241" s="843"/>
      <c r="OL241" s="843"/>
      <c r="OM241" s="843"/>
      <c r="ON241" s="843"/>
      <c r="OO241" s="843"/>
      <c r="OP241" s="843"/>
      <c r="OQ241" s="843"/>
      <c r="OR241" s="843"/>
      <c r="OS241" s="843"/>
      <c r="OT241" s="843"/>
      <c r="OU241" s="843"/>
      <c r="OV241" s="843"/>
      <c r="OW241" s="843"/>
      <c r="OX241" s="843"/>
      <c r="OY241" s="843"/>
      <c r="OZ241" s="843"/>
      <c r="PA241" s="843"/>
      <c r="PB241" s="843"/>
      <c r="PC241" s="843"/>
      <c r="PD241" s="843"/>
      <c r="PE241" s="843"/>
      <c r="PF241" s="843"/>
      <c r="PG241" s="843"/>
      <c r="PH241" s="843"/>
      <c r="PI241" s="843"/>
      <c r="PJ241" s="843"/>
      <c r="PK241" s="843"/>
      <c r="PL241" s="843"/>
      <c r="PM241" s="843"/>
      <c r="PN241" s="843"/>
      <c r="PO241" s="843"/>
      <c r="PP241" s="843"/>
      <c r="PQ241" s="843"/>
      <c r="PR241" s="843"/>
      <c r="PS241" s="843"/>
      <c r="PT241" s="843"/>
      <c r="PU241" s="843"/>
      <c r="PV241" s="843"/>
      <c r="PW241" s="843"/>
      <c r="PX241" s="843"/>
      <c r="PY241" s="843"/>
      <c r="PZ241" s="843"/>
      <c r="QA241" s="843"/>
      <c r="QB241" s="843"/>
      <c r="QC241" s="843"/>
      <c r="QD241" s="843"/>
      <c r="QE241" s="843"/>
      <c r="QF241" s="843"/>
      <c r="QG241" s="843"/>
      <c r="QH241" s="843"/>
      <c r="QI241" s="843"/>
      <c r="QJ241" s="843"/>
      <c r="QK241" s="843"/>
      <c r="QL241" s="843"/>
      <c r="QM241" s="843"/>
      <c r="QN241" s="843"/>
      <c r="QO241" s="843"/>
      <c r="QP241" s="843"/>
      <c r="QQ241" s="843"/>
      <c r="QR241" s="843"/>
      <c r="QS241" s="843"/>
      <c r="QT241" s="843"/>
      <c r="QU241" s="843"/>
      <c r="QV241" s="843"/>
      <c r="QW241" s="843"/>
      <c r="QX241" s="843"/>
      <c r="QY241" s="843"/>
      <c r="QZ241" s="843"/>
      <c r="RA241" s="843"/>
      <c r="RB241" s="843"/>
      <c r="RC241" s="843"/>
      <c r="RD241" s="843"/>
      <c r="RE241" s="843"/>
      <c r="RF241" s="843"/>
      <c r="RG241" s="843"/>
      <c r="RH241" s="843"/>
      <c r="RI241" s="843"/>
      <c r="RJ241" s="843"/>
      <c r="RK241" s="843"/>
      <c r="RL241" s="843"/>
      <c r="RM241" s="843"/>
      <c r="RN241" s="843"/>
      <c r="RO241" s="843"/>
      <c r="RP241" s="843"/>
      <c r="RQ241" s="843"/>
      <c r="RR241" s="843"/>
      <c r="RS241" s="843"/>
      <c r="RT241" s="843"/>
      <c r="RU241" s="843"/>
      <c r="RV241" s="843"/>
      <c r="RW241" s="843"/>
      <c r="RX241" s="843"/>
      <c r="RY241" s="843"/>
      <c r="RZ241" s="843"/>
      <c r="SA241" s="843"/>
      <c r="SB241" s="843"/>
      <c r="SC241" s="843"/>
      <c r="SD241" s="843"/>
      <c r="SE241" s="843"/>
      <c r="SF241" s="843"/>
      <c r="SG241" s="843"/>
      <c r="SH241" s="843"/>
      <c r="SI241" s="843"/>
      <c r="SJ241" s="843"/>
      <c r="SK241" s="843"/>
      <c r="SL241" s="843"/>
      <c r="SM241" s="843"/>
      <c r="SN241" s="843"/>
      <c r="SO241" s="843"/>
      <c r="SP241" s="843"/>
      <c r="SQ241" s="843"/>
      <c r="SR241" s="843"/>
      <c r="SS241" s="843"/>
      <c r="ST241" s="843"/>
      <c r="SU241" s="843"/>
      <c r="SV241" s="843"/>
      <c r="SW241" s="843"/>
      <c r="SX241" s="843"/>
      <c r="SY241" s="843"/>
      <c r="SZ241" s="843"/>
      <c r="TA241" s="843"/>
      <c r="TB241" s="843"/>
      <c r="TC241" s="843"/>
      <c r="TD241" s="843"/>
      <c r="TE241" s="843"/>
      <c r="TF241" s="843"/>
      <c r="TG241" s="843"/>
      <c r="TH241" s="843"/>
      <c r="TI241" s="843"/>
      <c r="TJ241" s="843"/>
      <c r="TK241" s="843"/>
      <c r="TL241" s="843"/>
      <c r="TM241" s="843"/>
      <c r="TN241" s="843"/>
      <c r="TO241" s="843"/>
      <c r="TP241" s="843"/>
      <c r="TQ241" s="843"/>
      <c r="TR241" s="843"/>
      <c r="TS241" s="843"/>
      <c r="TT241" s="843"/>
      <c r="TU241" s="843"/>
      <c r="TV241" s="843"/>
      <c r="TW241" s="843"/>
      <c r="TX241" s="843"/>
      <c r="TY241" s="843"/>
      <c r="TZ241" s="843"/>
      <c r="UA241" s="843"/>
      <c r="UB241" s="843"/>
      <c r="UC241" s="843"/>
      <c r="UD241" s="843"/>
      <c r="UE241" s="843"/>
      <c r="UF241" s="843"/>
      <c r="UG241" s="843"/>
      <c r="UH241" s="843"/>
      <c r="UI241" s="843"/>
      <c r="UJ241" s="843"/>
      <c r="UK241" s="843"/>
      <c r="UL241" s="843"/>
      <c r="UM241" s="843"/>
      <c r="UN241" s="843"/>
      <c r="UO241" s="843"/>
      <c r="UP241" s="843"/>
      <c r="UQ241" s="843"/>
      <c r="UR241" s="843"/>
      <c r="US241" s="843"/>
      <c r="UT241" s="843"/>
      <c r="UU241" s="843"/>
      <c r="UV241" s="843"/>
      <c r="UW241" s="843"/>
      <c r="UX241" s="843"/>
      <c r="UY241" s="843"/>
      <c r="UZ241" s="843"/>
      <c r="VA241" s="843"/>
      <c r="VB241" s="843"/>
      <c r="VC241" s="843"/>
      <c r="VD241" s="843"/>
      <c r="VE241" s="843"/>
      <c r="VF241" s="843"/>
      <c r="VG241" s="843"/>
      <c r="VH241" s="843"/>
      <c r="VI241" s="843"/>
      <c r="VJ241" s="843"/>
      <c r="VK241" s="843"/>
      <c r="VL241" s="843"/>
      <c r="VM241" s="843"/>
      <c r="VN241" s="843"/>
      <c r="VO241" s="843"/>
      <c r="VP241" s="843"/>
      <c r="VQ241" s="843"/>
      <c r="VR241" s="843"/>
      <c r="VS241" s="843"/>
      <c r="VT241" s="843"/>
      <c r="VU241" s="843"/>
      <c r="VV241" s="843"/>
      <c r="VW241" s="843"/>
      <c r="VX241" s="843"/>
      <c r="VY241" s="843"/>
      <c r="VZ241" s="843"/>
      <c r="WA241" s="843"/>
      <c r="WB241" s="843"/>
      <c r="WC241" s="843"/>
      <c r="WD241" s="843"/>
      <c r="WE241" s="843"/>
      <c r="WF241" s="843"/>
      <c r="WG241" s="843"/>
      <c r="WH241" s="843"/>
      <c r="WI241" s="843"/>
      <c r="WJ241" s="843"/>
      <c r="WK241" s="843"/>
      <c r="WL241" s="843"/>
      <c r="WM241" s="843"/>
      <c r="WN241" s="843"/>
      <c r="WO241" s="843"/>
      <c r="WP241" s="843"/>
      <c r="WQ241" s="843"/>
      <c r="WR241" s="843"/>
      <c r="WS241" s="843"/>
      <c r="WT241" s="843"/>
      <c r="WU241" s="843"/>
      <c r="WV241" s="843"/>
      <c r="WW241" s="843"/>
      <c r="WX241" s="843"/>
      <c r="WY241" s="843"/>
      <c r="WZ241" s="843"/>
      <c r="XA241" s="843"/>
      <c r="XB241" s="843"/>
      <c r="XC241" s="843"/>
      <c r="XD241" s="843"/>
      <c r="XE241" s="843"/>
      <c r="XF241" s="843"/>
      <c r="XG241" s="843"/>
      <c r="XH241" s="843"/>
      <c r="XI241" s="843"/>
      <c r="XJ241" s="843"/>
      <c r="XK241" s="843"/>
      <c r="XL241" s="843"/>
      <c r="XM241" s="843"/>
      <c r="XN241" s="843"/>
      <c r="XO241" s="843"/>
      <c r="XP241" s="843"/>
      <c r="XQ241" s="843"/>
      <c r="XR241" s="843"/>
      <c r="XS241" s="843"/>
      <c r="XT241" s="843"/>
      <c r="XU241" s="843"/>
      <c r="XV241" s="843"/>
      <c r="XW241" s="843"/>
      <c r="XX241" s="843"/>
      <c r="XY241" s="843"/>
      <c r="XZ241" s="843"/>
      <c r="YA241" s="843"/>
      <c r="YB241" s="843"/>
      <c r="YC241" s="843"/>
      <c r="YD241" s="843"/>
      <c r="YE241" s="843"/>
      <c r="YF241" s="843"/>
      <c r="YG241" s="843"/>
      <c r="YH241" s="843"/>
      <c r="YI241" s="843"/>
      <c r="YJ241" s="843"/>
      <c r="YK241" s="843"/>
      <c r="YL241" s="843"/>
      <c r="YM241" s="843"/>
      <c r="YN241" s="843"/>
      <c r="YO241" s="843"/>
      <c r="YP241" s="843"/>
      <c r="YQ241" s="843"/>
      <c r="YR241" s="843"/>
      <c r="YS241" s="843"/>
      <c r="YT241" s="843"/>
      <c r="YU241" s="843"/>
      <c r="YV241" s="843"/>
      <c r="YW241" s="843"/>
      <c r="YX241" s="843"/>
      <c r="YY241" s="843"/>
      <c r="YZ241" s="843"/>
      <c r="ZA241" s="843"/>
      <c r="ZB241" s="843"/>
      <c r="ZC241" s="843"/>
      <c r="ZD241" s="843"/>
      <c r="ZE241" s="843"/>
      <c r="ZF241" s="843"/>
      <c r="ZG241" s="843"/>
      <c r="ZH241" s="843"/>
      <c r="ZI241" s="843"/>
      <c r="ZJ241" s="843"/>
      <c r="ZK241" s="843"/>
      <c r="ZL241" s="843"/>
      <c r="ZM241" s="843"/>
      <c r="ZN241" s="843"/>
      <c r="ZO241" s="843"/>
      <c r="ZP241" s="843"/>
      <c r="ZQ241" s="843"/>
      <c r="ZR241" s="843"/>
      <c r="ZS241" s="843"/>
      <c r="ZT241" s="843"/>
      <c r="ZU241" s="843"/>
      <c r="ZV241" s="843"/>
      <c r="ZW241" s="843"/>
      <c r="ZX241" s="843"/>
      <c r="ZY241" s="843"/>
      <c r="ZZ241" s="843"/>
      <c r="AAA241" s="843"/>
      <c r="AAB241" s="843"/>
      <c r="AAC241" s="843"/>
      <c r="AAD241" s="843"/>
      <c r="AAE241" s="843"/>
      <c r="AAF241" s="843"/>
      <c r="AAG241" s="843"/>
      <c r="AAH241" s="843"/>
      <c r="AAI241" s="843"/>
      <c r="AAJ241" s="843"/>
      <c r="AAK241" s="843"/>
      <c r="AAL241" s="843"/>
      <c r="AAM241" s="843"/>
      <c r="AAN241" s="843"/>
      <c r="AAO241" s="843"/>
      <c r="AAP241" s="843"/>
      <c r="AAQ241" s="843"/>
      <c r="AAR241" s="843"/>
      <c r="AAS241" s="843"/>
      <c r="AAT241" s="843"/>
      <c r="AAU241" s="843"/>
      <c r="AAV241" s="843"/>
      <c r="AAW241" s="843"/>
      <c r="AAX241" s="843"/>
      <c r="AAY241" s="843"/>
      <c r="AAZ241" s="843"/>
      <c r="ABA241" s="843"/>
      <c r="ABB241" s="843"/>
      <c r="ABC241" s="843"/>
      <c r="ABD241" s="843"/>
      <c r="ABE241" s="843"/>
      <c r="ABF241" s="843"/>
      <c r="ABG241" s="843"/>
      <c r="ABH241" s="843"/>
      <c r="ABI241" s="843"/>
      <c r="ABJ241" s="843"/>
      <c r="ABK241" s="843"/>
      <c r="ABL241" s="843"/>
      <c r="ABM241" s="843"/>
      <c r="ABN241" s="843"/>
      <c r="ABO241" s="843"/>
      <c r="ABP241" s="843"/>
      <c r="ABQ241" s="843"/>
      <c r="ABR241" s="843"/>
      <c r="ABS241" s="843"/>
      <c r="ABT241" s="843"/>
      <c r="ABU241" s="843"/>
      <c r="ABV241" s="843"/>
      <c r="ABW241" s="843"/>
      <c r="ABX241" s="843"/>
      <c r="ABY241" s="843"/>
      <c r="ABZ241" s="843"/>
      <c r="ACA241" s="843"/>
      <c r="ACB241" s="843"/>
      <c r="ACC241" s="843"/>
      <c r="ACD241" s="843"/>
      <c r="ACE241" s="843"/>
      <c r="ACF241" s="843"/>
      <c r="ACG241" s="843"/>
      <c r="ACH241" s="843"/>
      <c r="ACI241" s="843"/>
      <c r="ACJ241" s="843"/>
      <c r="ACK241" s="843"/>
      <c r="ACL241" s="843"/>
      <c r="ACM241" s="843"/>
      <c r="ACN241" s="843"/>
      <c r="ACO241" s="843"/>
      <c r="ACP241" s="843"/>
      <c r="ACQ241" s="843"/>
      <c r="ACR241" s="843"/>
      <c r="ACS241" s="843"/>
      <c r="ACT241" s="843"/>
      <c r="ACU241" s="843"/>
      <c r="ACV241" s="843"/>
      <c r="ACW241" s="843"/>
      <c r="ACX241" s="843"/>
      <c r="ACY241" s="843"/>
      <c r="ACZ241" s="843"/>
      <c r="ADA241" s="843"/>
      <c r="ADB241" s="843"/>
      <c r="ADC241" s="843"/>
      <c r="ADD241" s="843"/>
      <c r="ADE241" s="843"/>
      <c r="ADF241" s="843"/>
      <c r="ADG241" s="843"/>
      <c r="ADH241" s="843"/>
      <c r="ADI241" s="843"/>
      <c r="ADJ241" s="843"/>
      <c r="ADK241" s="843"/>
      <c r="ADL241" s="843"/>
      <c r="ADM241" s="843"/>
      <c r="ADN241" s="843"/>
      <c r="ADO241" s="843"/>
      <c r="ADP241" s="843"/>
      <c r="ADQ241" s="843"/>
      <c r="ADR241" s="843"/>
      <c r="ADS241" s="843"/>
      <c r="ADT241" s="843"/>
      <c r="ADU241" s="843"/>
      <c r="ADV241" s="843"/>
      <c r="ADW241" s="843"/>
      <c r="ADX241" s="843"/>
      <c r="ADY241" s="843"/>
      <c r="ADZ241" s="843"/>
      <c r="AEA241" s="843"/>
      <c r="AEB241" s="843"/>
      <c r="AEC241" s="843"/>
      <c r="AED241" s="843"/>
      <c r="AEE241" s="843"/>
      <c r="AEF241" s="843"/>
      <c r="AEG241" s="843"/>
      <c r="AEH241" s="843"/>
      <c r="AEI241" s="843"/>
      <c r="AEJ241" s="843"/>
      <c r="AEK241" s="843"/>
      <c r="AEL241" s="843"/>
      <c r="AEM241" s="843"/>
      <c r="AEN241" s="843"/>
      <c r="AEO241" s="843"/>
      <c r="AEP241" s="843"/>
      <c r="AEQ241" s="843"/>
      <c r="AER241" s="843"/>
      <c r="AES241" s="843"/>
      <c r="AET241" s="843"/>
      <c r="AEU241" s="843"/>
      <c r="AEV241" s="843"/>
      <c r="AEW241" s="843"/>
      <c r="AEX241" s="843"/>
      <c r="AEY241" s="843"/>
      <c r="AEZ241" s="843"/>
      <c r="AFA241" s="843"/>
      <c r="AFB241" s="843"/>
      <c r="AFC241" s="843"/>
      <c r="AFD241" s="843"/>
      <c r="AFE241" s="843"/>
      <c r="AFF241" s="843"/>
      <c r="AFG241" s="843"/>
      <c r="AFH241" s="843"/>
      <c r="AFI241" s="843"/>
      <c r="AFJ241" s="843"/>
      <c r="AFK241" s="843"/>
      <c r="AFL241" s="843"/>
      <c r="AFM241" s="843"/>
      <c r="AFN241" s="843"/>
      <c r="AFO241" s="843"/>
      <c r="AFP241" s="843"/>
      <c r="AFQ241" s="843"/>
      <c r="AFR241" s="843"/>
      <c r="AFS241" s="843"/>
      <c r="AFT241" s="843"/>
      <c r="AFU241" s="843"/>
      <c r="AFV241" s="843"/>
      <c r="AFW241" s="843"/>
      <c r="AFX241" s="843"/>
      <c r="AFY241" s="843"/>
      <c r="AFZ241" s="843"/>
      <c r="AGA241" s="843"/>
      <c r="AGB241" s="843"/>
      <c r="AGC241" s="843"/>
      <c r="AGD241" s="843"/>
      <c r="AGE241" s="843"/>
      <c r="AGF241" s="843"/>
      <c r="AGG241" s="843"/>
      <c r="AGH241" s="843"/>
      <c r="AGI241" s="843"/>
      <c r="AGJ241" s="843"/>
    </row>
    <row r="242" spans="1:868" s="844" customFormat="1" hidden="1">
      <c r="A242" s="152" t="s">
        <v>142</v>
      </c>
      <c r="B242" s="34" t="s">
        <v>204</v>
      </c>
      <c r="C242" s="40" t="s">
        <v>139</v>
      </c>
      <c r="D242" s="34" t="s">
        <v>139</v>
      </c>
      <c r="E242" s="260">
        <v>2.7E-4</v>
      </c>
      <c r="F242" s="235">
        <v>2</v>
      </c>
      <c r="G242" s="40" t="s">
        <v>205</v>
      </c>
      <c r="H242" s="29">
        <v>1</v>
      </c>
      <c r="I242" s="9"/>
      <c r="J242" s="9">
        <v>1</v>
      </c>
      <c r="K242" s="9">
        <v>3</v>
      </c>
      <c r="L242" s="9">
        <v>3</v>
      </c>
      <c r="M242" s="9">
        <v>3</v>
      </c>
      <c r="N242" s="186">
        <f t="shared" si="16"/>
        <v>1.1181151966036349</v>
      </c>
      <c r="O242" s="160" t="str">
        <f t="shared" si="15"/>
        <v/>
      </c>
      <c r="P242" s="63"/>
      <c r="Q242" s="843"/>
      <c r="R242" s="843"/>
      <c r="S242" s="843"/>
      <c r="T242" s="843"/>
      <c r="U242" s="843"/>
      <c r="V242" s="843"/>
      <c r="W242" s="843"/>
      <c r="X242" s="843"/>
      <c r="Y242" s="843"/>
      <c r="Z242" s="843"/>
      <c r="AA242" s="843"/>
      <c r="AB242" s="843"/>
      <c r="AC242" s="843"/>
      <c r="AD242" s="843"/>
      <c r="AE242" s="843"/>
      <c r="AF242" s="843"/>
      <c r="AG242" s="843"/>
      <c r="AH242" s="843"/>
      <c r="AI242" s="843"/>
      <c r="AJ242" s="843"/>
      <c r="AK242" s="843"/>
      <c r="AL242" s="843"/>
      <c r="AM242" s="843"/>
      <c r="AN242" s="843"/>
      <c r="AO242" s="843"/>
      <c r="AP242" s="843"/>
      <c r="AQ242" s="843"/>
      <c r="AR242" s="843"/>
      <c r="AS242" s="843"/>
      <c r="AT242" s="843"/>
      <c r="AU242" s="843"/>
      <c r="AV242" s="843"/>
      <c r="AW242" s="843"/>
      <c r="AX242" s="843"/>
      <c r="AY242" s="843"/>
      <c r="AZ242" s="843"/>
      <c r="BA242" s="843"/>
      <c r="BB242" s="843"/>
      <c r="BC242" s="843"/>
      <c r="BD242" s="843"/>
      <c r="BE242" s="843"/>
      <c r="BF242" s="843"/>
      <c r="BG242" s="843"/>
      <c r="BH242" s="843"/>
      <c r="BI242" s="843"/>
      <c r="BJ242" s="843"/>
      <c r="BK242" s="843"/>
      <c r="BL242" s="843"/>
      <c r="BM242" s="843"/>
      <c r="BN242" s="843"/>
      <c r="BO242" s="843"/>
      <c r="BP242" s="843"/>
      <c r="BQ242" s="843"/>
      <c r="BR242" s="843"/>
      <c r="BS242" s="843"/>
      <c r="BT242" s="843"/>
      <c r="BU242" s="843"/>
      <c r="BV242" s="843"/>
      <c r="BW242" s="843"/>
      <c r="BX242" s="843"/>
      <c r="BY242" s="843"/>
      <c r="BZ242" s="843"/>
      <c r="CA242" s="843"/>
      <c r="CB242" s="843"/>
      <c r="CC242" s="843"/>
      <c r="CD242" s="843"/>
      <c r="CE242" s="843"/>
      <c r="CF242" s="843"/>
      <c r="CG242" s="843"/>
      <c r="CH242" s="843"/>
      <c r="CI242" s="843"/>
      <c r="CJ242" s="843"/>
      <c r="CK242" s="843"/>
      <c r="CL242" s="843"/>
      <c r="CM242" s="843"/>
      <c r="CN242" s="843"/>
      <c r="CO242" s="843"/>
      <c r="CP242" s="843"/>
      <c r="CQ242" s="843"/>
      <c r="CR242" s="843"/>
      <c r="CS242" s="843"/>
      <c r="CT242" s="843"/>
      <c r="CU242" s="843"/>
      <c r="CV242" s="843"/>
      <c r="CW242" s="843"/>
      <c r="CX242" s="843"/>
      <c r="CY242" s="843"/>
      <c r="CZ242" s="843"/>
      <c r="DA242" s="843"/>
      <c r="DB242" s="843"/>
      <c r="DC242" s="843"/>
      <c r="DD242" s="843"/>
      <c r="DE242" s="843"/>
      <c r="DF242" s="843"/>
      <c r="DG242" s="843"/>
      <c r="DH242" s="843"/>
      <c r="DI242" s="843"/>
      <c r="DJ242" s="843"/>
      <c r="DK242" s="843"/>
      <c r="DL242" s="843"/>
      <c r="DM242" s="843"/>
      <c r="DN242" s="843"/>
      <c r="DO242" s="843"/>
      <c r="DP242" s="843"/>
      <c r="DQ242" s="843"/>
      <c r="DR242" s="843"/>
      <c r="DS242" s="843"/>
      <c r="DT242" s="843"/>
      <c r="DU242" s="843"/>
      <c r="DV242" s="843"/>
      <c r="DW242" s="843"/>
      <c r="DX242" s="843"/>
      <c r="DY242" s="843"/>
      <c r="DZ242" s="843"/>
      <c r="EA242" s="843"/>
      <c r="EB242" s="843"/>
      <c r="EC242" s="843"/>
      <c r="ED242" s="843"/>
      <c r="EE242" s="843"/>
      <c r="EF242" s="843"/>
      <c r="EG242" s="843"/>
      <c r="EH242" s="843"/>
      <c r="EI242" s="843"/>
      <c r="EJ242" s="843"/>
      <c r="EK242" s="843"/>
      <c r="EL242" s="843"/>
      <c r="EM242" s="843"/>
      <c r="EN242" s="843"/>
      <c r="EO242" s="843"/>
      <c r="EP242" s="843"/>
      <c r="EQ242" s="843"/>
      <c r="ER242" s="843"/>
      <c r="ES242" s="843"/>
      <c r="ET242" s="843"/>
      <c r="EU242" s="843"/>
      <c r="EV242" s="843"/>
      <c r="EW242" s="843"/>
      <c r="EX242" s="843"/>
      <c r="EY242" s="843"/>
      <c r="EZ242" s="843"/>
      <c r="FA242" s="843"/>
      <c r="FB242" s="843"/>
      <c r="FC242" s="843"/>
      <c r="FD242" s="843"/>
      <c r="FE242" s="843"/>
      <c r="FF242" s="843"/>
      <c r="FG242" s="843"/>
      <c r="FH242" s="843"/>
      <c r="FI242" s="843"/>
      <c r="FJ242" s="843"/>
      <c r="FK242" s="843"/>
      <c r="FL242" s="843"/>
      <c r="FM242" s="843"/>
      <c r="FN242" s="843"/>
      <c r="FO242" s="843"/>
      <c r="FP242" s="843"/>
      <c r="FQ242" s="843"/>
      <c r="FR242" s="843"/>
      <c r="FS242" s="843"/>
      <c r="FT242" s="843"/>
      <c r="FU242" s="843"/>
      <c r="FV242" s="843"/>
      <c r="FW242" s="843"/>
      <c r="FX242" s="843"/>
      <c r="FY242" s="843"/>
      <c r="FZ242" s="843"/>
      <c r="GA242" s="843"/>
      <c r="GB242" s="843"/>
      <c r="GC242" s="843"/>
      <c r="GD242" s="843"/>
      <c r="GE242" s="843"/>
      <c r="GF242" s="843"/>
      <c r="GG242" s="843"/>
      <c r="GH242" s="843"/>
      <c r="GI242" s="843"/>
      <c r="GJ242" s="843"/>
      <c r="GK242" s="843"/>
      <c r="GL242" s="843"/>
      <c r="GM242" s="843"/>
      <c r="GN242" s="843"/>
      <c r="GO242" s="843"/>
      <c r="GP242" s="843"/>
      <c r="GQ242" s="843"/>
      <c r="GR242" s="843"/>
      <c r="GS242" s="843"/>
      <c r="GT242" s="843"/>
      <c r="GU242" s="843"/>
      <c r="GV242" s="843"/>
      <c r="GW242" s="843"/>
      <c r="GX242" s="843"/>
      <c r="GY242" s="843"/>
      <c r="GZ242" s="843"/>
      <c r="HA242" s="843"/>
      <c r="HB242" s="843"/>
      <c r="HC242" s="843"/>
      <c r="HD242" s="843"/>
      <c r="HE242" s="843"/>
      <c r="HF242" s="843"/>
      <c r="HG242" s="843"/>
      <c r="HH242" s="843"/>
      <c r="HI242" s="843"/>
      <c r="HJ242" s="843"/>
      <c r="HK242" s="843"/>
      <c r="HL242" s="843"/>
      <c r="HM242" s="843"/>
      <c r="HN242" s="843"/>
      <c r="HO242" s="843"/>
      <c r="HP242" s="843"/>
      <c r="HQ242" s="843"/>
      <c r="HR242" s="843"/>
      <c r="HS242" s="843"/>
      <c r="HT242" s="843"/>
      <c r="HU242" s="843"/>
      <c r="HV242" s="843"/>
      <c r="HW242" s="843"/>
      <c r="HX242" s="843"/>
      <c r="HY242" s="843"/>
      <c r="HZ242" s="843"/>
      <c r="IA242" s="843"/>
      <c r="IB242" s="843"/>
      <c r="IC242" s="843"/>
      <c r="ID242" s="843"/>
      <c r="IE242" s="843"/>
      <c r="IF242" s="843"/>
      <c r="IG242" s="843"/>
      <c r="IH242" s="843"/>
      <c r="II242" s="843"/>
      <c r="IJ242" s="843"/>
      <c r="IK242" s="843"/>
      <c r="IL242" s="843"/>
      <c r="IM242" s="843"/>
      <c r="IN242" s="843"/>
      <c r="IO242" s="843"/>
      <c r="IP242" s="843"/>
      <c r="IQ242" s="843"/>
      <c r="IR242" s="843"/>
      <c r="IS242" s="843"/>
      <c r="IT242" s="843"/>
      <c r="IU242" s="843"/>
      <c r="IV242" s="843"/>
      <c r="IW242" s="843"/>
      <c r="IX242" s="843"/>
      <c r="IY242" s="843"/>
      <c r="IZ242" s="843"/>
      <c r="JA242" s="843"/>
      <c r="JB242" s="843"/>
      <c r="JC242" s="843"/>
      <c r="JD242" s="843"/>
      <c r="JE242" s="843"/>
      <c r="JF242" s="843"/>
      <c r="JG242" s="843"/>
      <c r="JH242" s="843"/>
      <c r="JI242" s="843"/>
      <c r="JJ242" s="843"/>
      <c r="JK242" s="843"/>
      <c r="JL242" s="843"/>
      <c r="JM242" s="843"/>
      <c r="JN242" s="843"/>
      <c r="JO242" s="843"/>
      <c r="JP242" s="843"/>
      <c r="JQ242" s="843"/>
      <c r="JR242" s="843"/>
      <c r="JS242" s="843"/>
      <c r="JT242" s="843"/>
      <c r="JU242" s="843"/>
      <c r="JV242" s="843"/>
      <c r="JW242" s="843"/>
      <c r="JX242" s="843"/>
      <c r="JY242" s="843"/>
      <c r="JZ242" s="843"/>
      <c r="KA242" s="843"/>
      <c r="KB242" s="843"/>
      <c r="KC242" s="843"/>
      <c r="KD242" s="843"/>
      <c r="KE242" s="843"/>
      <c r="KF242" s="843"/>
      <c r="KG242" s="843"/>
      <c r="KH242" s="843"/>
      <c r="KI242" s="843"/>
      <c r="KJ242" s="843"/>
      <c r="KK242" s="843"/>
      <c r="KL242" s="843"/>
      <c r="KM242" s="843"/>
      <c r="KN242" s="843"/>
      <c r="KO242" s="843"/>
      <c r="KP242" s="843"/>
      <c r="KQ242" s="843"/>
      <c r="KR242" s="843"/>
      <c r="KS242" s="843"/>
      <c r="KT242" s="843"/>
      <c r="KU242" s="843"/>
      <c r="KV242" s="843"/>
      <c r="KW242" s="843"/>
      <c r="KX242" s="843"/>
      <c r="KY242" s="843"/>
      <c r="KZ242" s="843"/>
      <c r="LA242" s="843"/>
      <c r="LB242" s="843"/>
      <c r="LC242" s="843"/>
      <c r="LD242" s="843"/>
      <c r="LE242" s="843"/>
      <c r="LF242" s="843"/>
      <c r="LG242" s="843"/>
      <c r="LH242" s="843"/>
      <c r="LI242" s="843"/>
      <c r="LJ242" s="843"/>
      <c r="LK242" s="843"/>
      <c r="LL242" s="843"/>
      <c r="LM242" s="843"/>
      <c r="LN242" s="843"/>
      <c r="LO242" s="843"/>
      <c r="LP242" s="843"/>
      <c r="LQ242" s="843"/>
      <c r="LR242" s="843"/>
      <c r="LS242" s="843"/>
      <c r="LT242" s="843"/>
      <c r="LU242" s="843"/>
      <c r="LV242" s="843"/>
      <c r="LW242" s="843"/>
      <c r="LX242" s="843"/>
      <c r="LY242" s="843"/>
      <c r="LZ242" s="843"/>
      <c r="MA242" s="843"/>
      <c r="MB242" s="843"/>
      <c r="MC242" s="843"/>
      <c r="MD242" s="843"/>
      <c r="ME242" s="843"/>
      <c r="MF242" s="843"/>
      <c r="MG242" s="843"/>
      <c r="MH242" s="843"/>
      <c r="MI242" s="843"/>
      <c r="MJ242" s="843"/>
      <c r="MK242" s="843"/>
      <c r="ML242" s="843"/>
      <c r="MM242" s="843"/>
      <c r="MN242" s="843"/>
      <c r="MO242" s="843"/>
      <c r="MP242" s="843"/>
      <c r="MQ242" s="843"/>
      <c r="MR242" s="843"/>
      <c r="MS242" s="843"/>
      <c r="MT242" s="843"/>
      <c r="MU242" s="843"/>
      <c r="MV242" s="843"/>
      <c r="MW242" s="843"/>
      <c r="MX242" s="843"/>
      <c r="MY242" s="843"/>
      <c r="MZ242" s="843"/>
      <c r="NA242" s="843"/>
      <c r="NB242" s="843"/>
      <c r="NC242" s="843"/>
      <c r="ND242" s="843"/>
      <c r="NE242" s="843"/>
      <c r="NF242" s="843"/>
      <c r="NG242" s="843"/>
      <c r="NH242" s="843"/>
      <c r="NI242" s="843"/>
      <c r="NJ242" s="843"/>
      <c r="NK242" s="843"/>
      <c r="NL242" s="843"/>
      <c r="NM242" s="843"/>
      <c r="NN242" s="843"/>
      <c r="NO242" s="843"/>
      <c r="NP242" s="843"/>
      <c r="NQ242" s="843"/>
      <c r="NR242" s="843"/>
      <c r="NS242" s="843"/>
      <c r="NT242" s="843"/>
      <c r="NU242" s="843"/>
      <c r="NV242" s="843"/>
      <c r="NW242" s="843"/>
      <c r="NX242" s="843"/>
      <c r="NY242" s="843"/>
      <c r="NZ242" s="843"/>
      <c r="OA242" s="843"/>
      <c r="OB242" s="843"/>
      <c r="OC242" s="843"/>
      <c r="OD242" s="843"/>
      <c r="OE242" s="843"/>
      <c r="OF242" s="843"/>
      <c r="OG242" s="843"/>
      <c r="OH242" s="843"/>
      <c r="OI242" s="843"/>
      <c r="OJ242" s="843"/>
      <c r="OK242" s="843"/>
      <c r="OL242" s="843"/>
      <c r="OM242" s="843"/>
      <c r="ON242" s="843"/>
      <c r="OO242" s="843"/>
      <c r="OP242" s="843"/>
      <c r="OQ242" s="843"/>
      <c r="OR242" s="843"/>
      <c r="OS242" s="843"/>
      <c r="OT242" s="843"/>
      <c r="OU242" s="843"/>
      <c r="OV242" s="843"/>
      <c r="OW242" s="843"/>
      <c r="OX242" s="843"/>
      <c r="OY242" s="843"/>
      <c r="OZ242" s="843"/>
      <c r="PA242" s="843"/>
      <c r="PB242" s="843"/>
      <c r="PC242" s="843"/>
      <c r="PD242" s="843"/>
      <c r="PE242" s="843"/>
      <c r="PF242" s="843"/>
      <c r="PG242" s="843"/>
      <c r="PH242" s="843"/>
      <c r="PI242" s="843"/>
      <c r="PJ242" s="843"/>
      <c r="PK242" s="843"/>
      <c r="PL242" s="843"/>
      <c r="PM242" s="843"/>
      <c r="PN242" s="843"/>
      <c r="PO242" s="843"/>
      <c r="PP242" s="843"/>
      <c r="PQ242" s="843"/>
      <c r="PR242" s="843"/>
      <c r="PS242" s="843"/>
      <c r="PT242" s="843"/>
      <c r="PU242" s="843"/>
      <c r="PV242" s="843"/>
      <c r="PW242" s="843"/>
      <c r="PX242" s="843"/>
      <c r="PY242" s="843"/>
      <c r="PZ242" s="843"/>
      <c r="QA242" s="843"/>
      <c r="QB242" s="843"/>
      <c r="QC242" s="843"/>
      <c r="QD242" s="843"/>
      <c r="QE242" s="843"/>
      <c r="QF242" s="843"/>
      <c r="QG242" s="843"/>
      <c r="QH242" s="843"/>
      <c r="QI242" s="843"/>
      <c r="QJ242" s="843"/>
      <c r="QK242" s="843"/>
      <c r="QL242" s="843"/>
      <c r="QM242" s="843"/>
      <c r="QN242" s="843"/>
      <c r="QO242" s="843"/>
      <c r="QP242" s="843"/>
      <c r="QQ242" s="843"/>
      <c r="QR242" s="843"/>
      <c r="QS242" s="843"/>
      <c r="QT242" s="843"/>
      <c r="QU242" s="843"/>
      <c r="QV242" s="843"/>
      <c r="QW242" s="843"/>
      <c r="QX242" s="843"/>
      <c r="QY242" s="843"/>
      <c r="QZ242" s="843"/>
      <c r="RA242" s="843"/>
      <c r="RB242" s="843"/>
      <c r="RC242" s="843"/>
      <c r="RD242" s="843"/>
      <c r="RE242" s="843"/>
      <c r="RF242" s="843"/>
      <c r="RG242" s="843"/>
      <c r="RH242" s="843"/>
      <c r="RI242" s="843"/>
      <c r="RJ242" s="843"/>
      <c r="RK242" s="843"/>
      <c r="RL242" s="843"/>
      <c r="RM242" s="843"/>
      <c r="RN242" s="843"/>
      <c r="RO242" s="843"/>
      <c r="RP242" s="843"/>
      <c r="RQ242" s="843"/>
      <c r="RR242" s="843"/>
      <c r="RS242" s="843"/>
      <c r="RT242" s="843"/>
      <c r="RU242" s="843"/>
      <c r="RV242" s="843"/>
      <c r="RW242" s="843"/>
      <c r="RX242" s="843"/>
      <c r="RY242" s="843"/>
      <c r="RZ242" s="843"/>
      <c r="SA242" s="843"/>
      <c r="SB242" s="843"/>
      <c r="SC242" s="843"/>
      <c r="SD242" s="843"/>
      <c r="SE242" s="843"/>
      <c r="SF242" s="843"/>
      <c r="SG242" s="843"/>
      <c r="SH242" s="843"/>
      <c r="SI242" s="843"/>
      <c r="SJ242" s="843"/>
      <c r="SK242" s="843"/>
      <c r="SL242" s="843"/>
      <c r="SM242" s="843"/>
      <c r="SN242" s="843"/>
      <c r="SO242" s="843"/>
      <c r="SP242" s="843"/>
      <c r="SQ242" s="843"/>
      <c r="SR242" s="843"/>
      <c r="SS242" s="843"/>
      <c r="ST242" s="843"/>
      <c r="SU242" s="843"/>
      <c r="SV242" s="843"/>
      <c r="SW242" s="843"/>
      <c r="SX242" s="843"/>
      <c r="SY242" s="843"/>
      <c r="SZ242" s="843"/>
      <c r="TA242" s="843"/>
      <c r="TB242" s="843"/>
      <c r="TC242" s="843"/>
      <c r="TD242" s="843"/>
      <c r="TE242" s="843"/>
      <c r="TF242" s="843"/>
      <c r="TG242" s="843"/>
      <c r="TH242" s="843"/>
      <c r="TI242" s="843"/>
      <c r="TJ242" s="843"/>
      <c r="TK242" s="843"/>
      <c r="TL242" s="843"/>
      <c r="TM242" s="843"/>
      <c r="TN242" s="843"/>
      <c r="TO242" s="843"/>
      <c r="TP242" s="843"/>
      <c r="TQ242" s="843"/>
      <c r="TR242" s="843"/>
      <c r="TS242" s="843"/>
      <c r="TT242" s="843"/>
      <c r="TU242" s="843"/>
      <c r="TV242" s="843"/>
      <c r="TW242" s="843"/>
      <c r="TX242" s="843"/>
      <c r="TY242" s="843"/>
      <c r="TZ242" s="843"/>
      <c r="UA242" s="843"/>
      <c r="UB242" s="843"/>
      <c r="UC242" s="843"/>
      <c r="UD242" s="843"/>
      <c r="UE242" s="843"/>
      <c r="UF242" s="843"/>
      <c r="UG242" s="843"/>
      <c r="UH242" s="843"/>
      <c r="UI242" s="843"/>
      <c r="UJ242" s="843"/>
      <c r="UK242" s="843"/>
      <c r="UL242" s="843"/>
      <c r="UM242" s="843"/>
      <c r="UN242" s="843"/>
      <c r="UO242" s="843"/>
      <c r="UP242" s="843"/>
      <c r="UQ242" s="843"/>
      <c r="UR242" s="843"/>
      <c r="US242" s="843"/>
      <c r="UT242" s="843"/>
      <c r="UU242" s="843"/>
      <c r="UV242" s="843"/>
      <c r="UW242" s="843"/>
      <c r="UX242" s="843"/>
      <c r="UY242" s="843"/>
      <c r="UZ242" s="843"/>
      <c r="VA242" s="843"/>
      <c r="VB242" s="843"/>
      <c r="VC242" s="843"/>
      <c r="VD242" s="843"/>
      <c r="VE242" s="843"/>
      <c r="VF242" s="843"/>
      <c r="VG242" s="843"/>
      <c r="VH242" s="843"/>
      <c r="VI242" s="843"/>
      <c r="VJ242" s="843"/>
      <c r="VK242" s="843"/>
      <c r="VL242" s="843"/>
      <c r="VM242" s="843"/>
      <c r="VN242" s="843"/>
      <c r="VO242" s="843"/>
      <c r="VP242" s="843"/>
      <c r="VQ242" s="843"/>
      <c r="VR242" s="843"/>
      <c r="VS242" s="843"/>
      <c r="VT242" s="843"/>
      <c r="VU242" s="843"/>
      <c r="VV242" s="843"/>
      <c r="VW242" s="843"/>
      <c r="VX242" s="843"/>
      <c r="VY242" s="843"/>
      <c r="VZ242" s="843"/>
      <c r="WA242" s="843"/>
      <c r="WB242" s="843"/>
      <c r="WC242" s="843"/>
      <c r="WD242" s="843"/>
      <c r="WE242" s="843"/>
      <c r="WF242" s="843"/>
      <c r="WG242" s="843"/>
      <c r="WH242" s="843"/>
      <c r="WI242" s="843"/>
      <c r="WJ242" s="843"/>
      <c r="WK242" s="843"/>
      <c r="WL242" s="843"/>
      <c r="WM242" s="843"/>
      <c r="WN242" s="843"/>
      <c r="WO242" s="843"/>
      <c r="WP242" s="843"/>
      <c r="WQ242" s="843"/>
      <c r="WR242" s="843"/>
      <c r="WS242" s="843"/>
      <c r="WT242" s="843"/>
      <c r="WU242" s="843"/>
      <c r="WV242" s="843"/>
      <c r="WW242" s="843"/>
      <c r="WX242" s="843"/>
      <c r="WY242" s="843"/>
      <c r="WZ242" s="843"/>
      <c r="XA242" s="843"/>
      <c r="XB242" s="843"/>
      <c r="XC242" s="843"/>
      <c r="XD242" s="843"/>
      <c r="XE242" s="843"/>
      <c r="XF242" s="843"/>
      <c r="XG242" s="843"/>
      <c r="XH242" s="843"/>
      <c r="XI242" s="843"/>
      <c r="XJ242" s="843"/>
      <c r="XK242" s="843"/>
      <c r="XL242" s="843"/>
      <c r="XM242" s="843"/>
      <c r="XN242" s="843"/>
      <c r="XO242" s="843"/>
      <c r="XP242" s="843"/>
      <c r="XQ242" s="843"/>
      <c r="XR242" s="843"/>
      <c r="XS242" s="843"/>
      <c r="XT242" s="843"/>
      <c r="XU242" s="843"/>
      <c r="XV242" s="843"/>
      <c r="XW242" s="843"/>
      <c r="XX242" s="843"/>
      <c r="XY242" s="843"/>
      <c r="XZ242" s="843"/>
      <c r="YA242" s="843"/>
      <c r="YB242" s="843"/>
      <c r="YC242" s="843"/>
      <c r="YD242" s="843"/>
      <c r="YE242" s="843"/>
      <c r="YF242" s="843"/>
      <c r="YG242" s="843"/>
      <c r="YH242" s="843"/>
      <c r="YI242" s="843"/>
      <c r="YJ242" s="843"/>
      <c r="YK242" s="843"/>
      <c r="YL242" s="843"/>
      <c r="YM242" s="843"/>
      <c r="YN242" s="843"/>
      <c r="YO242" s="843"/>
      <c r="YP242" s="843"/>
      <c r="YQ242" s="843"/>
      <c r="YR242" s="843"/>
      <c r="YS242" s="843"/>
      <c r="YT242" s="843"/>
      <c r="YU242" s="843"/>
      <c r="YV242" s="843"/>
      <c r="YW242" s="843"/>
      <c r="YX242" s="843"/>
      <c r="YY242" s="843"/>
      <c r="YZ242" s="843"/>
      <c r="ZA242" s="843"/>
      <c r="ZB242" s="843"/>
      <c r="ZC242" s="843"/>
      <c r="ZD242" s="843"/>
      <c r="ZE242" s="843"/>
      <c r="ZF242" s="843"/>
      <c r="ZG242" s="843"/>
      <c r="ZH242" s="843"/>
      <c r="ZI242" s="843"/>
      <c r="ZJ242" s="843"/>
      <c r="ZK242" s="843"/>
      <c r="ZL242" s="843"/>
      <c r="ZM242" s="843"/>
      <c r="ZN242" s="843"/>
      <c r="ZO242" s="843"/>
      <c r="ZP242" s="843"/>
      <c r="ZQ242" s="843"/>
      <c r="ZR242" s="843"/>
      <c r="ZS242" s="843"/>
      <c r="ZT242" s="843"/>
      <c r="ZU242" s="843"/>
      <c r="ZV242" s="843"/>
      <c r="ZW242" s="843"/>
      <c r="ZX242" s="843"/>
      <c r="ZY242" s="843"/>
      <c r="ZZ242" s="843"/>
      <c r="AAA242" s="843"/>
      <c r="AAB242" s="843"/>
      <c r="AAC242" s="843"/>
      <c r="AAD242" s="843"/>
      <c r="AAE242" s="843"/>
      <c r="AAF242" s="843"/>
      <c r="AAG242" s="843"/>
      <c r="AAH242" s="843"/>
      <c r="AAI242" s="843"/>
      <c r="AAJ242" s="843"/>
      <c r="AAK242" s="843"/>
      <c r="AAL242" s="843"/>
      <c r="AAM242" s="843"/>
      <c r="AAN242" s="843"/>
      <c r="AAO242" s="843"/>
      <c r="AAP242" s="843"/>
      <c r="AAQ242" s="843"/>
      <c r="AAR242" s="843"/>
      <c r="AAS242" s="843"/>
      <c r="AAT242" s="843"/>
      <c r="AAU242" s="843"/>
      <c r="AAV242" s="843"/>
      <c r="AAW242" s="843"/>
      <c r="AAX242" s="843"/>
      <c r="AAY242" s="843"/>
      <c r="AAZ242" s="843"/>
      <c r="ABA242" s="843"/>
      <c r="ABB242" s="843"/>
      <c r="ABC242" s="843"/>
      <c r="ABD242" s="843"/>
      <c r="ABE242" s="843"/>
      <c r="ABF242" s="843"/>
      <c r="ABG242" s="843"/>
      <c r="ABH242" s="843"/>
      <c r="ABI242" s="843"/>
      <c r="ABJ242" s="843"/>
      <c r="ABK242" s="843"/>
      <c r="ABL242" s="843"/>
      <c r="ABM242" s="843"/>
      <c r="ABN242" s="843"/>
      <c r="ABO242" s="843"/>
      <c r="ABP242" s="843"/>
      <c r="ABQ242" s="843"/>
      <c r="ABR242" s="843"/>
      <c r="ABS242" s="843"/>
      <c r="ABT242" s="843"/>
      <c r="ABU242" s="843"/>
      <c r="ABV242" s="843"/>
      <c r="ABW242" s="843"/>
      <c r="ABX242" s="843"/>
      <c r="ABY242" s="843"/>
      <c r="ABZ242" s="843"/>
      <c r="ACA242" s="843"/>
      <c r="ACB242" s="843"/>
      <c r="ACC242" s="843"/>
      <c r="ACD242" s="843"/>
      <c r="ACE242" s="843"/>
      <c r="ACF242" s="843"/>
      <c r="ACG242" s="843"/>
      <c r="ACH242" s="843"/>
      <c r="ACI242" s="843"/>
      <c r="ACJ242" s="843"/>
      <c r="ACK242" s="843"/>
      <c r="ACL242" s="843"/>
      <c r="ACM242" s="843"/>
      <c r="ACN242" s="843"/>
      <c r="ACO242" s="843"/>
      <c r="ACP242" s="843"/>
      <c r="ACQ242" s="843"/>
      <c r="ACR242" s="843"/>
      <c r="ACS242" s="843"/>
      <c r="ACT242" s="843"/>
      <c r="ACU242" s="843"/>
      <c r="ACV242" s="843"/>
      <c r="ACW242" s="843"/>
      <c r="ACX242" s="843"/>
      <c r="ACY242" s="843"/>
      <c r="ACZ242" s="843"/>
      <c r="ADA242" s="843"/>
      <c r="ADB242" s="843"/>
      <c r="ADC242" s="843"/>
      <c r="ADD242" s="843"/>
      <c r="ADE242" s="843"/>
      <c r="ADF242" s="843"/>
      <c r="ADG242" s="843"/>
      <c r="ADH242" s="843"/>
      <c r="ADI242" s="843"/>
      <c r="ADJ242" s="843"/>
      <c r="ADK242" s="843"/>
      <c r="ADL242" s="843"/>
      <c r="ADM242" s="843"/>
      <c r="ADN242" s="843"/>
      <c r="ADO242" s="843"/>
      <c r="ADP242" s="843"/>
      <c r="ADQ242" s="843"/>
      <c r="ADR242" s="843"/>
      <c r="ADS242" s="843"/>
      <c r="ADT242" s="843"/>
      <c r="ADU242" s="843"/>
      <c r="ADV242" s="843"/>
      <c r="ADW242" s="843"/>
      <c r="ADX242" s="843"/>
      <c r="ADY242" s="843"/>
      <c r="ADZ242" s="843"/>
      <c r="AEA242" s="843"/>
      <c r="AEB242" s="843"/>
      <c r="AEC242" s="843"/>
      <c r="AED242" s="843"/>
      <c r="AEE242" s="843"/>
      <c r="AEF242" s="843"/>
      <c r="AEG242" s="843"/>
      <c r="AEH242" s="843"/>
      <c r="AEI242" s="843"/>
      <c r="AEJ242" s="843"/>
      <c r="AEK242" s="843"/>
      <c r="AEL242" s="843"/>
      <c r="AEM242" s="843"/>
      <c r="AEN242" s="843"/>
      <c r="AEO242" s="843"/>
      <c r="AEP242" s="843"/>
      <c r="AEQ242" s="843"/>
      <c r="AER242" s="843"/>
      <c r="AES242" s="843"/>
      <c r="AET242" s="843"/>
      <c r="AEU242" s="843"/>
      <c r="AEV242" s="843"/>
      <c r="AEW242" s="843"/>
      <c r="AEX242" s="843"/>
      <c r="AEY242" s="843"/>
      <c r="AEZ242" s="843"/>
      <c r="AFA242" s="843"/>
      <c r="AFB242" s="843"/>
      <c r="AFC242" s="843"/>
      <c r="AFD242" s="843"/>
      <c r="AFE242" s="843"/>
      <c r="AFF242" s="843"/>
      <c r="AFG242" s="843"/>
      <c r="AFH242" s="843"/>
      <c r="AFI242" s="843"/>
      <c r="AFJ242" s="843"/>
      <c r="AFK242" s="843"/>
      <c r="AFL242" s="843"/>
      <c r="AFM242" s="843"/>
      <c r="AFN242" s="843"/>
      <c r="AFO242" s="843"/>
      <c r="AFP242" s="843"/>
      <c r="AFQ242" s="843"/>
      <c r="AFR242" s="843"/>
      <c r="AFS242" s="843"/>
      <c r="AFT242" s="843"/>
      <c r="AFU242" s="843"/>
      <c r="AFV242" s="843"/>
      <c r="AFW242" s="843"/>
      <c r="AFX242" s="843"/>
      <c r="AFY242" s="843"/>
      <c r="AFZ242" s="843"/>
      <c r="AGA242" s="843"/>
      <c r="AGB242" s="843"/>
      <c r="AGC242" s="843"/>
      <c r="AGD242" s="843"/>
      <c r="AGE242" s="843"/>
      <c r="AGF242" s="843"/>
      <c r="AGG242" s="843"/>
      <c r="AGH242" s="843"/>
      <c r="AGI242" s="843"/>
      <c r="AGJ242" s="843"/>
    </row>
    <row r="243" spans="1:868" s="844" customFormat="1" hidden="1">
      <c r="A243" s="152" t="str">
        <f>Agriculture!A132</f>
        <v>Agricultural pipes (discarded)</v>
      </c>
      <c r="B243" s="34" t="str">
        <f>Agriculture!B132</f>
        <v>Dumping</v>
      </c>
      <c r="C243" s="40" t="str">
        <f>Agriculture!C132</f>
        <v>any</v>
      </c>
      <c r="D243" s="34" t="str">
        <f>Agriculture!D132</f>
        <v>any</v>
      </c>
      <c r="E243" s="243">
        <f>Agriculture!E132</f>
        <v>2.9157667386609074E-4</v>
      </c>
      <c r="F243" s="235">
        <f>Agriculture!F132</f>
        <v>2</v>
      </c>
      <c r="G243" s="40" t="str">
        <f>Agriculture!G132</f>
        <v>SI Kawecki and Nowack, 2019</v>
      </c>
      <c r="H243" s="29">
        <v>2</v>
      </c>
      <c r="I243" s="9">
        <v>2</v>
      </c>
      <c r="J243" s="9">
        <v>1</v>
      </c>
      <c r="K243" s="9">
        <v>3</v>
      </c>
      <c r="L243" s="9">
        <v>3</v>
      </c>
      <c r="M243" s="9">
        <v>3</v>
      </c>
      <c r="N243" s="186">
        <f t="shared" si="16"/>
        <v>1.123005955058592</v>
      </c>
      <c r="O243" s="160">
        <f t="shared" si="15"/>
        <v>1.123005955058592</v>
      </c>
      <c r="P243" s="63" t="str">
        <f>Agriculture!P132</f>
        <v>Normalized (See Agriculture sheet)</v>
      </c>
      <c r="Q243" s="843"/>
      <c r="R243" s="843"/>
      <c r="S243" s="843"/>
      <c r="T243" s="843"/>
      <c r="U243" s="843"/>
      <c r="V243" s="843"/>
      <c r="W243" s="843"/>
      <c r="X243" s="843"/>
      <c r="Y243" s="843"/>
      <c r="Z243" s="843"/>
      <c r="AA243" s="843"/>
      <c r="AB243" s="843"/>
      <c r="AC243" s="843"/>
      <c r="AD243" s="843"/>
      <c r="AE243" s="843"/>
      <c r="AF243" s="843"/>
      <c r="AG243" s="843"/>
      <c r="AH243" s="843"/>
      <c r="AI243" s="843"/>
      <c r="AJ243" s="843"/>
      <c r="AK243" s="843"/>
      <c r="AL243" s="843"/>
      <c r="AM243" s="843"/>
      <c r="AN243" s="843"/>
      <c r="AO243" s="843"/>
      <c r="AP243" s="843"/>
      <c r="AQ243" s="843"/>
      <c r="AR243" s="843"/>
      <c r="AS243" s="843"/>
      <c r="AT243" s="843"/>
      <c r="AU243" s="843"/>
      <c r="AV243" s="843"/>
      <c r="AW243" s="843"/>
      <c r="AX243" s="843"/>
      <c r="AY243" s="843"/>
      <c r="AZ243" s="843"/>
      <c r="BA243" s="843"/>
      <c r="BB243" s="843"/>
      <c r="BC243" s="843"/>
      <c r="BD243" s="843"/>
      <c r="BE243" s="843"/>
      <c r="BF243" s="843"/>
      <c r="BG243" s="843"/>
      <c r="BH243" s="843"/>
      <c r="BI243" s="843"/>
      <c r="BJ243" s="843"/>
      <c r="BK243" s="843"/>
      <c r="BL243" s="843"/>
      <c r="BM243" s="843"/>
      <c r="BN243" s="843"/>
      <c r="BO243" s="843"/>
      <c r="BP243" s="843"/>
      <c r="BQ243" s="843"/>
      <c r="BR243" s="843"/>
      <c r="BS243" s="843"/>
      <c r="BT243" s="843"/>
      <c r="BU243" s="843"/>
      <c r="BV243" s="843"/>
      <c r="BW243" s="843"/>
      <c r="BX243" s="843"/>
      <c r="BY243" s="843"/>
      <c r="BZ243" s="843"/>
      <c r="CA243" s="843"/>
      <c r="CB243" s="843"/>
      <c r="CC243" s="843"/>
      <c r="CD243" s="843"/>
      <c r="CE243" s="843"/>
      <c r="CF243" s="843"/>
      <c r="CG243" s="843"/>
      <c r="CH243" s="843"/>
      <c r="CI243" s="843"/>
      <c r="CJ243" s="843"/>
      <c r="CK243" s="843"/>
      <c r="CL243" s="843"/>
      <c r="CM243" s="843"/>
      <c r="CN243" s="843"/>
      <c r="CO243" s="843"/>
      <c r="CP243" s="843"/>
      <c r="CQ243" s="843"/>
      <c r="CR243" s="843"/>
      <c r="CS243" s="843"/>
      <c r="CT243" s="843"/>
      <c r="CU243" s="843"/>
      <c r="CV243" s="843"/>
      <c r="CW243" s="843"/>
      <c r="CX243" s="843"/>
      <c r="CY243" s="843"/>
      <c r="CZ243" s="843"/>
      <c r="DA243" s="843"/>
      <c r="DB243" s="843"/>
      <c r="DC243" s="843"/>
      <c r="DD243" s="843"/>
      <c r="DE243" s="843"/>
      <c r="DF243" s="843"/>
      <c r="DG243" s="843"/>
      <c r="DH243" s="843"/>
      <c r="DI243" s="843"/>
      <c r="DJ243" s="843"/>
      <c r="DK243" s="843"/>
      <c r="DL243" s="843"/>
      <c r="DM243" s="843"/>
      <c r="DN243" s="843"/>
      <c r="DO243" s="843"/>
      <c r="DP243" s="843"/>
      <c r="DQ243" s="843"/>
      <c r="DR243" s="843"/>
      <c r="DS243" s="843"/>
      <c r="DT243" s="843"/>
      <c r="DU243" s="843"/>
      <c r="DV243" s="843"/>
      <c r="DW243" s="843"/>
      <c r="DX243" s="843"/>
      <c r="DY243" s="843"/>
      <c r="DZ243" s="843"/>
      <c r="EA243" s="843"/>
      <c r="EB243" s="843"/>
      <c r="EC243" s="843"/>
      <c r="ED243" s="843"/>
      <c r="EE243" s="843"/>
      <c r="EF243" s="843"/>
      <c r="EG243" s="843"/>
      <c r="EH243" s="843"/>
      <c r="EI243" s="843"/>
      <c r="EJ243" s="843"/>
      <c r="EK243" s="843"/>
      <c r="EL243" s="843"/>
      <c r="EM243" s="843"/>
      <c r="EN243" s="843"/>
      <c r="EO243" s="843"/>
      <c r="EP243" s="843"/>
      <c r="EQ243" s="843"/>
      <c r="ER243" s="843"/>
      <c r="ES243" s="843"/>
      <c r="ET243" s="843"/>
      <c r="EU243" s="843"/>
      <c r="EV243" s="843"/>
      <c r="EW243" s="843"/>
      <c r="EX243" s="843"/>
      <c r="EY243" s="843"/>
      <c r="EZ243" s="843"/>
      <c r="FA243" s="843"/>
      <c r="FB243" s="843"/>
      <c r="FC243" s="843"/>
      <c r="FD243" s="843"/>
      <c r="FE243" s="843"/>
      <c r="FF243" s="843"/>
      <c r="FG243" s="843"/>
      <c r="FH243" s="843"/>
      <c r="FI243" s="843"/>
      <c r="FJ243" s="843"/>
      <c r="FK243" s="843"/>
      <c r="FL243" s="843"/>
      <c r="FM243" s="843"/>
      <c r="FN243" s="843"/>
      <c r="FO243" s="843"/>
      <c r="FP243" s="843"/>
      <c r="FQ243" s="843"/>
      <c r="FR243" s="843"/>
      <c r="FS243" s="843"/>
      <c r="FT243" s="843"/>
      <c r="FU243" s="843"/>
      <c r="FV243" s="843"/>
      <c r="FW243" s="843"/>
      <c r="FX243" s="843"/>
      <c r="FY243" s="843"/>
      <c r="FZ243" s="843"/>
      <c r="GA243" s="843"/>
      <c r="GB243" s="843"/>
      <c r="GC243" s="843"/>
      <c r="GD243" s="843"/>
      <c r="GE243" s="843"/>
      <c r="GF243" s="843"/>
      <c r="GG243" s="843"/>
      <c r="GH243" s="843"/>
      <c r="GI243" s="843"/>
      <c r="GJ243" s="843"/>
      <c r="GK243" s="843"/>
      <c r="GL243" s="843"/>
      <c r="GM243" s="843"/>
      <c r="GN243" s="843"/>
      <c r="GO243" s="843"/>
      <c r="GP243" s="843"/>
      <c r="GQ243" s="843"/>
      <c r="GR243" s="843"/>
      <c r="GS243" s="843"/>
      <c r="GT243" s="843"/>
      <c r="GU243" s="843"/>
      <c r="GV243" s="843"/>
      <c r="GW243" s="843"/>
      <c r="GX243" s="843"/>
      <c r="GY243" s="843"/>
      <c r="GZ243" s="843"/>
      <c r="HA243" s="843"/>
      <c r="HB243" s="843"/>
      <c r="HC243" s="843"/>
      <c r="HD243" s="843"/>
      <c r="HE243" s="843"/>
      <c r="HF243" s="843"/>
      <c r="HG243" s="843"/>
      <c r="HH243" s="843"/>
      <c r="HI243" s="843"/>
      <c r="HJ243" s="843"/>
      <c r="HK243" s="843"/>
      <c r="HL243" s="843"/>
      <c r="HM243" s="843"/>
      <c r="HN243" s="843"/>
      <c r="HO243" s="843"/>
      <c r="HP243" s="843"/>
      <c r="HQ243" s="843"/>
      <c r="HR243" s="843"/>
      <c r="HS243" s="843"/>
      <c r="HT243" s="843"/>
      <c r="HU243" s="843"/>
      <c r="HV243" s="843"/>
      <c r="HW243" s="843"/>
      <c r="HX243" s="843"/>
      <c r="HY243" s="843"/>
      <c r="HZ243" s="843"/>
      <c r="IA243" s="843"/>
      <c r="IB243" s="843"/>
      <c r="IC243" s="843"/>
      <c r="ID243" s="843"/>
      <c r="IE243" s="843"/>
      <c r="IF243" s="843"/>
      <c r="IG243" s="843"/>
      <c r="IH243" s="843"/>
      <c r="II243" s="843"/>
      <c r="IJ243" s="843"/>
      <c r="IK243" s="843"/>
      <c r="IL243" s="843"/>
      <c r="IM243" s="843"/>
      <c r="IN243" s="843"/>
      <c r="IO243" s="843"/>
      <c r="IP243" s="843"/>
      <c r="IQ243" s="843"/>
      <c r="IR243" s="843"/>
      <c r="IS243" s="843"/>
      <c r="IT243" s="843"/>
      <c r="IU243" s="843"/>
      <c r="IV243" s="843"/>
      <c r="IW243" s="843"/>
      <c r="IX243" s="843"/>
      <c r="IY243" s="843"/>
      <c r="IZ243" s="843"/>
      <c r="JA243" s="843"/>
      <c r="JB243" s="843"/>
      <c r="JC243" s="843"/>
      <c r="JD243" s="843"/>
      <c r="JE243" s="843"/>
      <c r="JF243" s="843"/>
      <c r="JG243" s="843"/>
      <c r="JH243" s="843"/>
      <c r="JI243" s="843"/>
      <c r="JJ243" s="843"/>
      <c r="JK243" s="843"/>
      <c r="JL243" s="843"/>
      <c r="JM243" s="843"/>
      <c r="JN243" s="843"/>
      <c r="JO243" s="843"/>
      <c r="JP243" s="843"/>
      <c r="JQ243" s="843"/>
      <c r="JR243" s="843"/>
      <c r="JS243" s="843"/>
      <c r="JT243" s="843"/>
      <c r="JU243" s="843"/>
      <c r="JV243" s="843"/>
      <c r="JW243" s="843"/>
      <c r="JX243" s="843"/>
      <c r="JY243" s="843"/>
      <c r="JZ243" s="843"/>
      <c r="KA243" s="843"/>
      <c r="KB243" s="843"/>
      <c r="KC243" s="843"/>
      <c r="KD243" s="843"/>
      <c r="KE243" s="843"/>
      <c r="KF243" s="843"/>
      <c r="KG243" s="843"/>
      <c r="KH243" s="843"/>
      <c r="KI243" s="843"/>
      <c r="KJ243" s="843"/>
      <c r="KK243" s="843"/>
      <c r="KL243" s="843"/>
      <c r="KM243" s="843"/>
      <c r="KN243" s="843"/>
      <c r="KO243" s="843"/>
      <c r="KP243" s="843"/>
      <c r="KQ243" s="843"/>
      <c r="KR243" s="843"/>
      <c r="KS243" s="843"/>
      <c r="KT243" s="843"/>
      <c r="KU243" s="843"/>
      <c r="KV243" s="843"/>
      <c r="KW243" s="843"/>
      <c r="KX243" s="843"/>
      <c r="KY243" s="843"/>
      <c r="KZ243" s="843"/>
      <c r="LA243" s="843"/>
      <c r="LB243" s="843"/>
      <c r="LC243" s="843"/>
      <c r="LD243" s="843"/>
      <c r="LE243" s="843"/>
      <c r="LF243" s="843"/>
      <c r="LG243" s="843"/>
      <c r="LH243" s="843"/>
      <c r="LI243" s="843"/>
      <c r="LJ243" s="843"/>
      <c r="LK243" s="843"/>
      <c r="LL243" s="843"/>
      <c r="LM243" s="843"/>
      <c r="LN243" s="843"/>
      <c r="LO243" s="843"/>
      <c r="LP243" s="843"/>
      <c r="LQ243" s="843"/>
      <c r="LR243" s="843"/>
      <c r="LS243" s="843"/>
      <c r="LT243" s="843"/>
      <c r="LU243" s="843"/>
      <c r="LV243" s="843"/>
      <c r="LW243" s="843"/>
      <c r="LX243" s="843"/>
      <c r="LY243" s="843"/>
      <c r="LZ243" s="843"/>
      <c r="MA243" s="843"/>
      <c r="MB243" s="843"/>
      <c r="MC243" s="843"/>
      <c r="MD243" s="843"/>
      <c r="ME243" s="843"/>
      <c r="MF243" s="843"/>
      <c r="MG243" s="843"/>
      <c r="MH243" s="843"/>
      <c r="MI243" s="843"/>
      <c r="MJ243" s="843"/>
      <c r="MK243" s="843"/>
      <c r="ML243" s="843"/>
      <c r="MM243" s="843"/>
      <c r="MN243" s="843"/>
      <c r="MO243" s="843"/>
      <c r="MP243" s="843"/>
      <c r="MQ243" s="843"/>
      <c r="MR243" s="843"/>
      <c r="MS243" s="843"/>
      <c r="MT243" s="843"/>
      <c r="MU243" s="843"/>
      <c r="MV243" s="843"/>
      <c r="MW243" s="843"/>
      <c r="MX243" s="843"/>
      <c r="MY243" s="843"/>
      <c r="MZ243" s="843"/>
      <c r="NA243" s="843"/>
      <c r="NB243" s="843"/>
      <c r="NC243" s="843"/>
      <c r="ND243" s="843"/>
      <c r="NE243" s="843"/>
      <c r="NF243" s="843"/>
      <c r="NG243" s="843"/>
      <c r="NH243" s="843"/>
      <c r="NI243" s="843"/>
      <c r="NJ243" s="843"/>
      <c r="NK243" s="843"/>
      <c r="NL243" s="843"/>
      <c r="NM243" s="843"/>
      <c r="NN243" s="843"/>
      <c r="NO243" s="843"/>
      <c r="NP243" s="843"/>
      <c r="NQ243" s="843"/>
      <c r="NR243" s="843"/>
      <c r="NS243" s="843"/>
      <c r="NT243" s="843"/>
      <c r="NU243" s="843"/>
      <c r="NV243" s="843"/>
      <c r="NW243" s="843"/>
      <c r="NX243" s="843"/>
      <c r="NY243" s="843"/>
      <c r="NZ243" s="843"/>
      <c r="OA243" s="843"/>
      <c r="OB243" s="843"/>
      <c r="OC243" s="843"/>
      <c r="OD243" s="843"/>
      <c r="OE243" s="843"/>
      <c r="OF243" s="843"/>
      <c r="OG243" s="843"/>
      <c r="OH243" s="843"/>
      <c r="OI243" s="843"/>
      <c r="OJ243" s="843"/>
      <c r="OK243" s="843"/>
      <c r="OL243" s="843"/>
      <c r="OM243" s="843"/>
      <c r="ON243" s="843"/>
      <c r="OO243" s="843"/>
      <c r="OP243" s="843"/>
      <c r="OQ243" s="843"/>
      <c r="OR243" s="843"/>
      <c r="OS243" s="843"/>
      <c r="OT243" s="843"/>
      <c r="OU243" s="843"/>
      <c r="OV243" s="843"/>
      <c r="OW243" s="843"/>
      <c r="OX243" s="843"/>
      <c r="OY243" s="843"/>
      <c r="OZ243" s="843"/>
      <c r="PA243" s="843"/>
      <c r="PB243" s="843"/>
      <c r="PC243" s="843"/>
      <c r="PD243" s="843"/>
      <c r="PE243" s="843"/>
      <c r="PF243" s="843"/>
      <c r="PG243" s="843"/>
      <c r="PH243" s="843"/>
      <c r="PI243" s="843"/>
      <c r="PJ243" s="843"/>
      <c r="PK243" s="843"/>
      <c r="PL243" s="843"/>
      <c r="PM243" s="843"/>
      <c r="PN243" s="843"/>
      <c r="PO243" s="843"/>
      <c r="PP243" s="843"/>
      <c r="PQ243" s="843"/>
      <c r="PR243" s="843"/>
      <c r="PS243" s="843"/>
      <c r="PT243" s="843"/>
      <c r="PU243" s="843"/>
      <c r="PV243" s="843"/>
      <c r="PW243" s="843"/>
      <c r="PX243" s="843"/>
      <c r="PY243" s="843"/>
      <c r="PZ243" s="843"/>
      <c r="QA243" s="843"/>
      <c r="QB243" s="843"/>
      <c r="QC243" s="843"/>
      <c r="QD243" s="843"/>
      <c r="QE243" s="843"/>
      <c r="QF243" s="843"/>
      <c r="QG243" s="843"/>
      <c r="QH243" s="843"/>
      <c r="QI243" s="843"/>
      <c r="QJ243" s="843"/>
      <c r="QK243" s="843"/>
      <c r="QL243" s="843"/>
      <c r="QM243" s="843"/>
      <c r="QN243" s="843"/>
      <c r="QO243" s="843"/>
      <c r="QP243" s="843"/>
      <c r="QQ243" s="843"/>
      <c r="QR243" s="843"/>
      <c r="QS243" s="843"/>
      <c r="QT243" s="843"/>
      <c r="QU243" s="843"/>
      <c r="QV243" s="843"/>
      <c r="QW243" s="843"/>
      <c r="QX243" s="843"/>
      <c r="QY243" s="843"/>
      <c r="QZ243" s="843"/>
      <c r="RA243" s="843"/>
      <c r="RB243" s="843"/>
      <c r="RC243" s="843"/>
      <c r="RD243" s="843"/>
      <c r="RE243" s="843"/>
      <c r="RF243" s="843"/>
      <c r="RG243" s="843"/>
      <c r="RH243" s="843"/>
      <c r="RI243" s="843"/>
      <c r="RJ243" s="843"/>
      <c r="RK243" s="843"/>
      <c r="RL243" s="843"/>
      <c r="RM243" s="843"/>
      <c r="RN243" s="843"/>
      <c r="RO243" s="843"/>
      <c r="RP243" s="843"/>
      <c r="RQ243" s="843"/>
      <c r="RR243" s="843"/>
      <c r="RS243" s="843"/>
      <c r="RT243" s="843"/>
      <c r="RU243" s="843"/>
      <c r="RV243" s="843"/>
      <c r="RW243" s="843"/>
      <c r="RX243" s="843"/>
      <c r="RY243" s="843"/>
      <c r="RZ243" s="843"/>
      <c r="SA243" s="843"/>
      <c r="SB243" s="843"/>
      <c r="SC243" s="843"/>
      <c r="SD243" s="843"/>
      <c r="SE243" s="843"/>
      <c r="SF243" s="843"/>
      <c r="SG243" s="843"/>
      <c r="SH243" s="843"/>
      <c r="SI243" s="843"/>
      <c r="SJ243" s="843"/>
      <c r="SK243" s="843"/>
      <c r="SL243" s="843"/>
      <c r="SM243" s="843"/>
      <c r="SN243" s="843"/>
      <c r="SO243" s="843"/>
      <c r="SP243" s="843"/>
      <c r="SQ243" s="843"/>
      <c r="SR243" s="843"/>
      <c r="SS243" s="843"/>
      <c r="ST243" s="843"/>
      <c r="SU243" s="843"/>
      <c r="SV243" s="843"/>
      <c r="SW243" s="843"/>
      <c r="SX243" s="843"/>
      <c r="SY243" s="843"/>
      <c r="SZ243" s="843"/>
      <c r="TA243" s="843"/>
      <c r="TB243" s="843"/>
      <c r="TC243" s="843"/>
      <c r="TD243" s="843"/>
      <c r="TE243" s="843"/>
      <c r="TF243" s="843"/>
      <c r="TG243" s="843"/>
      <c r="TH243" s="843"/>
      <c r="TI243" s="843"/>
      <c r="TJ243" s="843"/>
      <c r="TK243" s="843"/>
      <c r="TL243" s="843"/>
      <c r="TM243" s="843"/>
      <c r="TN243" s="843"/>
      <c r="TO243" s="843"/>
      <c r="TP243" s="843"/>
      <c r="TQ243" s="843"/>
      <c r="TR243" s="843"/>
      <c r="TS243" s="843"/>
      <c r="TT243" s="843"/>
      <c r="TU243" s="843"/>
      <c r="TV243" s="843"/>
      <c r="TW243" s="843"/>
      <c r="TX243" s="843"/>
      <c r="TY243" s="843"/>
      <c r="TZ243" s="843"/>
      <c r="UA243" s="843"/>
      <c r="UB243" s="843"/>
      <c r="UC243" s="843"/>
      <c r="UD243" s="843"/>
      <c r="UE243" s="843"/>
      <c r="UF243" s="843"/>
      <c r="UG243" s="843"/>
      <c r="UH243" s="843"/>
      <c r="UI243" s="843"/>
      <c r="UJ243" s="843"/>
      <c r="UK243" s="843"/>
      <c r="UL243" s="843"/>
      <c r="UM243" s="843"/>
      <c r="UN243" s="843"/>
      <c r="UO243" s="843"/>
      <c r="UP243" s="843"/>
      <c r="UQ243" s="843"/>
      <c r="UR243" s="843"/>
      <c r="US243" s="843"/>
      <c r="UT243" s="843"/>
      <c r="UU243" s="843"/>
      <c r="UV243" s="843"/>
      <c r="UW243" s="843"/>
      <c r="UX243" s="843"/>
      <c r="UY243" s="843"/>
      <c r="UZ243" s="843"/>
      <c r="VA243" s="843"/>
      <c r="VB243" s="843"/>
      <c r="VC243" s="843"/>
      <c r="VD243" s="843"/>
      <c r="VE243" s="843"/>
      <c r="VF243" s="843"/>
      <c r="VG243" s="843"/>
      <c r="VH243" s="843"/>
      <c r="VI243" s="843"/>
      <c r="VJ243" s="843"/>
      <c r="VK243" s="843"/>
      <c r="VL243" s="843"/>
      <c r="VM243" s="843"/>
      <c r="VN243" s="843"/>
      <c r="VO243" s="843"/>
      <c r="VP243" s="843"/>
      <c r="VQ243" s="843"/>
      <c r="VR243" s="843"/>
      <c r="VS243" s="843"/>
      <c r="VT243" s="843"/>
      <c r="VU243" s="843"/>
      <c r="VV243" s="843"/>
      <c r="VW243" s="843"/>
      <c r="VX243" s="843"/>
      <c r="VY243" s="843"/>
      <c r="VZ243" s="843"/>
      <c r="WA243" s="843"/>
      <c r="WB243" s="843"/>
      <c r="WC243" s="843"/>
      <c r="WD243" s="843"/>
      <c r="WE243" s="843"/>
      <c r="WF243" s="843"/>
      <c r="WG243" s="843"/>
      <c r="WH243" s="843"/>
      <c r="WI243" s="843"/>
      <c r="WJ243" s="843"/>
      <c r="WK243" s="843"/>
      <c r="WL243" s="843"/>
      <c r="WM243" s="843"/>
      <c r="WN243" s="843"/>
      <c r="WO243" s="843"/>
      <c r="WP243" s="843"/>
      <c r="WQ243" s="843"/>
      <c r="WR243" s="843"/>
      <c r="WS243" s="843"/>
      <c r="WT243" s="843"/>
      <c r="WU243" s="843"/>
      <c r="WV243" s="843"/>
      <c r="WW243" s="843"/>
      <c r="WX243" s="843"/>
      <c r="WY243" s="843"/>
      <c r="WZ243" s="843"/>
      <c r="XA243" s="843"/>
      <c r="XB243" s="843"/>
      <c r="XC243" s="843"/>
      <c r="XD243" s="843"/>
      <c r="XE243" s="843"/>
      <c r="XF243" s="843"/>
      <c r="XG243" s="843"/>
      <c r="XH243" s="843"/>
      <c r="XI243" s="843"/>
      <c r="XJ243" s="843"/>
      <c r="XK243" s="843"/>
      <c r="XL243" s="843"/>
      <c r="XM243" s="843"/>
      <c r="XN243" s="843"/>
      <c r="XO243" s="843"/>
      <c r="XP243" s="843"/>
      <c r="XQ243" s="843"/>
      <c r="XR243" s="843"/>
      <c r="XS243" s="843"/>
      <c r="XT243" s="843"/>
      <c r="XU243" s="843"/>
      <c r="XV243" s="843"/>
      <c r="XW243" s="843"/>
      <c r="XX243" s="843"/>
      <c r="XY243" s="843"/>
      <c r="XZ243" s="843"/>
      <c r="YA243" s="843"/>
      <c r="YB243" s="843"/>
      <c r="YC243" s="843"/>
      <c r="YD243" s="843"/>
      <c r="YE243" s="843"/>
      <c r="YF243" s="843"/>
      <c r="YG243" s="843"/>
      <c r="YH243" s="843"/>
      <c r="YI243" s="843"/>
      <c r="YJ243" s="843"/>
      <c r="YK243" s="843"/>
      <c r="YL243" s="843"/>
      <c r="YM243" s="843"/>
      <c r="YN243" s="843"/>
      <c r="YO243" s="843"/>
      <c r="YP243" s="843"/>
      <c r="YQ243" s="843"/>
      <c r="YR243" s="843"/>
      <c r="YS243" s="843"/>
      <c r="YT243" s="843"/>
      <c r="YU243" s="843"/>
      <c r="YV243" s="843"/>
      <c r="YW243" s="843"/>
      <c r="YX243" s="843"/>
      <c r="YY243" s="843"/>
      <c r="YZ243" s="843"/>
      <c r="ZA243" s="843"/>
      <c r="ZB243" s="843"/>
      <c r="ZC243" s="843"/>
      <c r="ZD243" s="843"/>
      <c r="ZE243" s="843"/>
      <c r="ZF243" s="843"/>
      <c r="ZG243" s="843"/>
      <c r="ZH243" s="843"/>
      <c r="ZI243" s="843"/>
      <c r="ZJ243" s="843"/>
      <c r="ZK243" s="843"/>
      <c r="ZL243" s="843"/>
      <c r="ZM243" s="843"/>
      <c r="ZN243" s="843"/>
      <c r="ZO243" s="843"/>
      <c r="ZP243" s="843"/>
      <c r="ZQ243" s="843"/>
      <c r="ZR243" s="843"/>
      <c r="ZS243" s="843"/>
      <c r="ZT243" s="843"/>
      <c r="ZU243" s="843"/>
      <c r="ZV243" s="843"/>
      <c r="ZW243" s="843"/>
      <c r="ZX243" s="843"/>
      <c r="ZY243" s="843"/>
      <c r="ZZ243" s="843"/>
      <c r="AAA243" s="843"/>
      <c r="AAB243" s="843"/>
      <c r="AAC243" s="843"/>
      <c r="AAD243" s="843"/>
      <c r="AAE243" s="843"/>
      <c r="AAF243" s="843"/>
      <c r="AAG243" s="843"/>
      <c r="AAH243" s="843"/>
      <c r="AAI243" s="843"/>
      <c r="AAJ243" s="843"/>
      <c r="AAK243" s="843"/>
      <c r="AAL243" s="843"/>
      <c r="AAM243" s="843"/>
      <c r="AAN243" s="843"/>
      <c r="AAO243" s="843"/>
      <c r="AAP243" s="843"/>
      <c r="AAQ243" s="843"/>
      <c r="AAR243" s="843"/>
      <c r="AAS243" s="843"/>
      <c r="AAT243" s="843"/>
      <c r="AAU243" s="843"/>
      <c r="AAV243" s="843"/>
      <c r="AAW243" s="843"/>
      <c r="AAX243" s="843"/>
      <c r="AAY243" s="843"/>
      <c r="AAZ243" s="843"/>
      <c r="ABA243" s="843"/>
      <c r="ABB243" s="843"/>
      <c r="ABC243" s="843"/>
      <c r="ABD243" s="843"/>
      <c r="ABE243" s="843"/>
      <c r="ABF243" s="843"/>
      <c r="ABG243" s="843"/>
      <c r="ABH243" s="843"/>
      <c r="ABI243" s="843"/>
      <c r="ABJ243" s="843"/>
      <c r="ABK243" s="843"/>
      <c r="ABL243" s="843"/>
      <c r="ABM243" s="843"/>
      <c r="ABN243" s="843"/>
      <c r="ABO243" s="843"/>
      <c r="ABP243" s="843"/>
      <c r="ABQ243" s="843"/>
      <c r="ABR243" s="843"/>
      <c r="ABS243" s="843"/>
      <c r="ABT243" s="843"/>
      <c r="ABU243" s="843"/>
      <c r="ABV243" s="843"/>
      <c r="ABW243" s="843"/>
      <c r="ABX243" s="843"/>
      <c r="ABY243" s="843"/>
      <c r="ABZ243" s="843"/>
      <c r="ACA243" s="843"/>
      <c r="ACB243" s="843"/>
      <c r="ACC243" s="843"/>
      <c r="ACD243" s="843"/>
      <c r="ACE243" s="843"/>
      <c r="ACF243" s="843"/>
      <c r="ACG243" s="843"/>
      <c r="ACH243" s="843"/>
      <c r="ACI243" s="843"/>
      <c r="ACJ243" s="843"/>
      <c r="ACK243" s="843"/>
      <c r="ACL243" s="843"/>
      <c r="ACM243" s="843"/>
      <c r="ACN243" s="843"/>
      <c r="ACO243" s="843"/>
      <c r="ACP243" s="843"/>
      <c r="ACQ243" s="843"/>
      <c r="ACR243" s="843"/>
      <c r="ACS243" s="843"/>
      <c r="ACT243" s="843"/>
      <c r="ACU243" s="843"/>
      <c r="ACV243" s="843"/>
      <c r="ACW243" s="843"/>
      <c r="ACX243" s="843"/>
      <c r="ACY243" s="843"/>
      <c r="ACZ243" s="843"/>
      <c r="ADA243" s="843"/>
      <c r="ADB243" s="843"/>
      <c r="ADC243" s="843"/>
      <c r="ADD243" s="843"/>
      <c r="ADE243" s="843"/>
      <c r="ADF243" s="843"/>
      <c r="ADG243" s="843"/>
      <c r="ADH243" s="843"/>
      <c r="ADI243" s="843"/>
      <c r="ADJ243" s="843"/>
      <c r="ADK243" s="843"/>
      <c r="ADL243" s="843"/>
      <c r="ADM243" s="843"/>
      <c r="ADN243" s="843"/>
      <c r="ADO243" s="843"/>
      <c r="ADP243" s="843"/>
      <c r="ADQ243" s="843"/>
      <c r="ADR243" s="843"/>
      <c r="ADS243" s="843"/>
      <c r="ADT243" s="843"/>
      <c r="ADU243" s="843"/>
      <c r="ADV243" s="843"/>
      <c r="ADW243" s="843"/>
      <c r="ADX243" s="843"/>
      <c r="ADY243" s="843"/>
      <c r="ADZ243" s="843"/>
      <c r="AEA243" s="843"/>
      <c r="AEB243" s="843"/>
      <c r="AEC243" s="843"/>
      <c r="AED243" s="843"/>
      <c r="AEE243" s="843"/>
      <c r="AEF243" s="843"/>
      <c r="AEG243" s="843"/>
      <c r="AEH243" s="843"/>
      <c r="AEI243" s="843"/>
      <c r="AEJ243" s="843"/>
      <c r="AEK243" s="843"/>
      <c r="AEL243" s="843"/>
      <c r="AEM243" s="843"/>
      <c r="AEN243" s="843"/>
      <c r="AEO243" s="843"/>
      <c r="AEP243" s="843"/>
      <c r="AEQ243" s="843"/>
      <c r="AER243" s="843"/>
      <c r="AES243" s="843"/>
      <c r="AET243" s="843"/>
      <c r="AEU243" s="843"/>
      <c r="AEV243" s="843"/>
      <c r="AEW243" s="843"/>
      <c r="AEX243" s="843"/>
      <c r="AEY243" s="843"/>
      <c r="AEZ243" s="843"/>
      <c r="AFA243" s="843"/>
      <c r="AFB243" s="843"/>
      <c r="AFC243" s="843"/>
      <c r="AFD243" s="843"/>
      <c r="AFE243" s="843"/>
      <c r="AFF243" s="843"/>
      <c r="AFG243" s="843"/>
      <c r="AFH243" s="843"/>
      <c r="AFI243" s="843"/>
      <c r="AFJ243" s="843"/>
      <c r="AFK243" s="843"/>
      <c r="AFL243" s="843"/>
      <c r="AFM243" s="843"/>
      <c r="AFN243" s="843"/>
      <c r="AFO243" s="843"/>
      <c r="AFP243" s="843"/>
      <c r="AFQ243" s="843"/>
      <c r="AFR243" s="843"/>
      <c r="AFS243" s="843"/>
      <c r="AFT243" s="843"/>
      <c r="AFU243" s="843"/>
      <c r="AFV243" s="843"/>
      <c r="AFW243" s="843"/>
      <c r="AFX243" s="843"/>
      <c r="AFY243" s="843"/>
      <c r="AFZ243" s="843"/>
      <c r="AGA243" s="843"/>
      <c r="AGB243" s="843"/>
      <c r="AGC243" s="843"/>
      <c r="AGD243" s="843"/>
      <c r="AGE243" s="843"/>
      <c r="AGF243" s="843"/>
      <c r="AGG243" s="843"/>
      <c r="AGH243" s="843"/>
      <c r="AGI243" s="843"/>
      <c r="AGJ243" s="843"/>
    </row>
    <row r="244" spans="1:868" s="844" customFormat="1" hidden="1">
      <c r="A244" s="292" t="s">
        <v>153</v>
      </c>
      <c r="B244" s="55" t="s">
        <v>204</v>
      </c>
      <c r="C244" s="265" t="s">
        <v>139</v>
      </c>
      <c r="D244" s="55" t="s">
        <v>139</v>
      </c>
      <c r="E244" s="260">
        <v>2.7E-4</v>
      </c>
      <c r="F244" s="235">
        <v>2</v>
      </c>
      <c r="G244" s="265"/>
      <c r="H244" s="29">
        <v>2</v>
      </c>
      <c r="I244" s="9">
        <v>2</v>
      </c>
      <c r="J244" s="9">
        <v>2</v>
      </c>
      <c r="K244" s="9">
        <v>3</v>
      </c>
      <c r="L244" s="9">
        <v>3</v>
      </c>
      <c r="M244" s="9">
        <v>3</v>
      </c>
      <c r="N244" s="186">
        <f t="shared" ref="N244:N274" si="17">IF( OR( ISBLANK(H244),ISBLANK(J244), ISBLANK(K244), ISBLANK(L244), ISBLANK(M244) ), "", 1.5*SQRT(   EXP(2.21*(H244-1)) + EXP(2.21*(J244-1)) + EXP(2.21*(K244-1)) + EXP(2.21*(L244-1)) + EXP(2.21*M244)   )/100*2.45 )</f>
        <v>1.1278755061256258</v>
      </c>
      <c r="O244" s="160">
        <f t="shared" si="15"/>
        <v>1.1278755061256258</v>
      </c>
      <c r="P244" s="63"/>
      <c r="Q244" s="843"/>
      <c r="R244" s="843"/>
      <c r="S244" s="843"/>
      <c r="T244" s="843"/>
      <c r="U244" s="843"/>
      <c r="V244" s="843"/>
      <c r="W244" s="843"/>
      <c r="X244" s="843"/>
      <c r="Y244" s="843"/>
      <c r="Z244" s="843"/>
      <c r="AA244" s="843"/>
      <c r="AB244" s="843"/>
      <c r="AC244" s="843"/>
      <c r="AD244" s="843"/>
      <c r="AE244" s="843"/>
      <c r="AF244" s="843"/>
      <c r="AG244" s="843"/>
      <c r="AH244" s="843"/>
      <c r="AI244" s="843"/>
      <c r="AJ244" s="843"/>
      <c r="AK244" s="843"/>
      <c r="AL244" s="843"/>
      <c r="AM244" s="843"/>
      <c r="AN244" s="843"/>
      <c r="AO244" s="843"/>
      <c r="AP244" s="843"/>
      <c r="AQ244" s="843"/>
      <c r="AR244" s="843"/>
      <c r="AS244" s="843"/>
      <c r="AT244" s="843"/>
      <c r="AU244" s="843"/>
      <c r="AV244" s="843"/>
      <c r="AW244" s="843"/>
      <c r="AX244" s="843"/>
      <c r="AY244" s="843"/>
      <c r="AZ244" s="843"/>
      <c r="BA244" s="843"/>
      <c r="BB244" s="843"/>
      <c r="BC244" s="843"/>
      <c r="BD244" s="843"/>
      <c r="BE244" s="843"/>
      <c r="BF244" s="843"/>
      <c r="BG244" s="843"/>
      <c r="BH244" s="843"/>
      <c r="BI244" s="843"/>
      <c r="BJ244" s="843"/>
      <c r="BK244" s="843"/>
      <c r="BL244" s="843"/>
      <c r="BM244" s="843"/>
      <c r="BN244" s="843"/>
      <c r="BO244" s="843"/>
      <c r="BP244" s="843"/>
      <c r="BQ244" s="843"/>
      <c r="BR244" s="843"/>
      <c r="BS244" s="843"/>
      <c r="BT244" s="843"/>
      <c r="BU244" s="843"/>
      <c r="BV244" s="843"/>
      <c r="BW244" s="843"/>
      <c r="BX244" s="843"/>
      <c r="BY244" s="843"/>
      <c r="BZ244" s="843"/>
      <c r="CA244" s="843"/>
      <c r="CB244" s="843"/>
      <c r="CC244" s="843"/>
      <c r="CD244" s="843"/>
      <c r="CE244" s="843"/>
      <c r="CF244" s="843"/>
      <c r="CG244" s="843"/>
      <c r="CH244" s="843"/>
      <c r="CI244" s="843"/>
      <c r="CJ244" s="843"/>
      <c r="CK244" s="843"/>
      <c r="CL244" s="843"/>
      <c r="CM244" s="843"/>
      <c r="CN244" s="843"/>
      <c r="CO244" s="843"/>
      <c r="CP244" s="843"/>
      <c r="CQ244" s="843"/>
      <c r="CR244" s="843"/>
      <c r="CS244" s="843"/>
      <c r="CT244" s="843"/>
      <c r="CU244" s="843"/>
      <c r="CV244" s="843"/>
      <c r="CW244" s="843"/>
      <c r="CX244" s="843"/>
      <c r="CY244" s="843"/>
      <c r="CZ244" s="843"/>
      <c r="DA244" s="843"/>
      <c r="DB244" s="843"/>
      <c r="DC244" s="843"/>
      <c r="DD244" s="843"/>
      <c r="DE244" s="843"/>
      <c r="DF244" s="843"/>
      <c r="DG244" s="843"/>
      <c r="DH244" s="843"/>
      <c r="DI244" s="843"/>
      <c r="DJ244" s="843"/>
      <c r="DK244" s="843"/>
      <c r="DL244" s="843"/>
      <c r="DM244" s="843"/>
      <c r="DN244" s="843"/>
      <c r="DO244" s="843"/>
      <c r="DP244" s="843"/>
      <c r="DQ244" s="843"/>
      <c r="DR244" s="843"/>
      <c r="DS244" s="843"/>
      <c r="DT244" s="843"/>
      <c r="DU244" s="843"/>
      <c r="DV244" s="843"/>
      <c r="DW244" s="843"/>
      <c r="DX244" s="843"/>
      <c r="DY244" s="843"/>
      <c r="DZ244" s="843"/>
      <c r="EA244" s="843"/>
      <c r="EB244" s="843"/>
      <c r="EC244" s="843"/>
      <c r="ED244" s="843"/>
      <c r="EE244" s="843"/>
      <c r="EF244" s="843"/>
      <c r="EG244" s="843"/>
      <c r="EH244" s="843"/>
      <c r="EI244" s="843"/>
      <c r="EJ244" s="843"/>
      <c r="EK244" s="843"/>
      <c r="EL244" s="843"/>
      <c r="EM244" s="843"/>
      <c r="EN244" s="843"/>
      <c r="EO244" s="843"/>
      <c r="EP244" s="843"/>
      <c r="EQ244" s="843"/>
      <c r="ER244" s="843"/>
      <c r="ES244" s="843"/>
      <c r="ET244" s="843"/>
      <c r="EU244" s="843"/>
      <c r="EV244" s="843"/>
      <c r="EW244" s="843"/>
      <c r="EX244" s="843"/>
      <c r="EY244" s="843"/>
      <c r="EZ244" s="843"/>
      <c r="FA244" s="843"/>
      <c r="FB244" s="843"/>
      <c r="FC244" s="843"/>
      <c r="FD244" s="843"/>
      <c r="FE244" s="843"/>
      <c r="FF244" s="843"/>
      <c r="FG244" s="843"/>
      <c r="FH244" s="843"/>
      <c r="FI244" s="843"/>
      <c r="FJ244" s="843"/>
      <c r="FK244" s="843"/>
      <c r="FL244" s="843"/>
      <c r="FM244" s="843"/>
      <c r="FN244" s="843"/>
      <c r="FO244" s="843"/>
      <c r="FP244" s="843"/>
      <c r="FQ244" s="843"/>
      <c r="FR244" s="843"/>
      <c r="FS244" s="843"/>
      <c r="FT244" s="843"/>
      <c r="FU244" s="843"/>
      <c r="FV244" s="843"/>
      <c r="FW244" s="843"/>
      <c r="FX244" s="843"/>
      <c r="FY244" s="843"/>
      <c r="FZ244" s="843"/>
      <c r="GA244" s="843"/>
      <c r="GB244" s="843"/>
      <c r="GC244" s="843"/>
      <c r="GD244" s="843"/>
      <c r="GE244" s="843"/>
      <c r="GF244" s="843"/>
      <c r="GG244" s="843"/>
      <c r="GH244" s="843"/>
      <c r="GI244" s="843"/>
      <c r="GJ244" s="843"/>
      <c r="GK244" s="843"/>
      <c r="GL244" s="843"/>
      <c r="GM244" s="843"/>
      <c r="GN244" s="843"/>
      <c r="GO244" s="843"/>
      <c r="GP244" s="843"/>
      <c r="GQ244" s="843"/>
      <c r="GR244" s="843"/>
      <c r="GS244" s="843"/>
      <c r="GT244" s="843"/>
      <c r="GU244" s="843"/>
      <c r="GV244" s="843"/>
      <c r="GW244" s="843"/>
      <c r="GX244" s="843"/>
      <c r="GY244" s="843"/>
      <c r="GZ244" s="843"/>
      <c r="HA244" s="843"/>
      <c r="HB244" s="843"/>
      <c r="HC244" s="843"/>
      <c r="HD244" s="843"/>
      <c r="HE244" s="843"/>
      <c r="HF244" s="843"/>
      <c r="HG244" s="843"/>
      <c r="HH244" s="843"/>
      <c r="HI244" s="843"/>
      <c r="HJ244" s="843"/>
      <c r="HK244" s="843"/>
      <c r="HL244" s="843"/>
      <c r="HM244" s="843"/>
      <c r="HN244" s="843"/>
      <c r="HO244" s="843"/>
      <c r="HP244" s="843"/>
      <c r="HQ244" s="843"/>
      <c r="HR244" s="843"/>
      <c r="HS244" s="843"/>
      <c r="HT244" s="843"/>
      <c r="HU244" s="843"/>
      <c r="HV244" s="843"/>
      <c r="HW244" s="843"/>
      <c r="HX244" s="843"/>
      <c r="HY244" s="843"/>
      <c r="HZ244" s="843"/>
      <c r="IA244" s="843"/>
      <c r="IB244" s="843"/>
      <c r="IC244" s="843"/>
      <c r="ID244" s="843"/>
      <c r="IE244" s="843"/>
      <c r="IF244" s="843"/>
      <c r="IG244" s="843"/>
      <c r="IH244" s="843"/>
      <c r="II244" s="843"/>
      <c r="IJ244" s="843"/>
      <c r="IK244" s="843"/>
      <c r="IL244" s="843"/>
      <c r="IM244" s="843"/>
      <c r="IN244" s="843"/>
      <c r="IO244" s="843"/>
      <c r="IP244" s="843"/>
      <c r="IQ244" s="843"/>
      <c r="IR244" s="843"/>
      <c r="IS244" s="843"/>
      <c r="IT244" s="843"/>
      <c r="IU244" s="843"/>
      <c r="IV244" s="843"/>
      <c r="IW244" s="843"/>
      <c r="IX244" s="843"/>
      <c r="IY244" s="843"/>
      <c r="IZ244" s="843"/>
      <c r="JA244" s="843"/>
      <c r="JB244" s="843"/>
      <c r="JC244" s="843"/>
      <c r="JD244" s="843"/>
      <c r="JE244" s="843"/>
      <c r="JF244" s="843"/>
      <c r="JG244" s="843"/>
      <c r="JH244" s="843"/>
      <c r="JI244" s="843"/>
      <c r="JJ244" s="843"/>
      <c r="JK244" s="843"/>
      <c r="JL244" s="843"/>
      <c r="JM244" s="843"/>
      <c r="JN244" s="843"/>
      <c r="JO244" s="843"/>
      <c r="JP244" s="843"/>
      <c r="JQ244" s="843"/>
      <c r="JR244" s="843"/>
      <c r="JS244" s="843"/>
      <c r="JT244" s="843"/>
      <c r="JU244" s="843"/>
      <c r="JV244" s="843"/>
      <c r="JW244" s="843"/>
      <c r="JX244" s="843"/>
      <c r="JY244" s="843"/>
      <c r="JZ244" s="843"/>
      <c r="KA244" s="843"/>
      <c r="KB244" s="843"/>
      <c r="KC244" s="843"/>
      <c r="KD244" s="843"/>
      <c r="KE244" s="843"/>
      <c r="KF244" s="843"/>
      <c r="KG244" s="843"/>
      <c r="KH244" s="843"/>
      <c r="KI244" s="843"/>
      <c r="KJ244" s="843"/>
      <c r="KK244" s="843"/>
      <c r="KL244" s="843"/>
      <c r="KM244" s="843"/>
      <c r="KN244" s="843"/>
      <c r="KO244" s="843"/>
      <c r="KP244" s="843"/>
      <c r="KQ244" s="843"/>
      <c r="KR244" s="843"/>
      <c r="KS244" s="843"/>
      <c r="KT244" s="843"/>
      <c r="KU244" s="843"/>
      <c r="KV244" s="843"/>
      <c r="KW244" s="843"/>
      <c r="KX244" s="843"/>
      <c r="KY244" s="843"/>
      <c r="KZ244" s="843"/>
      <c r="LA244" s="843"/>
      <c r="LB244" s="843"/>
      <c r="LC244" s="843"/>
      <c r="LD244" s="843"/>
      <c r="LE244" s="843"/>
      <c r="LF244" s="843"/>
      <c r="LG244" s="843"/>
      <c r="LH244" s="843"/>
      <c r="LI244" s="843"/>
      <c r="LJ244" s="843"/>
      <c r="LK244" s="843"/>
      <c r="LL244" s="843"/>
      <c r="LM244" s="843"/>
      <c r="LN244" s="843"/>
      <c r="LO244" s="843"/>
      <c r="LP244" s="843"/>
      <c r="LQ244" s="843"/>
      <c r="LR244" s="843"/>
      <c r="LS244" s="843"/>
      <c r="LT244" s="843"/>
      <c r="LU244" s="843"/>
      <c r="LV244" s="843"/>
      <c r="LW244" s="843"/>
      <c r="LX244" s="843"/>
      <c r="LY244" s="843"/>
      <c r="LZ244" s="843"/>
      <c r="MA244" s="843"/>
      <c r="MB244" s="843"/>
      <c r="MC244" s="843"/>
      <c r="MD244" s="843"/>
      <c r="ME244" s="843"/>
      <c r="MF244" s="843"/>
      <c r="MG244" s="843"/>
      <c r="MH244" s="843"/>
      <c r="MI244" s="843"/>
      <c r="MJ244" s="843"/>
      <c r="MK244" s="843"/>
      <c r="ML244" s="843"/>
      <c r="MM244" s="843"/>
      <c r="MN244" s="843"/>
      <c r="MO244" s="843"/>
      <c r="MP244" s="843"/>
      <c r="MQ244" s="843"/>
      <c r="MR244" s="843"/>
      <c r="MS244" s="843"/>
      <c r="MT244" s="843"/>
      <c r="MU244" s="843"/>
      <c r="MV244" s="843"/>
      <c r="MW244" s="843"/>
      <c r="MX244" s="843"/>
      <c r="MY244" s="843"/>
      <c r="MZ244" s="843"/>
      <c r="NA244" s="843"/>
      <c r="NB244" s="843"/>
      <c r="NC244" s="843"/>
      <c r="ND244" s="843"/>
      <c r="NE244" s="843"/>
      <c r="NF244" s="843"/>
      <c r="NG244" s="843"/>
      <c r="NH244" s="843"/>
      <c r="NI244" s="843"/>
      <c r="NJ244" s="843"/>
      <c r="NK244" s="843"/>
      <c r="NL244" s="843"/>
      <c r="NM244" s="843"/>
      <c r="NN244" s="843"/>
      <c r="NO244" s="843"/>
      <c r="NP244" s="843"/>
      <c r="NQ244" s="843"/>
      <c r="NR244" s="843"/>
      <c r="NS244" s="843"/>
      <c r="NT244" s="843"/>
      <c r="NU244" s="843"/>
      <c r="NV244" s="843"/>
      <c r="NW244" s="843"/>
      <c r="NX244" s="843"/>
      <c r="NY244" s="843"/>
      <c r="NZ244" s="843"/>
      <c r="OA244" s="843"/>
      <c r="OB244" s="843"/>
      <c r="OC244" s="843"/>
      <c r="OD244" s="843"/>
      <c r="OE244" s="843"/>
      <c r="OF244" s="843"/>
      <c r="OG244" s="843"/>
      <c r="OH244" s="843"/>
      <c r="OI244" s="843"/>
      <c r="OJ244" s="843"/>
      <c r="OK244" s="843"/>
      <c r="OL244" s="843"/>
      <c r="OM244" s="843"/>
      <c r="ON244" s="843"/>
      <c r="OO244" s="843"/>
      <c r="OP244" s="843"/>
      <c r="OQ244" s="843"/>
      <c r="OR244" s="843"/>
      <c r="OS244" s="843"/>
      <c r="OT244" s="843"/>
      <c r="OU244" s="843"/>
      <c r="OV244" s="843"/>
      <c r="OW244" s="843"/>
      <c r="OX244" s="843"/>
      <c r="OY244" s="843"/>
      <c r="OZ244" s="843"/>
      <c r="PA244" s="843"/>
      <c r="PB244" s="843"/>
      <c r="PC244" s="843"/>
      <c r="PD244" s="843"/>
      <c r="PE244" s="843"/>
      <c r="PF244" s="843"/>
      <c r="PG244" s="843"/>
      <c r="PH244" s="843"/>
      <c r="PI244" s="843"/>
      <c r="PJ244" s="843"/>
      <c r="PK244" s="843"/>
      <c r="PL244" s="843"/>
      <c r="PM244" s="843"/>
      <c r="PN244" s="843"/>
      <c r="PO244" s="843"/>
      <c r="PP244" s="843"/>
      <c r="PQ244" s="843"/>
      <c r="PR244" s="843"/>
      <c r="PS244" s="843"/>
      <c r="PT244" s="843"/>
      <c r="PU244" s="843"/>
      <c r="PV244" s="843"/>
      <c r="PW244" s="843"/>
      <c r="PX244" s="843"/>
      <c r="PY244" s="843"/>
      <c r="PZ244" s="843"/>
      <c r="QA244" s="843"/>
      <c r="QB244" s="843"/>
      <c r="QC244" s="843"/>
      <c r="QD244" s="843"/>
      <c r="QE244" s="843"/>
      <c r="QF244" s="843"/>
      <c r="QG244" s="843"/>
      <c r="QH244" s="843"/>
      <c r="QI244" s="843"/>
      <c r="QJ244" s="843"/>
      <c r="QK244" s="843"/>
      <c r="QL244" s="843"/>
      <c r="QM244" s="843"/>
      <c r="QN244" s="843"/>
      <c r="QO244" s="843"/>
      <c r="QP244" s="843"/>
      <c r="QQ244" s="843"/>
      <c r="QR244" s="843"/>
      <c r="QS244" s="843"/>
      <c r="QT244" s="843"/>
      <c r="QU244" s="843"/>
      <c r="QV244" s="843"/>
      <c r="QW244" s="843"/>
      <c r="QX244" s="843"/>
      <c r="QY244" s="843"/>
      <c r="QZ244" s="843"/>
      <c r="RA244" s="843"/>
      <c r="RB244" s="843"/>
      <c r="RC244" s="843"/>
      <c r="RD244" s="843"/>
      <c r="RE244" s="843"/>
      <c r="RF244" s="843"/>
      <c r="RG244" s="843"/>
      <c r="RH244" s="843"/>
      <c r="RI244" s="843"/>
      <c r="RJ244" s="843"/>
      <c r="RK244" s="843"/>
      <c r="RL244" s="843"/>
      <c r="RM244" s="843"/>
      <c r="RN244" s="843"/>
      <c r="RO244" s="843"/>
      <c r="RP244" s="843"/>
      <c r="RQ244" s="843"/>
      <c r="RR244" s="843"/>
      <c r="RS244" s="843"/>
      <c r="RT244" s="843"/>
      <c r="RU244" s="843"/>
      <c r="RV244" s="843"/>
      <c r="RW244" s="843"/>
      <c r="RX244" s="843"/>
      <c r="RY244" s="843"/>
      <c r="RZ244" s="843"/>
      <c r="SA244" s="843"/>
      <c r="SB244" s="843"/>
      <c r="SC244" s="843"/>
      <c r="SD244" s="843"/>
      <c r="SE244" s="843"/>
      <c r="SF244" s="843"/>
      <c r="SG244" s="843"/>
      <c r="SH244" s="843"/>
      <c r="SI244" s="843"/>
      <c r="SJ244" s="843"/>
      <c r="SK244" s="843"/>
      <c r="SL244" s="843"/>
      <c r="SM244" s="843"/>
      <c r="SN244" s="843"/>
      <c r="SO244" s="843"/>
      <c r="SP244" s="843"/>
      <c r="SQ244" s="843"/>
      <c r="SR244" s="843"/>
      <c r="SS244" s="843"/>
      <c r="ST244" s="843"/>
      <c r="SU244" s="843"/>
      <c r="SV244" s="843"/>
      <c r="SW244" s="843"/>
      <c r="SX244" s="843"/>
      <c r="SY244" s="843"/>
      <c r="SZ244" s="843"/>
      <c r="TA244" s="843"/>
      <c r="TB244" s="843"/>
      <c r="TC244" s="843"/>
      <c r="TD244" s="843"/>
      <c r="TE244" s="843"/>
      <c r="TF244" s="843"/>
      <c r="TG244" s="843"/>
      <c r="TH244" s="843"/>
      <c r="TI244" s="843"/>
      <c r="TJ244" s="843"/>
      <c r="TK244" s="843"/>
      <c r="TL244" s="843"/>
      <c r="TM244" s="843"/>
      <c r="TN244" s="843"/>
      <c r="TO244" s="843"/>
      <c r="TP244" s="843"/>
      <c r="TQ244" s="843"/>
      <c r="TR244" s="843"/>
      <c r="TS244" s="843"/>
      <c r="TT244" s="843"/>
      <c r="TU244" s="843"/>
      <c r="TV244" s="843"/>
      <c r="TW244" s="843"/>
      <c r="TX244" s="843"/>
      <c r="TY244" s="843"/>
      <c r="TZ244" s="843"/>
      <c r="UA244" s="843"/>
      <c r="UB244" s="843"/>
      <c r="UC244" s="843"/>
      <c r="UD244" s="843"/>
      <c r="UE244" s="843"/>
      <c r="UF244" s="843"/>
      <c r="UG244" s="843"/>
      <c r="UH244" s="843"/>
      <c r="UI244" s="843"/>
      <c r="UJ244" s="843"/>
      <c r="UK244" s="843"/>
      <c r="UL244" s="843"/>
      <c r="UM244" s="843"/>
      <c r="UN244" s="843"/>
      <c r="UO244" s="843"/>
      <c r="UP244" s="843"/>
      <c r="UQ244" s="843"/>
      <c r="UR244" s="843"/>
      <c r="US244" s="843"/>
      <c r="UT244" s="843"/>
      <c r="UU244" s="843"/>
      <c r="UV244" s="843"/>
      <c r="UW244" s="843"/>
      <c r="UX244" s="843"/>
      <c r="UY244" s="843"/>
      <c r="UZ244" s="843"/>
      <c r="VA244" s="843"/>
      <c r="VB244" s="843"/>
      <c r="VC244" s="843"/>
      <c r="VD244" s="843"/>
      <c r="VE244" s="843"/>
      <c r="VF244" s="843"/>
      <c r="VG244" s="843"/>
      <c r="VH244" s="843"/>
      <c r="VI244" s="843"/>
      <c r="VJ244" s="843"/>
      <c r="VK244" s="843"/>
      <c r="VL244" s="843"/>
      <c r="VM244" s="843"/>
      <c r="VN244" s="843"/>
      <c r="VO244" s="843"/>
      <c r="VP244" s="843"/>
      <c r="VQ244" s="843"/>
      <c r="VR244" s="843"/>
      <c r="VS244" s="843"/>
      <c r="VT244" s="843"/>
      <c r="VU244" s="843"/>
      <c r="VV244" s="843"/>
      <c r="VW244" s="843"/>
      <c r="VX244" s="843"/>
      <c r="VY244" s="843"/>
      <c r="VZ244" s="843"/>
      <c r="WA244" s="843"/>
      <c r="WB244" s="843"/>
      <c r="WC244" s="843"/>
      <c r="WD244" s="843"/>
      <c r="WE244" s="843"/>
      <c r="WF244" s="843"/>
      <c r="WG244" s="843"/>
      <c r="WH244" s="843"/>
      <c r="WI244" s="843"/>
      <c r="WJ244" s="843"/>
      <c r="WK244" s="843"/>
      <c r="WL244" s="843"/>
      <c r="WM244" s="843"/>
      <c r="WN244" s="843"/>
      <c r="WO244" s="843"/>
      <c r="WP244" s="843"/>
      <c r="WQ244" s="843"/>
      <c r="WR244" s="843"/>
      <c r="WS244" s="843"/>
      <c r="WT244" s="843"/>
      <c r="WU244" s="843"/>
      <c r="WV244" s="843"/>
      <c r="WW244" s="843"/>
      <c r="WX244" s="843"/>
      <c r="WY244" s="843"/>
      <c r="WZ244" s="843"/>
      <c r="XA244" s="843"/>
      <c r="XB244" s="843"/>
      <c r="XC244" s="843"/>
      <c r="XD244" s="843"/>
      <c r="XE244" s="843"/>
      <c r="XF244" s="843"/>
      <c r="XG244" s="843"/>
      <c r="XH244" s="843"/>
      <c r="XI244" s="843"/>
      <c r="XJ244" s="843"/>
      <c r="XK244" s="843"/>
      <c r="XL244" s="843"/>
      <c r="XM244" s="843"/>
      <c r="XN244" s="843"/>
      <c r="XO244" s="843"/>
      <c r="XP244" s="843"/>
      <c r="XQ244" s="843"/>
      <c r="XR244" s="843"/>
      <c r="XS244" s="843"/>
      <c r="XT244" s="843"/>
      <c r="XU244" s="843"/>
      <c r="XV244" s="843"/>
      <c r="XW244" s="843"/>
      <c r="XX244" s="843"/>
      <c r="XY244" s="843"/>
      <c r="XZ244" s="843"/>
      <c r="YA244" s="843"/>
      <c r="YB244" s="843"/>
      <c r="YC244" s="843"/>
      <c r="YD244" s="843"/>
      <c r="YE244" s="843"/>
      <c r="YF244" s="843"/>
      <c r="YG244" s="843"/>
      <c r="YH244" s="843"/>
      <c r="YI244" s="843"/>
      <c r="YJ244" s="843"/>
      <c r="YK244" s="843"/>
      <c r="YL244" s="843"/>
      <c r="YM244" s="843"/>
      <c r="YN244" s="843"/>
      <c r="YO244" s="843"/>
      <c r="YP244" s="843"/>
      <c r="YQ244" s="843"/>
      <c r="YR244" s="843"/>
      <c r="YS244" s="843"/>
      <c r="YT244" s="843"/>
      <c r="YU244" s="843"/>
      <c r="YV244" s="843"/>
      <c r="YW244" s="843"/>
      <c r="YX244" s="843"/>
      <c r="YY244" s="843"/>
      <c r="YZ244" s="843"/>
      <c r="ZA244" s="843"/>
      <c r="ZB244" s="843"/>
      <c r="ZC244" s="843"/>
      <c r="ZD244" s="843"/>
      <c r="ZE244" s="843"/>
      <c r="ZF244" s="843"/>
      <c r="ZG244" s="843"/>
      <c r="ZH244" s="843"/>
      <c r="ZI244" s="843"/>
      <c r="ZJ244" s="843"/>
      <c r="ZK244" s="843"/>
      <c r="ZL244" s="843"/>
      <c r="ZM244" s="843"/>
      <c r="ZN244" s="843"/>
      <c r="ZO244" s="843"/>
      <c r="ZP244" s="843"/>
      <c r="ZQ244" s="843"/>
      <c r="ZR244" s="843"/>
      <c r="ZS244" s="843"/>
      <c r="ZT244" s="843"/>
      <c r="ZU244" s="843"/>
      <c r="ZV244" s="843"/>
      <c r="ZW244" s="843"/>
      <c r="ZX244" s="843"/>
      <c r="ZY244" s="843"/>
      <c r="ZZ244" s="843"/>
      <c r="AAA244" s="843"/>
      <c r="AAB244" s="843"/>
      <c r="AAC244" s="843"/>
      <c r="AAD244" s="843"/>
      <c r="AAE244" s="843"/>
      <c r="AAF244" s="843"/>
      <c r="AAG244" s="843"/>
      <c r="AAH244" s="843"/>
      <c r="AAI244" s="843"/>
      <c r="AAJ244" s="843"/>
      <c r="AAK244" s="843"/>
      <c r="AAL244" s="843"/>
      <c r="AAM244" s="843"/>
      <c r="AAN244" s="843"/>
      <c r="AAO244" s="843"/>
      <c r="AAP244" s="843"/>
      <c r="AAQ244" s="843"/>
      <c r="AAR244" s="843"/>
      <c r="AAS244" s="843"/>
      <c r="AAT244" s="843"/>
      <c r="AAU244" s="843"/>
      <c r="AAV244" s="843"/>
      <c r="AAW244" s="843"/>
      <c r="AAX244" s="843"/>
      <c r="AAY244" s="843"/>
      <c r="AAZ244" s="843"/>
      <c r="ABA244" s="843"/>
      <c r="ABB244" s="843"/>
      <c r="ABC244" s="843"/>
      <c r="ABD244" s="843"/>
      <c r="ABE244" s="843"/>
      <c r="ABF244" s="843"/>
      <c r="ABG244" s="843"/>
      <c r="ABH244" s="843"/>
      <c r="ABI244" s="843"/>
      <c r="ABJ244" s="843"/>
      <c r="ABK244" s="843"/>
      <c r="ABL244" s="843"/>
      <c r="ABM244" s="843"/>
      <c r="ABN244" s="843"/>
      <c r="ABO244" s="843"/>
      <c r="ABP244" s="843"/>
      <c r="ABQ244" s="843"/>
      <c r="ABR244" s="843"/>
      <c r="ABS244" s="843"/>
      <c r="ABT244" s="843"/>
      <c r="ABU244" s="843"/>
      <c r="ABV244" s="843"/>
      <c r="ABW244" s="843"/>
      <c r="ABX244" s="843"/>
      <c r="ABY244" s="843"/>
      <c r="ABZ244" s="843"/>
      <c r="ACA244" s="843"/>
      <c r="ACB244" s="843"/>
      <c r="ACC244" s="843"/>
      <c r="ACD244" s="843"/>
      <c r="ACE244" s="843"/>
      <c r="ACF244" s="843"/>
      <c r="ACG244" s="843"/>
      <c r="ACH244" s="843"/>
      <c r="ACI244" s="843"/>
      <c r="ACJ244" s="843"/>
      <c r="ACK244" s="843"/>
      <c r="ACL244" s="843"/>
      <c r="ACM244" s="843"/>
      <c r="ACN244" s="843"/>
      <c r="ACO244" s="843"/>
      <c r="ACP244" s="843"/>
      <c r="ACQ244" s="843"/>
      <c r="ACR244" s="843"/>
      <c r="ACS244" s="843"/>
      <c r="ACT244" s="843"/>
      <c r="ACU244" s="843"/>
      <c r="ACV244" s="843"/>
      <c r="ACW244" s="843"/>
      <c r="ACX244" s="843"/>
      <c r="ACY244" s="843"/>
      <c r="ACZ244" s="843"/>
      <c r="ADA244" s="843"/>
      <c r="ADB244" s="843"/>
      <c r="ADC244" s="843"/>
      <c r="ADD244" s="843"/>
      <c r="ADE244" s="843"/>
      <c r="ADF244" s="843"/>
      <c r="ADG244" s="843"/>
      <c r="ADH244" s="843"/>
      <c r="ADI244" s="843"/>
      <c r="ADJ244" s="843"/>
      <c r="ADK244" s="843"/>
      <c r="ADL244" s="843"/>
      <c r="ADM244" s="843"/>
      <c r="ADN244" s="843"/>
      <c r="ADO244" s="843"/>
      <c r="ADP244" s="843"/>
      <c r="ADQ244" s="843"/>
      <c r="ADR244" s="843"/>
      <c r="ADS244" s="843"/>
      <c r="ADT244" s="843"/>
      <c r="ADU244" s="843"/>
      <c r="ADV244" s="843"/>
      <c r="ADW244" s="843"/>
      <c r="ADX244" s="843"/>
      <c r="ADY244" s="843"/>
      <c r="ADZ244" s="843"/>
      <c r="AEA244" s="843"/>
      <c r="AEB244" s="843"/>
      <c r="AEC244" s="843"/>
      <c r="AED244" s="843"/>
      <c r="AEE244" s="843"/>
      <c r="AEF244" s="843"/>
      <c r="AEG244" s="843"/>
      <c r="AEH244" s="843"/>
      <c r="AEI244" s="843"/>
      <c r="AEJ244" s="843"/>
      <c r="AEK244" s="843"/>
      <c r="AEL244" s="843"/>
      <c r="AEM244" s="843"/>
      <c r="AEN244" s="843"/>
      <c r="AEO244" s="843"/>
      <c r="AEP244" s="843"/>
      <c r="AEQ244" s="843"/>
      <c r="AER244" s="843"/>
      <c r="AES244" s="843"/>
      <c r="AET244" s="843"/>
      <c r="AEU244" s="843"/>
      <c r="AEV244" s="843"/>
      <c r="AEW244" s="843"/>
      <c r="AEX244" s="843"/>
      <c r="AEY244" s="843"/>
      <c r="AEZ244" s="843"/>
      <c r="AFA244" s="843"/>
      <c r="AFB244" s="843"/>
      <c r="AFC244" s="843"/>
      <c r="AFD244" s="843"/>
      <c r="AFE244" s="843"/>
      <c r="AFF244" s="843"/>
      <c r="AFG244" s="843"/>
      <c r="AFH244" s="843"/>
      <c r="AFI244" s="843"/>
      <c r="AFJ244" s="843"/>
      <c r="AFK244" s="843"/>
      <c r="AFL244" s="843"/>
      <c r="AFM244" s="843"/>
      <c r="AFN244" s="843"/>
      <c r="AFO244" s="843"/>
      <c r="AFP244" s="843"/>
      <c r="AFQ244" s="843"/>
      <c r="AFR244" s="843"/>
      <c r="AFS244" s="843"/>
      <c r="AFT244" s="843"/>
      <c r="AFU244" s="843"/>
      <c r="AFV244" s="843"/>
      <c r="AFW244" s="843"/>
      <c r="AFX244" s="843"/>
      <c r="AFY244" s="843"/>
      <c r="AFZ244" s="843"/>
      <c r="AGA244" s="843"/>
      <c r="AGB244" s="843"/>
      <c r="AGC244" s="843"/>
      <c r="AGD244" s="843"/>
      <c r="AGE244" s="843"/>
      <c r="AGF244" s="843"/>
      <c r="AGG244" s="843"/>
      <c r="AGH244" s="843"/>
      <c r="AGI244" s="843"/>
      <c r="AGJ244" s="843"/>
    </row>
    <row r="245" spans="1:868" s="844" customFormat="1" hidden="1">
      <c r="A245" s="152" t="s">
        <v>183</v>
      </c>
      <c r="B245" s="34" t="s">
        <v>204</v>
      </c>
      <c r="C245" s="40" t="s">
        <v>139</v>
      </c>
      <c r="D245" s="34" t="s">
        <v>139</v>
      </c>
      <c r="E245" s="40">
        <v>2.7E-4</v>
      </c>
      <c r="F245" s="235">
        <v>2</v>
      </c>
      <c r="G245" s="40" t="s">
        <v>205</v>
      </c>
      <c r="H245" s="29">
        <v>1</v>
      </c>
      <c r="I245" s="9"/>
      <c r="J245" s="9">
        <v>1</v>
      </c>
      <c r="K245" s="9">
        <v>3</v>
      </c>
      <c r="L245" s="9">
        <v>3</v>
      </c>
      <c r="M245" s="9">
        <v>3</v>
      </c>
      <c r="N245" s="186">
        <f t="shared" si="17"/>
        <v>1.1181151966036349</v>
      </c>
      <c r="O245" s="160" t="str">
        <f t="shared" si="15"/>
        <v/>
      </c>
      <c r="P245" s="857"/>
      <c r="Q245" s="843"/>
      <c r="R245" s="843"/>
      <c r="S245" s="843"/>
      <c r="T245" s="843"/>
      <c r="U245" s="843"/>
      <c r="V245" s="843"/>
      <c r="W245" s="843"/>
      <c r="X245" s="843"/>
      <c r="Y245" s="843"/>
      <c r="Z245" s="843"/>
      <c r="AA245" s="843"/>
      <c r="AB245" s="843"/>
      <c r="AC245" s="843"/>
      <c r="AD245" s="843"/>
      <c r="AE245" s="843"/>
      <c r="AF245" s="843"/>
      <c r="AG245" s="843"/>
      <c r="AH245" s="843"/>
      <c r="AI245" s="843"/>
      <c r="AJ245" s="843"/>
      <c r="AK245" s="843"/>
      <c r="AL245" s="843"/>
      <c r="AM245" s="843"/>
      <c r="AN245" s="843"/>
      <c r="AO245" s="843"/>
      <c r="AP245" s="843"/>
      <c r="AQ245" s="843"/>
      <c r="AR245" s="843"/>
      <c r="AS245" s="843"/>
      <c r="AT245" s="843"/>
      <c r="AU245" s="843"/>
      <c r="AV245" s="843"/>
      <c r="AW245" s="843"/>
      <c r="AX245" s="843"/>
      <c r="AY245" s="843"/>
      <c r="AZ245" s="843"/>
      <c r="BA245" s="843"/>
      <c r="BB245" s="843"/>
      <c r="BC245" s="843"/>
      <c r="BD245" s="843"/>
      <c r="BE245" s="843"/>
      <c r="BF245" s="843"/>
      <c r="BG245" s="843"/>
      <c r="BH245" s="843"/>
      <c r="BI245" s="843"/>
      <c r="BJ245" s="843"/>
      <c r="BK245" s="843"/>
      <c r="BL245" s="843"/>
      <c r="BM245" s="843"/>
      <c r="BN245" s="843"/>
      <c r="BO245" s="843"/>
      <c r="BP245" s="843"/>
      <c r="BQ245" s="843"/>
      <c r="BR245" s="843"/>
      <c r="BS245" s="843"/>
      <c r="BT245" s="843"/>
      <c r="BU245" s="843"/>
      <c r="BV245" s="843"/>
      <c r="BW245" s="843"/>
      <c r="BX245" s="843"/>
      <c r="BY245" s="843"/>
      <c r="BZ245" s="843"/>
      <c r="CA245" s="843"/>
      <c r="CB245" s="843"/>
      <c r="CC245" s="843"/>
      <c r="CD245" s="843"/>
      <c r="CE245" s="843"/>
      <c r="CF245" s="843"/>
      <c r="CG245" s="843"/>
      <c r="CH245" s="843"/>
      <c r="CI245" s="843"/>
      <c r="CJ245" s="843"/>
      <c r="CK245" s="843"/>
      <c r="CL245" s="843"/>
      <c r="CM245" s="843"/>
      <c r="CN245" s="843"/>
      <c r="CO245" s="843"/>
      <c r="CP245" s="843"/>
      <c r="CQ245" s="843"/>
      <c r="CR245" s="843"/>
      <c r="CS245" s="843"/>
      <c r="CT245" s="843"/>
      <c r="CU245" s="843"/>
      <c r="CV245" s="843"/>
      <c r="CW245" s="843"/>
      <c r="CX245" s="843"/>
      <c r="CY245" s="843"/>
      <c r="CZ245" s="843"/>
      <c r="DA245" s="843"/>
      <c r="DB245" s="843"/>
      <c r="DC245" s="843"/>
      <c r="DD245" s="843"/>
      <c r="DE245" s="843"/>
      <c r="DF245" s="843"/>
      <c r="DG245" s="843"/>
      <c r="DH245" s="843"/>
      <c r="DI245" s="843"/>
      <c r="DJ245" s="843"/>
      <c r="DK245" s="843"/>
      <c r="DL245" s="843"/>
      <c r="DM245" s="843"/>
      <c r="DN245" s="843"/>
      <c r="DO245" s="843"/>
      <c r="DP245" s="843"/>
      <c r="DQ245" s="843"/>
      <c r="DR245" s="843"/>
      <c r="DS245" s="843"/>
      <c r="DT245" s="843"/>
      <c r="DU245" s="843"/>
      <c r="DV245" s="843"/>
      <c r="DW245" s="843"/>
      <c r="DX245" s="843"/>
      <c r="DY245" s="843"/>
      <c r="DZ245" s="843"/>
      <c r="EA245" s="843"/>
      <c r="EB245" s="843"/>
      <c r="EC245" s="843"/>
      <c r="ED245" s="843"/>
      <c r="EE245" s="843"/>
      <c r="EF245" s="843"/>
      <c r="EG245" s="843"/>
      <c r="EH245" s="843"/>
      <c r="EI245" s="843"/>
      <c r="EJ245" s="843"/>
      <c r="EK245" s="843"/>
      <c r="EL245" s="843"/>
      <c r="EM245" s="843"/>
      <c r="EN245" s="843"/>
      <c r="EO245" s="843"/>
      <c r="EP245" s="843"/>
      <c r="EQ245" s="843"/>
      <c r="ER245" s="843"/>
      <c r="ES245" s="843"/>
      <c r="ET245" s="843"/>
      <c r="EU245" s="843"/>
      <c r="EV245" s="843"/>
      <c r="EW245" s="843"/>
      <c r="EX245" s="843"/>
      <c r="EY245" s="843"/>
      <c r="EZ245" s="843"/>
      <c r="FA245" s="843"/>
      <c r="FB245" s="843"/>
      <c r="FC245" s="843"/>
      <c r="FD245" s="843"/>
      <c r="FE245" s="843"/>
      <c r="FF245" s="843"/>
      <c r="FG245" s="843"/>
      <c r="FH245" s="843"/>
      <c r="FI245" s="843"/>
      <c r="FJ245" s="843"/>
      <c r="FK245" s="843"/>
      <c r="FL245" s="843"/>
      <c r="FM245" s="843"/>
      <c r="FN245" s="843"/>
      <c r="FO245" s="843"/>
      <c r="FP245" s="843"/>
      <c r="FQ245" s="843"/>
      <c r="FR245" s="843"/>
      <c r="FS245" s="843"/>
      <c r="FT245" s="843"/>
      <c r="FU245" s="843"/>
      <c r="FV245" s="843"/>
      <c r="FW245" s="843"/>
      <c r="FX245" s="843"/>
      <c r="FY245" s="843"/>
      <c r="FZ245" s="843"/>
      <c r="GA245" s="843"/>
      <c r="GB245" s="843"/>
      <c r="GC245" s="843"/>
      <c r="GD245" s="843"/>
      <c r="GE245" s="843"/>
      <c r="GF245" s="843"/>
      <c r="GG245" s="843"/>
      <c r="GH245" s="843"/>
      <c r="GI245" s="843"/>
      <c r="GJ245" s="843"/>
      <c r="GK245" s="843"/>
      <c r="GL245" s="843"/>
      <c r="GM245" s="843"/>
      <c r="GN245" s="843"/>
      <c r="GO245" s="843"/>
      <c r="GP245" s="843"/>
      <c r="GQ245" s="843"/>
      <c r="GR245" s="843"/>
      <c r="GS245" s="843"/>
      <c r="GT245" s="843"/>
      <c r="GU245" s="843"/>
      <c r="GV245" s="843"/>
      <c r="GW245" s="843"/>
      <c r="GX245" s="843"/>
      <c r="GY245" s="843"/>
      <c r="GZ245" s="843"/>
      <c r="HA245" s="843"/>
      <c r="HB245" s="843"/>
      <c r="HC245" s="843"/>
      <c r="HD245" s="843"/>
      <c r="HE245" s="843"/>
      <c r="HF245" s="843"/>
      <c r="HG245" s="843"/>
      <c r="HH245" s="843"/>
      <c r="HI245" s="843"/>
      <c r="HJ245" s="843"/>
      <c r="HK245" s="843"/>
      <c r="HL245" s="843"/>
      <c r="HM245" s="843"/>
      <c r="HN245" s="843"/>
      <c r="HO245" s="843"/>
      <c r="HP245" s="843"/>
      <c r="HQ245" s="843"/>
      <c r="HR245" s="843"/>
      <c r="HS245" s="843"/>
      <c r="HT245" s="843"/>
      <c r="HU245" s="843"/>
      <c r="HV245" s="843"/>
      <c r="HW245" s="843"/>
      <c r="HX245" s="843"/>
      <c r="HY245" s="843"/>
      <c r="HZ245" s="843"/>
      <c r="IA245" s="843"/>
      <c r="IB245" s="843"/>
      <c r="IC245" s="843"/>
      <c r="ID245" s="843"/>
      <c r="IE245" s="843"/>
      <c r="IF245" s="843"/>
      <c r="IG245" s="843"/>
      <c r="IH245" s="843"/>
      <c r="II245" s="843"/>
      <c r="IJ245" s="843"/>
      <c r="IK245" s="843"/>
      <c r="IL245" s="843"/>
      <c r="IM245" s="843"/>
      <c r="IN245" s="843"/>
      <c r="IO245" s="843"/>
      <c r="IP245" s="843"/>
      <c r="IQ245" s="843"/>
      <c r="IR245" s="843"/>
      <c r="IS245" s="843"/>
      <c r="IT245" s="843"/>
      <c r="IU245" s="843"/>
      <c r="IV245" s="843"/>
      <c r="IW245" s="843"/>
      <c r="IX245" s="843"/>
      <c r="IY245" s="843"/>
      <c r="IZ245" s="843"/>
      <c r="JA245" s="843"/>
      <c r="JB245" s="843"/>
      <c r="JC245" s="843"/>
      <c r="JD245" s="843"/>
      <c r="JE245" s="843"/>
      <c r="JF245" s="843"/>
      <c r="JG245" s="843"/>
      <c r="JH245" s="843"/>
      <c r="JI245" s="843"/>
      <c r="JJ245" s="843"/>
      <c r="JK245" s="843"/>
      <c r="JL245" s="843"/>
      <c r="JM245" s="843"/>
      <c r="JN245" s="843"/>
      <c r="JO245" s="843"/>
      <c r="JP245" s="843"/>
      <c r="JQ245" s="843"/>
      <c r="JR245" s="843"/>
      <c r="JS245" s="843"/>
      <c r="JT245" s="843"/>
      <c r="JU245" s="843"/>
      <c r="JV245" s="843"/>
      <c r="JW245" s="843"/>
      <c r="JX245" s="843"/>
      <c r="JY245" s="843"/>
      <c r="JZ245" s="843"/>
      <c r="KA245" s="843"/>
      <c r="KB245" s="843"/>
      <c r="KC245" s="843"/>
      <c r="KD245" s="843"/>
      <c r="KE245" s="843"/>
      <c r="KF245" s="843"/>
      <c r="KG245" s="843"/>
      <c r="KH245" s="843"/>
      <c r="KI245" s="843"/>
      <c r="KJ245" s="843"/>
      <c r="KK245" s="843"/>
      <c r="KL245" s="843"/>
      <c r="KM245" s="843"/>
      <c r="KN245" s="843"/>
      <c r="KO245" s="843"/>
      <c r="KP245" s="843"/>
      <c r="KQ245" s="843"/>
      <c r="KR245" s="843"/>
      <c r="KS245" s="843"/>
      <c r="KT245" s="843"/>
      <c r="KU245" s="843"/>
      <c r="KV245" s="843"/>
      <c r="KW245" s="843"/>
      <c r="KX245" s="843"/>
      <c r="KY245" s="843"/>
      <c r="KZ245" s="843"/>
      <c r="LA245" s="843"/>
      <c r="LB245" s="843"/>
      <c r="LC245" s="843"/>
      <c r="LD245" s="843"/>
      <c r="LE245" s="843"/>
      <c r="LF245" s="843"/>
      <c r="LG245" s="843"/>
      <c r="LH245" s="843"/>
      <c r="LI245" s="843"/>
      <c r="LJ245" s="843"/>
      <c r="LK245" s="843"/>
      <c r="LL245" s="843"/>
      <c r="LM245" s="843"/>
      <c r="LN245" s="843"/>
      <c r="LO245" s="843"/>
      <c r="LP245" s="843"/>
      <c r="LQ245" s="843"/>
      <c r="LR245" s="843"/>
      <c r="LS245" s="843"/>
      <c r="LT245" s="843"/>
      <c r="LU245" s="843"/>
      <c r="LV245" s="843"/>
      <c r="LW245" s="843"/>
      <c r="LX245" s="843"/>
      <c r="LY245" s="843"/>
      <c r="LZ245" s="843"/>
      <c r="MA245" s="843"/>
      <c r="MB245" s="843"/>
      <c r="MC245" s="843"/>
      <c r="MD245" s="843"/>
      <c r="ME245" s="843"/>
      <c r="MF245" s="843"/>
      <c r="MG245" s="843"/>
      <c r="MH245" s="843"/>
      <c r="MI245" s="843"/>
      <c r="MJ245" s="843"/>
      <c r="MK245" s="843"/>
      <c r="ML245" s="843"/>
      <c r="MM245" s="843"/>
      <c r="MN245" s="843"/>
      <c r="MO245" s="843"/>
      <c r="MP245" s="843"/>
      <c r="MQ245" s="843"/>
      <c r="MR245" s="843"/>
      <c r="MS245" s="843"/>
      <c r="MT245" s="843"/>
      <c r="MU245" s="843"/>
      <c r="MV245" s="843"/>
      <c r="MW245" s="843"/>
      <c r="MX245" s="843"/>
      <c r="MY245" s="843"/>
      <c r="MZ245" s="843"/>
      <c r="NA245" s="843"/>
      <c r="NB245" s="843"/>
      <c r="NC245" s="843"/>
      <c r="ND245" s="843"/>
      <c r="NE245" s="843"/>
      <c r="NF245" s="843"/>
      <c r="NG245" s="843"/>
      <c r="NH245" s="843"/>
      <c r="NI245" s="843"/>
      <c r="NJ245" s="843"/>
      <c r="NK245" s="843"/>
      <c r="NL245" s="843"/>
      <c r="NM245" s="843"/>
      <c r="NN245" s="843"/>
      <c r="NO245" s="843"/>
      <c r="NP245" s="843"/>
      <c r="NQ245" s="843"/>
      <c r="NR245" s="843"/>
      <c r="NS245" s="843"/>
      <c r="NT245" s="843"/>
      <c r="NU245" s="843"/>
      <c r="NV245" s="843"/>
      <c r="NW245" s="843"/>
      <c r="NX245" s="843"/>
      <c r="NY245" s="843"/>
      <c r="NZ245" s="843"/>
      <c r="OA245" s="843"/>
      <c r="OB245" s="843"/>
      <c r="OC245" s="843"/>
      <c r="OD245" s="843"/>
      <c r="OE245" s="843"/>
      <c r="OF245" s="843"/>
      <c r="OG245" s="843"/>
      <c r="OH245" s="843"/>
      <c r="OI245" s="843"/>
      <c r="OJ245" s="843"/>
      <c r="OK245" s="843"/>
      <c r="OL245" s="843"/>
      <c r="OM245" s="843"/>
      <c r="ON245" s="843"/>
      <c r="OO245" s="843"/>
      <c r="OP245" s="843"/>
      <c r="OQ245" s="843"/>
      <c r="OR245" s="843"/>
      <c r="OS245" s="843"/>
      <c r="OT245" s="843"/>
      <c r="OU245" s="843"/>
      <c r="OV245" s="843"/>
      <c r="OW245" s="843"/>
      <c r="OX245" s="843"/>
      <c r="OY245" s="843"/>
      <c r="OZ245" s="843"/>
      <c r="PA245" s="843"/>
      <c r="PB245" s="843"/>
      <c r="PC245" s="843"/>
      <c r="PD245" s="843"/>
      <c r="PE245" s="843"/>
      <c r="PF245" s="843"/>
      <c r="PG245" s="843"/>
      <c r="PH245" s="843"/>
      <c r="PI245" s="843"/>
      <c r="PJ245" s="843"/>
      <c r="PK245" s="843"/>
      <c r="PL245" s="843"/>
      <c r="PM245" s="843"/>
      <c r="PN245" s="843"/>
      <c r="PO245" s="843"/>
      <c r="PP245" s="843"/>
      <c r="PQ245" s="843"/>
      <c r="PR245" s="843"/>
      <c r="PS245" s="843"/>
      <c r="PT245" s="843"/>
      <c r="PU245" s="843"/>
      <c r="PV245" s="843"/>
      <c r="PW245" s="843"/>
      <c r="PX245" s="843"/>
      <c r="PY245" s="843"/>
      <c r="PZ245" s="843"/>
      <c r="QA245" s="843"/>
      <c r="QB245" s="843"/>
      <c r="QC245" s="843"/>
      <c r="QD245" s="843"/>
      <c r="QE245" s="843"/>
      <c r="QF245" s="843"/>
      <c r="QG245" s="843"/>
      <c r="QH245" s="843"/>
      <c r="QI245" s="843"/>
      <c r="QJ245" s="843"/>
      <c r="QK245" s="843"/>
      <c r="QL245" s="843"/>
      <c r="QM245" s="843"/>
      <c r="QN245" s="843"/>
      <c r="QO245" s="843"/>
      <c r="QP245" s="843"/>
      <c r="QQ245" s="843"/>
      <c r="QR245" s="843"/>
      <c r="QS245" s="843"/>
      <c r="QT245" s="843"/>
      <c r="QU245" s="843"/>
      <c r="QV245" s="843"/>
      <c r="QW245" s="843"/>
      <c r="QX245" s="843"/>
      <c r="QY245" s="843"/>
      <c r="QZ245" s="843"/>
      <c r="RA245" s="843"/>
      <c r="RB245" s="843"/>
      <c r="RC245" s="843"/>
      <c r="RD245" s="843"/>
      <c r="RE245" s="843"/>
      <c r="RF245" s="843"/>
      <c r="RG245" s="843"/>
      <c r="RH245" s="843"/>
      <c r="RI245" s="843"/>
      <c r="RJ245" s="843"/>
      <c r="RK245" s="843"/>
      <c r="RL245" s="843"/>
      <c r="RM245" s="843"/>
      <c r="RN245" s="843"/>
      <c r="RO245" s="843"/>
      <c r="RP245" s="843"/>
      <c r="RQ245" s="843"/>
      <c r="RR245" s="843"/>
      <c r="RS245" s="843"/>
      <c r="RT245" s="843"/>
      <c r="RU245" s="843"/>
      <c r="RV245" s="843"/>
      <c r="RW245" s="843"/>
      <c r="RX245" s="843"/>
      <c r="RY245" s="843"/>
      <c r="RZ245" s="843"/>
      <c r="SA245" s="843"/>
      <c r="SB245" s="843"/>
      <c r="SC245" s="843"/>
      <c r="SD245" s="843"/>
      <c r="SE245" s="843"/>
      <c r="SF245" s="843"/>
      <c r="SG245" s="843"/>
      <c r="SH245" s="843"/>
      <c r="SI245" s="843"/>
      <c r="SJ245" s="843"/>
      <c r="SK245" s="843"/>
      <c r="SL245" s="843"/>
      <c r="SM245" s="843"/>
      <c r="SN245" s="843"/>
      <c r="SO245" s="843"/>
      <c r="SP245" s="843"/>
      <c r="SQ245" s="843"/>
      <c r="SR245" s="843"/>
      <c r="SS245" s="843"/>
      <c r="ST245" s="843"/>
      <c r="SU245" s="843"/>
      <c r="SV245" s="843"/>
      <c r="SW245" s="843"/>
      <c r="SX245" s="843"/>
      <c r="SY245" s="843"/>
      <c r="SZ245" s="843"/>
      <c r="TA245" s="843"/>
      <c r="TB245" s="843"/>
      <c r="TC245" s="843"/>
      <c r="TD245" s="843"/>
      <c r="TE245" s="843"/>
      <c r="TF245" s="843"/>
      <c r="TG245" s="843"/>
      <c r="TH245" s="843"/>
      <c r="TI245" s="843"/>
      <c r="TJ245" s="843"/>
      <c r="TK245" s="843"/>
      <c r="TL245" s="843"/>
      <c r="TM245" s="843"/>
      <c r="TN245" s="843"/>
      <c r="TO245" s="843"/>
      <c r="TP245" s="843"/>
      <c r="TQ245" s="843"/>
      <c r="TR245" s="843"/>
      <c r="TS245" s="843"/>
      <c r="TT245" s="843"/>
      <c r="TU245" s="843"/>
      <c r="TV245" s="843"/>
      <c r="TW245" s="843"/>
      <c r="TX245" s="843"/>
      <c r="TY245" s="843"/>
      <c r="TZ245" s="843"/>
      <c r="UA245" s="843"/>
      <c r="UB245" s="843"/>
      <c r="UC245" s="843"/>
      <c r="UD245" s="843"/>
      <c r="UE245" s="843"/>
      <c r="UF245" s="843"/>
      <c r="UG245" s="843"/>
      <c r="UH245" s="843"/>
      <c r="UI245" s="843"/>
      <c r="UJ245" s="843"/>
      <c r="UK245" s="843"/>
      <c r="UL245" s="843"/>
      <c r="UM245" s="843"/>
      <c r="UN245" s="843"/>
      <c r="UO245" s="843"/>
      <c r="UP245" s="843"/>
      <c r="UQ245" s="843"/>
      <c r="UR245" s="843"/>
      <c r="US245" s="843"/>
      <c r="UT245" s="843"/>
      <c r="UU245" s="843"/>
      <c r="UV245" s="843"/>
      <c r="UW245" s="843"/>
      <c r="UX245" s="843"/>
      <c r="UY245" s="843"/>
      <c r="UZ245" s="843"/>
      <c r="VA245" s="843"/>
      <c r="VB245" s="843"/>
      <c r="VC245" s="843"/>
      <c r="VD245" s="843"/>
      <c r="VE245" s="843"/>
      <c r="VF245" s="843"/>
      <c r="VG245" s="843"/>
      <c r="VH245" s="843"/>
      <c r="VI245" s="843"/>
      <c r="VJ245" s="843"/>
      <c r="VK245" s="843"/>
      <c r="VL245" s="843"/>
      <c r="VM245" s="843"/>
      <c r="VN245" s="843"/>
      <c r="VO245" s="843"/>
      <c r="VP245" s="843"/>
      <c r="VQ245" s="843"/>
      <c r="VR245" s="843"/>
      <c r="VS245" s="843"/>
      <c r="VT245" s="843"/>
      <c r="VU245" s="843"/>
      <c r="VV245" s="843"/>
      <c r="VW245" s="843"/>
      <c r="VX245" s="843"/>
      <c r="VY245" s="843"/>
      <c r="VZ245" s="843"/>
      <c r="WA245" s="843"/>
      <c r="WB245" s="843"/>
      <c r="WC245" s="843"/>
      <c r="WD245" s="843"/>
      <c r="WE245" s="843"/>
      <c r="WF245" s="843"/>
      <c r="WG245" s="843"/>
      <c r="WH245" s="843"/>
      <c r="WI245" s="843"/>
      <c r="WJ245" s="843"/>
      <c r="WK245" s="843"/>
      <c r="WL245" s="843"/>
      <c r="WM245" s="843"/>
      <c r="WN245" s="843"/>
      <c r="WO245" s="843"/>
      <c r="WP245" s="843"/>
      <c r="WQ245" s="843"/>
      <c r="WR245" s="843"/>
      <c r="WS245" s="843"/>
      <c r="WT245" s="843"/>
      <c r="WU245" s="843"/>
      <c r="WV245" s="843"/>
      <c r="WW245" s="843"/>
      <c r="WX245" s="843"/>
      <c r="WY245" s="843"/>
      <c r="WZ245" s="843"/>
      <c r="XA245" s="843"/>
      <c r="XB245" s="843"/>
      <c r="XC245" s="843"/>
      <c r="XD245" s="843"/>
      <c r="XE245" s="843"/>
      <c r="XF245" s="843"/>
      <c r="XG245" s="843"/>
      <c r="XH245" s="843"/>
      <c r="XI245" s="843"/>
      <c r="XJ245" s="843"/>
      <c r="XK245" s="843"/>
      <c r="XL245" s="843"/>
      <c r="XM245" s="843"/>
      <c r="XN245" s="843"/>
      <c r="XO245" s="843"/>
      <c r="XP245" s="843"/>
      <c r="XQ245" s="843"/>
      <c r="XR245" s="843"/>
      <c r="XS245" s="843"/>
      <c r="XT245" s="843"/>
      <c r="XU245" s="843"/>
      <c r="XV245" s="843"/>
      <c r="XW245" s="843"/>
      <c r="XX245" s="843"/>
      <c r="XY245" s="843"/>
      <c r="XZ245" s="843"/>
      <c r="YA245" s="843"/>
      <c r="YB245" s="843"/>
      <c r="YC245" s="843"/>
      <c r="YD245" s="843"/>
      <c r="YE245" s="843"/>
      <c r="YF245" s="843"/>
      <c r="YG245" s="843"/>
      <c r="YH245" s="843"/>
      <c r="YI245" s="843"/>
      <c r="YJ245" s="843"/>
      <c r="YK245" s="843"/>
      <c r="YL245" s="843"/>
      <c r="YM245" s="843"/>
      <c r="YN245" s="843"/>
      <c r="YO245" s="843"/>
      <c r="YP245" s="843"/>
      <c r="YQ245" s="843"/>
      <c r="YR245" s="843"/>
      <c r="YS245" s="843"/>
      <c r="YT245" s="843"/>
      <c r="YU245" s="843"/>
      <c r="YV245" s="843"/>
      <c r="YW245" s="843"/>
      <c r="YX245" s="843"/>
      <c r="YY245" s="843"/>
      <c r="YZ245" s="843"/>
      <c r="ZA245" s="843"/>
      <c r="ZB245" s="843"/>
      <c r="ZC245" s="843"/>
      <c r="ZD245" s="843"/>
      <c r="ZE245" s="843"/>
      <c r="ZF245" s="843"/>
      <c r="ZG245" s="843"/>
      <c r="ZH245" s="843"/>
      <c r="ZI245" s="843"/>
      <c r="ZJ245" s="843"/>
      <c r="ZK245" s="843"/>
      <c r="ZL245" s="843"/>
      <c r="ZM245" s="843"/>
      <c r="ZN245" s="843"/>
      <c r="ZO245" s="843"/>
      <c r="ZP245" s="843"/>
      <c r="ZQ245" s="843"/>
      <c r="ZR245" s="843"/>
      <c r="ZS245" s="843"/>
      <c r="ZT245" s="843"/>
      <c r="ZU245" s="843"/>
      <c r="ZV245" s="843"/>
      <c r="ZW245" s="843"/>
      <c r="ZX245" s="843"/>
      <c r="ZY245" s="843"/>
      <c r="ZZ245" s="843"/>
      <c r="AAA245" s="843"/>
      <c r="AAB245" s="843"/>
      <c r="AAC245" s="843"/>
      <c r="AAD245" s="843"/>
      <c r="AAE245" s="843"/>
      <c r="AAF245" s="843"/>
      <c r="AAG245" s="843"/>
      <c r="AAH245" s="843"/>
      <c r="AAI245" s="843"/>
      <c r="AAJ245" s="843"/>
      <c r="AAK245" s="843"/>
      <c r="AAL245" s="843"/>
      <c r="AAM245" s="843"/>
      <c r="AAN245" s="843"/>
      <c r="AAO245" s="843"/>
      <c r="AAP245" s="843"/>
      <c r="AAQ245" s="843"/>
      <c r="AAR245" s="843"/>
      <c r="AAS245" s="843"/>
      <c r="AAT245" s="843"/>
      <c r="AAU245" s="843"/>
      <c r="AAV245" s="843"/>
      <c r="AAW245" s="843"/>
      <c r="AAX245" s="843"/>
      <c r="AAY245" s="843"/>
      <c r="AAZ245" s="843"/>
      <c r="ABA245" s="843"/>
      <c r="ABB245" s="843"/>
      <c r="ABC245" s="843"/>
      <c r="ABD245" s="843"/>
      <c r="ABE245" s="843"/>
      <c r="ABF245" s="843"/>
      <c r="ABG245" s="843"/>
      <c r="ABH245" s="843"/>
      <c r="ABI245" s="843"/>
      <c r="ABJ245" s="843"/>
      <c r="ABK245" s="843"/>
      <c r="ABL245" s="843"/>
      <c r="ABM245" s="843"/>
      <c r="ABN245" s="843"/>
      <c r="ABO245" s="843"/>
      <c r="ABP245" s="843"/>
      <c r="ABQ245" s="843"/>
      <c r="ABR245" s="843"/>
      <c r="ABS245" s="843"/>
      <c r="ABT245" s="843"/>
      <c r="ABU245" s="843"/>
      <c r="ABV245" s="843"/>
      <c r="ABW245" s="843"/>
      <c r="ABX245" s="843"/>
      <c r="ABY245" s="843"/>
      <c r="ABZ245" s="843"/>
      <c r="ACA245" s="843"/>
      <c r="ACB245" s="843"/>
      <c r="ACC245" s="843"/>
      <c r="ACD245" s="843"/>
      <c r="ACE245" s="843"/>
      <c r="ACF245" s="843"/>
      <c r="ACG245" s="843"/>
      <c r="ACH245" s="843"/>
      <c r="ACI245" s="843"/>
      <c r="ACJ245" s="843"/>
      <c r="ACK245" s="843"/>
      <c r="ACL245" s="843"/>
      <c r="ACM245" s="843"/>
      <c r="ACN245" s="843"/>
      <c r="ACO245" s="843"/>
      <c r="ACP245" s="843"/>
      <c r="ACQ245" s="843"/>
      <c r="ACR245" s="843"/>
      <c r="ACS245" s="843"/>
      <c r="ACT245" s="843"/>
      <c r="ACU245" s="843"/>
      <c r="ACV245" s="843"/>
      <c r="ACW245" s="843"/>
      <c r="ACX245" s="843"/>
      <c r="ACY245" s="843"/>
      <c r="ACZ245" s="843"/>
      <c r="ADA245" s="843"/>
      <c r="ADB245" s="843"/>
      <c r="ADC245" s="843"/>
      <c r="ADD245" s="843"/>
      <c r="ADE245" s="843"/>
      <c r="ADF245" s="843"/>
      <c r="ADG245" s="843"/>
      <c r="ADH245" s="843"/>
      <c r="ADI245" s="843"/>
      <c r="ADJ245" s="843"/>
      <c r="ADK245" s="843"/>
      <c r="ADL245" s="843"/>
      <c r="ADM245" s="843"/>
      <c r="ADN245" s="843"/>
      <c r="ADO245" s="843"/>
      <c r="ADP245" s="843"/>
      <c r="ADQ245" s="843"/>
      <c r="ADR245" s="843"/>
      <c r="ADS245" s="843"/>
      <c r="ADT245" s="843"/>
      <c r="ADU245" s="843"/>
      <c r="ADV245" s="843"/>
      <c r="ADW245" s="843"/>
      <c r="ADX245" s="843"/>
      <c r="ADY245" s="843"/>
      <c r="ADZ245" s="843"/>
      <c r="AEA245" s="843"/>
      <c r="AEB245" s="843"/>
      <c r="AEC245" s="843"/>
      <c r="AED245" s="843"/>
      <c r="AEE245" s="843"/>
      <c r="AEF245" s="843"/>
      <c r="AEG245" s="843"/>
      <c r="AEH245" s="843"/>
      <c r="AEI245" s="843"/>
      <c r="AEJ245" s="843"/>
      <c r="AEK245" s="843"/>
      <c r="AEL245" s="843"/>
      <c r="AEM245" s="843"/>
      <c r="AEN245" s="843"/>
      <c r="AEO245" s="843"/>
      <c r="AEP245" s="843"/>
      <c r="AEQ245" s="843"/>
      <c r="AER245" s="843"/>
      <c r="AES245" s="843"/>
      <c r="AET245" s="843"/>
      <c r="AEU245" s="843"/>
      <c r="AEV245" s="843"/>
      <c r="AEW245" s="843"/>
      <c r="AEX245" s="843"/>
      <c r="AEY245" s="843"/>
      <c r="AEZ245" s="843"/>
      <c r="AFA245" s="843"/>
      <c r="AFB245" s="843"/>
      <c r="AFC245" s="843"/>
      <c r="AFD245" s="843"/>
      <c r="AFE245" s="843"/>
      <c r="AFF245" s="843"/>
      <c r="AFG245" s="843"/>
      <c r="AFH245" s="843"/>
      <c r="AFI245" s="843"/>
      <c r="AFJ245" s="843"/>
      <c r="AFK245" s="843"/>
      <c r="AFL245" s="843"/>
      <c r="AFM245" s="843"/>
      <c r="AFN245" s="843"/>
      <c r="AFO245" s="843"/>
      <c r="AFP245" s="843"/>
      <c r="AFQ245" s="843"/>
      <c r="AFR245" s="843"/>
      <c r="AFS245" s="843"/>
      <c r="AFT245" s="843"/>
      <c r="AFU245" s="843"/>
      <c r="AFV245" s="843"/>
      <c r="AFW245" s="843"/>
      <c r="AFX245" s="843"/>
      <c r="AFY245" s="843"/>
      <c r="AFZ245" s="843"/>
      <c r="AGA245" s="843"/>
      <c r="AGB245" s="843"/>
      <c r="AGC245" s="843"/>
      <c r="AGD245" s="843"/>
      <c r="AGE245" s="843"/>
      <c r="AGF245" s="843"/>
      <c r="AGG245" s="843"/>
      <c r="AGH245" s="843"/>
      <c r="AGI245" s="843"/>
      <c r="AGJ245" s="843"/>
    </row>
    <row r="246" spans="1:868" s="844" customFormat="1" hidden="1">
      <c r="A246" s="292" t="s">
        <v>171</v>
      </c>
      <c r="B246" s="55" t="s">
        <v>204</v>
      </c>
      <c r="C246" s="265" t="s">
        <v>139</v>
      </c>
      <c r="D246" s="55" t="s">
        <v>139</v>
      </c>
      <c r="E246" s="260">
        <v>2.7E-4</v>
      </c>
      <c r="F246" s="235">
        <v>2</v>
      </c>
      <c r="G246" s="265" t="s">
        <v>163</v>
      </c>
      <c r="H246" s="29">
        <v>2</v>
      </c>
      <c r="I246" s="9">
        <v>2</v>
      </c>
      <c r="J246" s="9">
        <v>2</v>
      </c>
      <c r="K246" s="9">
        <v>3</v>
      </c>
      <c r="L246" s="9">
        <v>3</v>
      </c>
      <c r="M246" s="9">
        <v>3</v>
      </c>
      <c r="N246" s="186">
        <f t="shared" si="17"/>
        <v>1.1278755061256258</v>
      </c>
      <c r="O246" s="160">
        <f t="shared" si="15"/>
        <v>1.1278755061256258</v>
      </c>
      <c r="P246" s="63"/>
      <c r="Q246" s="843"/>
      <c r="R246" s="843"/>
      <c r="S246" s="843"/>
      <c r="T246" s="843"/>
      <c r="U246" s="843"/>
      <c r="V246" s="843"/>
      <c r="W246" s="843"/>
      <c r="X246" s="843"/>
      <c r="Y246" s="843"/>
      <c r="Z246" s="843"/>
      <c r="AA246" s="843"/>
      <c r="AB246" s="843"/>
      <c r="AC246" s="843"/>
      <c r="AD246" s="843"/>
      <c r="AE246" s="843"/>
      <c r="AF246" s="843"/>
      <c r="AG246" s="843"/>
      <c r="AH246" s="843"/>
      <c r="AI246" s="843"/>
      <c r="AJ246" s="843"/>
      <c r="AK246" s="843"/>
      <c r="AL246" s="843"/>
      <c r="AM246" s="843"/>
      <c r="AN246" s="843"/>
      <c r="AO246" s="843"/>
      <c r="AP246" s="843"/>
      <c r="AQ246" s="843"/>
      <c r="AR246" s="843"/>
      <c r="AS246" s="843"/>
      <c r="AT246" s="843"/>
      <c r="AU246" s="843"/>
      <c r="AV246" s="843"/>
      <c r="AW246" s="843"/>
      <c r="AX246" s="843"/>
      <c r="AY246" s="843"/>
      <c r="AZ246" s="843"/>
      <c r="BA246" s="843"/>
      <c r="BB246" s="843"/>
      <c r="BC246" s="843"/>
      <c r="BD246" s="843"/>
      <c r="BE246" s="843"/>
      <c r="BF246" s="843"/>
      <c r="BG246" s="843"/>
      <c r="BH246" s="843"/>
      <c r="BI246" s="843"/>
      <c r="BJ246" s="843"/>
      <c r="BK246" s="843"/>
      <c r="BL246" s="843"/>
      <c r="BM246" s="843"/>
      <c r="BN246" s="843"/>
      <c r="BO246" s="843"/>
      <c r="BP246" s="843"/>
      <c r="BQ246" s="843"/>
      <c r="BR246" s="843"/>
      <c r="BS246" s="843"/>
      <c r="BT246" s="843"/>
      <c r="BU246" s="843"/>
      <c r="BV246" s="843"/>
      <c r="BW246" s="843"/>
      <c r="BX246" s="843"/>
      <c r="BY246" s="843"/>
      <c r="BZ246" s="843"/>
      <c r="CA246" s="843"/>
      <c r="CB246" s="843"/>
      <c r="CC246" s="843"/>
      <c r="CD246" s="843"/>
      <c r="CE246" s="843"/>
      <c r="CF246" s="843"/>
      <c r="CG246" s="843"/>
      <c r="CH246" s="843"/>
      <c r="CI246" s="843"/>
      <c r="CJ246" s="843"/>
      <c r="CK246" s="843"/>
      <c r="CL246" s="843"/>
      <c r="CM246" s="843"/>
      <c r="CN246" s="843"/>
      <c r="CO246" s="843"/>
      <c r="CP246" s="843"/>
      <c r="CQ246" s="843"/>
      <c r="CR246" s="843"/>
      <c r="CS246" s="843"/>
      <c r="CT246" s="843"/>
      <c r="CU246" s="843"/>
      <c r="CV246" s="843"/>
      <c r="CW246" s="843"/>
      <c r="CX246" s="843"/>
      <c r="CY246" s="843"/>
      <c r="CZ246" s="843"/>
      <c r="DA246" s="843"/>
      <c r="DB246" s="843"/>
      <c r="DC246" s="843"/>
      <c r="DD246" s="843"/>
      <c r="DE246" s="843"/>
      <c r="DF246" s="843"/>
      <c r="DG246" s="843"/>
      <c r="DH246" s="843"/>
      <c r="DI246" s="843"/>
      <c r="DJ246" s="843"/>
      <c r="DK246" s="843"/>
      <c r="DL246" s="843"/>
      <c r="DM246" s="843"/>
      <c r="DN246" s="843"/>
      <c r="DO246" s="843"/>
      <c r="DP246" s="843"/>
      <c r="DQ246" s="843"/>
      <c r="DR246" s="843"/>
      <c r="DS246" s="843"/>
      <c r="DT246" s="843"/>
      <c r="DU246" s="843"/>
      <c r="DV246" s="843"/>
      <c r="DW246" s="843"/>
      <c r="DX246" s="843"/>
      <c r="DY246" s="843"/>
      <c r="DZ246" s="843"/>
      <c r="EA246" s="843"/>
      <c r="EB246" s="843"/>
      <c r="EC246" s="843"/>
      <c r="ED246" s="843"/>
      <c r="EE246" s="843"/>
      <c r="EF246" s="843"/>
      <c r="EG246" s="843"/>
      <c r="EH246" s="843"/>
      <c r="EI246" s="843"/>
      <c r="EJ246" s="843"/>
      <c r="EK246" s="843"/>
      <c r="EL246" s="843"/>
      <c r="EM246" s="843"/>
      <c r="EN246" s="843"/>
      <c r="EO246" s="843"/>
      <c r="EP246" s="843"/>
      <c r="EQ246" s="843"/>
      <c r="ER246" s="843"/>
      <c r="ES246" s="843"/>
      <c r="ET246" s="843"/>
      <c r="EU246" s="843"/>
      <c r="EV246" s="843"/>
      <c r="EW246" s="843"/>
      <c r="EX246" s="843"/>
      <c r="EY246" s="843"/>
      <c r="EZ246" s="843"/>
      <c r="FA246" s="843"/>
      <c r="FB246" s="843"/>
      <c r="FC246" s="843"/>
      <c r="FD246" s="843"/>
      <c r="FE246" s="843"/>
      <c r="FF246" s="843"/>
      <c r="FG246" s="843"/>
      <c r="FH246" s="843"/>
      <c r="FI246" s="843"/>
      <c r="FJ246" s="843"/>
      <c r="FK246" s="843"/>
      <c r="FL246" s="843"/>
      <c r="FM246" s="843"/>
      <c r="FN246" s="843"/>
      <c r="FO246" s="843"/>
      <c r="FP246" s="843"/>
      <c r="FQ246" s="843"/>
      <c r="FR246" s="843"/>
      <c r="FS246" s="843"/>
      <c r="FT246" s="843"/>
      <c r="FU246" s="843"/>
      <c r="FV246" s="843"/>
      <c r="FW246" s="843"/>
      <c r="FX246" s="843"/>
      <c r="FY246" s="843"/>
      <c r="FZ246" s="843"/>
      <c r="GA246" s="843"/>
      <c r="GB246" s="843"/>
      <c r="GC246" s="843"/>
      <c r="GD246" s="843"/>
      <c r="GE246" s="843"/>
      <c r="GF246" s="843"/>
      <c r="GG246" s="843"/>
      <c r="GH246" s="843"/>
      <c r="GI246" s="843"/>
      <c r="GJ246" s="843"/>
      <c r="GK246" s="843"/>
      <c r="GL246" s="843"/>
      <c r="GM246" s="843"/>
      <c r="GN246" s="843"/>
      <c r="GO246" s="843"/>
      <c r="GP246" s="843"/>
      <c r="GQ246" s="843"/>
      <c r="GR246" s="843"/>
      <c r="GS246" s="843"/>
      <c r="GT246" s="843"/>
      <c r="GU246" s="843"/>
      <c r="GV246" s="843"/>
      <c r="GW246" s="843"/>
      <c r="GX246" s="843"/>
      <c r="GY246" s="843"/>
      <c r="GZ246" s="843"/>
      <c r="HA246" s="843"/>
      <c r="HB246" s="843"/>
      <c r="HC246" s="843"/>
      <c r="HD246" s="843"/>
      <c r="HE246" s="843"/>
      <c r="HF246" s="843"/>
      <c r="HG246" s="843"/>
      <c r="HH246" s="843"/>
      <c r="HI246" s="843"/>
      <c r="HJ246" s="843"/>
      <c r="HK246" s="843"/>
      <c r="HL246" s="843"/>
      <c r="HM246" s="843"/>
      <c r="HN246" s="843"/>
      <c r="HO246" s="843"/>
      <c r="HP246" s="843"/>
      <c r="HQ246" s="843"/>
      <c r="HR246" s="843"/>
      <c r="HS246" s="843"/>
      <c r="HT246" s="843"/>
      <c r="HU246" s="843"/>
      <c r="HV246" s="843"/>
      <c r="HW246" s="843"/>
      <c r="HX246" s="843"/>
      <c r="HY246" s="843"/>
      <c r="HZ246" s="843"/>
      <c r="IA246" s="843"/>
      <c r="IB246" s="843"/>
      <c r="IC246" s="843"/>
      <c r="ID246" s="843"/>
      <c r="IE246" s="843"/>
      <c r="IF246" s="843"/>
      <c r="IG246" s="843"/>
      <c r="IH246" s="843"/>
      <c r="II246" s="843"/>
      <c r="IJ246" s="843"/>
      <c r="IK246" s="843"/>
      <c r="IL246" s="843"/>
      <c r="IM246" s="843"/>
      <c r="IN246" s="843"/>
      <c r="IO246" s="843"/>
      <c r="IP246" s="843"/>
      <c r="IQ246" s="843"/>
      <c r="IR246" s="843"/>
      <c r="IS246" s="843"/>
      <c r="IT246" s="843"/>
      <c r="IU246" s="843"/>
      <c r="IV246" s="843"/>
      <c r="IW246" s="843"/>
      <c r="IX246" s="843"/>
      <c r="IY246" s="843"/>
      <c r="IZ246" s="843"/>
      <c r="JA246" s="843"/>
      <c r="JB246" s="843"/>
      <c r="JC246" s="843"/>
      <c r="JD246" s="843"/>
      <c r="JE246" s="843"/>
      <c r="JF246" s="843"/>
      <c r="JG246" s="843"/>
      <c r="JH246" s="843"/>
      <c r="JI246" s="843"/>
      <c r="JJ246" s="843"/>
      <c r="JK246" s="843"/>
      <c r="JL246" s="843"/>
      <c r="JM246" s="843"/>
      <c r="JN246" s="843"/>
      <c r="JO246" s="843"/>
      <c r="JP246" s="843"/>
      <c r="JQ246" s="843"/>
      <c r="JR246" s="843"/>
      <c r="JS246" s="843"/>
      <c r="JT246" s="843"/>
      <c r="JU246" s="843"/>
      <c r="JV246" s="843"/>
      <c r="JW246" s="843"/>
      <c r="JX246" s="843"/>
      <c r="JY246" s="843"/>
      <c r="JZ246" s="843"/>
      <c r="KA246" s="843"/>
      <c r="KB246" s="843"/>
      <c r="KC246" s="843"/>
      <c r="KD246" s="843"/>
      <c r="KE246" s="843"/>
      <c r="KF246" s="843"/>
      <c r="KG246" s="843"/>
      <c r="KH246" s="843"/>
      <c r="KI246" s="843"/>
      <c r="KJ246" s="843"/>
      <c r="KK246" s="843"/>
      <c r="KL246" s="843"/>
      <c r="KM246" s="843"/>
      <c r="KN246" s="843"/>
      <c r="KO246" s="843"/>
      <c r="KP246" s="843"/>
      <c r="KQ246" s="843"/>
      <c r="KR246" s="843"/>
      <c r="KS246" s="843"/>
      <c r="KT246" s="843"/>
      <c r="KU246" s="843"/>
      <c r="KV246" s="843"/>
      <c r="KW246" s="843"/>
      <c r="KX246" s="843"/>
      <c r="KY246" s="843"/>
      <c r="KZ246" s="843"/>
      <c r="LA246" s="843"/>
      <c r="LB246" s="843"/>
      <c r="LC246" s="843"/>
      <c r="LD246" s="843"/>
      <c r="LE246" s="843"/>
      <c r="LF246" s="843"/>
      <c r="LG246" s="843"/>
      <c r="LH246" s="843"/>
      <c r="LI246" s="843"/>
      <c r="LJ246" s="843"/>
      <c r="LK246" s="843"/>
      <c r="LL246" s="843"/>
      <c r="LM246" s="843"/>
      <c r="LN246" s="843"/>
      <c r="LO246" s="843"/>
      <c r="LP246" s="843"/>
      <c r="LQ246" s="843"/>
      <c r="LR246" s="843"/>
      <c r="LS246" s="843"/>
      <c r="LT246" s="843"/>
      <c r="LU246" s="843"/>
      <c r="LV246" s="843"/>
      <c r="LW246" s="843"/>
      <c r="LX246" s="843"/>
      <c r="LY246" s="843"/>
      <c r="LZ246" s="843"/>
      <c r="MA246" s="843"/>
      <c r="MB246" s="843"/>
      <c r="MC246" s="843"/>
      <c r="MD246" s="843"/>
      <c r="ME246" s="843"/>
      <c r="MF246" s="843"/>
      <c r="MG246" s="843"/>
      <c r="MH246" s="843"/>
      <c r="MI246" s="843"/>
      <c r="MJ246" s="843"/>
      <c r="MK246" s="843"/>
      <c r="ML246" s="843"/>
      <c r="MM246" s="843"/>
      <c r="MN246" s="843"/>
      <c r="MO246" s="843"/>
      <c r="MP246" s="843"/>
      <c r="MQ246" s="843"/>
      <c r="MR246" s="843"/>
      <c r="MS246" s="843"/>
      <c r="MT246" s="843"/>
      <c r="MU246" s="843"/>
      <c r="MV246" s="843"/>
      <c r="MW246" s="843"/>
      <c r="MX246" s="843"/>
      <c r="MY246" s="843"/>
      <c r="MZ246" s="843"/>
      <c r="NA246" s="843"/>
      <c r="NB246" s="843"/>
      <c r="NC246" s="843"/>
      <c r="ND246" s="843"/>
      <c r="NE246" s="843"/>
      <c r="NF246" s="843"/>
      <c r="NG246" s="843"/>
      <c r="NH246" s="843"/>
      <c r="NI246" s="843"/>
      <c r="NJ246" s="843"/>
      <c r="NK246" s="843"/>
      <c r="NL246" s="843"/>
      <c r="NM246" s="843"/>
      <c r="NN246" s="843"/>
      <c r="NO246" s="843"/>
      <c r="NP246" s="843"/>
      <c r="NQ246" s="843"/>
      <c r="NR246" s="843"/>
      <c r="NS246" s="843"/>
      <c r="NT246" s="843"/>
      <c r="NU246" s="843"/>
      <c r="NV246" s="843"/>
      <c r="NW246" s="843"/>
      <c r="NX246" s="843"/>
      <c r="NY246" s="843"/>
      <c r="NZ246" s="843"/>
      <c r="OA246" s="843"/>
      <c r="OB246" s="843"/>
      <c r="OC246" s="843"/>
      <c r="OD246" s="843"/>
      <c r="OE246" s="843"/>
      <c r="OF246" s="843"/>
      <c r="OG246" s="843"/>
      <c r="OH246" s="843"/>
      <c r="OI246" s="843"/>
      <c r="OJ246" s="843"/>
      <c r="OK246" s="843"/>
      <c r="OL246" s="843"/>
      <c r="OM246" s="843"/>
      <c r="ON246" s="843"/>
      <c r="OO246" s="843"/>
      <c r="OP246" s="843"/>
      <c r="OQ246" s="843"/>
      <c r="OR246" s="843"/>
      <c r="OS246" s="843"/>
      <c r="OT246" s="843"/>
      <c r="OU246" s="843"/>
      <c r="OV246" s="843"/>
      <c r="OW246" s="843"/>
      <c r="OX246" s="843"/>
      <c r="OY246" s="843"/>
      <c r="OZ246" s="843"/>
      <c r="PA246" s="843"/>
      <c r="PB246" s="843"/>
      <c r="PC246" s="843"/>
      <c r="PD246" s="843"/>
      <c r="PE246" s="843"/>
      <c r="PF246" s="843"/>
      <c r="PG246" s="843"/>
      <c r="PH246" s="843"/>
      <c r="PI246" s="843"/>
      <c r="PJ246" s="843"/>
      <c r="PK246" s="843"/>
      <c r="PL246" s="843"/>
      <c r="PM246" s="843"/>
      <c r="PN246" s="843"/>
      <c r="PO246" s="843"/>
      <c r="PP246" s="843"/>
      <c r="PQ246" s="843"/>
      <c r="PR246" s="843"/>
      <c r="PS246" s="843"/>
      <c r="PT246" s="843"/>
      <c r="PU246" s="843"/>
      <c r="PV246" s="843"/>
      <c r="PW246" s="843"/>
      <c r="PX246" s="843"/>
      <c r="PY246" s="843"/>
      <c r="PZ246" s="843"/>
      <c r="QA246" s="843"/>
      <c r="QB246" s="843"/>
      <c r="QC246" s="843"/>
      <c r="QD246" s="843"/>
      <c r="QE246" s="843"/>
      <c r="QF246" s="843"/>
      <c r="QG246" s="843"/>
      <c r="QH246" s="843"/>
      <c r="QI246" s="843"/>
      <c r="QJ246" s="843"/>
      <c r="QK246" s="843"/>
      <c r="QL246" s="843"/>
      <c r="QM246" s="843"/>
      <c r="QN246" s="843"/>
      <c r="QO246" s="843"/>
      <c r="QP246" s="843"/>
      <c r="QQ246" s="843"/>
      <c r="QR246" s="843"/>
      <c r="QS246" s="843"/>
      <c r="QT246" s="843"/>
      <c r="QU246" s="843"/>
      <c r="QV246" s="843"/>
      <c r="QW246" s="843"/>
      <c r="QX246" s="843"/>
      <c r="QY246" s="843"/>
      <c r="QZ246" s="843"/>
      <c r="RA246" s="843"/>
      <c r="RB246" s="843"/>
      <c r="RC246" s="843"/>
      <c r="RD246" s="843"/>
      <c r="RE246" s="843"/>
      <c r="RF246" s="843"/>
      <c r="RG246" s="843"/>
      <c r="RH246" s="843"/>
      <c r="RI246" s="843"/>
      <c r="RJ246" s="843"/>
      <c r="RK246" s="843"/>
      <c r="RL246" s="843"/>
      <c r="RM246" s="843"/>
      <c r="RN246" s="843"/>
      <c r="RO246" s="843"/>
      <c r="RP246" s="843"/>
      <c r="RQ246" s="843"/>
      <c r="RR246" s="843"/>
      <c r="RS246" s="843"/>
      <c r="RT246" s="843"/>
      <c r="RU246" s="843"/>
      <c r="RV246" s="843"/>
      <c r="RW246" s="843"/>
      <c r="RX246" s="843"/>
      <c r="RY246" s="843"/>
      <c r="RZ246" s="843"/>
      <c r="SA246" s="843"/>
      <c r="SB246" s="843"/>
      <c r="SC246" s="843"/>
      <c r="SD246" s="843"/>
      <c r="SE246" s="843"/>
      <c r="SF246" s="843"/>
      <c r="SG246" s="843"/>
      <c r="SH246" s="843"/>
      <c r="SI246" s="843"/>
      <c r="SJ246" s="843"/>
      <c r="SK246" s="843"/>
      <c r="SL246" s="843"/>
      <c r="SM246" s="843"/>
      <c r="SN246" s="843"/>
      <c r="SO246" s="843"/>
      <c r="SP246" s="843"/>
      <c r="SQ246" s="843"/>
      <c r="SR246" s="843"/>
      <c r="SS246" s="843"/>
      <c r="ST246" s="843"/>
      <c r="SU246" s="843"/>
      <c r="SV246" s="843"/>
      <c r="SW246" s="843"/>
      <c r="SX246" s="843"/>
      <c r="SY246" s="843"/>
      <c r="SZ246" s="843"/>
      <c r="TA246" s="843"/>
      <c r="TB246" s="843"/>
      <c r="TC246" s="843"/>
      <c r="TD246" s="843"/>
      <c r="TE246" s="843"/>
      <c r="TF246" s="843"/>
      <c r="TG246" s="843"/>
      <c r="TH246" s="843"/>
      <c r="TI246" s="843"/>
      <c r="TJ246" s="843"/>
      <c r="TK246" s="843"/>
      <c r="TL246" s="843"/>
      <c r="TM246" s="843"/>
      <c r="TN246" s="843"/>
      <c r="TO246" s="843"/>
      <c r="TP246" s="843"/>
      <c r="TQ246" s="843"/>
      <c r="TR246" s="843"/>
      <c r="TS246" s="843"/>
      <c r="TT246" s="843"/>
      <c r="TU246" s="843"/>
      <c r="TV246" s="843"/>
      <c r="TW246" s="843"/>
      <c r="TX246" s="843"/>
      <c r="TY246" s="843"/>
      <c r="TZ246" s="843"/>
      <c r="UA246" s="843"/>
      <c r="UB246" s="843"/>
      <c r="UC246" s="843"/>
      <c r="UD246" s="843"/>
      <c r="UE246" s="843"/>
      <c r="UF246" s="843"/>
      <c r="UG246" s="843"/>
      <c r="UH246" s="843"/>
      <c r="UI246" s="843"/>
      <c r="UJ246" s="843"/>
      <c r="UK246" s="843"/>
      <c r="UL246" s="843"/>
      <c r="UM246" s="843"/>
      <c r="UN246" s="843"/>
      <c r="UO246" s="843"/>
      <c r="UP246" s="843"/>
      <c r="UQ246" s="843"/>
      <c r="UR246" s="843"/>
      <c r="US246" s="843"/>
      <c r="UT246" s="843"/>
      <c r="UU246" s="843"/>
      <c r="UV246" s="843"/>
      <c r="UW246" s="843"/>
      <c r="UX246" s="843"/>
      <c r="UY246" s="843"/>
      <c r="UZ246" s="843"/>
      <c r="VA246" s="843"/>
      <c r="VB246" s="843"/>
      <c r="VC246" s="843"/>
      <c r="VD246" s="843"/>
      <c r="VE246" s="843"/>
      <c r="VF246" s="843"/>
      <c r="VG246" s="843"/>
      <c r="VH246" s="843"/>
      <c r="VI246" s="843"/>
      <c r="VJ246" s="843"/>
      <c r="VK246" s="843"/>
      <c r="VL246" s="843"/>
      <c r="VM246" s="843"/>
      <c r="VN246" s="843"/>
      <c r="VO246" s="843"/>
      <c r="VP246" s="843"/>
      <c r="VQ246" s="843"/>
      <c r="VR246" s="843"/>
      <c r="VS246" s="843"/>
      <c r="VT246" s="843"/>
      <c r="VU246" s="843"/>
      <c r="VV246" s="843"/>
      <c r="VW246" s="843"/>
      <c r="VX246" s="843"/>
      <c r="VY246" s="843"/>
      <c r="VZ246" s="843"/>
      <c r="WA246" s="843"/>
      <c r="WB246" s="843"/>
      <c r="WC246" s="843"/>
      <c r="WD246" s="843"/>
      <c r="WE246" s="843"/>
      <c r="WF246" s="843"/>
      <c r="WG246" s="843"/>
      <c r="WH246" s="843"/>
      <c r="WI246" s="843"/>
      <c r="WJ246" s="843"/>
      <c r="WK246" s="843"/>
      <c r="WL246" s="843"/>
      <c r="WM246" s="843"/>
      <c r="WN246" s="843"/>
      <c r="WO246" s="843"/>
      <c r="WP246" s="843"/>
      <c r="WQ246" s="843"/>
      <c r="WR246" s="843"/>
      <c r="WS246" s="843"/>
      <c r="WT246" s="843"/>
      <c r="WU246" s="843"/>
      <c r="WV246" s="843"/>
      <c r="WW246" s="843"/>
      <c r="WX246" s="843"/>
      <c r="WY246" s="843"/>
      <c r="WZ246" s="843"/>
      <c r="XA246" s="843"/>
      <c r="XB246" s="843"/>
      <c r="XC246" s="843"/>
      <c r="XD246" s="843"/>
      <c r="XE246" s="843"/>
      <c r="XF246" s="843"/>
      <c r="XG246" s="843"/>
      <c r="XH246" s="843"/>
      <c r="XI246" s="843"/>
      <c r="XJ246" s="843"/>
      <c r="XK246" s="843"/>
      <c r="XL246" s="843"/>
      <c r="XM246" s="843"/>
      <c r="XN246" s="843"/>
      <c r="XO246" s="843"/>
      <c r="XP246" s="843"/>
      <c r="XQ246" s="843"/>
      <c r="XR246" s="843"/>
      <c r="XS246" s="843"/>
      <c r="XT246" s="843"/>
      <c r="XU246" s="843"/>
      <c r="XV246" s="843"/>
      <c r="XW246" s="843"/>
      <c r="XX246" s="843"/>
      <c r="XY246" s="843"/>
      <c r="XZ246" s="843"/>
      <c r="YA246" s="843"/>
      <c r="YB246" s="843"/>
      <c r="YC246" s="843"/>
      <c r="YD246" s="843"/>
      <c r="YE246" s="843"/>
      <c r="YF246" s="843"/>
      <c r="YG246" s="843"/>
      <c r="YH246" s="843"/>
      <c r="YI246" s="843"/>
      <c r="YJ246" s="843"/>
      <c r="YK246" s="843"/>
      <c r="YL246" s="843"/>
      <c r="YM246" s="843"/>
      <c r="YN246" s="843"/>
      <c r="YO246" s="843"/>
      <c r="YP246" s="843"/>
      <c r="YQ246" s="843"/>
      <c r="YR246" s="843"/>
      <c r="YS246" s="843"/>
      <c r="YT246" s="843"/>
      <c r="YU246" s="843"/>
      <c r="YV246" s="843"/>
      <c r="YW246" s="843"/>
      <c r="YX246" s="843"/>
      <c r="YY246" s="843"/>
      <c r="YZ246" s="843"/>
      <c r="ZA246" s="843"/>
      <c r="ZB246" s="843"/>
      <c r="ZC246" s="843"/>
      <c r="ZD246" s="843"/>
      <c r="ZE246" s="843"/>
      <c r="ZF246" s="843"/>
      <c r="ZG246" s="843"/>
      <c r="ZH246" s="843"/>
      <c r="ZI246" s="843"/>
      <c r="ZJ246" s="843"/>
      <c r="ZK246" s="843"/>
      <c r="ZL246" s="843"/>
      <c r="ZM246" s="843"/>
      <c r="ZN246" s="843"/>
      <c r="ZO246" s="843"/>
      <c r="ZP246" s="843"/>
      <c r="ZQ246" s="843"/>
      <c r="ZR246" s="843"/>
      <c r="ZS246" s="843"/>
      <c r="ZT246" s="843"/>
      <c r="ZU246" s="843"/>
      <c r="ZV246" s="843"/>
      <c r="ZW246" s="843"/>
      <c r="ZX246" s="843"/>
      <c r="ZY246" s="843"/>
      <c r="ZZ246" s="843"/>
      <c r="AAA246" s="843"/>
      <c r="AAB246" s="843"/>
      <c r="AAC246" s="843"/>
      <c r="AAD246" s="843"/>
      <c r="AAE246" s="843"/>
      <c r="AAF246" s="843"/>
      <c r="AAG246" s="843"/>
      <c r="AAH246" s="843"/>
      <c r="AAI246" s="843"/>
      <c r="AAJ246" s="843"/>
      <c r="AAK246" s="843"/>
      <c r="AAL246" s="843"/>
      <c r="AAM246" s="843"/>
      <c r="AAN246" s="843"/>
      <c r="AAO246" s="843"/>
      <c r="AAP246" s="843"/>
      <c r="AAQ246" s="843"/>
      <c r="AAR246" s="843"/>
      <c r="AAS246" s="843"/>
      <c r="AAT246" s="843"/>
      <c r="AAU246" s="843"/>
      <c r="AAV246" s="843"/>
      <c r="AAW246" s="843"/>
      <c r="AAX246" s="843"/>
      <c r="AAY246" s="843"/>
      <c r="AAZ246" s="843"/>
      <c r="ABA246" s="843"/>
      <c r="ABB246" s="843"/>
      <c r="ABC246" s="843"/>
      <c r="ABD246" s="843"/>
      <c r="ABE246" s="843"/>
      <c r="ABF246" s="843"/>
      <c r="ABG246" s="843"/>
      <c r="ABH246" s="843"/>
      <c r="ABI246" s="843"/>
      <c r="ABJ246" s="843"/>
      <c r="ABK246" s="843"/>
      <c r="ABL246" s="843"/>
      <c r="ABM246" s="843"/>
      <c r="ABN246" s="843"/>
      <c r="ABO246" s="843"/>
      <c r="ABP246" s="843"/>
      <c r="ABQ246" s="843"/>
      <c r="ABR246" s="843"/>
      <c r="ABS246" s="843"/>
      <c r="ABT246" s="843"/>
      <c r="ABU246" s="843"/>
      <c r="ABV246" s="843"/>
      <c r="ABW246" s="843"/>
      <c r="ABX246" s="843"/>
      <c r="ABY246" s="843"/>
      <c r="ABZ246" s="843"/>
      <c r="ACA246" s="843"/>
      <c r="ACB246" s="843"/>
      <c r="ACC246" s="843"/>
      <c r="ACD246" s="843"/>
      <c r="ACE246" s="843"/>
      <c r="ACF246" s="843"/>
      <c r="ACG246" s="843"/>
      <c r="ACH246" s="843"/>
      <c r="ACI246" s="843"/>
      <c r="ACJ246" s="843"/>
      <c r="ACK246" s="843"/>
      <c r="ACL246" s="843"/>
      <c r="ACM246" s="843"/>
      <c r="ACN246" s="843"/>
      <c r="ACO246" s="843"/>
      <c r="ACP246" s="843"/>
      <c r="ACQ246" s="843"/>
      <c r="ACR246" s="843"/>
      <c r="ACS246" s="843"/>
      <c r="ACT246" s="843"/>
      <c r="ACU246" s="843"/>
      <c r="ACV246" s="843"/>
      <c r="ACW246" s="843"/>
      <c r="ACX246" s="843"/>
      <c r="ACY246" s="843"/>
      <c r="ACZ246" s="843"/>
      <c r="ADA246" s="843"/>
      <c r="ADB246" s="843"/>
      <c r="ADC246" s="843"/>
      <c r="ADD246" s="843"/>
      <c r="ADE246" s="843"/>
      <c r="ADF246" s="843"/>
      <c r="ADG246" s="843"/>
      <c r="ADH246" s="843"/>
      <c r="ADI246" s="843"/>
      <c r="ADJ246" s="843"/>
      <c r="ADK246" s="843"/>
      <c r="ADL246" s="843"/>
      <c r="ADM246" s="843"/>
      <c r="ADN246" s="843"/>
      <c r="ADO246" s="843"/>
      <c r="ADP246" s="843"/>
      <c r="ADQ246" s="843"/>
      <c r="ADR246" s="843"/>
      <c r="ADS246" s="843"/>
      <c r="ADT246" s="843"/>
      <c r="ADU246" s="843"/>
      <c r="ADV246" s="843"/>
      <c r="ADW246" s="843"/>
      <c r="ADX246" s="843"/>
      <c r="ADY246" s="843"/>
      <c r="ADZ246" s="843"/>
      <c r="AEA246" s="843"/>
      <c r="AEB246" s="843"/>
      <c r="AEC246" s="843"/>
      <c r="AED246" s="843"/>
      <c r="AEE246" s="843"/>
      <c r="AEF246" s="843"/>
      <c r="AEG246" s="843"/>
      <c r="AEH246" s="843"/>
      <c r="AEI246" s="843"/>
      <c r="AEJ246" s="843"/>
      <c r="AEK246" s="843"/>
      <c r="AEL246" s="843"/>
      <c r="AEM246" s="843"/>
      <c r="AEN246" s="843"/>
      <c r="AEO246" s="843"/>
      <c r="AEP246" s="843"/>
      <c r="AEQ246" s="843"/>
      <c r="AER246" s="843"/>
      <c r="AES246" s="843"/>
      <c r="AET246" s="843"/>
      <c r="AEU246" s="843"/>
      <c r="AEV246" s="843"/>
      <c r="AEW246" s="843"/>
      <c r="AEX246" s="843"/>
      <c r="AEY246" s="843"/>
      <c r="AEZ246" s="843"/>
      <c r="AFA246" s="843"/>
      <c r="AFB246" s="843"/>
      <c r="AFC246" s="843"/>
      <c r="AFD246" s="843"/>
      <c r="AFE246" s="843"/>
      <c r="AFF246" s="843"/>
      <c r="AFG246" s="843"/>
      <c r="AFH246" s="843"/>
      <c r="AFI246" s="843"/>
      <c r="AFJ246" s="843"/>
      <c r="AFK246" s="843"/>
      <c r="AFL246" s="843"/>
      <c r="AFM246" s="843"/>
      <c r="AFN246" s="843"/>
      <c r="AFO246" s="843"/>
      <c r="AFP246" s="843"/>
      <c r="AFQ246" s="843"/>
      <c r="AFR246" s="843"/>
      <c r="AFS246" s="843"/>
      <c r="AFT246" s="843"/>
      <c r="AFU246" s="843"/>
      <c r="AFV246" s="843"/>
      <c r="AFW246" s="843"/>
      <c r="AFX246" s="843"/>
      <c r="AFY246" s="843"/>
      <c r="AFZ246" s="843"/>
      <c r="AGA246" s="843"/>
      <c r="AGB246" s="843"/>
      <c r="AGC246" s="843"/>
      <c r="AGD246" s="843"/>
      <c r="AGE246" s="843"/>
      <c r="AGF246" s="843"/>
      <c r="AGG246" s="843"/>
      <c r="AGH246" s="843"/>
      <c r="AGI246" s="843"/>
      <c r="AGJ246" s="843"/>
    </row>
    <row r="247" spans="1:868" s="844" customFormat="1" hidden="1">
      <c r="A247" s="152" t="s">
        <v>200</v>
      </c>
      <c r="B247" s="34" t="s">
        <v>204</v>
      </c>
      <c r="C247" s="40" t="s">
        <v>139</v>
      </c>
      <c r="D247" s="34" t="s">
        <v>139</v>
      </c>
      <c r="E247" s="260">
        <v>2.7E-4</v>
      </c>
      <c r="F247" s="235">
        <v>2</v>
      </c>
      <c r="G247" s="40" t="s">
        <v>205</v>
      </c>
      <c r="H247" s="29">
        <v>1</v>
      </c>
      <c r="I247" s="9">
        <v>2</v>
      </c>
      <c r="J247" s="9">
        <v>1</v>
      </c>
      <c r="K247" s="9">
        <v>3</v>
      </c>
      <c r="L247" s="9">
        <v>3</v>
      </c>
      <c r="M247" s="9">
        <v>3</v>
      </c>
      <c r="N247" s="186">
        <f t="shared" si="17"/>
        <v>1.1181151966036349</v>
      </c>
      <c r="O247" s="160">
        <f t="shared" ref="O247:O276" si="18">IF( OR( ISBLANK(I247),ISBLANK(J247), ISBLANK(K247), ISBLANK(L247), ISBLANK(M247) ), "", 1.5*SQRT( EXP(2.21*(I247-1)) + EXP(2.21*(J247-1)) + EXP(2.21*(K247-1)) + EXP(2.21*(L247-1)) + EXP(2.21*M247)   )/100*2.45 )</f>
        <v>1.123005955058592</v>
      </c>
      <c r="P247" s="63"/>
      <c r="Q247" s="843"/>
      <c r="R247" s="843"/>
      <c r="S247" s="843"/>
      <c r="T247" s="843"/>
      <c r="U247" s="843"/>
      <c r="V247" s="843"/>
      <c r="W247" s="843"/>
      <c r="X247" s="843"/>
      <c r="Y247" s="843"/>
      <c r="Z247" s="843"/>
      <c r="AA247" s="843"/>
      <c r="AB247" s="843"/>
      <c r="AC247" s="843"/>
      <c r="AD247" s="843"/>
      <c r="AE247" s="843"/>
      <c r="AF247" s="843"/>
      <c r="AG247" s="843"/>
      <c r="AH247" s="843"/>
      <c r="AI247" s="843"/>
      <c r="AJ247" s="843"/>
      <c r="AK247" s="843"/>
      <c r="AL247" s="843"/>
      <c r="AM247" s="843"/>
      <c r="AN247" s="843"/>
      <c r="AO247" s="843"/>
      <c r="AP247" s="843"/>
      <c r="AQ247" s="843"/>
      <c r="AR247" s="843"/>
      <c r="AS247" s="843"/>
      <c r="AT247" s="843"/>
      <c r="AU247" s="843"/>
      <c r="AV247" s="843"/>
      <c r="AW247" s="843"/>
      <c r="AX247" s="843"/>
      <c r="AY247" s="843"/>
      <c r="AZ247" s="843"/>
      <c r="BA247" s="843"/>
      <c r="BB247" s="843"/>
      <c r="BC247" s="843"/>
      <c r="BD247" s="843"/>
      <c r="BE247" s="843"/>
      <c r="BF247" s="843"/>
      <c r="BG247" s="843"/>
      <c r="BH247" s="843"/>
      <c r="BI247" s="843"/>
      <c r="BJ247" s="843"/>
      <c r="BK247" s="843"/>
      <c r="BL247" s="843"/>
      <c r="BM247" s="843"/>
      <c r="BN247" s="843"/>
      <c r="BO247" s="843"/>
      <c r="BP247" s="843"/>
      <c r="BQ247" s="843"/>
      <c r="BR247" s="843"/>
      <c r="BS247" s="843"/>
      <c r="BT247" s="843"/>
      <c r="BU247" s="843"/>
      <c r="BV247" s="843"/>
      <c r="BW247" s="843"/>
      <c r="BX247" s="843"/>
      <c r="BY247" s="843"/>
      <c r="BZ247" s="843"/>
      <c r="CA247" s="843"/>
      <c r="CB247" s="843"/>
      <c r="CC247" s="843"/>
      <c r="CD247" s="843"/>
      <c r="CE247" s="843"/>
      <c r="CF247" s="843"/>
      <c r="CG247" s="843"/>
      <c r="CH247" s="843"/>
      <c r="CI247" s="843"/>
      <c r="CJ247" s="843"/>
      <c r="CK247" s="843"/>
      <c r="CL247" s="843"/>
      <c r="CM247" s="843"/>
      <c r="CN247" s="843"/>
      <c r="CO247" s="843"/>
      <c r="CP247" s="843"/>
      <c r="CQ247" s="843"/>
      <c r="CR247" s="843"/>
      <c r="CS247" s="843"/>
      <c r="CT247" s="843"/>
      <c r="CU247" s="843"/>
      <c r="CV247" s="843"/>
      <c r="CW247" s="843"/>
      <c r="CX247" s="843"/>
      <c r="CY247" s="843"/>
      <c r="CZ247" s="843"/>
      <c r="DA247" s="843"/>
      <c r="DB247" s="843"/>
      <c r="DC247" s="843"/>
      <c r="DD247" s="843"/>
      <c r="DE247" s="843"/>
      <c r="DF247" s="843"/>
      <c r="DG247" s="843"/>
      <c r="DH247" s="843"/>
      <c r="DI247" s="843"/>
      <c r="DJ247" s="843"/>
      <c r="DK247" s="843"/>
      <c r="DL247" s="843"/>
      <c r="DM247" s="843"/>
      <c r="DN247" s="843"/>
      <c r="DO247" s="843"/>
      <c r="DP247" s="843"/>
      <c r="DQ247" s="843"/>
      <c r="DR247" s="843"/>
      <c r="DS247" s="843"/>
      <c r="DT247" s="843"/>
      <c r="DU247" s="843"/>
      <c r="DV247" s="843"/>
      <c r="DW247" s="843"/>
      <c r="DX247" s="843"/>
      <c r="DY247" s="843"/>
      <c r="DZ247" s="843"/>
      <c r="EA247" s="843"/>
      <c r="EB247" s="843"/>
      <c r="EC247" s="843"/>
      <c r="ED247" s="843"/>
      <c r="EE247" s="843"/>
      <c r="EF247" s="843"/>
      <c r="EG247" s="843"/>
      <c r="EH247" s="843"/>
      <c r="EI247" s="843"/>
      <c r="EJ247" s="843"/>
      <c r="EK247" s="843"/>
      <c r="EL247" s="843"/>
      <c r="EM247" s="843"/>
      <c r="EN247" s="843"/>
      <c r="EO247" s="843"/>
      <c r="EP247" s="843"/>
      <c r="EQ247" s="843"/>
      <c r="ER247" s="843"/>
      <c r="ES247" s="843"/>
      <c r="ET247" s="843"/>
      <c r="EU247" s="843"/>
      <c r="EV247" s="843"/>
      <c r="EW247" s="843"/>
      <c r="EX247" s="843"/>
      <c r="EY247" s="843"/>
      <c r="EZ247" s="843"/>
      <c r="FA247" s="843"/>
      <c r="FB247" s="843"/>
      <c r="FC247" s="843"/>
      <c r="FD247" s="843"/>
      <c r="FE247" s="843"/>
      <c r="FF247" s="843"/>
      <c r="FG247" s="843"/>
      <c r="FH247" s="843"/>
      <c r="FI247" s="843"/>
      <c r="FJ247" s="843"/>
      <c r="FK247" s="843"/>
      <c r="FL247" s="843"/>
      <c r="FM247" s="843"/>
      <c r="FN247" s="843"/>
      <c r="FO247" s="843"/>
      <c r="FP247" s="843"/>
      <c r="FQ247" s="843"/>
      <c r="FR247" s="843"/>
      <c r="FS247" s="843"/>
      <c r="FT247" s="843"/>
      <c r="FU247" s="843"/>
      <c r="FV247" s="843"/>
      <c r="FW247" s="843"/>
      <c r="FX247" s="843"/>
      <c r="FY247" s="843"/>
      <c r="FZ247" s="843"/>
      <c r="GA247" s="843"/>
      <c r="GB247" s="843"/>
      <c r="GC247" s="843"/>
      <c r="GD247" s="843"/>
      <c r="GE247" s="843"/>
      <c r="GF247" s="843"/>
      <c r="GG247" s="843"/>
      <c r="GH247" s="843"/>
      <c r="GI247" s="843"/>
      <c r="GJ247" s="843"/>
      <c r="GK247" s="843"/>
      <c r="GL247" s="843"/>
      <c r="GM247" s="843"/>
      <c r="GN247" s="843"/>
      <c r="GO247" s="843"/>
      <c r="GP247" s="843"/>
      <c r="GQ247" s="843"/>
      <c r="GR247" s="843"/>
      <c r="GS247" s="843"/>
      <c r="GT247" s="843"/>
      <c r="GU247" s="843"/>
      <c r="GV247" s="843"/>
      <c r="GW247" s="843"/>
      <c r="GX247" s="843"/>
      <c r="GY247" s="843"/>
      <c r="GZ247" s="843"/>
      <c r="HA247" s="843"/>
      <c r="HB247" s="843"/>
      <c r="HC247" s="843"/>
      <c r="HD247" s="843"/>
      <c r="HE247" s="843"/>
      <c r="HF247" s="843"/>
      <c r="HG247" s="843"/>
      <c r="HH247" s="843"/>
      <c r="HI247" s="843"/>
      <c r="HJ247" s="843"/>
      <c r="HK247" s="843"/>
      <c r="HL247" s="843"/>
      <c r="HM247" s="843"/>
      <c r="HN247" s="843"/>
      <c r="HO247" s="843"/>
      <c r="HP247" s="843"/>
      <c r="HQ247" s="843"/>
      <c r="HR247" s="843"/>
      <c r="HS247" s="843"/>
      <c r="HT247" s="843"/>
      <c r="HU247" s="843"/>
      <c r="HV247" s="843"/>
      <c r="HW247" s="843"/>
      <c r="HX247" s="843"/>
      <c r="HY247" s="843"/>
      <c r="HZ247" s="843"/>
      <c r="IA247" s="843"/>
      <c r="IB247" s="843"/>
      <c r="IC247" s="843"/>
      <c r="ID247" s="843"/>
      <c r="IE247" s="843"/>
      <c r="IF247" s="843"/>
      <c r="IG247" s="843"/>
      <c r="IH247" s="843"/>
      <c r="II247" s="843"/>
      <c r="IJ247" s="843"/>
      <c r="IK247" s="843"/>
      <c r="IL247" s="843"/>
      <c r="IM247" s="843"/>
      <c r="IN247" s="843"/>
      <c r="IO247" s="843"/>
      <c r="IP247" s="843"/>
      <c r="IQ247" s="843"/>
      <c r="IR247" s="843"/>
      <c r="IS247" s="843"/>
      <c r="IT247" s="843"/>
      <c r="IU247" s="843"/>
      <c r="IV247" s="843"/>
      <c r="IW247" s="843"/>
      <c r="IX247" s="843"/>
      <c r="IY247" s="843"/>
      <c r="IZ247" s="843"/>
      <c r="JA247" s="843"/>
      <c r="JB247" s="843"/>
      <c r="JC247" s="843"/>
      <c r="JD247" s="843"/>
      <c r="JE247" s="843"/>
      <c r="JF247" s="843"/>
      <c r="JG247" s="843"/>
      <c r="JH247" s="843"/>
      <c r="JI247" s="843"/>
      <c r="JJ247" s="843"/>
      <c r="JK247" s="843"/>
      <c r="JL247" s="843"/>
      <c r="JM247" s="843"/>
      <c r="JN247" s="843"/>
      <c r="JO247" s="843"/>
      <c r="JP247" s="843"/>
      <c r="JQ247" s="843"/>
      <c r="JR247" s="843"/>
      <c r="JS247" s="843"/>
      <c r="JT247" s="843"/>
      <c r="JU247" s="843"/>
      <c r="JV247" s="843"/>
      <c r="JW247" s="843"/>
      <c r="JX247" s="843"/>
      <c r="JY247" s="843"/>
      <c r="JZ247" s="843"/>
      <c r="KA247" s="843"/>
      <c r="KB247" s="843"/>
      <c r="KC247" s="843"/>
      <c r="KD247" s="843"/>
      <c r="KE247" s="843"/>
      <c r="KF247" s="843"/>
      <c r="KG247" s="843"/>
      <c r="KH247" s="843"/>
      <c r="KI247" s="843"/>
      <c r="KJ247" s="843"/>
      <c r="KK247" s="843"/>
      <c r="KL247" s="843"/>
      <c r="KM247" s="843"/>
      <c r="KN247" s="843"/>
      <c r="KO247" s="843"/>
      <c r="KP247" s="843"/>
      <c r="KQ247" s="843"/>
      <c r="KR247" s="843"/>
      <c r="KS247" s="843"/>
      <c r="KT247" s="843"/>
      <c r="KU247" s="843"/>
      <c r="KV247" s="843"/>
      <c r="KW247" s="843"/>
      <c r="KX247" s="843"/>
      <c r="KY247" s="843"/>
      <c r="KZ247" s="843"/>
      <c r="LA247" s="843"/>
      <c r="LB247" s="843"/>
      <c r="LC247" s="843"/>
      <c r="LD247" s="843"/>
      <c r="LE247" s="843"/>
      <c r="LF247" s="843"/>
      <c r="LG247" s="843"/>
      <c r="LH247" s="843"/>
      <c r="LI247" s="843"/>
      <c r="LJ247" s="843"/>
      <c r="LK247" s="843"/>
      <c r="LL247" s="843"/>
      <c r="LM247" s="843"/>
      <c r="LN247" s="843"/>
      <c r="LO247" s="843"/>
      <c r="LP247" s="843"/>
      <c r="LQ247" s="843"/>
      <c r="LR247" s="843"/>
      <c r="LS247" s="843"/>
      <c r="LT247" s="843"/>
      <c r="LU247" s="843"/>
      <c r="LV247" s="843"/>
      <c r="LW247" s="843"/>
      <c r="LX247" s="843"/>
      <c r="LY247" s="843"/>
      <c r="LZ247" s="843"/>
      <c r="MA247" s="843"/>
      <c r="MB247" s="843"/>
      <c r="MC247" s="843"/>
      <c r="MD247" s="843"/>
      <c r="ME247" s="843"/>
      <c r="MF247" s="843"/>
      <c r="MG247" s="843"/>
      <c r="MH247" s="843"/>
      <c r="MI247" s="843"/>
      <c r="MJ247" s="843"/>
      <c r="MK247" s="843"/>
      <c r="ML247" s="843"/>
      <c r="MM247" s="843"/>
      <c r="MN247" s="843"/>
      <c r="MO247" s="843"/>
      <c r="MP247" s="843"/>
      <c r="MQ247" s="843"/>
      <c r="MR247" s="843"/>
      <c r="MS247" s="843"/>
      <c r="MT247" s="843"/>
      <c r="MU247" s="843"/>
      <c r="MV247" s="843"/>
      <c r="MW247" s="843"/>
      <c r="MX247" s="843"/>
      <c r="MY247" s="843"/>
      <c r="MZ247" s="843"/>
      <c r="NA247" s="843"/>
      <c r="NB247" s="843"/>
      <c r="NC247" s="843"/>
      <c r="ND247" s="843"/>
      <c r="NE247" s="843"/>
      <c r="NF247" s="843"/>
      <c r="NG247" s="843"/>
      <c r="NH247" s="843"/>
      <c r="NI247" s="843"/>
      <c r="NJ247" s="843"/>
      <c r="NK247" s="843"/>
      <c r="NL247" s="843"/>
      <c r="NM247" s="843"/>
      <c r="NN247" s="843"/>
      <c r="NO247" s="843"/>
      <c r="NP247" s="843"/>
      <c r="NQ247" s="843"/>
      <c r="NR247" s="843"/>
      <c r="NS247" s="843"/>
      <c r="NT247" s="843"/>
      <c r="NU247" s="843"/>
      <c r="NV247" s="843"/>
      <c r="NW247" s="843"/>
      <c r="NX247" s="843"/>
      <c r="NY247" s="843"/>
      <c r="NZ247" s="843"/>
      <c r="OA247" s="843"/>
      <c r="OB247" s="843"/>
      <c r="OC247" s="843"/>
      <c r="OD247" s="843"/>
      <c r="OE247" s="843"/>
      <c r="OF247" s="843"/>
      <c r="OG247" s="843"/>
      <c r="OH247" s="843"/>
      <c r="OI247" s="843"/>
      <c r="OJ247" s="843"/>
      <c r="OK247" s="843"/>
      <c r="OL247" s="843"/>
      <c r="OM247" s="843"/>
      <c r="ON247" s="843"/>
      <c r="OO247" s="843"/>
      <c r="OP247" s="843"/>
      <c r="OQ247" s="843"/>
      <c r="OR247" s="843"/>
      <c r="OS247" s="843"/>
      <c r="OT247" s="843"/>
      <c r="OU247" s="843"/>
      <c r="OV247" s="843"/>
      <c r="OW247" s="843"/>
      <c r="OX247" s="843"/>
      <c r="OY247" s="843"/>
      <c r="OZ247" s="843"/>
      <c r="PA247" s="843"/>
      <c r="PB247" s="843"/>
      <c r="PC247" s="843"/>
      <c r="PD247" s="843"/>
      <c r="PE247" s="843"/>
      <c r="PF247" s="843"/>
      <c r="PG247" s="843"/>
      <c r="PH247" s="843"/>
      <c r="PI247" s="843"/>
      <c r="PJ247" s="843"/>
      <c r="PK247" s="843"/>
      <c r="PL247" s="843"/>
      <c r="PM247" s="843"/>
      <c r="PN247" s="843"/>
      <c r="PO247" s="843"/>
      <c r="PP247" s="843"/>
      <c r="PQ247" s="843"/>
      <c r="PR247" s="843"/>
      <c r="PS247" s="843"/>
      <c r="PT247" s="843"/>
      <c r="PU247" s="843"/>
      <c r="PV247" s="843"/>
      <c r="PW247" s="843"/>
      <c r="PX247" s="843"/>
      <c r="PY247" s="843"/>
      <c r="PZ247" s="843"/>
      <c r="QA247" s="843"/>
      <c r="QB247" s="843"/>
      <c r="QC247" s="843"/>
      <c r="QD247" s="843"/>
      <c r="QE247" s="843"/>
      <c r="QF247" s="843"/>
      <c r="QG247" s="843"/>
      <c r="QH247" s="843"/>
      <c r="QI247" s="843"/>
      <c r="QJ247" s="843"/>
      <c r="QK247" s="843"/>
      <c r="QL247" s="843"/>
      <c r="QM247" s="843"/>
      <c r="QN247" s="843"/>
      <c r="QO247" s="843"/>
      <c r="QP247" s="843"/>
      <c r="QQ247" s="843"/>
      <c r="QR247" s="843"/>
      <c r="QS247" s="843"/>
      <c r="QT247" s="843"/>
      <c r="QU247" s="843"/>
      <c r="QV247" s="843"/>
      <c r="QW247" s="843"/>
      <c r="QX247" s="843"/>
      <c r="QY247" s="843"/>
      <c r="QZ247" s="843"/>
      <c r="RA247" s="843"/>
      <c r="RB247" s="843"/>
      <c r="RC247" s="843"/>
      <c r="RD247" s="843"/>
      <c r="RE247" s="843"/>
      <c r="RF247" s="843"/>
      <c r="RG247" s="843"/>
      <c r="RH247" s="843"/>
      <c r="RI247" s="843"/>
      <c r="RJ247" s="843"/>
      <c r="RK247" s="843"/>
      <c r="RL247" s="843"/>
      <c r="RM247" s="843"/>
      <c r="RN247" s="843"/>
      <c r="RO247" s="843"/>
      <c r="RP247" s="843"/>
      <c r="RQ247" s="843"/>
      <c r="RR247" s="843"/>
      <c r="RS247" s="843"/>
      <c r="RT247" s="843"/>
      <c r="RU247" s="843"/>
      <c r="RV247" s="843"/>
      <c r="RW247" s="843"/>
      <c r="RX247" s="843"/>
      <c r="RY247" s="843"/>
      <c r="RZ247" s="843"/>
      <c r="SA247" s="843"/>
      <c r="SB247" s="843"/>
      <c r="SC247" s="843"/>
      <c r="SD247" s="843"/>
      <c r="SE247" s="843"/>
      <c r="SF247" s="843"/>
      <c r="SG247" s="843"/>
      <c r="SH247" s="843"/>
      <c r="SI247" s="843"/>
      <c r="SJ247" s="843"/>
      <c r="SK247" s="843"/>
      <c r="SL247" s="843"/>
      <c r="SM247" s="843"/>
      <c r="SN247" s="843"/>
      <c r="SO247" s="843"/>
      <c r="SP247" s="843"/>
      <c r="SQ247" s="843"/>
      <c r="SR247" s="843"/>
      <c r="SS247" s="843"/>
      <c r="ST247" s="843"/>
      <c r="SU247" s="843"/>
      <c r="SV247" s="843"/>
      <c r="SW247" s="843"/>
      <c r="SX247" s="843"/>
      <c r="SY247" s="843"/>
      <c r="SZ247" s="843"/>
      <c r="TA247" s="843"/>
      <c r="TB247" s="843"/>
      <c r="TC247" s="843"/>
      <c r="TD247" s="843"/>
      <c r="TE247" s="843"/>
      <c r="TF247" s="843"/>
      <c r="TG247" s="843"/>
      <c r="TH247" s="843"/>
      <c r="TI247" s="843"/>
      <c r="TJ247" s="843"/>
      <c r="TK247" s="843"/>
      <c r="TL247" s="843"/>
      <c r="TM247" s="843"/>
      <c r="TN247" s="843"/>
      <c r="TO247" s="843"/>
      <c r="TP247" s="843"/>
      <c r="TQ247" s="843"/>
      <c r="TR247" s="843"/>
      <c r="TS247" s="843"/>
      <c r="TT247" s="843"/>
      <c r="TU247" s="843"/>
      <c r="TV247" s="843"/>
      <c r="TW247" s="843"/>
      <c r="TX247" s="843"/>
      <c r="TY247" s="843"/>
      <c r="TZ247" s="843"/>
      <c r="UA247" s="843"/>
      <c r="UB247" s="843"/>
      <c r="UC247" s="843"/>
      <c r="UD247" s="843"/>
      <c r="UE247" s="843"/>
      <c r="UF247" s="843"/>
      <c r="UG247" s="843"/>
      <c r="UH247" s="843"/>
      <c r="UI247" s="843"/>
      <c r="UJ247" s="843"/>
      <c r="UK247" s="843"/>
      <c r="UL247" s="843"/>
      <c r="UM247" s="843"/>
      <c r="UN247" s="843"/>
      <c r="UO247" s="843"/>
      <c r="UP247" s="843"/>
      <c r="UQ247" s="843"/>
      <c r="UR247" s="843"/>
      <c r="US247" s="843"/>
      <c r="UT247" s="843"/>
      <c r="UU247" s="843"/>
      <c r="UV247" s="843"/>
      <c r="UW247" s="843"/>
      <c r="UX247" s="843"/>
      <c r="UY247" s="843"/>
      <c r="UZ247" s="843"/>
      <c r="VA247" s="843"/>
      <c r="VB247" s="843"/>
      <c r="VC247" s="843"/>
      <c r="VD247" s="843"/>
      <c r="VE247" s="843"/>
      <c r="VF247" s="843"/>
      <c r="VG247" s="843"/>
      <c r="VH247" s="843"/>
      <c r="VI247" s="843"/>
      <c r="VJ247" s="843"/>
      <c r="VK247" s="843"/>
      <c r="VL247" s="843"/>
      <c r="VM247" s="843"/>
      <c r="VN247" s="843"/>
      <c r="VO247" s="843"/>
      <c r="VP247" s="843"/>
      <c r="VQ247" s="843"/>
      <c r="VR247" s="843"/>
      <c r="VS247" s="843"/>
      <c r="VT247" s="843"/>
      <c r="VU247" s="843"/>
      <c r="VV247" s="843"/>
      <c r="VW247" s="843"/>
      <c r="VX247" s="843"/>
      <c r="VY247" s="843"/>
      <c r="VZ247" s="843"/>
      <c r="WA247" s="843"/>
      <c r="WB247" s="843"/>
      <c r="WC247" s="843"/>
      <c r="WD247" s="843"/>
      <c r="WE247" s="843"/>
      <c r="WF247" s="843"/>
      <c r="WG247" s="843"/>
      <c r="WH247" s="843"/>
      <c r="WI247" s="843"/>
      <c r="WJ247" s="843"/>
      <c r="WK247" s="843"/>
      <c r="WL247" s="843"/>
      <c r="WM247" s="843"/>
      <c r="WN247" s="843"/>
      <c r="WO247" s="843"/>
      <c r="WP247" s="843"/>
      <c r="WQ247" s="843"/>
      <c r="WR247" s="843"/>
      <c r="WS247" s="843"/>
      <c r="WT247" s="843"/>
      <c r="WU247" s="843"/>
      <c r="WV247" s="843"/>
      <c r="WW247" s="843"/>
      <c r="WX247" s="843"/>
      <c r="WY247" s="843"/>
      <c r="WZ247" s="843"/>
      <c r="XA247" s="843"/>
      <c r="XB247" s="843"/>
      <c r="XC247" s="843"/>
      <c r="XD247" s="843"/>
      <c r="XE247" s="843"/>
      <c r="XF247" s="843"/>
      <c r="XG247" s="843"/>
      <c r="XH247" s="843"/>
      <c r="XI247" s="843"/>
      <c r="XJ247" s="843"/>
      <c r="XK247" s="843"/>
      <c r="XL247" s="843"/>
      <c r="XM247" s="843"/>
      <c r="XN247" s="843"/>
      <c r="XO247" s="843"/>
      <c r="XP247" s="843"/>
      <c r="XQ247" s="843"/>
      <c r="XR247" s="843"/>
      <c r="XS247" s="843"/>
      <c r="XT247" s="843"/>
      <c r="XU247" s="843"/>
      <c r="XV247" s="843"/>
      <c r="XW247" s="843"/>
      <c r="XX247" s="843"/>
      <c r="XY247" s="843"/>
      <c r="XZ247" s="843"/>
      <c r="YA247" s="843"/>
      <c r="YB247" s="843"/>
      <c r="YC247" s="843"/>
      <c r="YD247" s="843"/>
      <c r="YE247" s="843"/>
      <c r="YF247" s="843"/>
      <c r="YG247" s="843"/>
      <c r="YH247" s="843"/>
      <c r="YI247" s="843"/>
      <c r="YJ247" s="843"/>
      <c r="YK247" s="843"/>
      <c r="YL247" s="843"/>
      <c r="YM247" s="843"/>
      <c r="YN247" s="843"/>
      <c r="YO247" s="843"/>
      <c r="YP247" s="843"/>
      <c r="YQ247" s="843"/>
      <c r="YR247" s="843"/>
      <c r="YS247" s="843"/>
      <c r="YT247" s="843"/>
      <c r="YU247" s="843"/>
      <c r="YV247" s="843"/>
      <c r="YW247" s="843"/>
      <c r="YX247" s="843"/>
      <c r="YY247" s="843"/>
      <c r="YZ247" s="843"/>
      <c r="ZA247" s="843"/>
      <c r="ZB247" s="843"/>
      <c r="ZC247" s="843"/>
      <c r="ZD247" s="843"/>
      <c r="ZE247" s="843"/>
      <c r="ZF247" s="843"/>
      <c r="ZG247" s="843"/>
      <c r="ZH247" s="843"/>
      <c r="ZI247" s="843"/>
      <c r="ZJ247" s="843"/>
      <c r="ZK247" s="843"/>
      <c r="ZL247" s="843"/>
      <c r="ZM247" s="843"/>
      <c r="ZN247" s="843"/>
      <c r="ZO247" s="843"/>
      <c r="ZP247" s="843"/>
      <c r="ZQ247" s="843"/>
      <c r="ZR247" s="843"/>
      <c r="ZS247" s="843"/>
      <c r="ZT247" s="843"/>
      <c r="ZU247" s="843"/>
      <c r="ZV247" s="843"/>
      <c r="ZW247" s="843"/>
      <c r="ZX247" s="843"/>
      <c r="ZY247" s="843"/>
      <c r="ZZ247" s="843"/>
      <c r="AAA247" s="843"/>
      <c r="AAB247" s="843"/>
      <c r="AAC247" s="843"/>
      <c r="AAD247" s="843"/>
      <c r="AAE247" s="843"/>
      <c r="AAF247" s="843"/>
      <c r="AAG247" s="843"/>
      <c r="AAH247" s="843"/>
      <c r="AAI247" s="843"/>
      <c r="AAJ247" s="843"/>
      <c r="AAK247" s="843"/>
      <c r="AAL247" s="843"/>
      <c r="AAM247" s="843"/>
      <c r="AAN247" s="843"/>
      <c r="AAO247" s="843"/>
      <c r="AAP247" s="843"/>
      <c r="AAQ247" s="843"/>
      <c r="AAR247" s="843"/>
      <c r="AAS247" s="843"/>
      <c r="AAT247" s="843"/>
      <c r="AAU247" s="843"/>
      <c r="AAV247" s="843"/>
      <c r="AAW247" s="843"/>
      <c r="AAX247" s="843"/>
      <c r="AAY247" s="843"/>
      <c r="AAZ247" s="843"/>
      <c r="ABA247" s="843"/>
      <c r="ABB247" s="843"/>
      <c r="ABC247" s="843"/>
      <c r="ABD247" s="843"/>
      <c r="ABE247" s="843"/>
      <c r="ABF247" s="843"/>
      <c r="ABG247" s="843"/>
      <c r="ABH247" s="843"/>
      <c r="ABI247" s="843"/>
      <c r="ABJ247" s="843"/>
      <c r="ABK247" s="843"/>
      <c r="ABL247" s="843"/>
      <c r="ABM247" s="843"/>
      <c r="ABN247" s="843"/>
      <c r="ABO247" s="843"/>
      <c r="ABP247" s="843"/>
      <c r="ABQ247" s="843"/>
      <c r="ABR247" s="843"/>
      <c r="ABS247" s="843"/>
      <c r="ABT247" s="843"/>
      <c r="ABU247" s="843"/>
      <c r="ABV247" s="843"/>
      <c r="ABW247" s="843"/>
      <c r="ABX247" s="843"/>
      <c r="ABY247" s="843"/>
      <c r="ABZ247" s="843"/>
      <c r="ACA247" s="843"/>
      <c r="ACB247" s="843"/>
      <c r="ACC247" s="843"/>
      <c r="ACD247" s="843"/>
      <c r="ACE247" s="843"/>
      <c r="ACF247" s="843"/>
      <c r="ACG247" s="843"/>
      <c r="ACH247" s="843"/>
      <c r="ACI247" s="843"/>
      <c r="ACJ247" s="843"/>
      <c r="ACK247" s="843"/>
      <c r="ACL247" s="843"/>
      <c r="ACM247" s="843"/>
      <c r="ACN247" s="843"/>
      <c r="ACO247" s="843"/>
      <c r="ACP247" s="843"/>
      <c r="ACQ247" s="843"/>
      <c r="ACR247" s="843"/>
      <c r="ACS247" s="843"/>
      <c r="ACT247" s="843"/>
      <c r="ACU247" s="843"/>
      <c r="ACV247" s="843"/>
      <c r="ACW247" s="843"/>
      <c r="ACX247" s="843"/>
      <c r="ACY247" s="843"/>
      <c r="ACZ247" s="843"/>
      <c r="ADA247" s="843"/>
      <c r="ADB247" s="843"/>
      <c r="ADC247" s="843"/>
      <c r="ADD247" s="843"/>
      <c r="ADE247" s="843"/>
      <c r="ADF247" s="843"/>
      <c r="ADG247" s="843"/>
      <c r="ADH247" s="843"/>
      <c r="ADI247" s="843"/>
      <c r="ADJ247" s="843"/>
      <c r="ADK247" s="843"/>
      <c r="ADL247" s="843"/>
      <c r="ADM247" s="843"/>
      <c r="ADN247" s="843"/>
      <c r="ADO247" s="843"/>
      <c r="ADP247" s="843"/>
      <c r="ADQ247" s="843"/>
      <c r="ADR247" s="843"/>
      <c r="ADS247" s="843"/>
      <c r="ADT247" s="843"/>
      <c r="ADU247" s="843"/>
      <c r="ADV247" s="843"/>
      <c r="ADW247" s="843"/>
      <c r="ADX247" s="843"/>
      <c r="ADY247" s="843"/>
      <c r="ADZ247" s="843"/>
      <c r="AEA247" s="843"/>
      <c r="AEB247" s="843"/>
      <c r="AEC247" s="843"/>
      <c r="AED247" s="843"/>
      <c r="AEE247" s="843"/>
      <c r="AEF247" s="843"/>
      <c r="AEG247" s="843"/>
      <c r="AEH247" s="843"/>
      <c r="AEI247" s="843"/>
      <c r="AEJ247" s="843"/>
      <c r="AEK247" s="843"/>
      <c r="AEL247" s="843"/>
      <c r="AEM247" s="843"/>
      <c r="AEN247" s="843"/>
      <c r="AEO247" s="843"/>
      <c r="AEP247" s="843"/>
      <c r="AEQ247" s="843"/>
      <c r="AER247" s="843"/>
      <c r="AES247" s="843"/>
      <c r="AET247" s="843"/>
      <c r="AEU247" s="843"/>
      <c r="AEV247" s="843"/>
      <c r="AEW247" s="843"/>
      <c r="AEX247" s="843"/>
      <c r="AEY247" s="843"/>
      <c r="AEZ247" s="843"/>
      <c r="AFA247" s="843"/>
      <c r="AFB247" s="843"/>
      <c r="AFC247" s="843"/>
      <c r="AFD247" s="843"/>
      <c r="AFE247" s="843"/>
      <c r="AFF247" s="843"/>
      <c r="AFG247" s="843"/>
      <c r="AFH247" s="843"/>
      <c r="AFI247" s="843"/>
      <c r="AFJ247" s="843"/>
      <c r="AFK247" s="843"/>
      <c r="AFL247" s="843"/>
      <c r="AFM247" s="843"/>
      <c r="AFN247" s="843"/>
      <c r="AFO247" s="843"/>
      <c r="AFP247" s="843"/>
      <c r="AFQ247" s="843"/>
      <c r="AFR247" s="843"/>
      <c r="AFS247" s="843"/>
      <c r="AFT247" s="843"/>
      <c r="AFU247" s="843"/>
      <c r="AFV247" s="843"/>
      <c r="AFW247" s="843"/>
      <c r="AFX247" s="843"/>
      <c r="AFY247" s="843"/>
      <c r="AFZ247" s="843"/>
      <c r="AGA247" s="843"/>
      <c r="AGB247" s="843"/>
      <c r="AGC247" s="843"/>
      <c r="AGD247" s="843"/>
      <c r="AGE247" s="843"/>
      <c r="AGF247" s="843"/>
      <c r="AGG247" s="843"/>
      <c r="AGH247" s="843"/>
      <c r="AGI247" s="843"/>
      <c r="AGJ247" s="843"/>
    </row>
    <row r="248" spans="1:868" hidden="1">
      <c r="A248" s="152" t="s">
        <v>201</v>
      </c>
      <c r="B248" s="34" t="s">
        <v>204</v>
      </c>
      <c r="C248" s="40" t="s">
        <v>139</v>
      </c>
      <c r="D248" s="34" t="s">
        <v>139</v>
      </c>
      <c r="E248" s="260">
        <v>2.7E-4</v>
      </c>
      <c r="F248" s="235">
        <v>2</v>
      </c>
      <c r="G248" s="40" t="s">
        <v>205</v>
      </c>
      <c r="H248" s="29">
        <v>1</v>
      </c>
      <c r="I248" s="9">
        <v>2</v>
      </c>
      <c r="J248" s="9">
        <v>1</v>
      </c>
      <c r="K248" s="9">
        <v>3</v>
      </c>
      <c r="L248" s="9">
        <v>3</v>
      </c>
      <c r="M248" s="9">
        <v>3</v>
      </c>
      <c r="N248" s="186">
        <f t="shared" si="17"/>
        <v>1.1181151966036349</v>
      </c>
      <c r="O248" s="160">
        <f t="shared" si="18"/>
        <v>1.123005955058592</v>
      </c>
      <c r="P248" s="63"/>
    </row>
    <row r="249" spans="1:868" hidden="1">
      <c r="A249" s="152" t="s">
        <v>202</v>
      </c>
      <c r="B249" s="34" t="s">
        <v>204</v>
      </c>
      <c r="C249" s="40" t="s">
        <v>139</v>
      </c>
      <c r="D249" s="34" t="s">
        <v>139</v>
      </c>
      <c r="E249" s="260">
        <v>2.7E-4</v>
      </c>
      <c r="F249" s="235">
        <v>2</v>
      </c>
      <c r="G249" s="40" t="s">
        <v>205</v>
      </c>
      <c r="H249" s="29">
        <v>1</v>
      </c>
      <c r="I249" s="9">
        <v>2</v>
      </c>
      <c r="J249" s="9">
        <v>1</v>
      </c>
      <c r="K249" s="9">
        <v>3</v>
      </c>
      <c r="L249" s="9">
        <v>3</v>
      </c>
      <c r="M249" s="9">
        <v>3</v>
      </c>
      <c r="N249" s="186">
        <f t="shared" si="17"/>
        <v>1.1181151966036349</v>
      </c>
      <c r="O249" s="160">
        <f t="shared" si="18"/>
        <v>1.123005955058592</v>
      </c>
      <c r="P249" s="63"/>
    </row>
    <row r="250" spans="1:868" hidden="1">
      <c r="A250" s="152" t="s">
        <v>234</v>
      </c>
      <c r="B250" s="55" t="s">
        <v>204</v>
      </c>
      <c r="C250" s="265" t="s">
        <v>139</v>
      </c>
      <c r="D250" s="55" t="s">
        <v>139</v>
      </c>
      <c r="E250" s="260">
        <v>2.7E-4</v>
      </c>
      <c r="F250" s="235">
        <v>2</v>
      </c>
      <c r="G250" s="265" t="s">
        <v>163</v>
      </c>
      <c r="H250" s="29">
        <v>2</v>
      </c>
      <c r="I250" s="9">
        <v>2</v>
      </c>
      <c r="J250" s="9">
        <v>2</v>
      </c>
      <c r="K250" s="9">
        <v>3</v>
      </c>
      <c r="L250" s="9">
        <v>3</v>
      </c>
      <c r="M250" s="9">
        <v>3</v>
      </c>
      <c r="N250" s="186">
        <f t="shared" si="17"/>
        <v>1.1278755061256258</v>
      </c>
      <c r="O250" s="160">
        <f t="shared" si="18"/>
        <v>1.1278755061256258</v>
      </c>
      <c r="P250" s="63"/>
    </row>
    <row r="251" spans="1:868" hidden="1">
      <c r="A251" s="292" t="s">
        <v>186</v>
      </c>
      <c r="B251" s="55" t="s">
        <v>204</v>
      </c>
      <c r="C251" s="265" t="s">
        <v>139</v>
      </c>
      <c r="D251" s="55" t="s">
        <v>139</v>
      </c>
      <c r="E251" s="260">
        <v>2.7E-4</v>
      </c>
      <c r="F251" s="235">
        <v>2</v>
      </c>
      <c r="G251" s="265" t="s">
        <v>163</v>
      </c>
      <c r="H251" s="29">
        <v>2</v>
      </c>
      <c r="I251" s="9">
        <v>2</v>
      </c>
      <c r="J251" s="9">
        <v>2</v>
      </c>
      <c r="K251" s="9">
        <v>3</v>
      </c>
      <c r="L251" s="9">
        <v>3</v>
      </c>
      <c r="M251" s="9">
        <v>3</v>
      </c>
      <c r="N251" s="186">
        <f t="shared" si="17"/>
        <v>1.1278755061256258</v>
      </c>
      <c r="O251" s="160">
        <f t="shared" si="18"/>
        <v>1.1278755061256258</v>
      </c>
      <c r="P251" s="63"/>
    </row>
    <row r="252" spans="1:868" hidden="1">
      <c r="A252" s="292" t="s">
        <v>190</v>
      </c>
      <c r="B252" s="55" t="s">
        <v>204</v>
      </c>
      <c r="C252" s="265" t="s">
        <v>139</v>
      </c>
      <c r="D252" s="55" t="s">
        <v>139</v>
      </c>
      <c r="E252" s="260">
        <v>2.7E-4</v>
      </c>
      <c r="F252" s="235">
        <v>2</v>
      </c>
      <c r="G252" s="265" t="s">
        <v>163</v>
      </c>
      <c r="H252" s="29">
        <v>2</v>
      </c>
      <c r="I252" s="9">
        <v>2</v>
      </c>
      <c r="J252" s="9">
        <v>2</v>
      </c>
      <c r="K252" s="9">
        <v>3</v>
      </c>
      <c r="L252" s="9">
        <v>3</v>
      </c>
      <c r="M252" s="9">
        <v>3</v>
      </c>
      <c r="N252" s="186">
        <f t="shared" si="17"/>
        <v>1.1278755061256258</v>
      </c>
      <c r="O252" s="160">
        <f t="shared" si="18"/>
        <v>1.1278755061256258</v>
      </c>
      <c r="P252" s="63"/>
    </row>
    <row r="253" spans="1:868" hidden="1">
      <c r="A253" s="152" t="s">
        <v>235</v>
      </c>
      <c r="B253" s="34" t="s">
        <v>204</v>
      </c>
      <c r="C253" s="40" t="s">
        <v>139</v>
      </c>
      <c r="D253" s="34" t="s">
        <v>139</v>
      </c>
      <c r="E253" s="260">
        <v>2.7E-4</v>
      </c>
      <c r="F253" s="235">
        <v>2</v>
      </c>
      <c r="G253" s="40" t="s">
        <v>205</v>
      </c>
      <c r="H253" s="29">
        <v>1</v>
      </c>
      <c r="I253" s="9"/>
      <c r="J253" s="9">
        <v>1</v>
      </c>
      <c r="K253" s="9">
        <v>3</v>
      </c>
      <c r="L253" s="9">
        <v>3</v>
      </c>
      <c r="M253" s="9">
        <v>3</v>
      </c>
      <c r="N253" s="186">
        <f t="shared" si="17"/>
        <v>1.1181151966036349</v>
      </c>
      <c r="O253" s="160" t="str">
        <f t="shared" si="18"/>
        <v/>
      </c>
      <c r="P253" s="63"/>
    </row>
    <row r="254" spans="1:868" hidden="1">
      <c r="A254" s="152" t="s">
        <v>203</v>
      </c>
      <c r="B254" s="34" t="s">
        <v>204</v>
      </c>
      <c r="C254" s="40" t="s">
        <v>139</v>
      </c>
      <c r="D254" s="34" t="s">
        <v>139</v>
      </c>
      <c r="E254" s="260">
        <v>2.7E-4</v>
      </c>
      <c r="F254" s="235">
        <v>2</v>
      </c>
      <c r="G254" s="40" t="s">
        <v>205</v>
      </c>
      <c r="H254" s="29">
        <v>1</v>
      </c>
      <c r="I254" s="9"/>
      <c r="J254" s="9">
        <v>1</v>
      </c>
      <c r="K254" s="9">
        <v>3</v>
      </c>
      <c r="L254" s="9">
        <v>3</v>
      </c>
      <c r="M254" s="9">
        <v>3</v>
      </c>
      <c r="N254" s="186">
        <f t="shared" si="17"/>
        <v>1.1181151966036349</v>
      </c>
      <c r="O254" s="160" t="str">
        <f t="shared" si="18"/>
        <v/>
      </c>
      <c r="P254" s="63"/>
    </row>
    <row r="255" spans="1:868" hidden="1">
      <c r="A255" s="152" t="s">
        <v>112</v>
      </c>
      <c r="B255" s="34" t="s">
        <v>234</v>
      </c>
      <c r="C255" s="40" t="s">
        <v>139</v>
      </c>
      <c r="D255" s="34" t="s">
        <v>90</v>
      </c>
      <c r="E255" s="260">
        <v>0</v>
      </c>
      <c r="F255" s="235">
        <v>1</v>
      </c>
      <c r="G255" s="40"/>
      <c r="H255" s="29"/>
      <c r="I255" s="9"/>
      <c r="J255" s="9"/>
      <c r="K255" s="9"/>
      <c r="L255" s="9"/>
      <c r="M255" s="9"/>
      <c r="N255" s="186" t="str">
        <f t="shared" si="17"/>
        <v/>
      </c>
      <c r="O255" s="160" t="str">
        <f t="shared" si="18"/>
        <v/>
      </c>
      <c r="P255" s="63"/>
    </row>
    <row r="256" spans="1:868" hidden="1">
      <c r="A256" s="152" t="s">
        <v>236</v>
      </c>
      <c r="B256" s="34" t="s">
        <v>204</v>
      </c>
      <c r="C256" s="40" t="s">
        <v>139</v>
      </c>
      <c r="D256" s="34" t="s">
        <v>139</v>
      </c>
      <c r="E256" s="260">
        <v>2.7E-4</v>
      </c>
      <c r="F256" s="235">
        <v>2</v>
      </c>
      <c r="G256" s="40" t="s">
        <v>205</v>
      </c>
      <c r="H256" s="29">
        <v>1</v>
      </c>
      <c r="I256" s="9"/>
      <c r="J256" s="9">
        <v>1</v>
      </c>
      <c r="K256" s="9">
        <v>3</v>
      </c>
      <c r="L256" s="9">
        <v>3</v>
      </c>
      <c r="M256" s="9">
        <v>3</v>
      </c>
      <c r="N256" s="186">
        <f t="shared" si="17"/>
        <v>1.1181151966036349</v>
      </c>
      <c r="O256" s="160" t="str">
        <f t="shared" si="18"/>
        <v/>
      </c>
      <c r="P256" s="63"/>
    </row>
    <row r="257" spans="1:16" hidden="1">
      <c r="A257" s="152" t="s">
        <v>112</v>
      </c>
      <c r="B257" s="34" t="s">
        <v>234</v>
      </c>
      <c r="C257" s="40" t="s">
        <v>139</v>
      </c>
      <c r="D257" s="34" t="s">
        <v>91</v>
      </c>
      <c r="E257" s="260">
        <v>2.7068708019976597E-2</v>
      </c>
      <c r="F257" s="235">
        <v>1</v>
      </c>
      <c r="G257" s="40" t="s">
        <v>163</v>
      </c>
      <c r="H257" s="29">
        <v>2</v>
      </c>
      <c r="I257" s="9">
        <v>2</v>
      </c>
      <c r="J257" s="9">
        <v>2</v>
      </c>
      <c r="K257" s="9">
        <v>2</v>
      </c>
      <c r="L257" s="9">
        <v>1</v>
      </c>
      <c r="M257" s="9">
        <v>2</v>
      </c>
      <c r="N257" s="186">
        <f t="shared" si="17"/>
        <v>0.38795788889711302</v>
      </c>
      <c r="O257" s="160">
        <f t="shared" si="18"/>
        <v>0.38795788889711302</v>
      </c>
      <c r="P257" s="63"/>
    </row>
    <row r="258" spans="1:16" hidden="1">
      <c r="A258" s="152" t="s">
        <v>237</v>
      </c>
      <c r="B258" s="34" t="s">
        <v>204</v>
      </c>
      <c r="C258" s="40" t="s">
        <v>139</v>
      </c>
      <c r="D258" s="34" t="s">
        <v>139</v>
      </c>
      <c r="E258" s="260">
        <v>2.7E-4</v>
      </c>
      <c r="F258" s="235">
        <v>2</v>
      </c>
      <c r="G258" s="40" t="s">
        <v>205</v>
      </c>
      <c r="H258" s="29">
        <v>1</v>
      </c>
      <c r="I258" s="9"/>
      <c r="J258" s="9">
        <v>1</v>
      </c>
      <c r="K258" s="9">
        <v>3</v>
      </c>
      <c r="L258" s="9">
        <v>3</v>
      </c>
      <c r="M258" s="9">
        <v>3</v>
      </c>
      <c r="N258" s="186">
        <f t="shared" si="17"/>
        <v>1.1181151966036349</v>
      </c>
      <c r="O258" s="160" t="str">
        <f t="shared" si="18"/>
        <v/>
      </c>
      <c r="P258" s="63"/>
    </row>
    <row r="259" spans="1:16" hidden="1">
      <c r="A259" s="292" t="s">
        <v>238</v>
      </c>
      <c r="B259" s="55" t="s">
        <v>204</v>
      </c>
      <c r="C259" s="265" t="s">
        <v>139</v>
      </c>
      <c r="D259" s="55" t="s">
        <v>139</v>
      </c>
      <c r="E259" s="260">
        <v>2.7E-4</v>
      </c>
      <c r="F259" s="235">
        <v>2</v>
      </c>
      <c r="G259" s="265" t="s">
        <v>163</v>
      </c>
      <c r="H259" s="29">
        <v>2</v>
      </c>
      <c r="I259" s="9">
        <v>2</v>
      </c>
      <c r="J259" s="9">
        <v>2</v>
      </c>
      <c r="K259" s="9">
        <v>3</v>
      </c>
      <c r="L259" s="9">
        <v>3</v>
      </c>
      <c r="M259" s="9">
        <v>3</v>
      </c>
      <c r="N259" s="186">
        <f t="shared" si="17"/>
        <v>1.1278755061256258</v>
      </c>
      <c r="O259" s="160">
        <f t="shared" si="18"/>
        <v>1.1278755061256258</v>
      </c>
      <c r="P259" s="63"/>
    </row>
    <row r="260" spans="1:16" hidden="1">
      <c r="A260" s="292" t="s">
        <v>239</v>
      </c>
      <c r="B260" s="55" t="s">
        <v>204</v>
      </c>
      <c r="C260" s="265" t="s">
        <v>139</v>
      </c>
      <c r="D260" s="55" t="s">
        <v>139</v>
      </c>
      <c r="E260" s="260">
        <v>2.7E-4</v>
      </c>
      <c r="F260" s="235">
        <v>2</v>
      </c>
      <c r="G260" s="265" t="s">
        <v>163</v>
      </c>
      <c r="H260" s="29">
        <v>2</v>
      </c>
      <c r="I260" s="9">
        <v>2</v>
      </c>
      <c r="J260" s="9">
        <v>2</v>
      </c>
      <c r="K260" s="9">
        <v>3</v>
      </c>
      <c r="L260" s="9">
        <v>3</v>
      </c>
      <c r="M260" s="9">
        <v>3</v>
      </c>
      <c r="N260" s="186">
        <f t="shared" si="17"/>
        <v>1.1278755061256258</v>
      </c>
      <c r="O260" s="160">
        <f t="shared" si="18"/>
        <v>1.1278755061256258</v>
      </c>
      <c r="P260" s="63"/>
    </row>
    <row r="261" spans="1:16" hidden="1">
      <c r="A261" s="152" t="s">
        <v>112</v>
      </c>
      <c r="B261" s="34" t="s">
        <v>234</v>
      </c>
      <c r="C261" s="40" t="s">
        <v>139</v>
      </c>
      <c r="D261" s="34" t="s">
        <v>95</v>
      </c>
      <c r="E261" s="260">
        <v>0.18991471314722469</v>
      </c>
      <c r="F261" s="235">
        <v>1</v>
      </c>
      <c r="G261" s="40" t="s">
        <v>163</v>
      </c>
      <c r="H261" s="29">
        <v>2</v>
      </c>
      <c r="I261" s="9">
        <v>2</v>
      </c>
      <c r="J261" s="9">
        <v>2</v>
      </c>
      <c r="K261" s="9">
        <v>2</v>
      </c>
      <c r="L261" s="9">
        <v>1</v>
      </c>
      <c r="M261" s="9">
        <v>2</v>
      </c>
      <c r="N261" s="186">
        <f t="shared" si="17"/>
        <v>0.38795788889711302</v>
      </c>
      <c r="O261" s="160">
        <f t="shared" si="18"/>
        <v>0.38795788889711302</v>
      </c>
      <c r="P261" s="63"/>
    </row>
    <row r="262" spans="1:16" hidden="1">
      <c r="A262" s="152" t="s">
        <v>112</v>
      </c>
      <c r="B262" s="34" t="s">
        <v>234</v>
      </c>
      <c r="C262" s="40" t="s">
        <v>139</v>
      </c>
      <c r="D262" s="34" t="s">
        <v>99</v>
      </c>
      <c r="E262" s="260">
        <v>0</v>
      </c>
      <c r="F262" s="235">
        <v>1</v>
      </c>
      <c r="G262" s="40"/>
      <c r="H262" s="29"/>
      <c r="I262" s="9"/>
      <c r="J262" s="9"/>
      <c r="K262" s="9"/>
      <c r="L262" s="9"/>
      <c r="M262" s="9"/>
      <c r="N262" s="186" t="str">
        <f t="shared" si="17"/>
        <v/>
      </c>
      <c r="O262" s="160" t="str">
        <f t="shared" si="18"/>
        <v/>
      </c>
      <c r="P262" s="63"/>
    </row>
    <row r="263" spans="1:16" hidden="1">
      <c r="A263" s="152" t="s">
        <v>112</v>
      </c>
      <c r="B263" s="34" t="s">
        <v>189</v>
      </c>
      <c r="C263" s="40" t="s">
        <v>139</v>
      </c>
      <c r="D263" s="34" t="s">
        <v>85</v>
      </c>
      <c r="E263" s="260">
        <v>0</v>
      </c>
      <c r="F263" s="235">
        <v>1</v>
      </c>
      <c r="G263" s="40"/>
      <c r="H263" s="29"/>
      <c r="I263" s="9"/>
      <c r="J263" s="9"/>
      <c r="K263" s="9"/>
      <c r="L263" s="9"/>
      <c r="M263" s="9"/>
      <c r="N263" s="186" t="str">
        <f t="shared" si="17"/>
        <v/>
      </c>
      <c r="O263" s="160" t="str">
        <f t="shared" si="18"/>
        <v/>
      </c>
      <c r="P263" s="63"/>
    </row>
    <row r="264" spans="1:16" hidden="1">
      <c r="A264" s="152" t="s">
        <v>112</v>
      </c>
      <c r="B264" s="34" t="s">
        <v>189</v>
      </c>
      <c r="C264" s="40" t="s">
        <v>139</v>
      </c>
      <c r="D264" s="34" t="s">
        <v>86</v>
      </c>
      <c r="E264" s="260">
        <v>3.9813826497656801E-2</v>
      </c>
      <c r="F264" s="235">
        <v>1</v>
      </c>
      <c r="G264" s="40" t="s">
        <v>195</v>
      </c>
      <c r="H264" s="29">
        <v>1</v>
      </c>
      <c r="I264" s="9">
        <v>2</v>
      </c>
      <c r="J264" s="9">
        <v>2</v>
      </c>
      <c r="K264" s="9">
        <v>2</v>
      </c>
      <c r="L264" s="9">
        <v>1</v>
      </c>
      <c r="M264" s="9">
        <v>2</v>
      </c>
      <c r="N264" s="186">
        <f t="shared" si="17"/>
        <v>0.37356464144298934</v>
      </c>
      <c r="O264" s="160">
        <f t="shared" si="18"/>
        <v>0.38795788889711302</v>
      </c>
      <c r="P264" s="63"/>
    </row>
    <row r="265" spans="1:16" hidden="1">
      <c r="A265" s="292" t="s">
        <v>240</v>
      </c>
      <c r="B265" s="55" t="s">
        <v>204</v>
      </c>
      <c r="C265" s="265" t="s">
        <v>139</v>
      </c>
      <c r="D265" s="55" t="s">
        <v>139</v>
      </c>
      <c r="E265" s="260">
        <v>2.7E-4</v>
      </c>
      <c r="F265" s="235">
        <v>2</v>
      </c>
      <c r="G265" s="265" t="s">
        <v>163</v>
      </c>
      <c r="H265" s="29">
        <v>2</v>
      </c>
      <c r="I265" s="9">
        <v>2</v>
      </c>
      <c r="J265" s="9">
        <v>2</v>
      </c>
      <c r="K265" s="9">
        <v>3</v>
      </c>
      <c r="L265" s="9">
        <v>3</v>
      </c>
      <c r="M265" s="9">
        <v>3</v>
      </c>
      <c r="N265" s="186">
        <f t="shared" si="17"/>
        <v>1.1278755061256258</v>
      </c>
      <c r="O265" s="160">
        <f t="shared" si="18"/>
        <v>1.1278755061256258</v>
      </c>
      <c r="P265" s="63"/>
    </row>
    <row r="266" spans="1:16" hidden="1">
      <c r="A266" s="292" t="s">
        <v>241</v>
      </c>
      <c r="B266" s="55" t="s">
        <v>204</v>
      </c>
      <c r="C266" s="265" t="s">
        <v>139</v>
      </c>
      <c r="D266" s="55" t="s">
        <v>139</v>
      </c>
      <c r="E266" s="260">
        <v>2.7E-4</v>
      </c>
      <c r="F266" s="235">
        <v>2</v>
      </c>
      <c r="G266" s="265" t="s">
        <v>163</v>
      </c>
      <c r="H266" s="29">
        <v>2</v>
      </c>
      <c r="I266" s="9">
        <v>2</v>
      </c>
      <c r="J266" s="9">
        <v>2</v>
      </c>
      <c r="K266" s="9">
        <v>3</v>
      </c>
      <c r="L266" s="9">
        <v>3</v>
      </c>
      <c r="M266" s="9">
        <v>3</v>
      </c>
      <c r="N266" s="186">
        <f t="shared" si="17"/>
        <v>1.1278755061256258</v>
      </c>
      <c r="O266" s="160">
        <f t="shared" si="18"/>
        <v>1.1278755061256258</v>
      </c>
      <c r="P266" s="63"/>
    </row>
    <row r="267" spans="1:16" hidden="1">
      <c r="A267" s="292" t="s">
        <v>242</v>
      </c>
      <c r="B267" s="55" t="s">
        <v>204</v>
      </c>
      <c r="C267" s="265" t="s">
        <v>139</v>
      </c>
      <c r="D267" s="55" t="s">
        <v>139</v>
      </c>
      <c r="E267" s="243">
        <v>2.7E-4</v>
      </c>
      <c r="F267" s="235">
        <v>2</v>
      </c>
      <c r="G267" s="265" t="s">
        <v>163</v>
      </c>
      <c r="H267" s="29">
        <v>2</v>
      </c>
      <c r="I267" s="9">
        <v>2</v>
      </c>
      <c r="J267" s="9">
        <v>2</v>
      </c>
      <c r="K267" s="9">
        <v>3</v>
      </c>
      <c r="L267" s="9">
        <v>3</v>
      </c>
      <c r="M267" s="9">
        <v>3</v>
      </c>
      <c r="N267" s="186">
        <f t="shared" si="17"/>
        <v>1.1278755061256258</v>
      </c>
      <c r="O267" s="160">
        <f t="shared" si="18"/>
        <v>1.1278755061256258</v>
      </c>
      <c r="P267" s="63"/>
    </row>
    <row r="268" spans="1:16" hidden="1">
      <c r="A268" s="152" t="s">
        <v>179</v>
      </c>
      <c r="B268" s="34" t="s">
        <v>243</v>
      </c>
      <c r="C268" s="40" t="s">
        <v>139</v>
      </c>
      <c r="D268" s="34" t="s">
        <v>139</v>
      </c>
      <c r="E268" s="260">
        <v>1</v>
      </c>
      <c r="F268" s="235">
        <v>1</v>
      </c>
      <c r="G268" s="40"/>
      <c r="H268" s="29"/>
      <c r="I268" s="9"/>
      <c r="J268" s="9"/>
      <c r="K268" s="9"/>
      <c r="L268" s="9"/>
      <c r="M268" s="9"/>
      <c r="N268" s="186" t="str">
        <f t="shared" si="17"/>
        <v/>
      </c>
      <c r="O268" s="160" t="str">
        <f t="shared" si="18"/>
        <v/>
      </c>
      <c r="P268" s="63"/>
    </row>
    <row r="269" spans="1:16" hidden="1">
      <c r="A269" s="152" t="s">
        <v>112</v>
      </c>
      <c r="B269" s="34" t="s">
        <v>189</v>
      </c>
      <c r="C269" s="40" t="s">
        <v>139</v>
      </c>
      <c r="D269" s="34" t="s">
        <v>87</v>
      </c>
      <c r="E269" s="260">
        <v>6.8545874707195309E-2</v>
      </c>
      <c r="F269" s="235">
        <v>1</v>
      </c>
      <c r="G269" s="40" t="s">
        <v>195</v>
      </c>
      <c r="H269" s="29">
        <v>1</v>
      </c>
      <c r="I269" s="9">
        <v>2</v>
      </c>
      <c r="J269" s="9">
        <v>2</v>
      </c>
      <c r="K269" s="9">
        <v>2</v>
      </c>
      <c r="L269" s="9">
        <v>1</v>
      </c>
      <c r="M269" s="9">
        <v>2</v>
      </c>
      <c r="N269" s="186">
        <f t="shared" si="17"/>
        <v>0.37356464144298934</v>
      </c>
      <c r="O269" s="160">
        <f t="shared" si="18"/>
        <v>0.38795788889711302</v>
      </c>
      <c r="P269" s="63"/>
    </row>
    <row r="270" spans="1:16" hidden="1">
      <c r="A270" s="152" t="s">
        <v>244</v>
      </c>
      <c r="B270" s="34" t="s">
        <v>245</v>
      </c>
      <c r="C270" s="40" t="s">
        <v>139</v>
      </c>
      <c r="D270" s="34" t="s">
        <v>85</v>
      </c>
      <c r="E270" s="260">
        <v>9.4320486815415827E-2</v>
      </c>
      <c r="F270" s="235">
        <v>1</v>
      </c>
      <c r="G270" s="40" t="s">
        <v>246</v>
      </c>
      <c r="H270" s="29">
        <v>2</v>
      </c>
      <c r="I270" s="9">
        <v>2</v>
      </c>
      <c r="J270" s="9">
        <v>2</v>
      </c>
      <c r="K270" s="9">
        <v>3</v>
      </c>
      <c r="L270" s="9">
        <v>1</v>
      </c>
      <c r="M270" s="9">
        <v>3</v>
      </c>
      <c r="N270" s="186">
        <f t="shared" si="17"/>
        <v>1.0776024280428556</v>
      </c>
      <c r="O270" s="160">
        <f t="shared" si="18"/>
        <v>1.0776024280428556</v>
      </c>
      <c r="P270" s="63" t="s">
        <v>247</v>
      </c>
    </row>
    <row r="271" spans="1:16" hidden="1">
      <c r="A271" s="152" t="s">
        <v>244</v>
      </c>
      <c r="B271" s="34" t="s">
        <v>245</v>
      </c>
      <c r="C271" s="40" t="s">
        <v>139</v>
      </c>
      <c r="D271" s="34" t="s">
        <v>86</v>
      </c>
      <c r="E271" s="260">
        <v>9.4320486815415827E-2</v>
      </c>
      <c r="F271" s="235">
        <v>1</v>
      </c>
      <c r="G271" s="40" t="s">
        <v>246</v>
      </c>
      <c r="H271" s="29">
        <v>2</v>
      </c>
      <c r="I271" s="9">
        <v>2</v>
      </c>
      <c r="J271" s="9">
        <v>2</v>
      </c>
      <c r="K271" s="9">
        <v>3</v>
      </c>
      <c r="L271" s="9">
        <v>1</v>
      </c>
      <c r="M271" s="9">
        <v>3</v>
      </c>
      <c r="N271" s="186">
        <f t="shared" si="17"/>
        <v>1.0776024280428556</v>
      </c>
      <c r="O271" s="160">
        <f t="shared" si="18"/>
        <v>1.0776024280428556</v>
      </c>
      <c r="P271" s="63" t="s">
        <v>247</v>
      </c>
    </row>
    <row r="272" spans="1:16" hidden="1">
      <c r="A272" s="152" t="s">
        <v>244</v>
      </c>
      <c r="B272" s="34" t="s">
        <v>245</v>
      </c>
      <c r="C272" s="40" t="s">
        <v>139</v>
      </c>
      <c r="D272" s="34" t="s">
        <v>87</v>
      </c>
      <c r="E272" s="260">
        <v>9.4320486815415827E-2</v>
      </c>
      <c r="F272" s="235">
        <v>1</v>
      </c>
      <c r="G272" s="40" t="s">
        <v>246</v>
      </c>
      <c r="H272" s="29">
        <v>2</v>
      </c>
      <c r="I272" s="9">
        <v>2</v>
      </c>
      <c r="J272" s="9">
        <v>2</v>
      </c>
      <c r="K272" s="9">
        <v>3</v>
      </c>
      <c r="L272" s="9">
        <v>1</v>
      </c>
      <c r="M272" s="9">
        <v>3</v>
      </c>
      <c r="N272" s="186">
        <f t="shared" si="17"/>
        <v>1.0776024280428556</v>
      </c>
      <c r="O272" s="160">
        <f t="shared" si="18"/>
        <v>1.0776024280428556</v>
      </c>
      <c r="P272" s="63" t="s">
        <v>247</v>
      </c>
    </row>
    <row r="273" spans="1:32" hidden="1">
      <c r="A273" s="152" t="s">
        <v>244</v>
      </c>
      <c r="B273" s="34" t="s">
        <v>245</v>
      </c>
      <c r="C273" s="40" t="s">
        <v>139</v>
      </c>
      <c r="D273" s="34" t="s">
        <v>88</v>
      </c>
      <c r="E273" s="260">
        <v>9.4320486815415827E-2</v>
      </c>
      <c r="F273" s="235">
        <v>1</v>
      </c>
      <c r="G273" s="40" t="s">
        <v>246</v>
      </c>
      <c r="H273" s="29">
        <v>2</v>
      </c>
      <c r="I273" s="9">
        <v>2</v>
      </c>
      <c r="J273" s="9">
        <v>2</v>
      </c>
      <c r="K273" s="9">
        <v>3</v>
      </c>
      <c r="L273" s="9">
        <v>1</v>
      </c>
      <c r="M273" s="9">
        <v>3</v>
      </c>
      <c r="N273" s="186">
        <f t="shared" si="17"/>
        <v>1.0776024280428556</v>
      </c>
      <c r="O273" s="160">
        <f t="shared" si="18"/>
        <v>1.0776024280428556</v>
      </c>
      <c r="P273" s="63" t="s">
        <v>247</v>
      </c>
    </row>
    <row r="274" spans="1:32" hidden="1">
      <c r="A274" s="152" t="s">
        <v>244</v>
      </c>
      <c r="B274" s="34" t="s">
        <v>245</v>
      </c>
      <c r="C274" s="40" t="s">
        <v>139</v>
      </c>
      <c r="D274" s="34" t="s">
        <v>89</v>
      </c>
      <c r="E274" s="260">
        <v>9.4320486815415827E-2</v>
      </c>
      <c r="F274" s="235">
        <v>1</v>
      </c>
      <c r="G274" s="40" t="s">
        <v>246</v>
      </c>
      <c r="H274" s="29">
        <v>2</v>
      </c>
      <c r="I274" s="9">
        <v>2</v>
      </c>
      <c r="J274" s="9">
        <v>2</v>
      </c>
      <c r="K274" s="9">
        <v>3</v>
      </c>
      <c r="L274" s="9">
        <v>1</v>
      </c>
      <c r="M274" s="9">
        <v>3</v>
      </c>
      <c r="N274" s="186">
        <f t="shared" si="17"/>
        <v>1.0776024280428556</v>
      </c>
      <c r="O274" s="160">
        <f t="shared" si="18"/>
        <v>1.0776024280428556</v>
      </c>
      <c r="P274" s="63" t="s">
        <v>247</v>
      </c>
    </row>
    <row r="275" spans="1:32" hidden="1">
      <c r="A275" s="152" t="s">
        <v>244</v>
      </c>
      <c r="B275" s="34" t="s">
        <v>245</v>
      </c>
      <c r="C275" s="40" t="s">
        <v>139</v>
      </c>
      <c r="D275" s="34" t="s">
        <v>90</v>
      </c>
      <c r="E275" s="260">
        <v>9.4320486815415827E-2</v>
      </c>
      <c r="F275" s="235">
        <v>1</v>
      </c>
      <c r="G275" s="40" t="s">
        <v>246</v>
      </c>
      <c r="H275" s="29">
        <v>2</v>
      </c>
      <c r="I275" s="9">
        <v>2</v>
      </c>
      <c r="J275" s="9">
        <v>2</v>
      </c>
      <c r="K275" s="9">
        <v>3</v>
      </c>
      <c r="L275" s="9">
        <v>1</v>
      </c>
      <c r="M275" s="9">
        <v>3</v>
      </c>
      <c r="N275" s="186">
        <f t="shared" ref="N275:N276" si="19">IF( OR( ISBLANK(H275),ISBLANK(J275), ISBLANK(K275), ISBLANK(L275), ISBLANK(M275) ), "", 1.5*SQRT(   EXP(2.21*(H275-1)) + EXP(2.21*(J275-1)) + EXP(2.21*(K275-1)) + EXP(2.21*(L275-1)) + EXP(2.21*M275)   )/100*2.45 )</f>
        <v>1.0776024280428556</v>
      </c>
      <c r="O275" s="160">
        <f t="shared" si="18"/>
        <v>1.0776024280428556</v>
      </c>
      <c r="P275" s="63" t="s">
        <v>247</v>
      </c>
    </row>
    <row r="276" spans="1:32" hidden="1">
      <c r="A276" s="152" t="s">
        <v>244</v>
      </c>
      <c r="B276" s="34" t="s">
        <v>245</v>
      </c>
      <c r="C276" s="40" t="s">
        <v>139</v>
      </c>
      <c r="D276" s="34" t="s">
        <v>91</v>
      </c>
      <c r="E276" s="260">
        <v>9.4320486815415827E-2</v>
      </c>
      <c r="F276" s="235">
        <v>1</v>
      </c>
      <c r="G276" s="40" t="s">
        <v>246</v>
      </c>
      <c r="H276" s="29">
        <v>2</v>
      </c>
      <c r="I276" s="9">
        <v>2</v>
      </c>
      <c r="J276" s="9">
        <v>2</v>
      </c>
      <c r="K276" s="9">
        <v>1</v>
      </c>
      <c r="L276" s="9">
        <v>1</v>
      </c>
      <c r="M276" s="9">
        <v>1</v>
      </c>
      <c r="N276" s="186">
        <f t="shared" si="19"/>
        <v>0.19908580854301616</v>
      </c>
      <c r="O276" s="160">
        <f t="shared" si="18"/>
        <v>0.19908580854301616</v>
      </c>
      <c r="P276" s="63"/>
    </row>
    <row r="277" spans="1:32" s="16" customFormat="1" hidden="1">
      <c r="A277" s="340" t="s">
        <v>144</v>
      </c>
      <c r="B277" s="69" t="s">
        <v>248</v>
      </c>
      <c r="C277" s="867" t="s">
        <v>139</v>
      </c>
      <c r="D277" s="34" t="s">
        <v>139</v>
      </c>
      <c r="E277" s="868" t="s">
        <v>150</v>
      </c>
      <c r="F277" s="869">
        <v>1</v>
      </c>
      <c r="G277" s="867"/>
      <c r="H277" s="29"/>
      <c r="I277" s="9"/>
      <c r="J277" s="9"/>
      <c r="K277" s="9"/>
      <c r="L277" s="9"/>
      <c r="M277" s="9"/>
      <c r="N277" s="186" t="s">
        <v>249</v>
      </c>
      <c r="O277" s="160" t="s">
        <v>249</v>
      </c>
      <c r="P277" s="63" t="s">
        <v>250</v>
      </c>
      <c r="X277" s="845"/>
      <c r="Y277" s="845"/>
      <c r="AA277" s="845"/>
      <c r="AB277" s="845"/>
      <c r="AC277" s="846"/>
      <c r="AD277" s="846"/>
      <c r="AE277" s="845"/>
      <c r="AF277" s="846"/>
    </row>
    <row r="278" spans="1:32" s="16" customFormat="1" hidden="1">
      <c r="A278" s="340" t="s">
        <v>144</v>
      </c>
      <c r="B278" s="34" t="s">
        <v>251</v>
      </c>
      <c r="C278" s="40" t="s">
        <v>139</v>
      </c>
      <c r="D278" s="34" t="s">
        <v>139</v>
      </c>
      <c r="E278" s="867">
        <f>(1-0.004)*0.0001/100</f>
        <v>9.9600000000000008E-7</v>
      </c>
      <c r="F278" s="69">
        <v>2</v>
      </c>
      <c r="G278" s="867" t="s">
        <v>252</v>
      </c>
      <c r="H278" s="29">
        <v>2</v>
      </c>
      <c r="I278" s="9">
        <v>1</v>
      </c>
      <c r="J278" s="9">
        <v>2</v>
      </c>
      <c r="K278" s="9">
        <v>3</v>
      </c>
      <c r="L278" s="9">
        <v>3</v>
      </c>
      <c r="M278" s="9">
        <v>1</v>
      </c>
      <c r="N278" s="186">
        <v>0.60108474454521421</v>
      </c>
      <c r="O278" s="160">
        <v>0.60108474454521421</v>
      </c>
      <c r="P278" s="63"/>
    </row>
    <row r="279" spans="1:32" s="16" customFormat="1" hidden="1">
      <c r="A279" s="340" t="s">
        <v>144</v>
      </c>
      <c r="B279" s="34" t="s">
        <v>251</v>
      </c>
      <c r="C279" s="40" t="s">
        <v>139</v>
      </c>
      <c r="D279" s="34" t="s">
        <v>139</v>
      </c>
      <c r="E279" s="867">
        <f>(1-0.004)*0.04/100</f>
        <v>3.9839999999999998E-4</v>
      </c>
      <c r="F279" s="69">
        <v>2</v>
      </c>
      <c r="G279" s="867" t="s">
        <v>252</v>
      </c>
      <c r="H279" s="29">
        <v>2</v>
      </c>
      <c r="I279" s="9">
        <v>1</v>
      </c>
      <c r="J279" s="9">
        <v>2</v>
      </c>
      <c r="K279" s="9">
        <v>3</v>
      </c>
      <c r="L279" s="9">
        <v>3</v>
      </c>
      <c r="M279" s="9">
        <v>1</v>
      </c>
      <c r="N279" s="186">
        <v>0.60108474454521421</v>
      </c>
      <c r="O279" s="160">
        <v>0.60108474454521421</v>
      </c>
      <c r="P279" s="63"/>
    </row>
    <row r="280" spans="1:32" s="16" customFormat="1" hidden="1">
      <c r="A280" s="340" t="s">
        <v>144</v>
      </c>
      <c r="B280" s="69" t="s">
        <v>184</v>
      </c>
      <c r="C280" s="40" t="s">
        <v>139</v>
      </c>
      <c r="D280" s="34" t="s">
        <v>139</v>
      </c>
      <c r="E280" s="868">
        <v>0</v>
      </c>
      <c r="F280" s="869">
        <v>1</v>
      </c>
      <c r="G280" s="867" t="s">
        <v>253</v>
      </c>
      <c r="H280" s="29"/>
      <c r="I280" s="9"/>
      <c r="J280" s="9"/>
      <c r="K280" s="9"/>
      <c r="L280" s="9"/>
      <c r="M280" s="9"/>
      <c r="N280" s="186" t="s">
        <v>249</v>
      </c>
      <c r="O280" s="160" t="s">
        <v>249</v>
      </c>
      <c r="P280" s="63"/>
    </row>
    <row r="281" spans="1:32" s="16" customFormat="1" hidden="1">
      <c r="A281" s="340" t="s">
        <v>144</v>
      </c>
      <c r="B281" s="34" t="s">
        <v>254</v>
      </c>
      <c r="C281" s="40" t="s">
        <v>139</v>
      </c>
      <c r="D281" s="34" t="s">
        <v>139</v>
      </c>
      <c r="E281" s="867">
        <f>0.004*0.0001/100</f>
        <v>4.0000000000000002E-9</v>
      </c>
      <c r="F281" s="69">
        <v>2</v>
      </c>
      <c r="G281" s="867" t="s">
        <v>252</v>
      </c>
      <c r="H281" s="29">
        <v>2</v>
      </c>
      <c r="I281" s="9">
        <v>1</v>
      </c>
      <c r="J281" s="9">
        <v>2</v>
      </c>
      <c r="K281" s="9">
        <v>3</v>
      </c>
      <c r="L281" s="9">
        <v>3</v>
      </c>
      <c r="M281" s="9">
        <v>1</v>
      </c>
      <c r="N281" s="186">
        <v>0.60108474454521421</v>
      </c>
      <c r="O281" s="160">
        <v>0.60108474454521421</v>
      </c>
      <c r="P281" s="63"/>
    </row>
    <row r="282" spans="1:32" s="16" customFormat="1" hidden="1">
      <c r="A282" s="340" t="s">
        <v>144</v>
      </c>
      <c r="B282" s="34" t="s">
        <v>254</v>
      </c>
      <c r="C282" s="40" t="s">
        <v>139</v>
      </c>
      <c r="D282" s="34" t="s">
        <v>139</v>
      </c>
      <c r="E282" s="867">
        <f>0.004*0.04/100</f>
        <v>1.6000000000000001E-6</v>
      </c>
      <c r="F282" s="69">
        <v>2</v>
      </c>
      <c r="G282" s="867" t="s">
        <v>252</v>
      </c>
      <c r="H282" s="29">
        <v>2</v>
      </c>
      <c r="I282" s="9">
        <v>1</v>
      </c>
      <c r="J282" s="9">
        <v>2</v>
      </c>
      <c r="K282" s="9">
        <v>3</v>
      </c>
      <c r="L282" s="9">
        <v>3</v>
      </c>
      <c r="M282" s="9">
        <v>1</v>
      </c>
      <c r="N282" s="186">
        <v>0.60108474454521421</v>
      </c>
      <c r="O282" s="160">
        <v>0.60108474454521421</v>
      </c>
      <c r="P282" s="63"/>
    </row>
    <row r="283" spans="1:32" s="16" customFormat="1" hidden="1">
      <c r="A283" s="340" t="s">
        <v>144</v>
      </c>
      <c r="B283" s="69" t="s">
        <v>179</v>
      </c>
      <c r="C283" s="40" t="s">
        <v>139</v>
      </c>
      <c r="D283" s="34" t="s">
        <v>139</v>
      </c>
      <c r="E283" s="868">
        <v>0.1</v>
      </c>
      <c r="F283" s="869">
        <v>1</v>
      </c>
      <c r="G283" s="867" t="s">
        <v>255</v>
      </c>
      <c r="H283" s="29">
        <v>2</v>
      </c>
      <c r="I283" s="9">
        <v>2</v>
      </c>
      <c r="J283" s="9">
        <v>2</v>
      </c>
      <c r="K283" s="9">
        <v>3</v>
      </c>
      <c r="L283" s="9">
        <v>1</v>
      </c>
      <c r="M283" s="9">
        <v>1</v>
      </c>
      <c r="N283" s="186">
        <v>0.38795788889711302</v>
      </c>
      <c r="O283" s="160">
        <v>0.38795788889711302</v>
      </c>
      <c r="P283" s="63"/>
    </row>
    <row r="284" spans="1:32" hidden="1">
      <c r="A284" s="152" t="s">
        <v>112</v>
      </c>
      <c r="B284" s="34" t="s">
        <v>189</v>
      </c>
      <c r="C284" s="40" t="s">
        <v>139</v>
      </c>
      <c r="D284" s="34" t="s">
        <v>88</v>
      </c>
      <c r="E284" s="260">
        <v>0</v>
      </c>
      <c r="F284" s="235">
        <v>1</v>
      </c>
      <c r="G284" s="40"/>
      <c r="H284" s="29"/>
      <c r="I284" s="9"/>
      <c r="J284" s="9"/>
      <c r="K284" s="9"/>
      <c r="L284" s="9"/>
      <c r="M284" s="9"/>
      <c r="N284" s="186" t="str">
        <f t="shared" ref="N284:N312" si="20">IF( OR( ISBLANK(H284),ISBLANK(J284), ISBLANK(K284), ISBLANK(L284), ISBLANK(M284) ), "", 1.5*SQRT(   EXP(2.21*(H284-1)) + EXP(2.21*(J284-1)) + EXP(2.21*(K284-1)) + EXP(2.21*(L284-1)) + EXP(2.21*M284)   )/100*2.45 )</f>
        <v/>
      </c>
      <c r="O284" s="160" t="str">
        <f t="shared" ref="O284:O312" si="21">IF( OR( ISBLANK(I284),ISBLANK(J284), ISBLANK(K284), ISBLANK(L284), ISBLANK(M284) ), "", 1.5*SQRT( EXP(2.21*(I284-1)) + EXP(2.21*(J284-1)) + EXP(2.21*(K284-1)) + EXP(2.21*(L284-1)) + EXP(2.21*M284)   )/100*2.45 )</f>
        <v/>
      </c>
      <c r="P284" s="63"/>
    </row>
    <row r="285" spans="1:32" hidden="1">
      <c r="A285" s="152" t="s">
        <v>112</v>
      </c>
      <c r="B285" s="34" t="s">
        <v>189</v>
      </c>
      <c r="C285" s="40" t="s">
        <v>139</v>
      </c>
      <c r="D285" s="34" t="s">
        <v>89</v>
      </c>
      <c r="E285" s="260">
        <v>0</v>
      </c>
      <c r="F285" s="235">
        <v>1</v>
      </c>
      <c r="G285" s="40"/>
      <c r="H285" s="29"/>
      <c r="I285" s="9"/>
      <c r="J285" s="9"/>
      <c r="K285" s="9"/>
      <c r="L285" s="9"/>
      <c r="M285" s="9"/>
      <c r="N285" s="186" t="str">
        <f t="shared" si="20"/>
        <v/>
      </c>
      <c r="O285" s="160" t="str">
        <f t="shared" si="21"/>
        <v/>
      </c>
      <c r="P285" s="63"/>
    </row>
    <row r="286" spans="1:32" hidden="1">
      <c r="A286" s="152" t="s">
        <v>109</v>
      </c>
      <c r="B286" s="34" t="s">
        <v>256</v>
      </c>
      <c r="C286" s="40" t="s">
        <v>139</v>
      </c>
      <c r="D286" s="34" t="s">
        <v>139</v>
      </c>
      <c r="E286" s="260" t="s">
        <v>150</v>
      </c>
      <c r="F286" s="34">
        <v>1</v>
      </c>
      <c r="G286" s="40"/>
      <c r="H286" s="29">
        <v>1</v>
      </c>
      <c r="I286" s="9"/>
      <c r="J286" s="9">
        <v>1</v>
      </c>
      <c r="K286" s="9">
        <v>1</v>
      </c>
      <c r="L286" s="9">
        <v>2</v>
      </c>
      <c r="M286" s="9">
        <v>2</v>
      </c>
      <c r="N286" s="186">
        <f t="shared" si="20"/>
        <v>0.35859414261160716</v>
      </c>
      <c r="O286" s="160" t="str">
        <f t="shared" si="21"/>
        <v/>
      </c>
      <c r="P286" s="63"/>
    </row>
    <row r="287" spans="1:32">
      <c r="A287" s="152" t="s">
        <v>114</v>
      </c>
      <c r="B287" s="34" t="s">
        <v>256</v>
      </c>
      <c r="C287" s="40" t="s">
        <v>139</v>
      </c>
      <c r="D287" s="34" t="s">
        <v>139</v>
      </c>
      <c r="E287" s="260">
        <v>1</v>
      </c>
      <c r="F287" s="34">
        <v>1</v>
      </c>
      <c r="G287" s="40"/>
      <c r="H287" s="29">
        <v>1</v>
      </c>
      <c r="I287" s="9"/>
      <c r="J287" s="9">
        <v>1</v>
      </c>
      <c r="K287" s="9">
        <v>1</v>
      </c>
      <c r="L287" s="9">
        <v>2</v>
      </c>
      <c r="M287" s="9">
        <v>2</v>
      </c>
      <c r="N287" s="186">
        <f t="shared" si="20"/>
        <v>0.35859414261160716</v>
      </c>
      <c r="O287" s="160" t="str">
        <f t="shared" si="21"/>
        <v/>
      </c>
      <c r="P287" s="63"/>
    </row>
    <row r="288" spans="1:32" hidden="1">
      <c r="A288" s="152" t="s">
        <v>254</v>
      </c>
      <c r="B288" s="34" t="s">
        <v>251</v>
      </c>
      <c r="C288" s="40" t="s">
        <v>139</v>
      </c>
      <c r="D288" s="34" t="s">
        <v>139</v>
      </c>
      <c r="E288" s="260">
        <v>0.3</v>
      </c>
      <c r="F288" s="235">
        <v>2</v>
      </c>
      <c r="G288" s="40" t="s">
        <v>257</v>
      </c>
      <c r="H288" s="29">
        <v>2</v>
      </c>
      <c r="I288" s="9">
        <v>2</v>
      </c>
      <c r="J288" s="9">
        <v>1</v>
      </c>
      <c r="K288" s="9">
        <v>1</v>
      </c>
      <c r="L288" s="9">
        <v>1</v>
      </c>
      <c r="M288" s="9">
        <v>3</v>
      </c>
      <c r="N288" s="186">
        <f t="shared" si="20"/>
        <v>1.0195048044558224</v>
      </c>
      <c r="O288" s="160">
        <f t="shared" si="21"/>
        <v>1.0195048044558224</v>
      </c>
      <c r="P288" s="63"/>
    </row>
    <row r="289" spans="1:16" hidden="1">
      <c r="A289" s="152" t="s">
        <v>254</v>
      </c>
      <c r="B289" s="34" t="s">
        <v>258</v>
      </c>
      <c r="C289" s="40" t="s">
        <v>139</v>
      </c>
      <c r="D289" s="34" t="s">
        <v>139</v>
      </c>
      <c r="E289" s="260">
        <v>0.1</v>
      </c>
      <c r="F289" s="235">
        <v>2</v>
      </c>
      <c r="G289" s="40" t="s">
        <v>257</v>
      </c>
      <c r="H289" s="29">
        <v>2</v>
      </c>
      <c r="I289" s="9">
        <v>2</v>
      </c>
      <c r="J289" s="9">
        <v>1</v>
      </c>
      <c r="K289" s="9">
        <v>1</v>
      </c>
      <c r="L289" s="9">
        <v>1</v>
      </c>
      <c r="M289" s="9">
        <v>3</v>
      </c>
      <c r="N289" s="186">
        <f t="shared" si="20"/>
        <v>1.0195048044558224</v>
      </c>
      <c r="O289" s="160">
        <f t="shared" si="21"/>
        <v>1.0195048044558224</v>
      </c>
      <c r="P289" s="63"/>
    </row>
    <row r="290" spans="1:16" hidden="1">
      <c r="A290" s="152" t="s">
        <v>254</v>
      </c>
      <c r="B290" s="34" t="s">
        <v>215</v>
      </c>
      <c r="C290" s="40" t="s">
        <v>139</v>
      </c>
      <c r="D290" s="34" t="s">
        <v>139</v>
      </c>
      <c r="E290" s="260">
        <v>0.6</v>
      </c>
      <c r="F290" s="235">
        <v>2</v>
      </c>
      <c r="G290" s="40" t="s">
        <v>257</v>
      </c>
      <c r="H290" s="29">
        <v>2</v>
      </c>
      <c r="I290" s="9">
        <v>2</v>
      </c>
      <c r="J290" s="9">
        <v>1</v>
      </c>
      <c r="K290" s="9">
        <v>1</v>
      </c>
      <c r="L290" s="9">
        <v>1</v>
      </c>
      <c r="M290" s="9">
        <v>3</v>
      </c>
      <c r="N290" s="186">
        <f t="shared" si="20"/>
        <v>1.0195048044558224</v>
      </c>
      <c r="O290" s="160">
        <f t="shared" si="21"/>
        <v>1.0195048044558224</v>
      </c>
      <c r="P290" s="63"/>
    </row>
    <row r="291" spans="1:16" hidden="1">
      <c r="A291" s="152" t="s">
        <v>259</v>
      </c>
      <c r="B291" s="34" t="s">
        <v>260</v>
      </c>
      <c r="C291" s="40" t="s">
        <v>139</v>
      </c>
      <c r="D291" s="34" t="s">
        <v>139</v>
      </c>
      <c r="E291" s="260" t="s">
        <v>150</v>
      </c>
      <c r="F291" s="34">
        <v>1</v>
      </c>
      <c r="G291" s="40"/>
      <c r="H291" s="29"/>
      <c r="I291" s="9"/>
      <c r="J291" s="9"/>
      <c r="K291" s="9"/>
      <c r="L291" s="9"/>
      <c r="M291" s="9"/>
      <c r="N291" s="186" t="str">
        <f t="shared" si="20"/>
        <v/>
      </c>
      <c r="O291" s="160" t="str">
        <f t="shared" si="21"/>
        <v/>
      </c>
      <c r="P291" s="63"/>
    </row>
    <row r="292" spans="1:16" hidden="1">
      <c r="A292" s="152" t="s">
        <v>264</v>
      </c>
      <c r="B292" s="34" t="s">
        <v>265</v>
      </c>
      <c r="C292" s="40" t="s">
        <v>139</v>
      </c>
      <c r="D292" s="34" t="s">
        <v>139</v>
      </c>
      <c r="E292" s="260">
        <v>1</v>
      </c>
      <c r="F292" s="235">
        <v>2</v>
      </c>
      <c r="G292" s="40"/>
      <c r="H292" s="29">
        <v>3</v>
      </c>
      <c r="I292" s="9"/>
      <c r="J292" s="9">
        <v>3</v>
      </c>
      <c r="K292" s="9">
        <v>3</v>
      </c>
      <c r="L292" s="9">
        <v>3</v>
      </c>
      <c r="M292" s="9">
        <v>3</v>
      </c>
      <c r="N292" s="186">
        <f t="shared" si="20"/>
        <v>1.2132328390150593</v>
      </c>
      <c r="O292" s="160" t="str">
        <f t="shared" si="21"/>
        <v/>
      </c>
      <c r="P292" s="63"/>
    </row>
    <row r="293" spans="1:16" hidden="1">
      <c r="A293" s="152" t="s">
        <v>264</v>
      </c>
      <c r="B293" s="34" t="s">
        <v>265</v>
      </c>
      <c r="C293" s="40" t="s">
        <v>139</v>
      </c>
      <c r="D293" s="34" t="s">
        <v>139</v>
      </c>
      <c r="E293" s="260">
        <v>0</v>
      </c>
      <c r="F293" s="235">
        <v>2</v>
      </c>
      <c r="G293" s="40"/>
      <c r="H293" s="29"/>
      <c r="I293" s="9"/>
      <c r="J293" s="9"/>
      <c r="K293" s="9"/>
      <c r="L293" s="9"/>
      <c r="M293" s="9"/>
      <c r="N293" s="186" t="str">
        <f t="shared" si="20"/>
        <v/>
      </c>
      <c r="O293" s="160" t="str">
        <f t="shared" si="21"/>
        <v/>
      </c>
      <c r="P293" s="63"/>
    </row>
    <row r="294" spans="1:16" hidden="1">
      <c r="A294" s="152" t="s">
        <v>264</v>
      </c>
      <c r="B294" s="34" t="s">
        <v>209</v>
      </c>
      <c r="C294" s="40" t="s">
        <v>139</v>
      </c>
      <c r="D294" s="34" t="s">
        <v>139</v>
      </c>
      <c r="E294" s="260" t="s">
        <v>150</v>
      </c>
      <c r="F294" s="235">
        <v>1</v>
      </c>
      <c r="G294" s="40"/>
      <c r="H294" s="29"/>
      <c r="I294" s="9"/>
      <c r="J294" s="9"/>
      <c r="K294" s="9"/>
      <c r="L294" s="9"/>
      <c r="M294" s="9"/>
      <c r="N294" s="186" t="str">
        <f t="shared" si="20"/>
        <v/>
      </c>
      <c r="O294" s="160" t="str">
        <f t="shared" si="21"/>
        <v/>
      </c>
      <c r="P294" s="63"/>
    </row>
    <row r="295" spans="1:16" hidden="1">
      <c r="A295" s="152" t="s">
        <v>266</v>
      </c>
      <c r="B295" s="34" t="s">
        <v>258</v>
      </c>
      <c r="C295" s="40" t="s">
        <v>139</v>
      </c>
      <c r="D295" s="34" t="s">
        <v>139</v>
      </c>
      <c r="E295" s="260">
        <v>1</v>
      </c>
      <c r="F295" s="235">
        <v>2</v>
      </c>
      <c r="G295" s="40"/>
      <c r="H295" s="29">
        <v>3</v>
      </c>
      <c r="I295" s="9"/>
      <c r="J295" s="9">
        <v>3</v>
      </c>
      <c r="K295" s="9">
        <v>3</v>
      </c>
      <c r="L295" s="9">
        <v>3</v>
      </c>
      <c r="M295" s="9">
        <v>3</v>
      </c>
      <c r="N295" s="186">
        <f t="shared" si="20"/>
        <v>1.2132328390150593</v>
      </c>
      <c r="O295" s="160" t="str">
        <f t="shared" si="21"/>
        <v/>
      </c>
      <c r="P295" s="63"/>
    </row>
    <row r="296" spans="1:16" hidden="1">
      <c r="A296" s="152" t="s">
        <v>266</v>
      </c>
      <c r="B296" s="34" t="s">
        <v>258</v>
      </c>
      <c r="C296" s="40" t="s">
        <v>139</v>
      </c>
      <c r="D296" s="34" t="s">
        <v>139</v>
      </c>
      <c r="E296" s="260">
        <v>0</v>
      </c>
      <c r="F296" s="235">
        <v>2</v>
      </c>
      <c r="G296" s="40"/>
      <c r="H296" s="29"/>
      <c r="I296" s="9"/>
      <c r="J296" s="9"/>
      <c r="K296" s="9"/>
      <c r="L296" s="9"/>
      <c r="M296" s="9"/>
      <c r="N296" s="186" t="str">
        <f t="shared" si="20"/>
        <v/>
      </c>
      <c r="O296" s="160" t="str">
        <f t="shared" si="21"/>
        <v/>
      </c>
      <c r="P296" s="63"/>
    </row>
    <row r="297" spans="1:16" hidden="1">
      <c r="A297" s="152" t="s">
        <v>266</v>
      </c>
      <c r="B297" s="34" t="s">
        <v>215</v>
      </c>
      <c r="C297" s="40" t="s">
        <v>139</v>
      </c>
      <c r="D297" s="34" t="s">
        <v>139</v>
      </c>
      <c r="E297" s="260" t="s">
        <v>150</v>
      </c>
      <c r="F297" s="235">
        <v>1</v>
      </c>
      <c r="G297" s="40"/>
      <c r="H297" s="29"/>
      <c r="I297" s="9"/>
      <c r="J297" s="9"/>
      <c r="K297" s="9"/>
      <c r="L297" s="9"/>
      <c r="M297" s="9"/>
      <c r="N297" s="186" t="str">
        <f t="shared" si="20"/>
        <v/>
      </c>
      <c r="O297" s="160" t="str">
        <f t="shared" si="21"/>
        <v/>
      </c>
      <c r="P297" s="63"/>
    </row>
    <row r="298" spans="1:16" hidden="1">
      <c r="A298" s="152" t="s">
        <v>256</v>
      </c>
      <c r="B298" s="34" t="s">
        <v>267</v>
      </c>
      <c r="C298" s="40" t="s">
        <v>180</v>
      </c>
      <c r="D298" s="69" t="s">
        <v>85</v>
      </c>
      <c r="E298" s="867">
        <v>0.89414414414414412</v>
      </c>
      <c r="F298" s="34">
        <v>1</v>
      </c>
      <c r="G298" s="344" t="s">
        <v>110</v>
      </c>
      <c r="H298" s="29">
        <v>1</v>
      </c>
      <c r="I298" s="9"/>
      <c r="J298" s="9">
        <v>1</v>
      </c>
      <c r="K298" s="9">
        <v>1</v>
      </c>
      <c r="L298" s="9">
        <v>2</v>
      </c>
      <c r="M298" s="9">
        <v>2</v>
      </c>
      <c r="N298" s="186">
        <f t="shared" si="20"/>
        <v>0.35859414261160716</v>
      </c>
      <c r="O298" s="160" t="str">
        <f t="shared" si="21"/>
        <v/>
      </c>
      <c r="P298" s="63"/>
    </row>
    <row r="299" spans="1:16" hidden="1">
      <c r="A299" s="152" t="s">
        <v>256</v>
      </c>
      <c r="B299" s="34" t="s">
        <v>267</v>
      </c>
      <c r="C299" s="40" t="s">
        <v>180</v>
      </c>
      <c r="D299" s="69" t="s">
        <v>86</v>
      </c>
      <c r="E299" s="867">
        <v>0.84514925373134331</v>
      </c>
      <c r="F299" s="34">
        <v>1</v>
      </c>
      <c r="G299" s="344" t="s">
        <v>110</v>
      </c>
      <c r="H299" s="29">
        <v>1</v>
      </c>
      <c r="I299" s="9"/>
      <c r="J299" s="9">
        <v>1</v>
      </c>
      <c r="K299" s="9">
        <v>1</v>
      </c>
      <c r="L299" s="9">
        <v>2</v>
      </c>
      <c r="M299" s="9">
        <v>2</v>
      </c>
      <c r="N299" s="186">
        <f t="shared" si="20"/>
        <v>0.35859414261160716</v>
      </c>
      <c r="O299" s="160" t="str">
        <f t="shared" si="21"/>
        <v/>
      </c>
      <c r="P299" s="63"/>
    </row>
    <row r="300" spans="1:16" hidden="1">
      <c r="A300" s="152" t="s">
        <v>256</v>
      </c>
      <c r="B300" s="34" t="s">
        <v>267</v>
      </c>
      <c r="C300" s="40" t="s">
        <v>180</v>
      </c>
      <c r="D300" s="69" t="s">
        <v>87</v>
      </c>
      <c r="E300" s="867">
        <v>0.2164781906300485</v>
      </c>
      <c r="F300" s="34">
        <v>1</v>
      </c>
      <c r="G300" s="344" t="s">
        <v>110</v>
      </c>
      <c r="H300" s="29">
        <v>1</v>
      </c>
      <c r="I300" s="9"/>
      <c r="J300" s="9">
        <v>1</v>
      </c>
      <c r="K300" s="9">
        <v>1</v>
      </c>
      <c r="L300" s="9">
        <v>2</v>
      </c>
      <c r="M300" s="9">
        <v>2</v>
      </c>
      <c r="N300" s="186">
        <f t="shared" si="20"/>
        <v>0.35859414261160716</v>
      </c>
      <c r="O300" s="160" t="str">
        <f t="shared" si="21"/>
        <v/>
      </c>
      <c r="P300" s="63"/>
    </row>
    <row r="301" spans="1:16" hidden="1">
      <c r="A301" s="152" t="s">
        <v>256</v>
      </c>
      <c r="B301" s="34" t="s">
        <v>267</v>
      </c>
      <c r="C301" s="40" t="s">
        <v>180</v>
      </c>
      <c r="D301" s="69" t="s">
        <v>88</v>
      </c>
      <c r="E301" s="867">
        <v>0.14782608695652169</v>
      </c>
      <c r="F301" s="34">
        <v>1</v>
      </c>
      <c r="G301" s="344" t="s">
        <v>110</v>
      </c>
      <c r="H301" s="29">
        <v>1</v>
      </c>
      <c r="I301" s="9"/>
      <c r="J301" s="9">
        <v>1</v>
      </c>
      <c r="K301" s="9">
        <v>1</v>
      </c>
      <c r="L301" s="9">
        <v>2</v>
      </c>
      <c r="M301" s="9">
        <v>2</v>
      </c>
      <c r="N301" s="186">
        <f t="shared" si="20"/>
        <v>0.35859414261160716</v>
      </c>
      <c r="O301" s="160" t="str">
        <f t="shared" si="21"/>
        <v/>
      </c>
      <c r="P301" s="63"/>
    </row>
    <row r="302" spans="1:16" hidden="1">
      <c r="A302" s="152" t="s">
        <v>256</v>
      </c>
      <c r="B302" s="34" t="s">
        <v>267</v>
      </c>
      <c r="C302" s="40" t="s">
        <v>180</v>
      </c>
      <c r="D302" s="69" t="s">
        <v>89</v>
      </c>
      <c r="E302" s="867">
        <v>0.66574585635359118</v>
      </c>
      <c r="F302" s="34">
        <v>1</v>
      </c>
      <c r="G302" s="344" t="s">
        <v>110</v>
      </c>
      <c r="H302" s="29">
        <v>1</v>
      </c>
      <c r="I302" s="9"/>
      <c r="J302" s="9">
        <v>1</v>
      </c>
      <c r="K302" s="9">
        <v>1</v>
      </c>
      <c r="L302" s="9">
        <v>2</v>
      </c>
      <c r="M302" s="9">
        <v>2</v>
      </c>
      <c r="N302" s="186">
        <f t="shared" si="20"/>
        <v>0.35859414261160716</v>
      </c>
      <c r="O302" s="160" t="str">
        <f t="shared" si="21"/>
        <v/>
      </c>
      <c r="P302" s="63"/>
    </row>
    <row r="303" spans="1:16" hidden="1">
      <c r="A303" s="152" t="s">
        <v>256</v>
      </c>
      <c r="B303" s="34" t="s">
        <v>267</v>
      </c>
      <c r="C303" s="40" t="s">
        <v>180</v>
      </c>
      <c r="D303" s="69" t="s">
        <v>90</v>
      </c>
      <c r="E303" s="867">
        <v>0.85006045949214026</v>
      </c>
      <c r="F303" s="34">
        <v>1</v>
      </c>
      <c r="G303" s="344" t="s">
        <v>110</v>
      </c>
      <c r="H303" s="29">
        <v>1</v>
      </c>
      <c r="I303" s="9"/>
      <c r="J303" s="9">
        <v>1</v>
      </c>
      <c r="K303" s="9">
        <v>1</v>
      </c>
      <c r="L303" s="9">
        <v>2</v>
      </c>
      <c r="M303" s="9">
        <v>2</v>
      </c>
      <c r="N303" s="186">
        <f t="shared" si="20"/>
        <v>0.35859414261160716</v>
      </c>
      <c r="O303" s="160" t="str">
        <f t="shared" si="21"/>
        <v/>
      </c>
      <c r="P303" s="63"/>
    </row>
    <row r="304" spans="1:16" hidden="1">
      <c r="A304" s="152" t="s">
        <v>256</v>
      </c>
      <c r="B304" s="34" t="s">
        <v>267</v>
      </c>
      <c r="C304" s="40" t="s">
        <v>180</v>
      </c>
      <c r="D304" s="69" t="s">
        <v>91</v>
      </c>
      <c r="E304" s="867">
        <v>1</v>
      </c>
      <c r="F304" s="34">
        <v>1</v>
      </c>
      <c r="G304" s="344" t="s">
        <v>110</v>
      </c>
      <c r="H304" s="29">
        <v>1</v>
      </c>
      <c r="I304" s="9"/>
      <c r="J304" s="9">
        <v>1</v>
      </c>
      <c r="K304" s="9">
        <v>1</v>
      </c>
      <c r="L304" s="9">
        <v>2</v>
      </c>
      <c r="M304" s="9">
        <v>2</v>
      </c>
      <c r="N304" s="186">
        <f t="shared" si="20"/>
        <v>0.35859414261160716</v>
      </c>
      <c r="O304" s="160" t="str">
        <f t="shared" si="21"/>
        <v/>
      </c>
      <c r="P304" s="63"/>
    </row>
    <row r="305" spans="1:16" hidden="1">
      <c r="A305" s="152" t="s">
        <v>37</v>
      </c>
      <c r="B305" s="34" t="s">
        <v>159</v>
      </c>
      <c r="C305" s="40" t="s">
        <v>139</v>
      </c>
      <c r="D305" s="34" t="s">
        <v>85</v>
      </c>
      <c r="E305" s="260">
        <f>Intentionally_produced_MPs!H127</f>
        <v>0</v>
      </c>
      <c r="F305" s="235">
        <v>1</v>
      </c>
      <c r="G305" s="40"/>
      <c r="H305" s="29"/>
      <c r="I305" s="9"/>
      <c r="J305" s="9"/>
      <c r="K305" s="9"/>
      <c r="L305" s="9"/>
      <c r="M305" s="9"/>
      <c r="N305" s="186" t="str">
        <f t="shared" si="20"/>
        <v/>
      </c>
      <c r="O305" s="160" t="str">
        <f t="shared" si="21"/>
        <v/>
      </c>
      <c r="P305" s="63"/>
    </row>
    <row r="306" spans="1:16" hidden="1">
      <c r="A306" s="152" t="s">
        <v>37</v>
      </c>
      <c r="B306" s="34" t="s">
        <v>159</v>
      </c>
      <c r="C306" s="40" t="s">
        <v>139</v>
      </c>
      <c r="D306" s="34" t="s">
        <v>86</v>
      </c>
      <c r="E306" s="260">
        <f>Intentionally_produced_MPs!H128</f>
        <v>0.56875626926941902</v>
      </c>
      <c r="F306" s="235">
        <v>1</v>
      </c>
      <c r="G306" s="40"/>
      <c r="H306" s="29">
        <v>3</v>
      </c>
      <c r="I306" s="9">
        <v>2</v>
      </c>
      <c r="J306" s="9">
        <v>3</v>
      </c>
      <c r="K306" s="9">
        <v>3</v>
      </c>
      <c r="L306" s="9">
        <v>3</v>
      </c>
      <c r="M306" s="9">
        <v>3</v>
      </c>
      <c r="N306" s="186">
        <f t="shared" si="20"/>
        <v>1.2132328390150593</v>
      </c>
      <c r="O306" s="160">
        <f t="shared" si="21"/>
        <v>1.1713319510247036</v>
      </c>
      <c r="P306" s="63"/>
    </row>
    <row r="307" spans="1:16" hidden="1">
      <c r="A307" s="152" t="s">
        <v>37</v>
      </c>
      <c r="B307" s="34" t="s">
        <v>159</v>
      </c>
      <c r="C307" s="40" t="s">
        <v>139</v>
      </c>
      <c r="D307" s="34" t="s">
        <v>87</v>
      </c>
      <c r="E307" s="260">
        <f>Intentionally_produced_MPs!H129</f>
        <v>0</v>
      </c>
      <c r="F307" s="235">
        <v>1</v>
      </c>
      <c r="G307" s="40"/>
      <c r="H307" s="29"/>
      <c r="I307" s="9"/>
      <c r="J307" s="9"/>
      <c r="K307" s="9"/>
      <c r="L307" s="9"/>
      <c r="M307" s="9"/>
      <c r="N307" s="186" t="str">
        <f t="shared" si="20"/>
        <v/>
      </c>
      <c r="O307" s="160" t="str">
        <f t="shared" si="21"/>
        <v/>
      </c>
      <c r="P307" s="63"/>
    </row>
    <row r="308" spans="1:16" hidden="1">
      <c r="A308" s="152" t="s">
        <v>37</v>
      </c>
      <c r="B308" s="34" t="s">
        <v>159</v>
      </c>
      <c r="C308" s="40" t="s">
        <v>139</v>
      </c>
      <c r="D308" s="34" t="s">
        <v>88</v>
      </c>
      <c r="E308" s="260">
        <f>Intentionally_produced_MPs!H130</f>
        <v>0</v>
      </c>
      <c r="F308" s="235">
        <v>1</v>
      </c>
      <c r="G308" s="40"/>
      <c r="H308" s="29"/>
      <c r="I308" s="9"/>
      <c r="J308" s="9"/>
      <c r="K308" s="9"/>
      <c r="L308" s="9"/>
      <c r="M308" s="9"/>
      <c r="N308" s="186" t="str">
        <f t="shared" si="20"/>
        <v/>
      </c>
      <c r="O308" s="160" t="str">
        <f t="shared" si="21"/>
        <v/>
      </c>
      <c r="P308" s="63"/>
    </row>
    <row r="309" spans="1:16" hidden="1">
      <c r="A309" s="152" t="s">
        <v>37</v>
      </c>
      <c r="B309" s="34" t="s">
        <v>159</v>
      </c>
      <c r="C309" s="40" t="s">
        <v>139</v>
      </c>
      <c r="D309" s="34" t="s">
        <v>89</v>
      </c>
      <c r="E309" s="260">
        <f>Intentionally_produced_MPs!H131</f>
        <v>0</v>
      </c>
      <c r="F309" s="235">
        <v>1</v>
      </c>
      <c r="G309" s="40"/>
      <c r="H309" s="29"/>
      <c r="I309" s="9"/>
      <c r="J309" s="9"/>
      <c r="K309" s="9"/>
      <c r="L309" s="9"/>
      <c r="M309" s="9"/>
      <c r="N309" s="186" t="str">
        <f t="shared" si="20"/>
        <v/>
      </c>
      <c r="O309" s="160" t="str">
        <f t="shared" si="21"/>
        <v/>
      </c>
      <c r="P309" s="63"/>
    </row>
    <row r="310" spans="1:16" hidden="1">
      <c r="A310" s="152" t="s">
        <v>37</v>
      </c>
      <c r="B310" s="34" t="s">
        <v>159</v>
      </c>
      <c r="C310" s="40" t="s">
        <v>139</v>
      </c>
      <c r="D310" s="34" t="s">
        <v>90</v>
      </c>
      <c r="E310" s="260">
        <f>Intentionally_produced_MPs!H132</f>
        <v>0</v>
      </c>
      <c r="F310" s="235">
        <v>1</v>
      </c>
      <c r="G310" s="40"/>
      <c r="H310" s="29"/>
      <c r="I310" s="9"/>
      <c r="J310" s="9"/>
      <c r="K310" s="9"/>
      <c r="L310" s="9"/>
      <c r="M310" s="9"/>
      <c r="N310" s="186" t="str">
        <f t="shared" si="20"/>
        <v/>
      </c>
      <c r="O310" s="160" t="str">
        <f t="shared" si="21"/>
        <v/>
      </c>
      <c r="P310" s="63"/>
    </row>
    <row r="311" spans="1:16" hidden="1">
      <c r="A311" s="152" t="s">
        <v>37</v>
      </c>
      <c r="B311" s="34" t="s">
        <v>159</v>
      </c>
      <c r="C311" s="40" t="s">
        <v>139</v>
      </c>
      <c r="D311" s="34" t="s">
        <v>91</v>
      </c>
      <c r="E311" s="260">
        <f>Intentionally_produced_MPs!H133</f>
        <v>0</v>
      </c>
      <c r="F311" s="235">
        <v>1</v>
      </c>
      <c r="G311" s="40"/>
      <c r="H311" s="29"/>
      <c r="I311" s="9"/>
      <c r="J311" s="9"/>
      <c r="K311" s="9"/>
      <c r="L311" s="9"/>
      <c r="M311" s="9"/>
      <c r="N311" s="186" t="str">
        <f t="shared" si="20"/>
        <v/>
      </c>
      <c r="O311" s="160" t="str">
        <f t="shared" si="21"/>
        <v/>
      </c>
      <c r="P311" s="63"/>
    </row>
    <row r="312" spans="1:16" hidden="1">
      <c r="A312" s="152" t="s">
        <v>37</v>
      </c>
      <c r="B312" s="34" t="s">
        <v>159</v>
      </c>
      <c r="C312" s="40" t="s">
        <v>139</v>
      </c>
      <c r="D312" s="34" t="s">
        <v>92</v>
      </c>
      <c r="E312" s="260">
        <f>Intentionally_produced_MPs!H134</f>
        <v>0</v>
      </c>
      <c r="F312" s="235">
        <v>1</v>
      </c>
      <c r="G312" s="40"/>
      <c r="H312" s="29"/>
      <c r="I312" s="9"/>
      <c r="J312" s="9"/>
      <c r="K312" s="9"/>
      <c r="L312" s="9"/>
      <c r="M312" s="9"/>
      <c r="N312" s="186" t="str">
        <f t="shared" si="20"/>
        <v/>
      </c>
      <c r="O312" s="160" t="str">
        <f t="shared" si="21"/>
        <v/>
      </c>
      <c r="P312" s="63"/>
    </row>
    <row r="313" spans="1:16" hidden="1">
      <c r="A313" s="152" t="s">
        <v>37</v>
      </c>
      <c r="B313" s="34" t="s">
        <v>159</v>
      </c>
      <c r="C313" s="40" t="s">
        <v>139</v>
      </c>
      <c r="D313" s="34" t="s">
        <v>93</v>
      </c>
      <c r="E313" s="260">
        <f>Intentionally_produced_MPs!H135</f>
        <v>0</v>
      </c>
      <c r="F313" s="235">
        <v>1</v>
      </c>
      <c r="G313" s="40"/>
      <c r="H313" s="29"/>
      <c r="I313" s="9"/>
      <c r="J313" s="9"/>
      <c r="K313" s="9"/>
      <c r="L313" s="9"/>
      <c r="M313" s="9"/>
      <c r="N313" s="186" t="str">
        <f t="shared" ref="N313:N344" si="22">IF( OR( ISBLANK(H313),ISBLANK(J313), ISBLANK(K313), ISBLANK(L313), ISBLANK(M313) ), "", 1.5*SQRT(   EXP(2.21*(H313-1)) + EXP(2.21*(J313-1)) + EXP(2.21*(K313-1)) + EXP(2.21*(L313-1)) + EXP(2.21*M313)   )/100*2.45 )</f>
        <v/>
      </c>
      <c r="O313" s="160" t="str">
        <f t="shared" ref="O313:O348" si="23">IF( OR( ISBLANK(I313),ISBLANK(J313), ISBLANK(K313), ISBLANK(L313), ISBLANK(M313) ), "", 1.5*SQRT( EXP(2.21*(I313-1)) + EXP(2.21*(J313-1)) + EXP(2.21*(K313-1)) + EXP(2.21*(L313-1)) + EXP(2.21*M313)   )/100*2.45 )</f>
        <v/>
      </c>
      <c r="P313" s="63"/>
    </row>
    <row r="314" spans="1:16" hidden="1">
      <c r="A314" s="152" t="s">
        <v>37</v>
      </c>
      <c r="B314" s="34" t="s">
        <v>159</v>
      </c>
      <c r="C314" s="40" t="s">
        <v>139</v>
      </c>
      <c r="D314" s="34" t="s">
        <v>94</v>
      </c>
      <c r="E314" s="260">
        <f>Intentionally_produced_MPs!H136</f>
        <v>0</v>
      </c>
      <c r="F314" s="235">
        <v>1</v>
      </c>
      <c r="G314" s="40"/>
      <c r="H314" s="29"/>
      <c r="I314" s="9"/>
      <c r="J314" s="9"/>
      <c r="K314" s="9"/>
      <c r="L314" s="9"/>
      <c r="M314" s="9"/>
      <c r="N314" s="186" t="str">
        <f t="shared" si="22"/>
        <v/>
      </c>
      <c r="O314" s="160" t="str">
        <f t="shared" si="23"/>
        <v/>
      </c>
      <c r="P314" s="63"/>
    </row>
    <row r="315" spans="1:16" hidden="1">
      <c r="A315" s="152" t="s">
        <v>37</v>
      </c>
      <c r="B315" s="34" t="s">
        <v>159</v>
      </c>
      <c r="C315" s="40" t="s">
        <v>139</v>
      </c>
      <c r="D315" s="34" t="s">
        <v>95</v>
      </c>
      <c r="E315" s="260">
        <f>Intentionally_produced_MPs!H137</f>
        <v>0</v>
      </c>
      <c r="F315" s="235">
        <v>1</v>
      </c>
      <c r="G315" s="40"/>
      <c r="H315" s="29"/>
      <c r="I315" s="9"/>
      <c r="J315" s="9"/>
      <c r="K315" s="9"/>
      <c r="L315" s="9"/>
      <c r="M315" s="9"/>
      <c r="N315" s="186" t="str">
        <f t="shared" si="22"/>
        <v/>
      </c>
      <c r="O315" s="160" t="str">
        <f t="shared" si="23"/>
        <v/>
      </c>
      <c r="P315" s="63"/>
    </row>
    <row r="316" spans="1:16" hidden="1">
      <c r="A316" s="152" t="s">
        <v>37</v>
      </c>
      <c r="B316" s="34" t="s">
        <v>159</v>
      </c>
      <c r="C316" s="40" t="s">
        <v>139</v>
      </c>
      <c r="D316" s="34" t="s">
        <v>96</v>
      </c>
      <c r="E316" s="260">
        <f>Intentionally_produced_MPs!H138</f>
        <v>0</v>
      </c>
      <c r="F316" s="235">
        <v>1</v>
      </c>
      <c r="G316" s="40"/>
      <c r="H316" s="29"/>
      <c r="I316" s="9"/>
      <c r="J316" s="9"/>
      <c r="K316" s="9"/>
      <c r="L316" s="9"/>
      <c r="M316" s="9"/>
      <c r="N316" s="186" t="str">
        <f t="shared" si="22"/>
        <v/>
      </c>
      <c r="O316" s="160" t="str">
        <f t="shared" si="23"/>
        <v/>
      </c>
      <c r="P316" s="63"/>
    </row>
    <row r="317" spans="1:16" hidden="1">
      <c r="A317" s="152" t="s">
        <v>37</v>
      </c>
      <c r="B317" s="34" t="s">
        <v>159</v>
      </c>
      <c r="C317" s="40" t="s">
        <v>139</v>
      </c>
      <c r="D317" s="34" t="s">
        <v>97</v>
      </c>
      <c r="E317" s="260">
        <f>Intentionally_produced_MPs!H139</f>
        <v>0</v>
      </c>
      <c r="F317" s="235">
        <v>1</v>
      </c>
      <c r="G317" s="40"/>
      <c r="H317" s="29"/>
      <c r="I317" s="9"/>
      <c r="J317" s="9"/>
      <c r="K317" s="9"/>
      <c r="L317" s="9"/>
      <c r="M317" s="9"/>
      <c r="N317" s="186" t="str">
        <f t="shared" si="22"/>
        <v/>
      </c>
      <c r="O317" s="160" t="str">
        <f t="shared" si="23"/>
        <v/>
      </c>
      <c r="P317" s="63"/>
    </row>
    <row r="318" spans="1:16" hidden="1">
      <c r="A318" s="152" t="s">
        <v>37</v>
      </c>
      <c r="B318" s="34" t="s">
        <v>159</v>
      </c>
      <c r="C318" s="40" t="s">
        <v>139</v>
      </c>
      <c r="D318" s="34" t="s">
        <v>98</v>
      </c>
      <c r="E318" s="260">
        <f>Intentionally_produced_MPs!H140</f>
        <v>0</v>
      </c>
      <c r="F318" s="235">
        <v>1</v>
      </c>
      <c r="G318" s="40"/>
      <c r="H318" s="29"/>
      <c r="I318" s="9"/>
      <c r="J318" s="9"/>
      <c r="K318" s="9"/>
      <c r="L318" s="9"/>
      <c r="M318" s="9"/>
      <c r="N318" s="186" t="str">
        <f t="shared" si="22"/>
        <v/>
      </c>
      <c r="O318" s="160" t="str">
        <f t="shared" si="23"/>
        <v/>
      </c>
      <c r="P318" s="63"/>
    </row>
    <row r="319" spans="1:16" hidden="1">
      <c r="A319" s="152" t="s">
        <v>37</v>
      </c>
      <c r="B319" s="34" t="s">
        <v>268</v>
      </c>
      <c r="C319" s="40" t="s">
        <v>139</v>
      </c>
      <c r="D319" s="34" t="s">
        <v>85</v>
      </c>
      <c r="E319" s="260">
        <f>Intentionally_produced_MPs!R127</f>
        <v>0</v>
      </c>
      <c r="F319" s="235">
        <v>1</v>
      </c>
      <c r="G319" s="40"/>
      <c r="H319" s="29"/>
      <c r="I319" s="9"/>
      <c r="J319" s="9"/>
      <c r="K319" s="9"/>
      <c r="L319" s="9"/>
      <c r="M319" s="9"/>
      <c r="N319" s="186" t="str">
        <f t="shared" si="22"/>
        <v/>
      </c>
      <c r="O319" s="160" t="str">
        <f t="shared" si="23"/>
        <v/>
      </c>
      <c r="P319" s="63"/>
    </row>
    <row r="320" spans="1:16" hidden="1">
      <c r="A320" s="152" t="s">
        <v>37</v>
      </c>
      <c r="B320" s="34" t="s">
        <v>268</v>
      </c>
      <c r="C320" s="40" t="s">
        <v>139</v>
      </c>
      <c r="D320" s="34" t="s">
        <v>86</v>
      </c>
      <c r="E320" s="260">
        <f>Intentionally_produced_MPs!R128</f>
        <v>0</v>
      </c>
      <c r="F320" s="235">
        <v>1</v>
      </c>
      <c r="G320" s="40"/>
      <c r="H320" s="29"/>
      <c r="I320" s="9"/>
      <c r="J320" s="9"/>
      <c r="K320" s="9"/>
      <c r="L320" s="9"/>
      <c r="M320" s="9"/>
      <c r="N320" s="186" t="str">
        <f t="shared" si="22"/>
        <v/>
      </c>
      <c r="O320" s="160" t="str">
        <f t="shared" si="23"/>
        <v/>
      </c>
      <c r="P320" s="63"/>
    </row>
    <row r="321" spans="1:16" hidden="1">
      <c r="A321" s="152" t="s">
        <v>37</v>
      </c>
      <c r="B321" s="34" t="s">
        <v>268</v>
      </c>
      <c r="C321" s="40" t="s">
        <v>139</v>
      </c>
      <c r="D321" s="34" t="s">
        <v>87</v>
      </c>
      <c r="E321" s="260">
        <f>Intentionally_produced_MPs!R129</f>
        <v>0</v>
      </c>
      <c r="F321" s="235">
        <v>1</v>
      </c>
      <c r="G321" s="40"/>
      <c r="H321" s="29"/>
      <c r="I321" s="9"/>
      <c r="J321" s="9"/>
      <c r="K321" s="9"/>
      <c r="L321" s="9"/>
      <c r="M321" s="9"/>
      <c r="N321" s="186" t="str">
        <f t="shared" si="22"/>
        <v/>
      </c>
      <c r="O321" s="160" t="str">
        <f t="shared" si="23"/>
        <v/>
      </c>
      <c r="P321" s="63"/>
    </row>
    <row r="322" spans="1:16" hidden="1">
      <c r="A322" s="152" t="s">
        <v>37</v>
      </c>
      <c r="B322" s="34" t="s">
        <v>268</v>
      </c>
      <c r="C322" s="40" t="s">
        <v>139</v>
      </c>
      <c r="D322" s="34" t="s">
        <v>88</v>
      </c>
      <c r="E322" s="260">
        <f>Intentionally_produced_MPs!R130</f>
        <v>0</v>
      </c>
      <c r="F322" s="235">
        <v>1</v>
      </c>
      <c r="G322" s="40"/>
      <c r="H322" s="29"/>
      <c r="I322" s="9"/>
      <c r="J322" s="9"/>
      <c r="K322" s="9"/>
      <c r="L322" s="9"/>
      <c r="M322" s="9"/>
      <c r="N322" s="186" t="str">
        <f t="shared" si="22"/>
        <v/>
      </c>
      <c r="O322" s="160" t="str">
        <f t="shared" si="23"/>
        <v/>
      </c>
      <c r="P322" s="63"/>
    </row>
    <row r="323" spans="1:16" hidden="1">
      <c r="A323" s="152" t="s">
        <v>37</v>
      </c>
      <c r="B323" s="34" t="s">
        <v>268</v>
      </c>
      <c r="C323" s="40" t="s">
        <v>139</v>
      </c>
      <c r="D323" s="34" t="s">
        <v>89</v>
      </c>
      <c r="E323" s="260">
        <f>Intentionally_produced_MPs!R131</f>
        <v>0</v>
      </c>
      <c r="F323" s="235">
        <v>1</v>
      </c>
      <c r="G323" s="40"/>
      <c r="H323" s="29"/>
      <c r="I323" s="9"/>
      <c r="J323" s="9"/>
      <c r="K323" s="9"/>
      <c r="L323" s="9"/>
      <c r="M323" s="9"/>
      <c r="N323" s="186" t="str">
        <f t="shared" si="22"/>
        <v/>
      </c>
      <c r="O323" s="160" t="str">
        <f t="shared" si="23"/>
        <v/>
      </c>
      <c r="P323" s="63"/>
    </row>
    <row r="324" spans="1:16" hidden="1">
      <c r="A324" s="152" t="s">
        <v>37</v>
      </c>
      <c r="B324" s="34" t="s">
        <v>268</v>
      </c>
      <c r="C324" s="40" t="s">
        <v>139</v>
      </c>
      <c r="D324" s="34" t="s">
        <v>90</v>
      </c>
      <c r="E324" s="260">
        <f>Intentionally_produced_MPs!R132</f>
        <v>0</v>
      </c>
      <c r="F324" s="235">
        <v>1</v>
      </c>
      <c r="G324" s="40"/>
      <c r="H324" s="29"/>
      <c r="I324" s="9"/>
      <c r="J324" s="9"/>
      <c r="K324" s="9"/>
      <c r="L324" s="9"/>
      <c r="M324" s="9"/>
      <c r="N324" s="186" t="str">
        <f t="shared" si="22"/>
        <v/>
      </c>
      <c r="O324" s="160" t="str">
        <f t="shared" si="23"/>
        <v/>
      </c>
      <c r="P324" s="63"/>
    </row>
    <row r="325" spans="1:16" hidden="1">
      <c r="A325" s="152" t="s">
        <v>37</v>
      </c>
      <c r="B325" s="34" t="s">
        <v>268</v>
      </c>
      <c r="C325" s="40" t="s">
        <v>139</v>
      </c>
      <c r="D325" s="34" t="s">
        <v>91</v>
      </c>
      <c r="E325" s="260">
        <f>Intentionally_produced_MPs!R133</f>
        <v>0</v>
      </c>
      <c r="F325" s="235">
        <v>1</v>
      </c>
      <c r="G325" s="40"/>
      <c r="H325" s="29"/>
      <c r="I325" s="9"/>
      <c r="J325" s="9"/>
      <c r="K325" s="9"/>
      <c r="L325" s="9"/>
      <c r="M325" s="9"/>
      <c r="N325" s="186" t="str">
        <f t="shared" si="22"/>
        <v/>
      </c>
      <c r="O325" s="160" t="str">
        <f t="shared" si="23"/>
        <v/>
      </c>
      <c r="P325" s="63"/>
    </row>
    <row r="326" spans="1:16" hidden="1">
      <c r="A326" s="152" t="s">
        <v>37</v>
      </c>
      <c r="B326" s="34" t="s">
        <v>268</v>
      </c>
      <c r="C326" s="40" t="s">
        <v>139</v>
      </c>
      <c r="D326" s="34" t="s">
        <v>92</v>
      </c>
      <c r="E326" s="260">
        <f>Intentionally_produced_MPs!R134</f>
        <v>0</v>
      </c>
      <c r="F326" s="235">
        <v>1</v>
      </c>
      <c r="G326" s="40"/>
      <c r="H326" s="29"/>
      <c r="I326" s="9"/>
      <c r="J326" s="9"/>
      <c r="K326" s="9"/>
      <c r="L326" s="9"/>
      <c r="M326" s="9"/>
      <c r="N326" s="186" t="str">
        <f t="shared" si="22"/>
        <v/>
      </c>
      <c r="O326" s="160" t="str">
        <f t="shared" si="23"/>
        <v/>
      </c>
      <c r="P326" s="63"/>
    </row>
    <row r="327" spans="1:16" hidden="1">
      <c r="A327" s="152" t="s">
        <v>37</v>
      </c>
      <c r="B327" s="34" t="s">
        <v>268</v>
      </c>
      <c r="C327" s="40" t="s">
        <v>139</v>
      </c>
      <c r="D327" s="34" t="s">
        <v>93</v>
      </c>
      <c r="E327" s="260">
        <f>Intentionally_produced_MPs!R135</f>
        <v>0</v>
      </c>
      <c r="F327" s="235">
        <v>1</v>
      </c>
      <c r="G327" s="40"/>
      <c r="H327" s="29"/>
      <c r="I327" s="9"/>
      <c r="J327" s="9"/>
      <c r="K327" s="9"/>
      <c r="L327" s="9"/>
      <c r="M327" s="9"/>
      <c r="N327" s="186" t="str">
        <f t="shared" si="22"/>
        <v/>
      </c>
      <c r="O327" s="160" t="str">
        <f t="shared" si="23"/>
        <v/>
      </c>
      <c r="P327" s="63"/>
    </row>
    <row r="328" spans="1:16" hidden="1">
      <c r="A328" s="152" t="s">
        <v>37</v>
      </c>
      <c r="B328" s="34" t="s">
        <v>268</v>
      </c>
      <c r="C328" s="40" t="s">
        <v>139</v>
      </c>
      <c r="D328" s="34" t="s">
        <v>94</v>
      </c>
      <c r="E328" s="260">
        <f>Intentionally_produced_MPs!R136</f>
        <v>0</v>
      </c>
      <c r="F328" s="235">
        <v>1</v>
      </c>
      <c r="G328" s="40"/>
      <c r="H328" s="29"/>
      <c r="I328" s="9"/>
      <c r="J328" s="9"/>
      <c r="K328" s="9"/>
      <c r="L328" s="9"/>
      <c r="M328" s="9"/>
      <c r="N328" s="186" t="str">
        <f t="shared" si="22"/>
        <v/>
      </c>
      <c r="O328" s="160" t="str">
        <f t="shared" si="23"/>
        <v/>
      </c>
      <c r="P328" s="63"/>
    </row>
    <row r="329" spans="1:16" hidden="1">
      <c r="A329" s="152" t="s">
        <v>37</v>
      </c>
      <c r="B329" s="34" t="s">
        <v>268</v>
      </c>
      <c r="C329" s="40" t="s">
        <v>139</v>
      </c>
      <c r="D329" s="34" t="s">
        <v>95</v>
      </c>
      <c r="E329" s="260">
        <f>Intentionally_produced_MPs!R137</f>
        <v>0</v>
      </c>
      <c r="F329" s="235">
        <v>1</v>
      </c>
      <c r="G329" s="40"/>
      <c r="H329" s="29"/>
      <c r="I329" s="9"/>
      <c r="J329" s="9"/>
      <c r="K329" s="9"/>
      <c r="L329" s="9"/>
      <c r="M329" s="9"/>
      <c r="N329" s="186" t="str">
        <f t="shared" si="22"/>
        <v/>
      </c>
      <c r="O329" s="160" t="str">
        <f t="shared" si="23"/>
        <v/>
      </c>
      <c r="P329" s="63"/>
    </row>
    <row r="330" spans="1:16" hidden="1">
      <c r="A330" s="152" t="s">
        <v>37</v>
      </c>
      <c r="B330" s="34" t="s">
        <v>268</v>
      </c>
      <c r="C330" s="40" t="s">
        <v>139</v>
      </c>
      <c r="D330" s="34" t="s">
        <v>96</v>
      </c>
      <c r="E330" s="260">
        <f>Intentionally_produced_MPs!R138</f>
        <v>0</v>
      </c>
      <c r="F330" s="235">
        <v>1</v>
      </c>
      <c r="G330" s="40"/>
      <c r="H330" s="29"/>
      <c r="I330" s="9"/>
      <c r="J330" s="9"/>
      <c r="K330" s="9"/>
      <c r="L330" s="9"/>
      <c r="M330" s="9"/>
      <c r="N330" s="186" t="str">
        <f t="shared" si="22"/>
        <v/>
      </c>
      <c r="O330" s="160" t="str">
        <f t="shared" si="23"/>
        <v/>
      </c>
      <c r="P330" s="63"/>
    </row>
    <row r="331" spans="1:16" hidden="1">
      <c r="A331" s="152" t="s">
        <v>37</v>
      </c>
      <c r="B331" s="34" t="s">
        <v>268</v>
      </c>
      <c r="C331" s="40" t="s">
        <v>139</v>
      </c>
      <c r="D331" s="34" t="s">
        <v>97</v>
      </c>
      <c r="E331" s="260">
        <f>Intentionally_produced_MPs!R139</f>
        <v>0</v>
      </c>
      <c r="F331" s="235">
        <v>1</v>
      </c>
      <c r="G331" s="40"/>
      <c r="H331" s="29"/>
      <c r="I331" s="9"/>
      <c r="J331" s="9"/>
      <c r="K331" s="9"/>
      <c r="L331" s="9"/>
      <c r="M331" s="9"/>
      <c r="N331" s="186" t="str">
        <f t="shared" si="22"/>
        <v/>
      </c>
      <c r="O331" s="160" t="str">
        <f t="shared" si="23"/>
        <v/>
      </c>
      <c r="P331" s="63"/>
    </row>
    <row r="332" spans="1:16" hidden="1">
      <c r="A332" s="152" t="s">
        <v>37</v>
      </c>
      <c r="B332" s="34" t="s">
        <v>268</v>
      </c>
      <c r="C332" s="40" t="s">
        <v>139</v>
      </c>
      <c r="D332" s="34" t="s">
        <v>98</v>
      </c>
      <c r="E332" s="260">
        <f>Intentionally_produced_MPs!R140</f>
        <v>0.14573018486415787</v>
      </c>
      <c r="F332" s="235">
        <v>1</v>
      </c>
      <c r="G332" s="40"/>
      <c r="H332" s="29">
        <v>3</v>
      </c>
      <c r="I332" s="9">
        <v>2</v>
      </c>
      <c r="J332" s="9">
        <v>3</v>
      </c>
      <c r="K332" s="9">
        <v>3</v>
      </c>
      <c r="L332" s="9">
        <v>3</v>
      </c>
      <c r="M332" s="9">
        <v>3</v>
      </c>
      <c r="N332" s="186">
        <f t="shared" si="22"/>
        <v>1.2132328390150593</v>
      </c>
      <c r="O332" s="160">
        <f t="shared" si="23"/>
        <v>1.1713319510247036</v>
      </c>
      <c r="P332" s="63"/>
    </row>
    <row r="333" spans="1:16" hidden="1">
      <c r="A333" s="152" t="s">
        <v>112</v>
      </c>
      <c r="B333" s="34" t="s">
        <v>189</v>
      </c>
      <c r="C333" s="40" t="s">
        <v>139</v>
      </c>
      <c r="D333" s="34" t="s">
        <v>90</v>
      </c>
      <c r="E333" s="260">
        <v>0</v>
      </c>
      <c r="F333" s="235">
        <v>1</v>
      </c>
      <c r="G333" s="40"/>
      <c r="H333" s="29"/>
      <c r="I333" s="9"/>
      <c r="J333" s="9"/>
      <c r="K333" s="9"/>
      <c r="L333" s="9"/>
      <c r="M333" s="9"/>
      <c r="N333" s="186" t="str">
        <f t="shared" si="22"/>
        <v/>
      </c>
      <c r="O333" s="160" t="str">
        <f t="shared" si="23"/>
        <v/>
      </c>
      <c r="P333" s="63"/>
    </row>
    <row r="334" spans="1:16" hidden="1">
      <c r="A334" s="152" t="s">
        <v>112</v>
      </c>
      <c r="B334" s="34" t="s">
        <v>189</v>
      </c>
      <c r="C334" s="40" t="s">
        <v>139</v>
      </c>
      <c r="D334" s="34" t="s">
        <v>91</v>
      </c>
      <c r="E334" s="260">
        <v>0.74088216310529564</v>
      </c>
      <c r="F334" s="235">
        <v>1</v>
      </c>
      <c r="G334" s="40" t="s">
        <v>195</v>
      </c>
      <c r="H334" s="29">
        <v>1</v>
      </c>
      <c r="I334" s="9">
        <v>2</v>
      </c>
      <c r="J334" s="9">
        <v>2</v>
      </c>
      <c r="K334" s="9">
        <v>2</v>
      </c>
      <c r="L334" s="9">
        <v>1</v>
      </c>
      <c r="M334" s="9">
        <v>2</v>
      </c>
      <c r="N334" s="186">
        <f t="shared" si="22"/>
        <v>0.37356464144298934</v>
      </c>
      <c r="O334" s="160">
        <f t="shared" si="23"/>
        <v>0.38795788889711302</v>
      </c>
      <c r="P334" s="63"/>
    </row>
    <row r="335" spans="1:16" hidden="1">
      <c r="A335" s="152" t="s">
        <v>112</v>
      </c>
      <c r="B335" s="34" t="s">
        <v>189</v>
      </c>
      <c r="C335" s="40" t="s">
        <v>139</v>
      </c>
      <c r="D335" s="34" t="s">
        <v>95</v>
      </c>
      <c r="E335" s="260">
        <v>0.81008528685277537</v>
      </c>
      <c r="F335" s="235">
        <v>1</v>
      </c>
      <c r="G335" s="40" t="s">
        <v>195</v>
      </c>
      <c r="H335" s="29">
        <v>1</v>
      </c>
      <c r="I335" s="9">
        <v>2</v>
      </c>
      <c r="J335" s="9">
        <v>2</v>
      </c>
      <c r="K335" s="9">
        <v>2</v>
      </c>
      <c r="L335" s="9">
        <v>1</v>
      </c>
      <c r="M335" s="9">
        <v>2</v>
      </c>
      <c r="N335" s="186">
        <f t="shared" si="22"/>
        <v>0.37356464144298934</v>
      </c>
      <c r="O335" s="160">
        <f t="shared" si="23"/>
        <v>0.38795788889711302</v>
      </c>
      <c r="P335" s="63"/>
    </row>
    <row r="336" spans="1:16" hidden="1">
      <c r="A336" s="152" t="s">
        <v>112</v>
      </c>
      <c r="B336" s="34" t="s">
        <v>189</v>
      </c>
      <c r="C336" s="40" t="s">
        <v>139</v>
      </c>
      <c r="D336" s="34" t="s">
        <v>99</v>
      </c>
      <c r="E336" s="260">
        <v>1</v>
      </c>
      <c r="F336" s="235">
        <v>1</v>
      </c>
      <c r="G336" s="40" t="s">
        <v>195</v>
      </c>
      <c r="H336" s="29">
        <v>1</v>
      </c>
      <c r="I336" s="9">
        <v>2</v>
      </c>
      <c r="J336" s="9">
        <v>2</v>
      </c>
      <c r="K336" s="9">
        <v>2</v>
      </c>
      <c r="L336" s="9">
        <v>1</v>
      </c>
      <c r="M336" s="9">
        <v>2</v>
      </c>
      <c r="N336" s="186">
        <f t="shared" si="22"/>
        <v>0.37356464144298934</v>
      </c>
      <c r="O336" s="160">
        <f t="shared" si="23"/>
        <v>0.38795788889711302</v>
      </c>
      <c r="P336" s="63"/>
    </row>
    <row r="337" spans="1:16" hidden="1">
      <c r="A337" s="152" t="s">
        <v>112</v>
      </c>
      <c r="B337" s="34" t="s">
        <v>239</v>
      </c>
      <c r="C337" s="40" t="s">
        <v>139</v>
      </c>
      <c r="D337" s="34" t="s">
        <v>85</v>
      </c>
      <c r="E337" s="260">
        <v>0</v>
      </c>
      <c r="F337" s="235">
        <v>1</v>
      </c>
      <c r="G337" s="40"/>
      <c r="H337" s="29"/>
      <c r="I337" s="9"/>
      <c r="J337" s="9"/>
      <c r="K337" s="9"/>
      <c r="L337" s="9"/>
      <c r="M337" s="9"/>
      <c r="N337" s="186" t="str">
        <f t="shared" si="22"/>
        <v/>
      </c>
      <c r="O337" s="160" t="str">
        <f t="shared" si="23"/>
        <v/>
      </c>
      <c r="P337" s="63"/>
    </row>
    <row r="338" spans="1:16" hidden="1">
      <c r="A338" s="152" t="s">
        <v>112</v>
      </c>
      <c r="B338" s="34" t="s">
        <v>239</v>
      </c>
      <c r="C338" s="40" t="s">
        <v>139</v>
      </c>
      <c r="D338" s="34" t="s">
        <v>86</v>
      </c>
      <c r="E338" s="260">
        <v>0</v>
      </c>
      <c r="F338" s="235">
        <v>1</v>
      </c>
      <c r="G338" s="40"/>
      <c r="H338" s="29"/>
      <c r="I338" s="9"/>
      <c r="J338" s="9"/>
      <c r="K338" s="9"/>
      <c r="L338" s="9"/>
      <c r="M338" s="9"/>
      <c r="N338" s="186" t="str">
        <f t="shared" si="22"/>
        <v/>
      </c>
      <c r="O338" s="160" t="str">
        <f t="shared" si="23"/>
        <v/>
      </c>
      <c r="P338" s="63"/>
    </row>
    <row r="339" spans="1:16" hidden="1">
      <c r="A339" s="152" t="s">
        <v>112</v>
      </c>
      <c r="B339" s="34" t="s">
        <v>239</v>
      </c>
      <c r="C339" s="40" t="s">
        <v>139</v>
      </c>
      <c r="D339" s="34" t="s">
        <v>87</v>
      </c>
      <c r="E339" s="260">
        <v>9.7010040144805229E-2</v>
      </c>
      <c r="F339" s="235">
        <v>1</v>
      </c>
      <c r="G339" s="40" t="s">
        <v>163</v>
      </c>
      <c r="H339" s="29">
        <v>2</v>
      </c>
      <c r="I339" s="9">
        <v>2</v>
      </c>
      <c r="J339" s="9">
        <v>2</v>
      </c>
      <c r="K339" s="9">
        <v>2</v>
      </c>
      <c r="L339" s="9">
        <v>1</v>
      </c>
      <c r="M339" s="9">
        <v>2</v>
      </c>
      <c r="N339" s="186">
        <f t="shared" si="22"/>
        <v>0.38795788889711302</v>
      </c>
      <c r="O339" s="160">
        <f t="shared" si="23"/>
        <v>0.38795788889711302</v>
      </c>
      <c r="P339" s="63"/>
    </row>
    <row r="340" spans="1:16" hidden="1">
      <c r="A340" s="152" t="s">
        <v>112</v>
      </c>
      <c r="B340" s="34" t="s">
        <v>239</v>
      </c>
      <c r="C340" s="40" t="s">
        <v>139</v>
      </c>
      <c r="D340" s="34" t="s">
        <v>88</v>
      </c>
      <c r="E340" s="260">
        <v>0</v>
      </c>
      <c r="F340" s="235">
        <v>1</v>
      </c>
      <c r="G340" s="40"/>
      <c r="H340" s="29"/>
      <c r="I340" s="9"/>
      <c r="J340" s="9"/>
      <c r="K340" s="9"/>
      <c r="L340" s="9"/>
      <c r="M340" s="9"/>
      <c r="N340" s="186" t="str">
        <f t="shared" si="22"/>
        <v/>
      </c>
      <c r="O340" s="160" t="str">
        <f t="shared" si="23"/>
        <v/>
      </c>
      <c r="P340" s="63"/>
    </row>
    <row r="341" spans="1:16" hidden="1">
      <c r="A341" s="152" t="s">
        <v>112</v>
      </c>
      <c r="B341" s="34" t="s">
        <v>239</v>
      </c>
      <c r="C341" s="40" t="s">
        <v>139</v>
      </c>
      <c r="D341" s="34" t="s">
        <v>89</v>
      </c>
      <c r="E341" s="260">
        <v>0</v>
      </c>
      <c r="F341" s="235">
        <v>1</v>
      </c>
      <c r="G341" s="40"/>
      <c r="H341" s="29"/>
      <c r="I341" s="9"/>
      <c r="J341" s="9"/>
      <c r="K341" s="9"/>
      <c r="L341" s="9"/>
      <c r="M341" s="9"/>
      <c r="N341" s="186" t="str">
        <f t="shared" si="22"/>
        <v/>
      </c>
      <c r="O341" s="160" t="str">
        <f t="shared" si="23"/>
        <v/>
      </c>
      <c r="P341" s="63"/>
    </row>
    <row r="342" spans="1:16" hidden="1">
      <c r="A342" s="152" t="s">
        <v>112</v>
      </c>
      <c r="B342" s="34" t="s">
        <v>239</v>
      </c>
      <c r="C342" s="40" t="s">
        <v>139</v>
      </c>
      <c r="D342" s="34" t="s">
        <v>90</v>
      </c>
      <c r="E342" s="260">
        <v>0</v>
      </c>
      <c r="F342" s="235">
        <v>1</v>
      </c>
      <c r="G342" s="40"/>
      <c r="H342" s="29"/>
      <c r="I342" s="9"/>
      <c r="J342" s="9"/>
      <c r="K342" s="9"/>
      <c r="L342" s="9"/>
      <c r="M342" s="9"/>
      <c r="N342" s="186" t="str">
        <f t="shared" si="22"/>
        <v/>
      </c>
      <c r="O342" s="160" t="str">
        <f t="shared" si="23"/>
        <v/>
      </c>
      <c r="P342" s="63"/>
    </row>
    <row r="343" spans="1:16" hidden="1">
      <c r="A343" s="152" t="s">
        <v>112</v>
      </c>
      <c r="B343" s="34" t="s">
        <v>239</v>
      </c>
      <c r="C343" s="40" t="s">
        <v>139</v>
      </c>
      <c r="D343" s="34" t="s">
        <v>91</v>
      </c>
      <c r="E343" s="260">
        <v>0</v>
      </c>
      <c r="F343" s="235">
        <v>1</v>
      </c>
      <c r="G343" s="40"/>
      <c r="H343" s="29"/>
      <c r="I343" s="9"/>
      <c r="J343" s="9"/>
      <c r="K343" s="9"/>
      <c r="L343" s="9"/>
      <c r="M343" s="9"/>
      <c r="N343" s="186" t="str">
        <f t="shared" si="22"/>
        <v/>
      </c>
      <c r="O343" s="160" t="str">
        <f t="shared" si="23"/>
        <v/>
      </c>
      <c r="P343" s="63"/>
    </row>
    <row r="344" spans="1:16" hidden="1">
      <c r="A344" s="152" t="s">
        <v>112</v>
      </c>
      <c r="B344" s="34" t="s">
        <v>239</v>
      </c>
      <c r="C344" s="40" t="s">
        <v>139</v>
      </c>
      <c r="D344" s="34" t="s">
        <v>95</v>
      </c>
      <c r="E344" s="260">
        <v>0</v>
      </c>
      <c r="F344" s="235">
        <v>1</v>
      </c>
      <c r="G344" s="40"/>
      <c r="H344" s="29"/>
      <c r="I344" s="9"/>
      <c r="J344" s="9"/>
      <c r="K344" s="9"/>
      <c r="L344" s="9"/>
      <c r="M344" s="9"/>
      <c r="N344" s="186" t="str">
        <f t="shared" si="22"/>
        <v/>
      </c>
      <c r="O344" s="160" t="str">
        <f t="shared" si="23"/>
        <v/>
      </c>
      <c r="P344" s="63"/>
    </row>
    <row r="345" spans="1:16" hidden="1">
      <c r="A345" s="152" t="s">
        <v>269</v>
      </c>
      <c r="B345" s="34" t="s">
        <v>270</v>
      </c>
      <c r="C345" s="40" t="s">
        <v>180</v>
      </c>
      <c r="D345" s="34" t="s">
        <v>139</v>
      </c>
      <c r="E345" s="870" t="s">
        <v>150</v>
      </c>
      <c r="F345" s="34">
        <v>1</v>
      </c>
      <c r="G345" s="40"/>
      <c r="H345" s="29"/>
      <c r="I345" s="9"/>
      <c r="J345" s="9"/>
      <c r="K345" s="9"/>
      <c r="L345" s="9"/>
      <c r="M345" s="9"/>
      <c r="N345" s="186" t="str">
        <f t="shared" ref="N345:N348" si="24">IF( OR( ISBLANK(H345),ISBLANK(J345), ISBLANK(K345), ISBLANK(L345), ISBLANK(M345) ), "", 1.5*SQRT(   EXP(2.21*(H345-1)) + EXP(2.21*(J345-1)) + EXP(2.21*(K345-1)) + EXP(2.21*(L345-1)) + EXP(2.21*M345)   )/100*2.45 )</f>
        <v/>
      </c>
      <c r="O345" s="160" t="str">
        <f t="shared" si="23"/>
        <v/>
      </c>
      <c r="P345" s="63"/>
    </row>
    <row r="346" spans="1:16" hidden="1">
      <c r="A346" s="152" t="s">
        <v>269</v>
      </c>
      <c r="B346" s="34" t="s">
        <v>270</v>
      </c>
      <c r="C346" s="40" t="s">
        <v>182</v>
      </c>
      <c r="D346" s="34" t="s">
        <v>139</v>
      </c>
      <c r="E346" s="870" t="s">
        <v>150</v>
      </c>
      <c r="F346" s="34">
        <v>1</v>
      </c>
      <c r="G346" s="40"/>
      <c r="H346" s="29"/>
      <c r="I346" s="9"/>
      <c r="J346" s="9"/>
      <c r="K346" s="9"/>
      <c r="L346" s="9"/>
      <c r="M346" s="9"/>
      <c r="N346" s="186" t="str">
        <f t="shared" si="24"/>
        <v/>
      </c>
      <c r="O346" s="160" t="str">
        <f t="shared" si="23"/>
        <v/>
      </c>
      <c r="P346" s="857"/>
    </row>
    <row r="347" spans="1:16" hidden="1">
      <c r="A347" s="152" t="s">
        <v>269</v>
      </c>
      <c r="B347" s="34" t="s">
        <v>271</v>
      </c>
      <c r="C347" s="40" t="s">
        <v>180</v>
      </c>
      <c r="D347" s="34" t="s">
        <v>139</v>
      </c>
      <c r="E347" s="870">
        <v>0.9</v>
      </c>
      <c r="F347" s="34">
        <v>2</v>
      </c>
      <c r="G347" s="40"/>
      <c r="H347" s="29">
        <v>1</v>
      </c>
      <c r="I347" s="9"/>
      <c r="J347" s="9">
        <v>1</v>
      </c>
      <c r="K347" s="9">
        <v>1</v>
      </c>
      <c r="L347" s="9">
        <v>1</v>
      </c>
      <c r="M347" s="9">
        <v>1</v>
      </c>
      <c r="N347" s="186">
        <f t="shared" si="24"/>
        <v>0.13309242924026707</v>
      </c>
      <c r="O347" s="160" t="str">
        <f t="shared" si="23"/>
        <v/>
      </c>
      <c r="P347" s="63" t="s">
        <v>272</v>
      </c>
    </row>
    <row r="348" spans="1:16" hidden="1">
      <c r="A348" s="152" t="s">
        <v>269</v>
      </c>
      <c r="B348" s="34" t="s">
        <v>271</v>
      </c>
      <c r="C348" s="40" t="s">
        <v>182</v>
      </c>
      <c r="D348" s="34" t="s">
        <v>139</v>
      </c>
      <c r="E348" s="870">
        <v>0.05</v>
      </c>
      <c r="F348" s="34">
        <v>2</v>
      </c>
      <c r="G348" s="40" t="s">
        <v>273</v>
      </c>
      <c r="H348" s="29"/>
      <c r="I348" s="9">
        <v>1</v>
      </c>
      <c r="J348" s="9">
        <v>1</v>
      </c>
      <c r="K348" s="9">
        <v>2</v>
      </c>
      <c r="L348" s="9">
        <v>1</v>
      </c>
      <c r="M348" s="9">
        <v>4</v>
      </c>
      <c r="N348" s="186" t="str">
        <f t="shared" si="24"/>
        <v/>
      </c>
      <c r="O348" s="160">
        <f t="shared" si="23"/>
        <v>3.0564664491960198</v>
      </c>
      <c r="P348" s="63" t="s">
        <v>274</v>
      </c>
    </row>
    <row r="349" spans="1:16" hidden="1">
      <c r="A349" s="152" t="s">
        <v>270</v>
      </c>
      <c r="B349" s="34" t="s">
        <v>275</v>
      </c>
      <c r="C349" s="40" t="s">
        <v>139</v>
      </c>
      <c r="D349" s="34" t="s">
        <v>139</v>
      </c>
      <c r="E349" s="870" t="s">
        <v>150</v>
      </c>
      <c r="F349" s="34">
        <v>1</v>
      </c>
      <c r="G349" s="40"/>
      <c r="H349" s="29"/>
      <c r="I349" s="9"/>
      <c r="J349" s="9"/>
      <c r="K349" s="9"/>
      <c r="L349" s="9"/>
      <c r="M349" s="9"/>
      <c r="N349" s="186"/>
      <c r="O349" s="160"/>
      <c r="P349" s="63"/>
    </row>
    <row r="350" spans="1:16" hidden="1">
      <c r="A350" s="152" t="s">
        <v>270</v>
      </c>
      <c r="B350" s="34" t="s">
        <v>231</v>
      </c>
      <c r="C350" s="40" t="s">
        <v>139</v>
      </c>
      <c r="D350" s="34" t="s">
        <v>139</v>
      </c>
      <c r="E350" s="870">
        <v>0.05</v>
      </c>
      <c r="F350" s="34">
        <v>2</v>
      </c>
      <c r="G350" s="40" t="s">
        <v>276</v>
      </c>
      <c r="H350" s="29">
        <v>1</v>
      </c>
      <c r="I350" s="9">
        <v>2</v>
      </c>
      <c r="J350" s="9">
        <v>1</v>
      </c>
      <c r="K350" s="9">
        <v>1</v>
      </c>
      <c r="L350" s="9">
        <v>2</v>
      </c>
      <c r="M350" s="9">
        <v>3</v>
      </c>
      <c r="N350" s="186">
        <f t="shared" ref="N350:N366" si="25">IF( OR( ISBLANK(H350),ISBLANK(J350), ISBLANK(K350), ISBLANK(L350), ISBLANK(M350) ), "", 1.5*SQRT(   EXP(2.21*(H350-1)) + EXP(2.21*(J350-1)) + EXP(2.21*(K350-1)) + EXP(2.21*(L350-1)) + EXP(2.21*M350)   )/100*2.45 )</f>
        <v>1.0195048044558224</v>
      </c>
      <c r="O350" s="160">
        <f t="shared" ref="O350:O366" si="26">IF( OR( ISBLANK(I350),ISBLANK(J350), ISBLANK(K350), ISBLANK(L350), ISBLANK(M350) ), "", 1.5*SQRT( EXP(2.21*(I350-1)) + EXP(2.21*(J350-1)) + EXP(2.21*(K350-1)) + EXP(2.21*(L350-1)) + EXP(2.21*M350)   )/100*2.45 )</f>
        <v>1.0248662490928169</v>
      </c>
      <c r="P350" s="857"/>
    </row>
    <row r="351" spans="1:16" hidden="1">
      <c r="A351" s="152" t="s">
        <v>270</v>
      </c>
      <c r="B351" s="34" t="s">
        <v>231</v>
      </c>
      <c r="C351" s="40" t="s">
        <v>139</v>
      </c>
      <c r="D351" s="34" t="s">
        <v>139</v>
      </c>
      <c r="E351" s="870">
        <v>0.1</v>
      </c>
      <c r="F351" s="34">
        <v>2</v>
      </c>
      <c r="G351" s="871" t="s">
        <v>277</v>
      </c>
      <c r="H351" s="29">
        <v>1</v>
      </c>
      <c r="I351" s="9">
        <v>2</v>
      </c>
      <c r="J351" s="9">
        <v>2</v>
      </c>
      <c r="K351" s="9">
        <v>1</v>
      </c>
      <c r="L351" s="9">
        <v>2</v>
      </c>
      <c r="M351" s="9">
        <v>3</v>
      </c>
      <c r="N351" s="186">
        <f t="shared" si="25"/>
        <v>1.0248662490928169</v>
      </c>
      <c r="O351" s="160">
        <f t="shared" si="26"/>
        <v>1.0301997916669636</v>
      </c>
      <c r="P351" s="857"/>
    </row>
    <row r="352" spans="1:16" hidden="1">
      <c r="A352" s="152" t="s">
        <v>112</v>
      </c>
      <c r="B352" s="34" t="s">
        <v>239</v>
      </c>
      <c r="C352" s="40" t="s">
        <v>139</v>
      </c>
      <c r="D352" s="34" t="s">
        <v>99</v>
      </c>
      <c r="E352" s="260">
        <v>0</v>
      </c>
      <c r="F352" s="235">
        <v>1</v>
      </c>
      <c r="G352" s="40"/>
      <c r="H352" s="29"/>
      <c r="I352" s="9"/>
      <c r="J352" s="9"/>
      <c r="K352" s="9"/>
      <c r="L352" s="9"/>
      <c r="M352" s="9"/>
      <c r="N352" s="186" t="str">
        <f t="shared" si="25"/>
        <v/>
      </c>
      <c r="O352" s="160" t="str">
        <f t="shared" si="26"/>
        <v/>
      </c>
      <c r="P352" s="63"/>
    </row>
    <row r="353" spans="1:16" hidden="1">
      <c r="A353" s="152" t="s">
        <v>112</v>
      </c>
      <c r="B353" s="34" t="s">
        <v>240</v>
      </c>
      <c r="C353" s="40" t="s">
        <v>139</v>
      </c>
      <c r="D353" s="34" t="s">
        <v>85</v>
      </c>
      <c r="E353" s="260">
        <v>0</v>
      </c>
      <c r="F353" s="235">
        <v>1</v>
      </c>
      <c r="G353" s="40"/>
      <c r="H353" s="29"/>
      <c r="I353" s="9"/>
      <c r="J353" s="9"/>
      <c r="K353" s="9"/>
      <c r="L353" s="9"/>
      <c r="M353" s="9"/>
      <c r="N353" s="186" t="str">
        <f t="shared" si="25"/>
        <v/>
      </c>
      <c r="O353" s="160" t="str">
        <f t="shared" si="26"/>
        <v/>
      </c>
      <c r="P353" s="63"/>
    </row>
    <row r="354" spans="1:16" hidden="1">
      <c r="A354" s="152" t="s">
        <v>112</v>
      </c>
      <c r="B354" s="34" t="s">
        <v>240</v>
      </c>
      <c r="C354" s="40" t="s">
        <v>139</v>
      </c>
      <c r="D354" s="34" t="s">
        <v>86</v>
      </c>
      <c r="E354" s="260">
        <v>0.48467412765528584</v>
      </c>
      <c r="F354" s="235">
        <v>1</v>
      </c>
      <c r="G354" s="40" t="s">
        <v>163</v>
      </c>
      <c r="H354" s="29">
        <v>2</v>
      </c>
      <c r="I354" s="9">
        <v>2</v>
      </c>
      <c r="J354" s="9">
        <v>2</v>
      </c>
      <c r="K354" s="9">
        <v>2</v>
      </c>
      <c r="L354" s="9">
        <v>1</v>
      </c>
      <c r="M354" s="9">
        <v>2</v>
      </c>
      <c r="N354" s="186">
        <f t="shared" si="25"/>
        <v>0.38795788889711302</v>
      </c>
      <c r="O354" s="160">
        <f t="shared" si="26"/>
        <v>0.38795788889711302</v>
      </c>
      <c r="P354" s="63"/>
    </row>
    <row r="355" spans="1:16" hidden="1">
      <c r="A355" s="152" t="s">
        <v>112</v>
      </c>
      <c r="B355" s="34" t="s">
        <v>240</v>
      </c>
      <c r="C355" s="40" t="s">
        <v>139</v>
      </c>
      <c r="D355" s="34" t="s">
        <v>87</v>
      </c>
      <c r="E355" s="260">
        <v>0.8344440851479995</v>
      </c>
      <c r="F355" s="235">
        <v>1</v>
      </c>
      <c r="G355" s="40" t="s">
        <v>163</v>
      </c>
      <c r="H355" s="29">
        <v>2</v>
      </c>
      <c r="I355" s="9">
        <v>2</v>
      </c>
      <c r="J355" s="9">
        <v>2</v>
      </c>
      <c r="K355" s="9">
        <v>2</v>
      </c>
      <c r="L355" s="9">
        <v>1</v>
      </c>
      <c r="M355" s="9">
        <v>2</v>
      </c>
      <c r="N355" s="186">
        <f t="shared" si="25"/>
        <v>0.38795788889711302</v>
      </c>
      <c r="O355" s="160">
        <f t="shared" si="26"/>
        <v>0.38795788889711302</v>
      </c>
      <c r="P355" s="63"/>
    </row>
    <row r="356" spans="1:16" hidden="1">
      <c r="A356" s="152" t="s">
        <v>112</v>
      </c>
      <c r="B356" s="34" t="s">
        <v>240</v>
      </c>
      <c r="C356" s="40" t="s">
        <v>139</v>
      </c>
      <c r="D356" s="34" t="s">
        <v>88</v>
      </c>
      <c r="E356" s="260">
        <v>0</v>
      </c>
      <c r="F356" s="235">
        <v>1</v>
      </c>
      <c r="G356" s="40"/>
      <c r="H356" s="29"/>
      <c r="I356" s="9"/>
      <c r="J356" s="9"/>
      <c r="K356" s="9"/>
      <c r="L356" s="9"/>
      <c r="M356" s="9"/>
      <c r="N356" s="186" t="str">
        <f t="shared" si="25"/>
        <v/>
      </c>
      <c r="O356" s="160" t="str">
        <f t="shared" si="26"/>
        <v/>
      </c>
      <c r="P356" s="63"/>
    </row>
    <row r="357" spans="1:16" hidden="1">
      <c r="A357" s="152" t="s">
        <v>112</v>
      </c>
      <c r="B357" s="34" t="s">
        <v>240</v>
      </c>
      <c r="C357" s="40" t="s">
        <v>139</v>
      </c>
      <c r="D357" s="34" t="s">
        <v>89</v>
      </c>
      <c r="E357" s="260">
        <v>0</v>
      </c>
      <c r="F357" s="235">
        <v>1</v>
      </c>
      <c r="G357" s="40"/>
      <c r="H357" s="29"/>
      <c r="I357" s="9"/>
      <c r="J357" s="9"/>
      <c r="K357" s="9"/>
      <c r="L357" s="9"/>
      <c r="M357" s="9"/>
      <c r="N357" s="186" t="str">
        <f t="shared" si="25"/>
        <v/>
      </c>
      <c r="O357" s="160" t="str">
        <f t="shared" si="26"/>
        <v/>
      </c>
      <c r="P357" s="63"/>
    </row>
    <row r="358" spans="1:16" hidden="1">
      <c r="A358" s="152" t="s">
        <v>112</v>
      </c>
      <c r="B358" s="34" t="s">
        <v>240</v>
      </c>
      <c r="C358" s="40" t="s">
        <v>139</v>
      </c>
      <c r="D358" s="34" t="s">
        <v>90</v>
      </c>
      <c r="E358" s="260">
        <v>0</v>
      </c>
      <c r="F358" s="235">
        <v>1</v>
      </c>
      <c r="G358" s="40"/>
      <c r="H358" s="29"/>
      <c r="I358" s="9"/>
      <c r="J358" s="9"/>
      <c r="K358" s="9"/>
      <c r="L358" s="9"/>
      <c r="M358" s="9"/>
      <c r="N358" s="186" t="str">
        <f t="shared" si="25"/>
        <v/>
      </c>
      <c r="O358" s="160" t="str">
        <f t="shared" si="26"/>
        <v/>
      </c>
      <c r="P358" s="63"/>
    </row>
    <row r="359" spans="1:16" hidden="1">
      <c r="A359" s="152" t="s">
        <v>112</v>
      </c>
      <c r="B359" s="34" t="s">
        <v>240</v>
      </c>
      <c r="C359" s="40" t="s">
        <v>139</v>
      </c>
      <c r="D359" s="34" t="s">
        <v>91</v>
      </c>
      <c r="E359" s="260">
        <v>0.11713166905985782</v>
      </c>
      <c r="F359" s="235">
        <v>1</v>
      </c>
      <c r="G359" s="40" t="s">
        <v>163</v>
      </c>
      <c r="H359" s="29">
        <v>2</v>
      </c>
      <c r="I359" s="9">
        <v>2</v>
      </c>
      <c r="J359" s="9">
        <v>2</v>
      </c>
      <c r="K359" s="9">
        <v>2</v>
      </c>
      <c r="L359" s="9">
        <v>1</v>
      </c>
      <c r="M359" s="9">
        <v>2</v>
      </c>
      <c r="N359" s="186">
        <f t="shared" si="25"/>
        <v>0.38795788889711302</v>
      </c>
      <c r="O359" s="160">
        <f t="shared" si="26"/>
        <v>0.38795788889711302</v>
      </c>
      <c r="P359" s="63"/>
    </row>
    <row r="360" spans="1:16" hidden="1">
      <c r="A360" s="152" t="s">
        <v>112</v>
      </c>
      <c r="B360" s="34" t="s">
        <v>240</v>
      </c>
      <c r="C360" s="40" t="s">
        <v>139</v>
      </c>
      <c r="D360" s="34" t="s">
        <v>95</v>
      </c>
      <c r="E360" s="260">
        <v>0</v>
      </c>
      <c r="F360" s="235">
        <v>1</v>
      </c>
      <c r="G360" s="40"/>
      <c r="H360" s="29"/>
      <c r="I360" s="9"/>
      <c r="J360" s="9"/>
      <c r="K360" s="9"/>
      <c r="L360" s="9"/>
      <c r="M360" s="9"/>
      <c r="N360" s="186" t="str">
        <f t="shared" si="25"/>
        <v/>
      </c>
      <c r="O360" s="160" t="str">
        <f t="shared" si="26"/>
        <v/>
      </c>
      <c r="P360" s="63"/>
    </row>
    <row r="361" spans="1:16" hidden="1">
      <c r="A361" s="152" t="s">
        <v>112</v>
      </c>
      <c r="B361" s="34" t="s">
        <v>240</v>
      </c>
      <c r="C361" s="40" t="s">
        <v>139</v>
      </c>
      <c r="D361" s="34" t="s">
        <v>99</v>
      </c>
      <c r="E361" s="260">
        <v>0</v>
      </c>
      <c r="F361" s="235">
        <v>1</v>
      </c>
      <c r="G361" s="40"/>
      <c r="H361" s="29"/>
      <c r="I361" s="9"/>
      <c r="J361" s="9"/>
      <c r="K361" s="9"/>
      <c r="L361" s="9"/>
      <c r="M361" s="9"/>
      <c r="N361" s="186" t="str">
        <f t="shared" si="25"/>
        <v/>
      </c>
      <c r="O361" s="160" t="str">
        <f t="shared" si="26"/>
        <v/>
      </c>
      <c r="P361" s="63"/>
    </row>
    <row r="362" spans="1:16" hidden="1">
      <c r="A362" s="152" t="s">
        <v>112</v>
      </c>
      <c r="B362" s="34" t="s">
        <v>241</v>
      </c>
      <c r="C362" s="40" t="s">
        <v>139</v>
      </c>
      <c r="D362" s="34" t="s">
        <v>85</v>
      </c>
      <c r="E362" s="260">
        <v>0</v>
      </c>
      <c r="F362" s="235">
        <v>1</v>
      </c>
      <c r="G362" s="40"/>
      <c r="H362" s="29"/>
      <c r="I362" s="9"/>
      <c r="J362" s="9"/>
      <c r="K362" s="9"/>
      <c r="L362" s="9"/>
      <c r="M362" s="9"/>
      <c r="N362" s="186" t="str">
        <f t="shared" si="25"/>
        <v/>
      </c>
      <c r="O362" s="160" t="str">
        <f t="shared" si="26"/>
        <v/>
      </c>
      <c r="P362" s="63"/>
    </row>
    <row r="363" spans="1:16" hidden="1">
      <c r="A363" s="152" t="s">
        <v>112</v>
      </c>
      <c r="B363" s="34" t="s">
        <v>241</v>
      </c>
      <c r="C363" s="40" t="s">
        <v>139</v>
      </c>
      <c r="D363" s="34" t="s">
        <v>86</v>
      </c>
      <c r="E363" s="260">
        <v>8.3833048545290459E-2</v>
      </c>
      <c r="F363" s="235">
        <v>1</v>
      </c>
      <c r="G363" s="40" t="s">
        <v>163</v>
      </c>
      <c r="H363" s="29">
        <v>2</v>
      </c>
      <c r="I363" s="9">
        <v>2</v>
      </c>
      <c r="J363" s="9">
        <v>2</v>
      </c>
      <c r="K363" s="9">
        <v>2</v>
      </c>
      <c r="L363" s="9">
        <v>1</v>
      </c>
      <c r="M363" s="9">
        <v>2</v>
      </c>
      <c r="N363" s="186">
        <f t="shared" si="25"/>
        <v>0.38795788889711302</v>
      </c>
      <c r="O363" s="160">
        <f t="shared" si="26"/>
        <v>0.38795788889711302</v>
      </c>
      <c r="P363" s="63"/>
    </row>
    <row r="364" spans="1:16" hidden="1">
      <c r="A364" s="152" t="s">
        <v>210</v>
      </c>
      <c r="B364" s="34" t="s">
        <v>179</v>
      </c>
      <c r="C364" s="40" t="s">
        <v>139</v>
      </c>
      <c r="D364" s="34" t="s">
        <v>139</v>
      </c>
      <c r="E364" s="260">
        <v>0</v>
      </c>
      <c r="F364" s="235">
        <v>2</v>
      </c>
      <c r="G364" s="40" t="s">
        <v>157</v>
      </c>
      <c r="H364" s="29"/>
      <c r="I364" s="9"/>
      <c r="J364" s="9"/>
      <c r="K364" s="9"/>
      <c r="L364" s="9"/>
      <c r="M364" s="9"/>
      <c r="N364" s="186" t="str">
        <f t="shared" si="25"/>
        <v/>
      </c>
      <c r="O364" s="160" t="str">
        <f t="shared" si="26"/>
        <v/>
      </c>
      <c r="P364" s="63"/>
    </row>
    <row r="365" spans="1:16" hidden="1">
      <c r="A365" s="152" t="s">
        <v>210</v>
      </c>
      <c r="B365" s="34" t="s">
        <v>179</v>
      </c>
      <c r="C365" s="40" t="s">
        <v>139</v>
      </c>
      <c r="D365" s="34" t="s">
        <v>139</v>
      </c>
      <c r="E365" s="260">
        <v>1</v>
      </c>
      <c r="F365" s="235">
        <v>2</v>
      </c>
      <c r="G365" s="40" t="s">
        <v>157</v>
      </c>
      <c r="H365" s="29">
        <v>3</v>
      </c>
      <c r="I365" s="9"/>
      <c r="J365" s="9">
        <v>3</v>
      </c>
      <c r="K365" s="9">
        <v>3</v>
      </c>
      <c r="L365" s="9">
        <v>3</v>
      </c>
      <c r="M365" s="9">
        <v>3</v>
      </c>
      <c r="N365" s="186">
        <f t="shared" si="25"/>
        <v>1.2132328390150593</v>
      </c>
      <c r="O365" s="160" t="str">
        <f t="shared" si="26"/>
        <v/>
      </c>
      <c r="P365" s="63"/>
    </row>
    <row r="366" spans="1:16" hidden="1">
      <c r="A366" s="152" t="s">
        <v>206</v>
      </c>
      <c r="B366" s="34" t="s">
        <v>179</v>
      </c>
      <c r="C366" s="40" t="s">
        <v>139</v>
      </c>
      <c r="D366" s="34" t="s">
        <v>139</v>
      </c>
      <c r="E366" s="260" t="s">
        <v>150</v>
      </c>
      <c r="F366" s="235">
        <v>1</v>
      </c>
      <c r="G366" s="40"/>
      <c r="H366" s="29"/>
      <c r="I366" s="9"/>
      <c r="J366" s="9"/>
      <c r="K366" s="9"/>
      <c r="L366" s="9"/>
      <c r="M366" s="9"/>
      <c r="N366" s="186" t="str">
        <f t="shared" si="25"/>
        <v/>
      </c>
      <c r="O366" s="160" t="str">
        <f t="shared" si="26"/>
        <v/>
      </c>
      <c r="P366" s="63"/>
    </row>
    <row r="367" spans="1:16" hidden="1">
      <c r="A367" s="152" t="s">
        <v>143</v>
      </c>
      <c r="B367" s="34" t="s">
        <v>144</v>
      </c>
      <c r="C367" s="40" t="s">
        <v>139</v>
      </c>
      <c r="D367" s="34" t="s">
        <v>139</v>
      </c>
      <c r="E367" s="265">
        <v>0.1333</v>
      </c>
      <c r="F367" s="235">
        <v>1</v>
      </c>
      <c r="G367" s="40" t="s">
        <v>278</v>
      </c>
      <c r="H367" s="29">
        <v>2</v>
      </c>
      <c r="I367" s="9">
        <v>2</v>
      </c>
      <c r="J367" s="9">
        <v>2</v>
      </c>
      <c r="K367" s="9">
        <v>3</v>
      </c>
      <c r="L367" s="9">
        <v>1</v>
      </c>
      <c r="M367" s="9">
        <v>2</v>
      </c>
      <c r="N367" s="186">
        <v>0.50042652380814845</v>
      </c>
      <c r="O367" s="160">
        <v>0.50042652380814845</v>
      </c>
      <c r="P367" s="63"/>
    </row>
    <row r="368" spans="1:16" hidden="1">
      <c r="A368" s="152" t="s">
        <v>143</v>
      </c>
      <c r="B368" s="34" t="s">
        <v>144</v>
      </c>
      <c r="C368" s="40" t="s">
        <v>139</v>
      </c>
      <c r="D368" s="34" t="s">
        <v>139</v>
      </c>
      <c r="E368" s="265">
        <v>0.26669999999999999</v>
      </c>
      <c r="F368" s="235">
        <v>1</v>
      </c>
      <c r="G368" s="40" t="s">
        <v>278</v>
      </c>
      <c r="H368" s="29">
        <v>2</v>
      </c>
      <c r="I368" s="9">
        <v>2</v>
      </c>
      <c r="J368" s="9">
        <v>2</v>
      </c>
      <c r="K368" s="9">
        <v>3</v>
      </c>
      <c r="L368" s="9">
        <v>1</v>
      </c>
      <c r="M368" s="9">
        <v>2</v>
      </c>
      <c r="N368" s="186">
        <v>0.50042652380814845</v>
      </c>
      <c r="O368" s="160">
        <v>0.50042652380814845</v>
      </c>
      <c r="P368" s="63"/>
    </row>
    <row r="369" spans="1:16" hidden="1">
      <c r="A369" s="152" t="s">
        <v>143</v>
      </c>
      <c r="B369" s="34" t="s">
        <v>144</v>
      </c>
      <c r="C369" s="40" t="s">
        <v>139</v>
      </c>
      <c r="D369" s="34" t="s">
        <v>139</v>
      </c>
      <c r="E369" s="265">
        <v>0.2</v>
      </c>
      <c r="F369" s="235">
        <v>1</v>
      </c>
      <c r="G369" s="40" t="s">
        <v>279</v>
      </c>
      <c r="H369" s="29">
        <v>2</v>
      </c>
      <c r="I369" s="9">
        <v>2</v>
      </c>
      <c r="J369" s="9">
        <v>2</v>
      </c>
      <c r="K369" s="9">
        <v>3</v>
      </c>
      <c r="L369" s="9">
        <v>1</v>
      </c>
      <c r="M369" s="9">
        <v>2</v>
      </c>
      <c r="N369" s="186">
        <v>0.50042652380814845</v>
      </c>
      <c r="O369" s="160">
        <v>0.50042652380814845</v>
      </c>
      <c r="P369" s="63" t="s">
        <v>280</v>
      </c>
    </row>
    <row r="370" spans="1:16" hidden="1">
      <c r="A370" s="152" t="s">
        <v>244</v>
      </c>
      <c r="B370" s="34" t="s">
        <v>179</v>
      </c>
      <c r="C370" s="40" t="s">
        <v>139</v>
      </c>
      <c r="D370" s="34" t="s">
        <v>85</v>
      </c>
      <c r="E370" s="260">
        <v>6.9999999999999951E-2</v>
      </c>
      <c r="F370" s="235">
        <v>1</v>
      </c>
      <c r="G370" s="40" t="s">
        <v>281</v>
      </c>
      <c r="H370" s="29">
        <v>2</v>
      </c>
      <c r="I370" s="9">
        <v>2</v>
      </c>
      <c r="J370" s="9">
        <v>1</v>
      </c>
      <c r="K370" s="9">
        <v>3</v>
      </c>
      <c r="L370" s="9">
        <v>1</v>
      </c>
      <c r="M370" s="9">
        <v>3</v>
      </c>
      <c r="N370" s="186">
        <f t="shared" ref="N370:N383" si="27">IF( OR( ISBLANK(H370),ISBLANK(J370), ISBLANK(K370), ISBLANK(L370), ISBLANK(M370) ), "", 1.5*SQRT(   EXP(2.21*(H370-1)) + EXP(2.21*(J370-1)) + EXP(2.21*(K370-1)) + EXP(2.21*(L370-1)) + EXP(2.21*M370)   )/100*2.45 )</f>
        <v>1.0725046436742278</v>
      </c>
      <c r="O370" s="160">
        <f t="shared" ref="O370:O383" si="28">IF( OR( ISBLANK(I370),ISBLANK(J370), ISBLANK(K370), ISBLANK(L370), ISBLANK(M370) ), "", 1.5*SQRT( EXP(2.21*(I370-1)) + EXP(2.21*(J370-1)) + EXP(2.21*(K370-1)) + EXP(2.21*(L370-1)) + EXP(2.21*M370)   )/100*2.45 )</f>
        <v>1.0725046436742278</v>
      </c>
      <c r="P370" s="63" t="s">
        <v>282</v>
      </c>
    </row>
    <row r="371" spans="1:16" hidden="1">
      <c r="A371" s="152" t="s">
        <v>244</v>
      </c>
      <c r="B371" s="34" t="s">
        <v>179</v>
      </c>
      <c r="C371" s="40" t="s">
        <v>139</v>
      </c>
      <c r="D371" s="34" t="s">
        <v>86</v>
      </c>
      <c r="E371" s="260">
        <v>6.9999999999999951E-2</v>
      </c>
      <c r="F371" s="235">
        <v>1</v>
      </c>
      <c r="G371" s="40" t="s">
        <v>281</v>
      </c>
      <c r="H371" s="29">
        <v>2</v>
      </c>
      <c r="I371" s="9">
        <v>2</v>
      </c>
      <c r="J371" s="9">
        <v>1</v>
      </c>
      <c r="K371" s="9">
        <v>3</v>
      </c>
      <c r="L371" s="9">
        <v>1</v>
      </c>
      <c r="M371" s="9">
        <v>3</v>
      </c>
      <c r="N371" s="186">
        <f t="shared" si="27"/>
        <v>1.0725046436742278</v>
      </c>
      <c r="O371" s="160">
        <f t="shared" si="28"/>
        <v>1.0725046436742278</v>
      </c>
      <c r="P371" s="63" t="s">
        <v>282</v>
      </c>
    </row>
    <row r="372" spans="1:16" hidden="1">
      <c r="A372" s="152" t="s">
        <v>244</v>
      </c>
      <c r="B372" s="34" t="s">
        <v>179</v>
      </c>
      <c r="C372" s="40" t="s">
        <v>139</v>
      </c>
      <c r="D372" s="34" t="s">
        <v>87</v>
      </c>
      <c r="E372" s="260">
        <v>6.9999999999999951E-2</v>
      </c>
      <c r="F372" s="235">
        <v>1</v>
      </c>
      <c r="G372" s="40" t="s">
        <v>281</v>
      </c>
      <c r="H372" s="29">
        <v>2</v>
      </c>
      <c r="I372" s="9">
        <v>2</v>
      </c>
      <c r="J372" s="9">
        <v>1</v>
      </c>
      <c r="K372" s="9">
        <v>3</v>
      </c>
      <c r="L372" s="9">
        <v>1</v>
      </c>
      <c r="M372" s="9">
        <v>3</v>
      </c>
      <c r="N372" s="186">
        <f t="shared" si="27"/>
        <v>1.0725046436742278</v>
      </c>
      <c r="O372" s="160">
        <f t="shared" si="28"/>
        <v>1.0725046436742278</v>
      </c>
      <c r="P372" s="63" t="s">
        <v>282</v>
      </c>
    </row>
    <row r="373" spans="1:16" hidden="1">
      <c r="A373" s="152" t="s">
        <v>244</v>
      </c>
      <c r="B373" s="34" t="s">
        <v>179</v>
      </c>
      <c r="C373" s="40" t="s">
        <v>139</v>
      </c>
      <c r="D373" s="34" t="s">
        <v>88</v>
      </c>
      <c r="E373" s="260">
        <v>6.9999999999999951E-2</v>
      </c>
      <c r="F373" s="235">
        <v>1</v>
      </c>
      <c r="G373" s="40" t="s">
        <v>281</v>
      </c>
      <c r="H373" s="29">
        <v>2</v>
      </c>
      <c r="I373" s="9">
        <v>2</v>
      </c>
      <c r="J373" s="9">
        <v>1</v>
      </c>
      <c r="K373" s="9">
        <v>3</v>
      </c>
      <c r="L373" s="9">
        <v>1</v>
      </c>
      <c r="M373" s="9">
        <v>3</v>
      </c>
      <c r="N373" s="186">
        <f t="shared" si="27"/>
        <v>1.0725046436742278</v>
      </c>
      <c r="O373" s="160">
        <f t="shared" si="28"/>
        <v>1.0725046436742278</v>
      </c>
      <c r="P373" s="63" t="s">
        <v>282</v>
      </c>
    </row>
    <row r="374" spans="1:16" hidden="1">
      <c r="A374" s="152" t="s">
        <v>244</v>
      </c>
      <c r="B374" s="34" t="s">
        <v>179</v>
      </c>
      <c r="C374" s="40" t="s">
        <v>139</v>
      </c>
      <c r="D374" s="34" t="s">
        <v>89</v>
      </c>
      <c r="E374" s="260">
        <v>6.9999999999999951E-2</v>
      </c>
      <c r="F374" s="235">
        <v>1</v>
      </c>
      <c r="G374" s="40" t="s">
        <v>281</v>
      </c>
      <c r="H374" s="29">
        <v>2</v>
      </c>
      <c r="I374" s="9">
        <v>2</v>
      </c>
      <c r="J374" s="9">
        <v>1</v>
      </c>
      <c r="K374" s="9">
        <v>3</v>
      </c>
      <c r="L374" s="9">
        <v>1</v>
      </c>
      <c r="M374" s="9">
        <v>3</v>
      </c>
      <c r="N374" s="186">
        <f t="shared" si="27"/>
        <v>1.0725046436742278</v>
      </c>
      <c r="O374" s="160">
        <f t="shared" si="28"/>
        <v>1.0725046436742278</v>
      </c>
      <c r="P374" s="63" t="s">
        <v>282</v>
      </c>
    </row>
    <row r="375" spans="1:16" hidden="1">
      <c r="A375" s="152" t="s">
        <v>244</v>
      </c>
      <c r="B375" s="34" t="s">
        <v>179</v>
      </c>
      <c r="C375" s="40" t="s">
        <v>139</v>
      </c>
      <c r="D375" s="34" t="s">
        <v>90</v>
      </c>
      <c r="E375" s="260">
        <v>6.9999999999999951E-2</v>
      </c>
      <c r="F375" s="235">
        <v>1</v>
      </c>
      <c r="G375" s="40" t="s">
        <v>281</v>
      </c>
      <c r="H375" s="29">
        <v>2</v>
      </c>
      <c r="I375" s="9">
        <v>2</v>
      </c>
      <c r="J375" s="9">
        <v>1</v>
      </c>
      <c r="K375" s="9">
        <v>3</v>
      </c>
      <c r="L375" s="9">
        <v>1</v>
      </c>
      <c r="M375" s="9">
        <v>3</v>
      </c>
      <c r="N375" s="186">
        <f t="shared" si="27"/>
        <v>1.0725046436742278</v>
      </c>
      <c r="O375" s="160">
        <f t="shared" si="28"/>
        <v>1.0725046436742278</v>
      </c>
      <c r="P375" s="63" t="s">
        <v>282</v>
      </c>
    </row>
    <row r="376" spans="1:16" hidden="1">
      <c r="A376" s="152" t="s">
        <v>244</v>
      </c>
      <c r="B376" s="34" t="s">
        <v>179</v>
      </c>
      <c r="C376" s="40" t="s">
        <v>139</v>
      </c>
      <c r="D376" s="34" t="s">
        <v>91</v>
      </c>
      <c r="E376" s="260">
        <v>6.9999999999999951E-2</v>
      </c>
      <c r="F376" s="235">
        <v>1</v>
      </c>
      <c r="G376" s="40" t="s">
        <v>281</v>
      </c>
      <c r="H376" s="29">
        <v>2</v>
      </c>
      <c r="I376" s="9">
        <v>2</v>
      </c>
      <c r="J376" s="9">
        <v>2</v>
      </c>
      <c r="K376" s="9">
        <v>1</v>
      </c>
      <c r="L376" s="9">
        <v>1</v>
      </c>
      <c r="M376" s="9">
        <v>2</v>
      </c>
      <c r="N376" s="186">
        <f t="shared" si="27"/>
        <v>0.37356464144298934</v>
      </c>
      <c r="O376" s="160">
        <f t="shared" si="28"/>
        <v>0.37356464144298934</v>
      </c>
      <c r="P376" s="63"/>
    </row>
    <row r="377" spans="1:16" hidden="1">
      <c r="A377" s="152" t="s">
        <v>283</v>
      </c>
      <c r="B377" s="34" t="s">
        <v>245</v>
      </c>
      <c r="C377" s="40" t="s">
        <v>139</v>
      </c>
      <c r="D377" s="34" t="s">
        <v>85</v>
      </c>
      <c r="E377" s="260">
        <v>0.16159999999999999</v>
      </c>
      <c r="F377" s="235">
        <v>1</v>
      </c>
      <c r="G377" s="40" t="s">
        <v>246</v>
      </c>
      <c r="H377" s="29">
        <v>1</v>
      </c>
      <c r="I377" s="9">
        <v>2</v>
      </c>
      <c r="J377" s="9">
        <v>2</v>
      </c>
      <c r="K377" s="9">
        <v>3</v>
      </c>
      <c r="L377" s="9">
        <v>1</v>
      </c>
      <c r="M377" s="9">
        <v>1</v>
      </c>
      <c r="N377" s="186">
        <f t="shared" si="27"/>
        <v>0.37356464144298934</v>
      </c>
      <c r="O377" s="160">
        <f t="shared" si="28"/>
        <v>0.38795788889711302</v>
      </c>
      <c r="P377" s="63" t="s">
        <v>247</v>
      </c>
    </row>
    <row r="378" spans="1:16" hidden="1">
      <c r="A378" s="152" t="s">
        <v>283</v>
      </c>
      <c r="B378" s="34" t="s">
        <v>245</v>
      </c>
      <c r="C378" s="40" t="s">
        <v>139</v>
      </c>
      <c r="D378" s="34" t="s">
        <v>86</v>
      </c>
      <c r="E378" s="260">
        <v>0.16159999999999999</v>
      </c>
      <c r="F378" s="235">
        <v>1</v>
      </c>
      <c r="G378" s="40" t="s">
        <v>246</v>
      </c>
      <c r="H378" s="29">
        <v>1</v>
      </c>
      <c r="I378" s="9">
        <v>2</v>
      </c>
      <c r="J378" s="9">
        <v>2</v>
      </c>
      <c r="K378" s="9">
        <v>3</v>
      </c>
      <c r="L378" s="9">
        <v>1</v>
      </c>
      <c r="M378" s="9">
        <v>1</v>
      </c>
      <c r="N378" s="186">
        <f t="shared" si="27"/>
        <v>0.37356464144298934</v>
      </c>
      <c r="O378" s="160">
        <f t="shared" si="28"/>
        <v>0.38795788889711302</v>
      </c>
      <c r="P378" s="63" t="s">
        <v>247</v>
      </c>
    </row>
    <row r="379" spans="1:16" hidden="1">
      <c r="A379" s="152" t="s">
        <v>283</v>
      </c>
      <c r="B379" s="34" t="s">
        <v>245</v>
      </c>
      <c r="C379" s="40" t="s">
        <v>139</v>
      </c>
      <c r="D379" s="34" t="s">
        <v>87</v>
      </c>
      <c r="E379" s="260">
        <v>0.16159999999999999</v>
      </c>
      <c r="F379" s="235">
        <v>1</v>
      </c>
      <c r="G379" s="40" t="s">
        <v>246</v>
      </c>
      <c r="H379" s="29">
        <v>1</v>
      </c>
      <c r="I379" s="9">
        <v>2</v>
      </c>
      <c r="J379" s="9">
        <v>2</v>
      </c>
      <c r="K379" s="9">
        <v>3</v>
      </c>
      <c r="L379" s="9">
        <v>1</v>
      </c>
      <c r="M379" s="9">
        <v>1</v>
      </c>
      <c r="N379" s="186">
        <f t="shared" si="27"/>
        <v>0.37356464144298934</v>
      </c>
      <c r="O379" s="160">
        <f t="shared" si="28"/>
        <v>0.38795788889711302</v>
      </c>
      <c r="P379" s="63" t="s">
        <v>247</v>
      </c>
    </row>
    <row r="380" spans="1:16" hidden="1">
      <c r="A380" s="152" t="s">
        <v>283</v>
      </c>
      <c r="B380" s="34" t="s">
        <v>245</v>
      </c>
      <c r="C380" s="40" t="s">
        <v>139</v>
      </c>
      <c r="D380" s="34" t="s">
        <v>88</v>
      </c>
      <c r="E380" s="260">
        <v>0.16159999999999999</v>
      </c>
      <c r="F380" s="235">
        <v>1</v>
      </c>
      <c r="G380" s="40" t="s">
        <v>246</v>
      </c>
      <c r="H380" s="29">
        <v>1</v>
      </c>
      <c r="I380" s="9">
        <v>2</v>
      </c>
      <c r="J380" s="9">
        <v>2</v>
      </c>
      <c r="K380" s="9">
        <v>3</v>
      </c>
      <c r="L380" s="9">
        <v>1</v>
      </c>
      <c r="M380" s="9">
        <v>1</v>
      </c>
      <c r="N380" s="186">
        <f t="shared" si="27"/>
        <v>0.37356464144298934</v>
      </c>
      <c r="O380" s="160">
        <f t="shared" si="28"/>
        <v>0.38795788889711302</v>
      </c>
      <c r="P380" s="63" t="s">
        <v>247</v>
      </c>
    </row>
    <row r="381" spans="1:16" hidden="1">
      <c r="A381" s="152" t="s">
        <v>283</v>
      </c>
      <c r="B381" s="34" t="s">
        <v>245</v>
      </c>
      <c r="C381" s="40" t="s">
        <v>139</v>
      </c>
      <c r="D381" s="34" t="s">
        <v>89</v>
      </c>
      <c r="E381" s="260">
        <v>0.16159999999999999</v>
      </c>
      <c r="F381" s="235">
        <v>1</v>
      </c>
      <c r="G381" s="40" t="s">
        <v>246</v>
      </c>
      <c r="H381" s="29">
        <v>1</v>
      </c>
      <c r="I381" s="9">
        <v>2</v>
      </c>
      <c r="J381" s="9">
        <v>2</v>
      </c>
      <c r="K381" s="9">
        <v>3</v>
      </c>
      <c r="L381" s="9">
        <v>1</v>
      </c>
      <c r="M381" s="9">
        <v>1</v>
      </c>
      <c r="N381" s="186">
        <f t="shared" si="27"/>
        <v>0.37356464144298934</v>
      </c>
      <c r="O381" s="160">
        <f t="shared" si="28"/>
        <v>0.38795788889711302</v>
      </c>
      <c r="P381" s="63" t="s">
        <v>247</v>
      </c>
    </row>
    <row r="382" spans="1:16" hidden="1">
      <c r="A382" s="152" t="s">
        <v>283</v>
      </c>
      <c r="B382" s="34" t="s">
        <v>245</v>
      </c>
      <c r="C382" s="40" t="s">
        <v>139</v>
      </c>
      <c r="D382" s="34" t="s">
        <v>90</v>
      </c>
      <c r="E382" s="260">
        <v>0.16159999999999999</v>
      </c>
      <c r="F382" s="235">
        <v>1</v>
      </c>
      <c r="G382" s="40" t="s">
        <v>246</v>
      </c>
      <c r="H382" s="29">
        <v>1</v>
      </c>
      <c r="I382" s="9">
        <v>2</v>
      </c>
      <c r="J382" s="9">
        <v>2</v>
      </c>
      <c r="K382" s="9">
        <v>3</v>
      </c>
      <c r="L382" s="9">
        <v>1</v>
      </c>
      <c r="M382" s="9">
        <v>1</v>
      </c>
      <c r="N382" s="186">
        <f t="shared" si="27"/>
        <v>0.37356464144298934</v>
      </c>
      <c r="O382" s="160">
        <f t="shared" si="28"/>
        <v>0.38795788889711302</v>
      </c>
      <c r="P382" s="63" t="s">
        <v>247</v>
      </c>
    </row>
    <row r="383" spans="1:16" hidden="1">
      <c r="A383" s="152" t="s">
        <v>283</v>
      </c>
      <c r="B383" s="34" t="s">
        <v>245</v>
      </c>
      <c r="C383" s="40" t="s">
        <v>139</v>
      </c>
      <c r="D383" s="34" t="s">
        <v>91</v>
      </c>
      <c r="E383" s="260">
        <v>0.16159999999999999</v>
      </c>
      <c r="F383" s="235">
        <v>1</v>
      </c>
      <c r="G383" s="40" t="s">
        <v>246</v>
      </c>
      <c r="H383" s="29">
        <v>1</v>
      </c>
      <c r="I383" s="9">
        <v>2</v>
      </c>
      <c r="J383" s="9">
        <v>2</v>
      </c>
      <c r="K383" s="9">
        <v>1</v>
      </c>
      <c r="L383" s="9">
        <v>1</v>
      </c>
      <c r="M383" s="9">
        <v>1</v>
      </c>
      <c r="N383" s="186">
        <f t="shared" si="27"/>
        <v>0.16933510251023262</v>
      </c>
      <c r="O383" s="160">
        <f t="shared" si="28"/>
        <v>0.19908580854301616</v>
      </c>
      <c r="P383" s="63"/>
    </row>
    <row r="384" spans="1:16" hidden="1">
      <c r="A384" s="152" t="s">
        <v>143</v>
      </c>
      <c r="B384" s="34" t="s">
        <v>179</v>
      </c>
      <c r="C384" s="40" t="s">
        <v>139</v>
      </c>
      <c r="D384" s="34" t="s">
        <v>139</v>
      </c>
      <c r="E384" s="265" t="s">
        <v>150</v>
      </c>
      <c r="F384" s="235">
        <v>1</v>
      </c>
      <c r="G384" s="40">
        <v>0</v>
      </c>
      <c r="H384" s="29"/>
      <c r="I384" s="9"/>
      <c r="J384" s="9"/>
      <c r="K384" s="9"/>
      <c r="L384" s="9"/>
      <c r="M384" s="9"/>
      <c r="N384" s="186" t="s">
        <v>249</v>
      </c>
      <c r="O384" s="160" t="s">
        <v>249</v>
      </c>
      <c r="P384" s="63"/>
    </row>
    <row r="385" spans="1:16" hidden="1">
      <c r="A385" s="152" t="s">
        <v>143</v>
      </c>
      <c r="B385" s="34" t="s">
        <v>184</v>
      </c>
      <c r="C385" s="40" t="s">
        <v>139</v>
      </c>
      <c r="D385" s="34" t="s">
        <v>139</v>
      </c>
      <c r="E385" s="265">
        <v>0</v>
      </c>
      <c r="F385" s="235">
        <v>1</v>
      </c>
      <c r="G385" s="40">
        <v>0</v>
      </c>
      <c r="H385" s="29"/>
      <c r="I385" s="9"/>
      <c r="J385" s="9"/>
      <c r="K385" s="9"/>
      <c r="L385" s="9"/>
      <c r="M385" s="9"/>
      <c r="N385" s="186" t="s">
        <v>249</v>
      </c>
      <c r="O385" s="160" t="s">
        <v>249</v>
      </c>
      <c r="P385" s="63"/>
    </row>
    <row r="386" spans="1:16" hidden="1">
      <c r="A386" s="152" t="s">
        <v>284</v>
      </c>
      <c r="B386" s="34" t="s">
        <v>179</v>
      </c>
      <c r="C386" s="40" t="s">
        <v>180</v>
      </c>
      <c r="D386" s="34" t="s">
        <v>139</v>
      </c>
      <c r="E386" s="260">
        <v>1</v>
      </c>
      <c r="F386" s="235">
        <v>2</v>
      </c>
      <c r="G386" s="40" t="s">
        <v>285</v>
      </c>
      <c r="H386" s="847"/>
      <c r="I386" s="848"/>
      <c r="J386" s="848"/>
      <c r="K386" s="848"/>
      <c r="L386" s="848"/>
      <c r="M386" s="848"/>
      <c r="N386" s="186" t="str">
        <f t="shared" ref="N386:N396" si="29">IF( OR( ISBLANK(H386),ISBLANK(J386), ISBLANK(K386), ISBLANK(L386), ISBLANK(M386) ), "", 1.5*SQRT(   EXP(2.21*(H386-1)) + EXP(2.21*(J386-1)) + EXP(2.21*(K386-1)) + EXP(2.21*(L386-1)) + EXP(2.21*M386)   )/100*2.45 )</f>
        <v/>
      </c>
      <c r="O386" s="160" t="str">
        <f t="shared" ref="O386:O396" si="30">IF( OR( ISBLANK(I386),ISBLANK(J386), ISBLANK(K386), ISBLANK(L386), ISBLANK(M386) ), "", 1.5*SQRT( EXP(2.21*(I386-1)) + EXP(2.21*(J386-1)) + EXP(2.21*(K386-1)) + EXP(2.21*(L386-1)) + EXP(2.21*M386)   )/100*2.45 )</f>
        <v/>
      </c>
      <c r="P386" s="858"/>
    </row>
    <row r="387" spans="1:16" hidden="1">
      <c r="A387" s="152" t="s">
        <v>286</v>
      </c>
      <c r="B387" s="34" t="s">
        <v>179</v>
      </c>
      <c r="C387" s="40" t="s">
        <v>180</v>
      </c>
      <c r="D387" s="34" t="s">
        <v>139</v>
      </c>
      <c r="E387" s="260">
        <v>1</v>
      </c>
      <c r="F387" s="235">
        <v>2</v>
      </c>
      <c r="G387" s="40" t="s">
        <v>285</v>
      </c>
      <c r="H387" s="29"/>
      <c r="I387" s="9"/>
      <c r="J387" s="9"/>
      <c r="K387" s="9"/>
      <c r="L387" s="9"/>
      <c r="M387" s="9"/>
      <c r="N387" s="186" t="str">
        <f t="shared" si="29"/>
        <v/>
      </c>
      <c r="O387" s="160" t="str">
        <f t="shared" si="30"/>
        <v/>
      </c>
      <c r="P387" s="63"/>
    </row>
    <row r="388" spans="1:16" hidden="1">
      <c r="A388" s="152" t="s">
        <v>287</v>
      </c>
      <c r="B388" s="34" t="s">
        <v>179</v>
      </c>
      <c r="C388" s="40" t="s">
        <v>139</v>
      </c>
      <c r="D388" s="34" t="s">
        <v>139</v>
      </c>
      <c r="E388" s="260">
        <v>1</v>
      </c>
      <c r="F388" s="235">
        <v>2</v>
      </c>
      <c r="G388" s="40" t="s">
        <v>157</v>
      </c>
      <c r="H388" s="29"/>
      <c r="I388" s="9"/>
      <c r="J388" s="9"/>
      <c r="K388" s="9"/>
      <c r="L388" s="9"/>
      <c r="M388" s="9"/>
      <c r="N388" s="186" t="str">
        <f t="shared" si="29"/>
        <v/>
      </c>
      <c r="O388" s="160" t="str">
        <f t="shared" si="30"/>
        <v/>
      </c>
      <c r="P388" s="63" t="s">
        <v>288</v>
      </c>
    </row>
    <row r="389" spans="1:16" hidden="1">
      <c r="A389" s="152" t="s">
        <v>289</v>
      </c>
      <c r="B389" s="34" t="s">
        <v>179</v>
      </c>
      <c r="C389" s="40" t="s">
        <v>139</v>
      </c>
      <c r="D389" s="34" t="s">
        <v>139</v>
      </c>
      <c r="E389" s="260">
        <v>0.83616504854368934</v>
      </c>
      <c r="F389" s="235">
        <v>2</v>
      </c>
      <c r="G389" s="40" t="s">
        <v>290</v>
      </c>
      <c r="H389" s="29">
        <v>2</v>
      </c>
      <c r="I389" s="9"/>
      <c r="J389" s="9">
        <v>2</v>
      </c>
      <c r="K389" s="9">
        <v>3</v>
      </c>
      <c r="L389" s="9">
        <v>3</v>
      </c>
      <c r="M389" s="9">
        <v>1</v>
      </c>
      <c r="N389" s="186">
        <f t="shared" si="29"/>
        <v>0.51126068492676302</v>
      </c>
      <c r="O389" s="160" t="str">
        <f t="shared" si="30"/>
        <v/>
      </c>
      <c r="P389" s="63" t="s">
        <v>291</v>
      </c>
    </row>
    <row r="390" spans="1:16" hidden="1">
      <c r="A390" s="152" t="s">
        <v>289</v>
      </c>
      <c r="B390" s="34" t="s">
        <v>179</v>
      </c>
      <c r="C390" s="40" t="s">
        <v>139</v>
      </c>
      <c r="D390" s="34" t="s">
        <v>139</v>
      </c>
      <c r="E390" s="260">
        <v>0.97</v>
      </c>
      <c r="F390" s="235">
        <v>2</v>
      </c>
      <c r="G390" s="40" t="s">
        <v>292</v>
      </c>
      <c r="H390" s="29">
        <v>2</v>
      </c>
      <c r="I390" s="9"/>
      <c r="J390" s="9">
        <v>2</v>
      </c>
      <c r="K390" s="9">
        <v>3</v>
      </c>
      <c r="L390" s="9">
        <v>3</v>
      </c>
      <c r="M390" s="9">
        <v>1</v>
      </c>
      <c r="N390" s="186">
        <f t="shared" si="29"/>
        <v>0.51126068492676302</v>
      </c>
      <c r="O390" s="160" t="str">
        <f t="shared" si="30"/>
        <v/>
      </c>
      <c r="P390" s="63" t="s">
        <v>293</v>
      </c>
    </row>
    <row r="391" spans="1:16" hidden="1">
      <c r="A391" s="152" t="s">
        <v>289</v>
      </c>
      <c r="B391" s="34" t="s">
        <v>179</v>
      </c>
      <c r="C391" s="40" t="s">
        <v>139</v>
      </c>
      <c r="D391" s="34" t="s">
        <v>139</v>
      </c>
      <c r="E391" s="260">
        <v>0</v>
      </c>
      <c r="F391" s="235">
        <v>2</v>
      </c>
      <c r="G391" s="40" t="s">
        <v>294</v>
      </c>
      <c r="H391" s="29"/>
      <c r="I391" s="9"/>
      <c r="J391" s="9"/>
      <c r="K391" s="9"/>
      <c r="L391" s="9"/>
      <c r="M391" s="9"/>
      <c r="N391" s="186" t="str">
        <f t="shared" si="29"/>
        <v/>
      </c>
      <c r="O391" s="160" t="str">
        <f t="shared" si="30"/>
        <v/>
      </c>
      <c r="P391" s="63"/>
    </row>
    <row r="392" spans="1:16" hidden="1">
      <c r="A392" s="152" t="s">
        <v>289</v>
      </c>
      <c r="B392" s="34" t="s">
        <v>179</v>
      </c>
      <c r="C392" s="40" t="s">
        <v>139</v>
      </c>
      <c r="D392" s="34" t="s">
        <v>139</v>
      </c>
      <c r="E392" s="260">
        <v>0.61</v>
      </c>
      <c r="F392" s="235">
        <v>2</v>
      </c>
      <c r="G392" s="40" t="s">
        <v>295</v>
      </c>
      <c r="H392" s="29">
        <v>1</v>
      </c>
      <c r="I392" s="9"/>
      <c r="J392" s="9">
        <v>2</v>
      </c>
      <c r="K392" s="9">
        <v>3</v>
      </c>
      <c r="L392" s="9">
        <v>3</v>
      </c>
      <c r="M392" s="9">
        <v>1</v>
      </c>
      <c r="N392" s="186">
        <f t="shared" si="29"/>
        <v>0.50042652380814845</v>
      </c>
      <c r="O392" s="160" t="str">
        <f t="shared" si="30"/>
        <v/>
      </c>
      <c r="P392" s="63"/>
    </row>
    <row r="393" spans="1:16" hidden="1">
      <c r="A393" s="152" t="s">
        <v>289</v>
      </c>
      <c r="B393" s="34" t="s">
        <v>179</v>
      </c>
      <c r="C393" s="40" t="s">
        <v>139</v>
      </c>
      <c r="D393" s="34" t="s">
        <v>139</v>
      </c>
      <c r="E393" s="260">
        <v>0.39473684210526327</v>
      </c>
      <c r="F393" s="235">
        <v>2</v>
      </c>
      <c r="G393" s="40" t="s">
        <v>296</v>
      </c>
      <c r="H393" s="29">
        <v>2</v>
      </c>
      <c r="I393" s="9"/>
      <c r="J393" s="9">
        <v>2</v>
      </c>
      <c r="K393" s="9">
        <v>3</v>
      </c>
      <c r="L393" s="9">
        <v>3</v>
      </c>
      <c r="M393" s="9">
        <v>1</v>
      </c>
      <c r="N393" s="186">
        <f t="shared" si="29"/>
        <v>0.51126068492676302</v>
      </c>
      <c r="O393" s="160" t="str">
        <f t="shared" si="30"/>
        <v/>
      </c>
      <c r="P393" s="63" t="s">
        <v>297</v>
      </c>
    </row>
    <row r="394" spans="1:16" hidden="1">
      <c r="A394" s="152" t="s">
        <v>289</v>
      </c>
      <c r="B394" s="34" t="s">
        <v>179</v>
      </c>
      <c r="C394" s="40" t="s">
        <v>139</v>
      </c>
      <c r="D394" s="34" t="s">
        <v>139</v>
      </c>
      <c r="E394" s="169">
        <v>1</v>
      </c>
      <c r="F394" s="235">
        <v>2</v>
      </c>
      <c r="G394" s="40" t="s">
        <v>298</v>
      </c>
      <c r="H394" s="29"/>
      <c r="I394" s="9"/>
      <c r="J394" s="9"/>
      <c r="K394" s="9"/>
      <c r="L394" s="9"/>
      <c r="M394" s="9"/>
      <c r="N394" s="186" t="str">
        <f t="shared" si="29"/>
        <v/>
      </c>
      <c r="O394" s="160" t="str">
        <f t="shared" si="30"/>
        <v/>
      </c>
      <c r="P394" s="63"/>
    </row>
    <row r="395" spans="1:16" hidden="1">
      <c r="A395" s="152" t="s">
        <v>209</v>
      </c>
      <c r="B395" s="34" t="s">
        <v>179</v>
      </c>
      <c r="C395" s="40" t="s">
        <v>139</v>
      </c>
      <c r="D395" s="34" t="s">
        <v>139</v>
      </c>
      <c r="E395" s="260">
        <v>0.8</v>
      </c>
      <c r="F395" s="235">
        <v>2</v>
      </c>
      <c r="G395" s="40" t="s">
        <v>157</v>
      </c>
      <c r="H395" s="29">
        <v>3</v>
      </c>
      <c r="I395" s="9"/>
      <c r="J395" s="9">
        <v>3</v>
      </c>
      <c r="K395" s="9">
        <v>3</v>
      </c>
      <c r="L395" s="9">
        <v>3</v>
      </c>
      <c r="M395" s="9">
        <v>3</v>
      </c>
      <c r="N395" s="186">
        <f t="shared" si="29"/>
        <v>1.2132328390150593</v>
      </c>
      <c r="O395" s="160" t="str">
        <f t="shared" si="30"/>
        <v/>
      </c>
      <c r="P395" s="63" t="s">
        <v>299</v>
      </c>
    </row>
    <row r="396" spans="1:16" hidden="1">
      <c r="A396" s="152" t="s">
        <v>215</v>
      </c>
      <c r="B396" s="34" t="s">
        <v>179</v>
      </c>
      <c r="C396" s="40" t="s">
        <v>139</v>
      </c>
      <c r="D396" s="34" t="s">
        <v>139</v>
      </c>
      <c r="E396" s="260">
        <v>0</v>
      </c>
      <c r="F396" s="235">
        <v>2</v>
      </c>
      <c r="G396" s="40"/>
      <c r="H396" s="29"/>
      <c r="I396" s="9"/>
      <c r="J396" s="9"/>
      <c r="K396" s="9"/>
      <c r="L396" s="9"/>
      <c r="M396" s="9"/>
      <c r="N396" s="186" t="str">
        <f t="shared" si="29"/>
        <v/>
      </c>
      <c r="O396" s="160" t="str">
        <f t="shared" si="30"/>
        <v/>
      </c>
      <c r="P396" s="63" t="s">
        <v>300</v>
      </c>
    </row>
    <row r="397" spans="1:16" hidden="1">
      <c r="A397" s="152" t="s">
        <v>143</v>
      </c>
      <c r="B397" s="34" t="s">
        <v>251</v>
      </c>
      <c r="C397" s="40" t="s">
        <v>139</v>
      </c>
      <c r="D397" s="34" t="s">
        <v>139</v>
      </c>
      <c r="E397" s="265">
        <v>1E-4</v>
      </c>
      <c r="F397" s="235">
        <v>2</v>
      </c>
      <c r="G397" s="40" t="s">
        <v>157</v>
      </c>
      <c r="H397" s="29">
        <v>1</v>
      </c>
      <c r="I397" s="9">
        <v>2</v>
      </c>
      <c r="J397" s="9">
        <v>1</v>
      </c>
      <c r="K397" s="9">
        <v>1</v>
      </c>
      <c r="L397" s="9">
        <v>1</v>
      </c>
      <c r="M397" s="9">
        <v>3</v>
      </c>
      <c r="N397" s="186">
        <v>1.0141150152164344</v>
      </c>
      <c r="O397" s="160">
        <v>1.0195048044558224</v>
      </c>
      <c r="P397" s="63"/>
    </row>
    <row r="398" spans="1:16" hidden="1">
      <c r="A398" s="152" t="s">
        <v>270</v>
      </c>
      <c r="B398" s="34" t="s">
        <v>301</v>
      </c>
      <c r="C398" s="40" t="s">
        <v>139</v>
      </c>
      <c r="D398" s="34" t="s">
        <v>139</v>
      </c>
      <c r="E398" s="870">
        <v>0.01</v>
      </c>
      <c r="F398" s="34">
        <v>2</v>
      </c>
      <c r="G398" s="40" t="s">
        <v>302</v>
      </c>
      <c r="H398" s="29">
        <v>2</v>
      </c>
      <c r="I398" s="9">
        <v>2</v>
      </c>
      <c r="J398" s="9">
        <v>2</v>
      </c>
      <c r="K398" s="9">
        <v>2</v>
      </c>
      <c r="L398" s="9">
        <v>1</v>
      </c>
      <c r="M398" s="9">
        <v>1</v>
      </c>
      <c r="N398" s="186">
        <f t="shared" ref="N398:N406" si="31">IF( OR( ISBLANK(H398),ISBLANK(J398), ISBLANK(K398), ISBLANK(L398), ISBLANK(M398) ), "", 1.5*SQRT(   EXP(2.21*(H398-1)) + EXP(2.21*(J398-1)) + EXP(2.21*(K398-1)) + EXP(2.21*(L398-1)) + EXP(2.21*M398)   )/100*2.45 )</f>
        <v>0.2249354160293616</v>
      </c>
      <c r="O398" s="160">
        <f t="shared" ref="O398:O406" si="32">IF( OR( ISBLANK(I398),ISBLANK(J398), ISBLANK(K398), ISBLANK(L398), ISBLANK(M398) ), "", 1.5*SQRT( EXP(2.21*(I398-1)) + EXP(2.21*(J398-1)) + EXP(2.21*(K398-1)) + EXP(2.21*(L398-1)) + EXP(2.21*M398)   )/100*2.45 )</f>
        <v>0.2249354160293616</v>
      </c>
      <c r="P398" s="857"/>
    </row>
    <row r="399" spans="1:16" hidden="1">
      <c r="A399" s="152" t="s">
        <v>283</v>
      </c>
      <c r="B399" s="34" t="s">
        <v>179</v>
      </c>
      <c r="C399" s="40" t="s">
        <v>139</v>
      </c>
      <c r="D399" s="34" t="s">
        <v>85</v>
      </c>
      <c r="E399" s="260">
        <v>7.5999999999999998E-2</v>
      </c>
      <c r="F399" s="235">
        <v>1</v>
      </c>
      <c r="G399" s="40" t="s">
        <v>303</v>
      </c>
      <c r="H399" s="29">
        <v>2</v>
      </c>
      <c r="I399" s="9">
        <v>2</v>
      </c>
      <c r="J399" s="9">
        <v>3</v>
      </c>
      <c r="K399" s="9">
        <v>3</v>
      </c>
      <c r="L399" s="9">
        <v>1</v>
      </c>
      <c r="M399" s="9">
        <v>2</v>
      </c>
      <c r="N399" s="186">
        <f t="shared" si="31"/>
        <v>0.59189702474662764</v>
      </c>
      <c r="O399" s="160">
        <f t="shared" si="32"/>
        <v>0.59189702474662764</v>
      </c>
      <c r="P399" s="63"/>
    </row>
    <row r="400" spans="1:16" hidden="1">
      <c r="A400" s="152" t="s">
        <v>175</v>
      </c>
      <c r="B400" s="34" t="s">
        <v>179</v>
      </c>
      <c r="C400" s="40" t="s">
        <v>139</v>
      </c>
      <c r="D400" s="34" t="s">
        <v>139</v>
      </c>
      <c r="E400" s="260" t="s">
        <v>150</v>
      </c>
      <c r="F400" s="235">
        <v>1</v>
      </c>
      <c r="G400" s="40"/>
      <c r="H400" s="29"/>
      <c r="I400" s="9"/>
      <c r="J400" s="9"/>
      <c r="K400" s="9"/>
      <c r="L400" s="9"/>
      <c r="M400" s="9"/>
      <c r="N400" s="186" t="str">
        <f t="shared" si="31"/>
        <v/>
      </c>
      <c r="O400" s="160" t="str">
        <f t="shared" si="32"/>
        <v/>
      </c>
      <c r="P400" s="63"/>
    </row>
    <row r="401" spans="1:16" hidden="1">
      <c r="A401" s="152" t="s">
        <v>175</v>
      </c>
      <c r="B401" s="34" t="s">
        <v>179</v>
      </c>
      <c r="C401" s="40" t="s">
        <v>139</v>
      </c>
      <c r="D401" s="34" t="s">
        <v>139</v>
      </c>
      <c r="E401" s="40" t="s">
        <v>150</v>
      </c>
      <c r="F401" s="235">
        <v>1</v>
      </c>
      <c r="G401" s="40"/>
      <c r="H401" s="29"/>
      <c r="I401" s="9"/>
      <c r="J401" s="9"/>
      <c r="K401" s="9"/>
      <c r="L401" s="9"/>
      <c r="M401" s="9"/>
      <c r="N401" s="186" t="str">
        <f t="shared" si="31"/>
        <v/>
      </c>
      <c r="O401" s="160" t="str">
        <f t="shared" si="32"/>
        <v/>
      </c>
      <c r="P401" s="857"/>
    </row>
    <row r="402" spans="1:16" hidden="1">
      <c r="A402" s="152" t="s">
        <v>112</v>
      </c>
      <c r="B402" s="34" t="s">
        <v>241</v>
      </c>
      <c r="C402" s="40" t="s">
        <v>139</v>
      </c>
      <c r="D402" s="34" t="s">
        <v>87</v>
      </c>
      <c r="E402" s="260">
        <v>0</v>
      </c>
      <c r="F402" s="235">
        <v>1</v>
      </c>
      <c r="G402" s="40"/>
      <c r="H402" s="29"/>
      <c r="I402" s="9"/>
      <c r="J402" s="9"/>
      <c r="K402" s="9"/>
      <c r="L402" s="9"/>
      <c r="M402" s="9"/>
      <c r="N402" s="186" t="str">
        <f t="shared" si="31"/>
        <v/>
      </c>
      <c r="O402" s="160" t="str">
        <f t="shared" si="32"/>
        <v/>
      </c>
      <c r="P402" s="63"/>
    </row>
    <row r="403" spans="1:16" hidden="1">
      <c r="A403" s="152" t="s">
        <v>112</v>
      </c>
      <c r="B403" s="34" t="s">
        <v>241</v>
      </c>
      <c r="C403" s="40" t="s">
        <v>139</v>
      </c>
      <c r="D403" s="34" t="s">
        <v>88</v>
      </c>
      <c r="E403" s="260">
        <v>0</v>
      </c>
      <c r="F403" s="235">
        <v>1</v>
      </c>
      <c r="G403" s="40"/>
      <c r="H403" s="29"/>
      <c r="I403" s="9"/>
      <c r="J403" s="9"/>
      <c r="K403" s="9"/>
      <c r="L403" s="9"/>
      <c r="M403" s="9"/>
      <c r="N403" s="186" t="str">
        <f t="shared" si="31"/>
        <v/>
      </c>
      <c r="O403" s="160" t="str">
        <f t="shared" si="32"/>
        <v/>
      </c>
      <c r="P403" s="63"/>
    </row>
    <row r="404" spans="1:16" hidden="1">
      <c r="A404" s="152" t="s">
        <v>112</v>
      </c>
      <c r="B404" s="34" t="s">
        <v>241</v>
      </c>
      <c r="C404" s="40" t="s">
        <v>139</v>
      </c>
      <c r="D404" s="34" t="s">
        <v>89</v>
      </c>
      <c r="E404" s="260">
        <v>0</v>
      </c>
      <c r="F404" s="235">
        <v>1</v>
      </c>
      <c r="G404" s="40"/>
      <c r="H404" s="29"/>
      <c r="I404" s="9"/>
      <c r="J404" s="9"/>
      <c r="K404" s="9"/>
      <c r="L404" s="9"/>
      <c r="M404" s="9"/>
      <c r="N404" s="186" t="str">
        <f t="shared" si="31"/>
        <v/>
      </c>
      <c r="O404" s="160" t="str">
        <f t="shared" si="32"/>
        <v/>
      </c>
      <c r="P404" s="63"/>
    </row>
    <row r="405" spans="1:16" hidden="1">
      <c r="A405" s="152" t="s">
        <v>112</v>
      </c>
      <c r="B405" s="34" t="s">
        <v>241</v>
      </c>
      <c r="C405" s="40" t="s">
        <v>139</v>
      </c>
      <c r="D405" s="34" t="s">
        <v>90</v>
      </c>
      <c r="E405" s="260">
        <v>0</v>
      </c>
      <c r="F405" s="235">
        <v>1</v>
      </c>
      <c r="G405" s="40"/>
      <c r="H405" s="29"/>
      <c r="I405" s="9"/>
      <c r="J405" s="9"/>
      <c r="K405" s="9"/>
      <c r="L405" s="9"/>
      <c r="M405" s="9"/>
      <c r="N405" s="186" t="str">
        <f t="shared" si="31"/>
        <v/>
      </c>
      <c r="O405" s="160" t="str">
        <f t="shared" si="32"/>
        <v/>
      </c>
      <c r="P405" s="63"/>
    </row>
    <row r="406" spans="1:16" hidden="1">
      <c r="A406" s="152" t="s">
        <v>112</v>
      </c>
      <c r="B406" s="34" t="s">
        <v>241</v>
      </c>
      <c r="C406" s="40" t="s">
        <v>139</v>
      </c>
      <c r="D406" s="34" t="s">
        <v>91</v>
      </c>
      <c r="E406" s="260">
        <v>2.0260014591638925E-2</v>
      </c>
      <c r="F406" s="235">
        <v>1</v>
      </c>
      <c r="G406" s="40" t="s">
        <v>163</v>
      </c>
      <c r="H406" s="29">
        <v>2</v>
      </c>
      <c r="I406" s="9">
        <v>2</v>
      </c>
      <c r="J406" s="9">
        <v>2</v>
      </c>
      <c r="K406" s="9">
        <v>2</v>
      </c>
      <c r="L406" s="9">
        <v>1</v>
      </c>
      <c r="M406" s="9">
        <v>2</v>
      </c>
      <c r="N406" s="186">
        <f t="shared" si="31"/>
        <v>0.38795788889711302</v>
      </c>
      <c r="O406" s="160">
        <f t="shared" si="32"/>
        <v>0.38795788889711302</v>
      </c>
      <c r="P406" s="63"/>
    </row>
    <row r="407" spans="1:16" hidden="1">
      <c r="A407" s="152" t="s">
        <v>228</v>
      </c>
      <c r="B407" s="34" t="s">
        <v>304</v>
      </c>
      <c r="C407" s="40" t="s">
        <v>139</v>
      </c>
      <c r="D407" s="34" t="s">
        <v>139</v>
      </c>
      <c r="E407" s="260" t="s">
        <v>150</v>
      </c>
      <c r="F407" s="235">
        <v>1</v>
      </c>
      <c r="G407" s="40"/>
      <c r="H407" s="29"/>
      <c r="I407" s="9"/>
      <c r="J407" s="9"/>
      <c r="K407" s="9"/>
      <c r="L407" s="9"/>
      <c r="M407" s="9"/>
      <c r="N407" s="186" t="str">
        <f t="shared" ref="N407:N438" si="33">IF( OR( ISBLANK(H407),ISBLANK(J407), ISBLANK(K407), ISBLANK(L407), ISBLANK(M407) ), "", 1.5*SQRT(   EXP(2.21*(H407-1)) + EXP(2.21*(J407-1)) + EXP(2.21*(K407-1)) + EXP(2.21*(L407-1)) + EXP(2.21*M407)   )/100*2.45 )</f>
        <v/>
      </c>
      <c r="O407" s="160" t="str">
        <f t="shared" ref="O407:O438" si="34">IF( OR( ISBLANK(I407),ISBLANK(J407), ISBLANK(K407), ISBLANK(L407), ISBLANK(M407) ), "", 1.5*SQRT( EXP(2.21*(I407-1)) + EXP(2.21*(J407-1)) + EXP(2.21*(K407-1)) + EXP(2.21*(L407-1)) + EXP(2.21*M407)   )/100*2.45 )</f>
        <v/>
      </c>
      <c r="P407" s="63"/>
    </row>
    <row r="408" spans="1:16" hidden="1">
      <c r="A408" s="152" t="s">
        <v>283</v>
      </c>
      <c r="B408" s="34" t="s">
        <v>179</v>
      </c>
      <c r="C408" s="40" t="s">
        <v>139</v>
      </c>
      <c r="D408" s="34" t="s">
        <v>86</v>
      </c>
      <c r="E408" s="260">
        <v>7.5999999999999998E-2</v>
      </c>
      <c r="F408" s="235">
        <v>1</v>
      </c>
      <c r="G408" s="40" t="s">
        <v>305</v>
      </c>
      <c r="H408" s="29">
        <v>2</v>
      </c>
      <c r="I408" s="9">
        <v>2</v>
      </c>
      <c r="J408" s="9">
        <v>3</v>
      </c>
      <c r="K408" s="9">
        <v>3</v>
      </c>
      <c r="L408" s="9">
        <v>1</v>
      </c>
      <c r="M408" s="9">
        <v>2</v>
      </c>
      <c r="N408" s="186">
        <f t="shared" si="33"/>
        <v>0.59189702474662764</v>
      </c>
      <c r="O408" s="160">
        <f t="shared" si="34"/>
        <v>0.59189702474662764</v>
      </c>
      <c r="P408" s="63"/>
    </row>
    <row r="409" spans="1:16" hidden="1">
      <c r="A409" s="152" t="s">
        <v>283</v>
      </c>
      <c r="B409" s="34" t="s">
        <v>179</v>
      </c>
      <c r="C409" s="40" t="s">
        <v>139</v>
      </c>
      <c r="D409" s="34" t="s">
        <v>87</v>
      </c>
      <c r="E409" s="260">
        <v>7.5999999999999998E-2</v>
      </c>
      <c r="F409" s="235">
        <v>1</v>
      </c>
      <c r="G409" s="40" t="s">
        <v>306</v>
      </c>
      <c r="H409" s="29">
        <v>2</v>
      </c>
      <c r="I409" s="9">
        <v>2</v>
      </c>
      <c r="J409" s="9">
        <v>3</v>
      </c>
      <c r="K409" s="9">
        <v>3</v>
      </c>
      <c r="L409" s="9">
        <v>1</v>
      </c>
      <c r="M409" s="9">
        <v>2</v>
      </c>
      <c r="N409" s="186">
        <f t="shared" si="33"/>
        <v>0.59189702474662764</v>
      </c>
      <c r="O409" s="160">
        <f t="shared" si="34"/>
        <v>0.59189702474662764</v>
      </c>
      <c r="P409" s="63"/>
    </row>
    <row r="410" spans="1:16" hidden="1">
      <c r="A410" s="152" t="s">
        <v>256</v>
      </c>
      <c r="B410" s="34" t="s">
        <v>267</v>
      </c>
      <c r="C410" s="40" t="s">
        <v>180</v>
      </c>
      <c r="D410" s="69" t="s">
        <v>94</v>
      </c>
      <c r="E410" s="867">
        <v>1</v>
      </c>
      <c r="F410" s="34">
        <v>1</v>
      </c>
      <c r="G410" s="344" t="s">
        <v>110</v>
      </c>
      <c r="H410" s="29">
        <v>1</v>
      </c>
      <c r="I410" s="9"/>
      <c r="J410" s="9">
        <v>1</v>
      </c>
      <c r="K410" s="9">
        <v>1</v>
      </c>
      <c r="L410" s="9">
        <v>2</v>
      </c>
      <c r="M410" s="9">
        <v>2</v>
      </c>
      <c r="N410" s="186">
        <f t="shared" si="33"/>
        <v>0.35859414261160716</v>
      </c>
      <c r="O410" s="160" t="str">
        <f t="shared" si="34"/>
        <v/>
      </c>
      <c r="P410" s="63"/>
    </row>
    <row r="411" spans="1:16" hidden="1">
      <c r="A411" s="152" t="s">
        <v>283</v>
      </c>
      <c r="B411" s="34" t="s">
        <v>179</v>
      </c>
      <c r="C411" s="40" t="s">
        <v>139</v>
      </c>
      <c r="D411" s="34" t="s">
        <v>88</v>
      </c>
      <c r="E411" s="260">
        <v>7.5999999999999998E-2</v>
      </c>
      <c r="F411" s="235">
        <v>1</v>
      </c>
      <c r="G411" s="40" t="s">
        <v>307</v>
      </c>
      <c r="H411" s="29">
        <v>2</v>
      </c>
      <c r="I411" s="9">
        <v>2</v>
      </c>
      <c r="J411" s="9">
        <v>3</v>
      </c>
      <c r="K411" s="9">
        <v>3</v>
      </c>
      <c r="L411" s="9">
        <v>1</v>
      </c>
      <c r="M411" s="9">
        <v>2</v>
      </c>
      <c r="N411" s="186">
        <f t="shared" si="33"/>
        <v>0.59189702474662764</v>
      </c>
      <c r="O411" s="160">
        <f t="shared" si="34"/>
        <v>0.59189702474662764</v>
      </c>
      <c r="P411" s="63"/>
    </row>
    <row r="412" spans="1:16" hidden="1">
      <c r="A412" s="152" t="s">
        <v>283</v>
      </c>
      <c r="B412" s="34" t="s">
        <v>179</v>
      </c>
      <c r="C412" s="40" t="s">
        <v>139</v>
      </c>
      <c r="D412" s="34" t="s">
        <v>89</v>
      </c>
      <c r="E412" s="260">
        <v>7.5999999999999998E-2</v>
      </c>
      <c r="F412" s="235">
        <v>1</v>
      </c>
      <c r="G412" s="40" t="s">
        <v>308</v>
      </c>
      <c r="H412" s="29">
        <v>2</v>
      </c>
      <c r="I412" s="9">
        <v>2</v>
      </c>
      <c r="J412" s="9">
        <v>3</v>
      </c>
      <c r="K412" s="9">
        <v>3</v>
      </c>
      <c r="L412" s="9">
        <v>1</v>
      </c>
      <c r="M412" s="9">
        <v>2</v>
      </c>
      <c r="N412" s="186">
        <f t="shared" si="33"/>
        <v>0.59189702474662764</v>
      </c>
      <c r="O412" s="160">
        <f t="shared" si="34"/>
        <v>0.59189702474662764</v>
      </c>
      <c r="P412" s="63"/>
    </row>
    <row r="413" spans="1:16" hidden="1">
      <c r="A413" s="152" t="s">
        <v>37</v>
      </c>
      <c r="B413" s="34" t="s">
        <v>309</v>
      </c>
      <c r="C413" s="40" t="s">
        <v>139</v>
      </c>
      <c r="D413" s="34" t="s">
        <v>85</v>
      </c>
      <c r="E413" s="260">
        <f>Intentionally_produced_MPs!V127</f>
        <v>0</v>
      </c>
      <c r="F413" s="235">
        <v>1</v>
      </c>
      <c r="G413" s="40"/>
      <c r="H413" s="29"/>
      <c r="I413" s="9"/>
      <c r="J413" s="9"/>
      <c r="K413" s="9"/>
      <c r="L413" s="9"/>
      <c r="M413" s="9"/>
      <c r="N413" s="186" t="str">
        <f t="shared" si="33"/>
        <v/>
      </c>
      <c r="O413" s="160" t="str">
        <f t="shared" si="34"/>
        <v/>
      </c>
      <c r="P413" s="63"/>
    </row>
    <row r="414" spans="1:16" hidden="1">
      <c r="A414" s="152" t="s">
        <v>37</v>
      </c>
      <c r="B414" s="34" t="s">
        <v>309</v>
      </c>
      <c r="C414" s="40" t="s">
        <v>139</v>
      </c>
      <c r="D414" s="34" t="s">
        <v>86</v>
      </c>
      <c r="E414" s="260">
        <f>Intentionally_produced_MPs!V128</f>
        <v>0</v>
      </c>
      <c r="F414" s="235">
        <v>1</v>
      </c>
      <c r="G414" s="40"/>
      <c r="H414" s="29"/>
      <c r="I414" s="9"/>
      <c r="J414" s="9"/>
      <c r="K414" s="9"/>
      <c r="L414" s="9"/>
      <c r="M414" s="9"/>
      <c r="N414" s="186" t="str">
        <f t="shared" si="33"/>
        <v/>
      </c>
      <c r="O414" s="160" t="str">
        <f t="shared" si="34"/>
        <v/>
      </c>
      <c r="P414" s="63"/>
    </row>
    <row r="415" spans="1:16" hidden="1">
      <c r="A415" s="152" t="s">
        <v>37</v>
      </c>
      <c r="B415" s="34" t="s">
        <v>309</v>
      </c>
      <c r="C415" s="40" t="s">
        <v>139</v>
      </c>
      <c r="D415" s="34" t="s">
        <v>87</v>
      </c>
      <c r="E415" s="260">
        <f>Intentionally_produced_MPs!V129</f>
        <v>0</v>
      </c>
      <c r="F415" s="235">
        <v>1</v>
      </c>
      <c r="G415" s="40"/>
      <c r="H415" s="29"/>
      <c r="I415" s="9"/>
      <c r="J415" s="9"/>
      <c r="K415" s="9"/>
      <c r="L415" s="9"/>
      <c r="M415" s="9"/>
      <c r="N415" s="186" t="str">
        <f t="shared" si="33"/>
        <v/>
      </c>
      <c r="O415" s="160" t="str">
        <f t="shared" si="34"/>
        <v/>
      </c>
      <c r="P415" s="63"/>
    </row>
    <row r="416" spans="1:16" hidden="1">
      <c r="A416" s="152" t="s">
        <v>37</v>
      </c>
      <c r="B416" s="34" t="s">
        <v>309</v>
      </c>
      <c r="C416" s="40" t="s">
        <v>139</v>
      </c>
      <c r="D416" s="34" t="s">
        <v>88</v>
      </c>
      <c r="E416" s="260">
        <f>Intentionally_produced_MPs!V130</f>
        <v>0</v>
      </c>
      <c r="F416" s="235">
        <v>1</v>
      </c>
      <c r="G416" s="40"/>
      <c r="H416" s="29"/>
      <c r="I416" s="9"/>
      <c r="J416" s="9"/>
      <c r="K416" s="9"/>
      <c r="L416" s="9"/>
      <c r="M416" s="9"/>
      <c r="N416" s="186" t="str">
        <f t="shared" si="33"/>
        <v/>
      </c>
      <c r="O416" s="160" t="str">
        <f t="shared" si="34"/>
        <v/>
      </c>
      <c r="P416" s="63"/>
    </row>
    <row r="417" spans="1:16" hidden="1">
      <c r="A417" s="152" t="s">
        <v>37</v>
      </c>
      <c r="B417" s="34" t="s">
        <v>309</v>
      </c>
      <c r="C417" s="40" t="s">
        <v>139</v>
      </c>
      <c r="D417" s="34" t="s">
        <v>89</v>
      </c>
      <c r="E417" s="260">
        <f>Intentionally_produced_MPs!V131</f>
        <v>0</v>
      </c>
      <c r="F417" s="235">
        <v>1</v>
      </c>
      <c r="G417" s="40"/>
      <c r="H417" s="29"/>
      <c r="I417" s="9"/>
      <c r="J417" s="9"/>
      <c r="K417" s="9"/>
      <c r="L417" s="9"/>
      <c r="M417" s="9"/>
      <c r="N417" s="186" t="str">
        <f t="shared" si="33"/>
        <v/>
      </c>
      <c r="O417" s="160" t="str">
        <f t="shared" si="34"/>
        <v/>
      </c>
      <c r="P417" s="63"/>
    </row>
    <row r="418" spans="1:16" hidden="1">
      <c r="A418" s="152" t="s">
        <v>37</v>
      </c>
      <c r="B418" s="34" t="s">
        <v>309</v>
      </c>
      <c r="C418" s="40" t="s">
        <v>139</v>
      </c>
      <c r="D418" s="34" t="s">
        <v>90</v>
      </c>
      <c r="E418" s="260">
        <f>Intentionally_produced_MPs!V132</f>
        <v>0</v>
      </c>
      <c r="F418" s="235">
        <v>1</v>
      </c>
      <c r="G418" s="40"/>
      <c r="H418" s="29"/>
      <c r="I418" s="9"/>
      <c r="J418" s="9"/>
      <c r="K418" s="9"/>
      <c r="L418" s="9"/>
      <c r="M418" s="9"/>
      <c r="N418" s="186" t="str">
        <f t="shared" si="33"/>
        <v/>
      </c>
      <c r="O418" s="160" t="str">
        <f t="shared" si="34"/>
        <v/>
      </c>
      <c r="P418" s="63"/>
    </row>
    <row r="419" spans="1:16" hidden="1">
      <c r="A419" s="152" t="s">
        <v>37</v>
      </c>
      <c r="B419" s="34" t="s">
        <v>309</v>
      </c>
      <c r="C419" s="40" t="s">
        <v>139</v>
      </c>
      <c r="D419" s="34" t="s">
        <v>91</v>
      </c>
      <c r="E419" s="260">
        <f>Intentionally_produced_MPs!V133</f>
        <v>0</v>
      </c>
      <c r="F419" s="235">
        <v>1</v>
      </c>
      <c r="G419" s="40"/>
      <c r="H419" s="29"/>
      <c r="I419" s="9"/>
      <c r="J419" s="9"/>
      <c r="K419" s="9"/>
      <c r="L419" s="9"/>
      <c r="M419" s="9"/>
      <c r="N419" s="186" t="str">
        <f t="shared" si="33"/>
        <v/>
      </c>
      <c r="O419" s="160" t="str">
        <f t="shared" si="34"/>
        <v/>
      </c>
      <c r="P419" s="63"/>
    </row>
    <row r="420" spans="1:16" hidden="1">
      <c r="A420" s="152" t="s">
        <v>37</v>
      </c>
      <c r="B420" s="34" t="s">
        <v>309</v>
      </c>
      <c r="C420" s="40" t="s">
        <v>139</v>
      </c>
      <c r="D420" s="34" t="s">
        <v>92</v>
      </c>
      <c r="E420" s="260">
        <f>Intentionally_produced_MPs!V134</f>
        <v>1</v>
      </c>
      <c r="F420" s="235">
        <v>1</v>
      </c>
      <c r="G420" s="40" t="s">
        <v>310</v>
      </c>
      <c r="H420" s="29"/>
      <c r="I420" s="9"/>
      <c r="J420" s="9"/>
      <c r="K420" s="9"/>
      <c r="L420" s="9"/>
      <c r="M420" s="9"/>
      <c r="N420" s="186" t="str">
        <f t="shared" si="33"/>
        <v/>
      </c>
      <c r="O420" s="160" t="str">
        <f t="shared" si="34"/>
        <v/>
      </c>
      <c r="P420" s="63"/>
    </row>
    <row r="421" spans="1:16" hidden="1">
      <c r="A421" s="152" t="s">
        <v>37</v>
      </c>
      <c r="B421" s="34" t="s">
        <v>309</v>
      </c>
      <c r="C421" s="40" t="s">
        <v>139</v>
      </c>
      <c r="D421" s="34" t="s">
        <v>93</v>
      </c>
      <c r="E421" s="260">
        <f>Intentionally_produced_MPs!V135</f>
        <v>0</v>
      </c>
      <c r="F421" s="235">
        <v>1</v>
      </c>
      <c r="G421" s="40"/>
      <c r="H421" s="29"/>
      <c r="I421" s="9"/>
      <c r="J421" s="9"/>
      <c r="K421" s="9"/>
      <c r="L421" s="9"/>
      <c r="M421" s="9"/>
      <c r="N421" s="186" t="str">
        <f t="shared" si="33"/>
        <v/>
      </c>
      <c r="O421" s="160" t="str">
        <f t="shared" si="34"/>
        <v/>
      </c>
      <c r="P421" s="63"/>
    </row>
    <row r="422" spans="1:16" hidden="1">
      <c r="A422" s="152" t="s">
        <v>37</v>
      </c>
      <c r="B422" s="34" t="s">
        <v>309</v>
      </c>
      <c r="C422" s="40" t="s">
        <v>139</v>
      </c>
      <c r="D422" s="34" t="s">
        <v>94</v>
      </c>
      <c r="E422" s="260">
        <f>Intentionally_produced_MPs!V136</f>
        <v>0</v>
      </c>
      <c r="F422" s="235">
        <v>1</v>
      </c>
      <c r="G422" s="40"/>
      <c r="H422" s="29"/>
      <c r="I422" s="9"/>
      <c r="J422" s="9"/>
      <c r="K422" s="9"/>
      <c r="L422" s="9"/>
      <c r="M422" s="9"/>
      <c r="N422" s="186" t="str">
        <f t="shared" si="33"/>
        <v/>
      </c>
      <c r="O422" s="160" t="str">
        <f t="shared" si="34"/>
        <v/>
      </c>
      <c r="P422" s="63"/>
    </row>
    <row r="423" spans="1:16" hidden="1">
      <c r="A423" s="152" t="s">
        <v>37</v>
      </c>
      <c r="B423" s="34" t="s">
        <v>309</v>
      </c>
      <c r="C423" s="40" t="s">
        <v>139</v>
      </c>
      <c r="D423" s="34" t="s">
        <v>95</v>
      </c>
      <c r="E423" s="260">
        <f>Intentionally_produced_MPs!V137</f>
        <v>0</v>
      </c>
      <c r="F423" s="235">
        <v>1</v>
      </c>
      <c r="G423" s="40"/>
      <c r="H423" s="29"/>
      <c r="I423" s="9"/>
      <c r="J423" s="9"/>
      <c r="K423" s="9"/>
      <c r="L423" s="9"/>
      <c r="M423" s="9"/>
      <c r="N423" s="186" t="str">
        <f t="shared" si="33"/>
        <v/>
      </c>
      <c r="O423" s="160" t="str">
        <f t="shared" si="34"/>
        <v/>
      </c>
      <c r="P423" s="63"/>
    </row>
    <row r="424" spans="1:16" hidden="1">
      <c r="A424" s="152" t="s">
        <v>37</v>
      </c>
      <c r="B424" s="34" t="s">
        <v>309</v>
      </c>
      <c r="C424" s="40" t="s">
        <v>139</v>
      </c>
      <c r="D424" s="34" t="s">
        <v>96</v>
      </c>
      <c r="E424" s="260">
        <f>Intentionally_produced_MPs!V138</f>
        <v>0</v>
      </c>
      <c r="F424" s="235">
        <v>1</v>
      </c>
      <c r="G424" s="40"/>
      <c r="H424" s="29"/>
      <c r="I424" s="9"/>
      <c r="J424" s="9"/>
      <c r="K424" s="9"/>
      <c r="L424" s="9"/>
      <c r="M424" s="9"/>
      <c r="N424" s="186" t="str">
        <f t="shared" si="33"/>
        <v/>
      </c>
      <c r="O424" s="160" t="str">
        <f t="shared" si="34"/>
        <v/>
      </c>
      <c r="P424" s="63"/>
    </row>
    <row r="425" spans="1:16" hidden="1">
      <c r="A425" s="152" t="s">
        <v>37</v>
      </c>
      <c r="B425" s="34" t="s">
        <v>309</v>
      </c>
      <c r="C425" s="40" t="s">
        <v>139</v>
      </c>
      <c r="D425" s="34" t="s">
        <v>97</v>
      </c>
      <c r="E425" s="260">
        <f>Intentionally_produced_MPs!V139</f>
        <v>0</v>
      </c>
      <c r="F425" s="235">
        <v>1</v>
      </c>
      <c r="G425" s="40"/>
      <c r="H425" s="29"/>
      <c r="I425" s="9"/>
      <c r="J425" s="9"/>
      <c r="K425" s="9"/>
      <c r="L425" s="9"/>
      <c r="M425" s="9"/>
      <c r="N425" s="186" t="str">
        <f t="shared" si="33"/>
        <v/>
      </c>
      <c r="O425" s="160" t="str">
        <f t="shared" si="34"/>
        <v/>
      </c>
      <c r="P425" s="63"/>
    </row>
    <row r="426" spans="1:16" hidden="1">
      <c r="A426" s="152" t="s">
        <v>37</v>
      </c>
      <c r="B426" s="34" t="s">
        <v>309</v>
      </c>
      <c r="C426" s="40" t="s">
        <v>139</v>
      </c>
      <c r="D426" s="34" t="s">
        <v>98</v>
      </c>
      <c r="E426" s="260">
        <f>Intentionally_produced_MPs!V140</f>
        <v>0</v>
      </c>
      <c r="F426" s="235">
        <v>1</v>
      </c>
      <c r="G426" s="40"/>
      <c r="H426" s="29"/>
      <c r="I426" s="9"/>
      <c r="J426" s="9"/>
      <c r="K426" s="9"/>
      <c r="L426" s="9"/>
      <c r="M426" s="9"/>
      <c r="N426" s="186" t="str">
        <f t="shared" si="33"/>
        <v/>
      </c>
      <c r="O426" s="160" t="str">
        <f t="shared" si="34"/>
        <v/>
      </c>
      <c r="P426" s="63"/>
    </row>
    <row r="427" spans="1:16" hidden="1">
      <c r="A427" s="152" t="s">
        <v>309</v>
      </c>
      <c r="B427" s="34" t="s">
        <v>311</v>
      </c>
      <c r="C427" s="522" t="s">
        <v>139</v>
      </c>
      <c r="D427" s="37" t="s">
        <v>139</v>
      </c>
      <c r="E427" s="522" t="s">
        <v>150</v>
      </c>
      <c r="F427" s="37">
        <v>1</v>
      </c>
      <c r="G427" s="40"/>
      <c r="H427" s="29"/>
      <c r="I427" s="9"/>
      <c r="J427" s="9"/>
      <c r="K427" s="9"/>
      <c r="L427" s="9"/>
      <c r="M427" s="9"/>
      <c r="N427" s="186" t="str">
        <f t="shared" si="33"/>
        <v/>
      </c>
      <c r="O427" s="160" t="str">
        <f t="shared" si="34"/>
        <v/>
      </c>
      <c r="P427" s="63"/>
    </row>
    <row r="428" spans="1:16" hidden="1">
      <c r="A428" s="152" t="s">
        <v>309</v>
      </c>
      <c r="B428" s="34" t="s">
        <v>312</v>
      </c>
      <c r="C428" s="522" t="s">
        <v>139</v>
      </c>
      <c r="D428" s="37" t="s">
        <v>139</v>
      </c>
      <c r="E428" s="313">
        <v>0.11</v>
      </c>
      <c r="F428" s="37">
        <v>2</v>
      </c>
      <c r="G428" s="40" t="s">
        <v>313</v>
      </c>
      <c r="H428" s="29">
        <v>2</v>
      </c>
      <c r="I428" s="9">
        <v>2</v>
      </c>
      <c r="J428" s="9">
        <v>1</v>
      </c>
      <c r="K428" s="9">
        <v>1</v>
      </c>
      <c r="L428" s="9">
        <v>1</v>
      </c>
      <c r="M428" s="9">
        <v>1</v>
      </c>
      <c r="N428" s="186">
        <f t="shared" si="33"/>
        <v>0.16933510251023262</v>
      </c>
      <c r="O428" s="160">
        <f t="shared" si="34"/>
        <v>0.16933510251023262</v>
      </c>
      <c r="P428" s="63"/>
    </row>
    <row r="429" spans="1:16" hidden="1">
      <c r="A429" s="152" t="s">
        <v>37</v>
      </c>
      <c r="B429" s="34" t="s">
        <v>314</v>
      </c>
      <c r="C429" s="40" t="s">
        <v>139</v>
      </c>
      <c r="D429" s="34" t="s">
        <v>85</v>
      </c>
      <c r="E429" s="260">
        <f>Intentionally_produced_MPs!N127</f>
        <v>0</v>
      </c>
      <c r="F429" s="235">
        <v>1</v>
      </c>
      <c r="G429" s="40"/>
      <c r="H429" s="29"/>
      <c r="I429" s="9"/>
      <c r="J429" s="9"/>
      <c r="K429" s="9"/>
      <c r="L429" s="9"/>
      <c r="M429" s="9"/>
      <c r="N429" s="186" t="str">
        <f t="shared" si="33"/>
        <v/>
      </c>
      <c r="O429" s="160" t="str">
        <f t="shared" si="34"/>
        <v/>
      </c>
      <c r="P429" s="63"/>
    </row>
    <row r="430" spans="1:16" hidden="1">
      <c r="A430" s="152" t="s">
        <v>37</v>
      </c>
      <c r="B430" s="34" t="s">
        <v>314</v>
      </c>
      <c r="C430" s="40" t="s">
        <v>139</v>
      </c>
      <c r="D430" s="34" t="s">
        <v>86</v>
      </c>
      <c r="E430" s="260">
        <f>Intentionally_produced_MPs!N128</f>
        <v>0</v>
      </c>
      <c r="F430" s="235">
        <v>1</v>
      </c>
      <c r="G430" s="40"/>
      <c r="H430" s="29"/>
      <c r="I430" s="9"/>
      <c r="J430" s="9"/>
      <c r="K430" s="9"/>
      <c r="L430" s="9"/>
      <c r="M430" s="9"/>
      <c r="N430" s="186" t="str">
        <f t="shared" si="33"/>
        <v/>
      </c>
      <c r="O430" s="160" t="str">
        <f t="shared" si="34"/>
        <v/>
      </c>
      <c r="P430" s="63"/>
    </row>
    <row r="431" spans="1:16" hidden="1">
      <c r="A431" s="152" t="s">
        <v>37</v>
      </c>
      <c r="B431" s="34" t="s">
        <v>314</v>
      </c>
      <c r="C431" s="40" t="s">
        <v>139</v>
      </c>
      <c r="D431" s="34" t="s">
        <v>87</v>
      </c>
      <c r="E431" s="260">
        <f>Intentionally_produced_MPs!N129</f>
        <v>0</v>
      </c>
      <c r="F431" s="235">
        <v>1</v>
      </c>
      <c r="G431" s="40"/>
      <c r="H431" s="29"/>
      <c r="I431" s="9"/>
      <c r="J431" s="9"/>
      <c r="K431" s="9"/>
      <c r="L431" s="9"/>
      <c r="M431" s="9"/>
      <c r="N431" s="186" t="str">
        <f t="shared" si="33"/>
        <v/>
      </c>
      <c r="O431" s="160" t="str">
        <f t="shared" si="34"/>
        <v/>
      </c>
      <c r="P431" s="63"/>
    </row>
    <row r="432" spans="1:16" hidden="1">
      <c r="A432" s="152" t="s">
        <v>37</v>
      </c>
      <c r="B432" s="34" t="s">
        <v>314</v>
      </c>
      <c r="C432" s="40" t="s">
        <v>139</v>
      </c>
      <c r="D432" s="34" t="s">
        <v>88</v>
      </c>
      <c r="E432" s="260">
        <f>Intentionally_produced_MPs!N130</f>
        <v>0</v>
      </c>
      <c r="F432" s="235">
        <v>1</v>
      </c>
      <c r="G432" s="40"/>
      <c r="H432" s="29"/>
      <c r="I432" s="9"/>
      <c r="J432" s="9"/>
      <c r="K432" s="9"/>
      <c r="L432" s="9"/>
      <c r="M432" s="9"/>
      <c r="N432" s="186" t="str">
        <f t="shared" si="33"/>
        <v/>
      </c>
      <c r="O432" s="160" t="str">
        <f t="shared" si="34"/>
        <v/>
      </c>
      <c r="P432" s="63"/>
    </row>
    <row r="433" spans="1:16" hidden="1">
      <c r="A433" s="152" t="s">
        <v>37</v>
      </c>
      <c r="B433" s="34" t="s">
        <v>314</v>
      </c>
      <c r="C433" s="40" t="s">
        <v>139</v>
      </c>
      <c r="D433" s="34" t="s">
        <v>89</v>
      </c>
      <c r="E433" s="260">
        <f>Intentionally_produced_MPs!N131</f>
        <v>0</v>
      </c>
      <c r="F433" s="235">
        <v>1</v>
      </c>
      <c r="G433" s="40"/>
      <c r="H433" s="29"/>
      <c r="I433" s="9"/>
      <c r="J433" s="9"/>
      <c r="K433" s="9"/>
      <c r="L433" s="9"/>
      <c r="M433" s="9"/>
      <c r="N433" s="186" t="str">
        <f t="shared" si="33"/>
        <v/>
      </c>
      <c r="O433" s="160" t="str">
        <f t="shared" si="34"/>
        <v/>
      </c>
      <c r="P433" s="63"/>
    </row>
    <row r="434" spans="1:16" hidden="1">
      <c r="A434" s="152" t="s">
        <v>37</v>
      </c>
      <c r="B434" s="34" t="s">
        <v>314</v>
      </c>
      <c r="C434" s="40" t="s">
        <v>139</v>
      </c>
      <c r="D434" s="34" t="s">
        <v>90</v>
      </c>
      <c r="E434" s="260">
        <f>Intentionally_produced_MPs!N132</f>
        <v>0</v>
      </c>
      <c r="F434" s="235">
        <v>1</v>
      </c>
      <c r="G434" s="40"/>
      <c r="H434" s="29"/>
      <c r="I434" s="9"/>
      <c r="J434" s="9"/>
      <c r="K434" s="9"/>
      <c r="L434" s="9"/>
      <c r="M434" s="9"/>
      <c r="N434" s="186" t="str">
        <f t="shared" si="33"/>
        <v/>
      </c>
      <c r="O434" s="160" t="str">
        <f t="shared" si="34"/>
        <v/>
      </c>
      <c r="P434" s="63"/>
    </row>
    <row r="435" spans="1:16" hidden="1">
      <c r="A435" s="152" t="s">
        <v>37</v>
      </c>
      <c r="B435" s="34" t="s">
        <v>314</v>
      </c>
      <c r="C435" s="40" t="s">
        <v>139</v>
      </c>
      <c r="D435" s="34" t="s">
        <v>91</v>
      </c>
      <c r="E435" s="260">
        <f>Intentionally_produced_MPs!N133</f>
        <v>0</v>
      </c>
      <c r="F435" s="235">
        <v>1</v>
      </c>
      <c r="G435" s="40"/>
      <c r="H435" s="29"/>
      <c r="I435" s="9"/>
      <c r="J435" s="9"/>
      <c r="K435" s="9"/>
      <c r="L435" s="9"/>
      <c r="M435" s="9"/>
      <c r="N435" s="186" t="str">
        <f t="shared" si="33"/>
        <v/>
      </c>
      <c r="O435" s="160" t="str">
        <f t="shared" si="34"/>
        <v/>
      </c>
      <c r="P435" s="63"/>
    </row>
    <row r="436" spans="1:16" hidden="1">
      <c r="A436" s="152" t="s">
        <v>37</v>
      </c>
      <c r="B436" s="34" t="s">
        <v>314</v>
      </c>
      <c r="C436" s="40" t="s">
        <v>139</v>
      </c>
      <c r="D436" s="34" t="s">
        <v>92</v>
      </c>
      <c r="E436" s="260">
        <f>Intentionally_produced_MPs!N134</f>
        <v>0</v>
      </c>
      <c r="F436" s="235">
        <v>1</v>
      </c>
      <c r="G436" s="40"/>
      <c r="H436" s="29"/>
      <c r="I436" s="9"/>
      <c r="J436" s="9"/>
      <c r="K436" s="9"/>
      <c r="L436" s="9"/>
      <c r="M436" s="9"/>
      <c r="N436" s="186" t="str">
        <f t="shared" si="33"/>
        <v/>
      </c>
      <c r="O436" s="160" t="str">
        <f t="shared" si="34"/>
        <v/>
      </c>
      <c r="P436" s="63"/>
    </row>
    <row r="437" spans="1:16" hidden="1">
      <c r="A437" s="152" t="s">
        <v>37</v>
      </c>
      <c r="B437" s="34" t="s">
        <v>314</v>
      </c>
      <c r="C437" s="40" t="s">
        <v>139</v>
      </c>
      <c r="D437" s="34" t="s">
        <v>93</v>
      </c>
      <c r="E437" s="260">
        <f>Intentionally_produced_MPs!N135</f>
        <v>0</v>
      </c>
      <c r="F437" s="235">
        <v>1</v>
      </c>
      <c r="G437" s="40"/>
      <c r="H437" s="29"/>
      <c r="I437" s="9"/>
      <c r="J437" s="9"/>
      <c r="K437" s="9"/>
      <c r="L437" s="9"/>
      <c r="M437" s="9"/>
      <c r="N437" s="186" t="str">
        <f t="shared" si="33"/>
        <v/>
      </c>
      <c r="O437" s="160" t="str">
        <f t="shared" si="34"/>
        <v/>
      </c>
      <c r="P437" s="63"/>
    </row>
    <row r="438" spans="1:16" hidden="1">
      <c r="A438" s="152" t="s">
        <v>37</v>
      </c>
      <c r="B438" s="34" t="s">
        <v>314</v>
      </c>
      <c r="C438" s="40" t="s">
        <v>139</v>
      </c>
      <c r="D438" s="34" t="s">
        <v>94</v>
      </c>
      <c r="E438" s="260">
        <f>Intentionally_produced_MPs!N136</f>
        <v>0</v>
      </c>
      <c r="F438" s="235">
        <v>1</v>
      </c>
      <c r="G438" s="40"/>
      <c r="H438" s="29"/>
      <c r="I438" s="9"/>
      <c r="J438" s="9"/>
      <c r="K438" s="9"/>
      <c r="L438" s="9"/>
      <c r="M438" s="9"/>
      <c r="N438" s="186" t="str">
        <f t="shared" si="33"/>
        <v/>
      </c>
      <c r="O438" s="160" t="str">
        <f t="shared" si="34"/>
        <v/>
      </c>
      <c r="P438" s="63"/>
    </row>
    <row r="439" spans="1:16" hidden="1">
      <c r="A439" s="152" t="s">
        <v>37</v>
      </c>
      <c r="B439" s="34" t="s">
        <v>314</v>
      </c>
      <c r="C439" s="40" t="s">
        <v>139</v>
      </c>
      <c r="D439" s="34" t="s">
        <v>95</v>
      </c>
      <c r="E439" s="260">
        <f>Intentionally_produced_MPs!N137</f>
        <v>0</v>
      </c>
      <c r="F439" s="235">
        <v>1</v>
      </c>
      <c r="G439" s="40"/>
      <c r="H439" s="29"/>
      <c r="I439" s="9"/>
      <c r="J439" s="9"/>
      <c r="K439" s="9"/>
      <c r="L439" s="9"/>
      <c r="M439" s="9"/>
      <c r="N439" s="186" t="str">
        <f t="shared" ref="N439:N450" si="35">IF( OR( ISBLANK(H439),ISBLANK(J439), ISBLANK(K439), ISBLANK(L439), ISBLANK(M439) ), "", 1.5*SQRT(   EXP(2.21*(H439-1)) + EXP(2.21*(J439-1)) + EXP(2.21*(K439-1)) + EXP(2.21*(L439-1)) + EXP(2.21*M439)   )/100*2.45 )</f>
        <v/>
      </c>
      <c r="O439" s="160" t="str">
        <f t="shared" ref="O439:O450" si="36">IF( OR( ISBLANK(I439),ISBLANK(J439), ISBLANK(K439), ISBLANK(L439), ISBLANK(M439) ), "", 1.5*SQRT( EXP(2.21*(I439-1)) + EXP(2.21*(J439-1)) + EXP(2.21*(K439-1)) + EXP(2.21*(L439-1)) + EXP(2.21*M439)   )/100*2.45 )</f>
        <v/>
      </c>
      <c r="P439" s="63"/>
    </row>
    <row r="440" spans="1:16" hidden="1">
      <c r="A440" s="152" t="s">
        <v>37</v>
      </c>
      <c r="B440" s="34" t="s">
        <v>314</v>
      </c>
      <c r="C440" s="40" t="s">
        <v>139</v>
      </c>
      <c r="D440" s="34" t="s">
        <v>96</v>
      </c>
      <c r="E440" s="260">
        <f>Intentionally_produced_MPs!N138</f>
        <v>0</v>
      </c>
      <c r="F440" s="235">
        <v>1</v>
      </c>
      <c r="G440" s="40"/>
      <c r="H440" s="29"/>
      <c r="I440" s="9"/>
      <c r="J440" s="9"/>
      <c r="K440" s="9"/>
      <c r="L440" s="9"/>
      <c r="M440" s="9"/>
      <c r="N440" s="186" t="str">
        <f t="shared" si="35"/>
        <v/>
      </c>
      <c r="O440" s="160" t="str">
        <f t="shared" si="36"/>
        <v/>
      </c>
      <c r="P440" s="63"/>
    </row>
    <row r="441" spans="1:16" hidden="1">
      <c r="A441" s="152" t="s">
        <v>37</v>
      </c>
      <c r="B441" s="34" t="s">
        <v>314</v>
      </c>
      <c r="C441" s="40" t="s">
        <v>139</v>
      </c>
      <c r="D441" s="34" t="s">
        <v>97</v>
      </c>
      <c r="E441" s="260">
        <f>Intentionally_produced_MPs!N139</f>
        <v>0</v>
      </c>
      <c r="F441" s="235">
        <v>1</v>
      </c>
      <c r="G441" s="40"/>
      <c r="H441" s="29"/>
      <c r="I441" s="9"/>
      <c r="J441" s="9"/>
      <c r="K441" s="9"/>
      <c r="L441" s="9"/>
      <c r="M441" s="9"/>
      <c r="N441" s="186" t="str">
        <f t="shared" si="35"/>
        <v/>
      </c>
      <c r="O441" s="160" t="str">
        <f t="shared" si="36"/>
        <v/>
      </c>
      <c r="P441" s="63"/>
    </row>
    <row r="442" spans="1:16" hidden="1">
      <c r="A442" s="152" t="s">
        <v>37</v>
      </c>
      <c r="B442" s="34" t="s">
        <v>314</v>
      </c>
      <c r="C442" s="40" t="s">
        <v>139</v>
      </c>
      <c r="D442" s="34" t="s">
        <v>98</v>
      </c>
      <c r="E442" s="260">
        <f>Intentionally_produced_MPs!N140</f>
        <v>6.6532165485482164E-3</v>
      </c>
      <c r="F442" s="235">
        <v>1</v>
      </c>
      <c r="G442" s="40"/>
      <c r="H442" s="29">
        <v>3</v>
      </c>
      <c r="I442" s="9">
        <v>2</v>
      </c>
      <c r="J442" s="9">
        <v>3</v>
      </c>
      <c r="K442" s="9">
        <v>3</v>
      </c>
      <c r="L442" s="9">
        <v>3</v>
      </c>
      <c r="M442" s="9">
        <v>3</v>
      </c>
      <c r="N442" s="186">
        <f t="shared" si="35"/>
        <v>1.2132328390150593</v>
      </c>
      <c r="O442" s="160">
        <f t="shared" si="36"/>
        <v>1.1713319510247036</v>
      </c>
      <c r="P442" s="63"/>
    </row>
    <row r="443" spans="1:16" hidden="1">
      <c r="A443" s="152" t="s">
        <v>175</v>
      </c>
      <c r="B443" s="34" t="s">
        <v>184</v>
      </c>
      <c r="C443" s="40" t="s">
        <v>139</v>
      </c>
      <c r="D443" s="34" t="s">
        <v>139</v>
      </c>
      <c r="E443" s="260">
        <v>0</v>
      </c>
      <c r="F443" s="235">
        <v>1</v>
      </c>
      <c r="G443" s="40" t="s">
        <v>157</v>
      </c>
      <c r="H443" s="29"/>
      <c r="I443" s="9"/>
      <c r="J443" s="9"/>
      <c r="K443" s="9"/>
      <c r="L443" s="9"/>
      <c r="M443" s="9"/>
      <c r="N443" s="186" t="str">
        <f t="shared" si="35"/>
        <v/>
      </c>
      <c r="O443" s="160" t="str">
        <f t="shared" si="36"/>
        <v/>
      </c>
      <c r="P443" s="63"/>
    </row>
    <row r="444" spans="1:16" hidden="1">
      <c r="A444" s="152" t="s">
        <v>175</v>
      </c>
      <c r="B444" s="34" t="s">
        <v>184</v>
      </c>
      <c r="C444" s="40" t="s">
        <v>139</v>
      </c>
      <c r="D444" s="34" t="s">
        <v>139</v>
      </c>
      <c r="E444" s="40">
        <v>0</v>
      </c>
      <c r="F444" s="235">
        <v>1</v>
      </c>
      <c r="G444" s="40" t="s">
        <v>157</v>
      </c>
      <c r="H444" s="29"/>
      <c r="I444" s="9"/>
      <c r="J444" s="9"/>
      <c r="K444" s="9"/>
      <c r="L444" s="9"/>
      <c r="M444" s="9"/>
      <c r="N444" s="186" t="str">
        <f t="shared" si="35"/>
        <v/>
      </c>
      <c r="O444" s="160" t="str">
        <f t="shared" si="36"/>
        <v/>
      </c>
      <c r="P444" s="857"/>
    </row>
    <row r="445" spans="1:16" hidden="1">
      <c r="A445" s="152" t="s">
        <v>175</v>
      </c>
      <c r="B445" s="34" t="s">
        <v>315</v>
      </c>
      <c r="C445" s="40" t="s">
        <v>139</v>
      </c>
      <c r="D445" s="34" t="s">
        <v>139</v>
      </c>
      <c r="E445" s="260">
        <v>1.2999999999999999E-3</v>
      </c>
      <c r="F445" s="235">
        <v>2</v>
      </c>
      <c r="G445" s="40" t="s">
        <v>177</v>
      </c>
      <c r="H445" s="29">
        <v>2</v>
      </c>
      <c r="I445" s="9">
        <v>2</v>
      </c>
      <c r="J445" s="9">
        <v>2</v>
      </c>
      <c r="K445" s="9">
        <v>3</v>
      </c>
      <c r="L445" s="9">
        <v>2</v>
      </c>
      <c r="M445" s="9">
        <v>2</v>
      </c>
      <c r="N445" s="186">
        <f t="shared" si="35"/>
        <v>0.51126068492676302</v>
      </c>
      <c r="O445" s="160">
        <f t="shared" si="36"/>
        <v>0.51126068492676302</v>
      </c>
      <c r="P445" s="63"/>
    </row>
    <row r="446" spans="1:16" hidden="1">
      <c r="A446" s="152" t="s">
        <v>283</v>
      </c>
      <c r="B446" s="34" t="s">
        <v>179</v>
      </c>
      <c r="C446" s="40" t="s">
        <v>139</v>
      </c>
      <c r="D446" s="34" t="s">
        <v>90</v>
      </c>
      <c r="E446" s="260">
        <v>7.5999999999999998E-2</v>
      </c>
      <c r="F446" s="235">
        <v>1</v>
      </c>
      <c r="G446" s="40" t="s">
        <v>316</v>
      </c>
      <c r="H446" s="29">
        <v>2</v>
      </c>
      <c r="I446" s="9">
        <v>2</v>
      </c>
      <c r="J446" s="9">
        <v>3</v>
      </c>
      <c r="K446" s="9">
        <v>3</v>
      </c>
      <c r="L446" s="9">
        <v>1</v>
      </c>
      <c r="M446" s="9">
        <v>2</v>
      </c>
      <c r="N446" s="186">
        <f t="shared" si="35"/>
        <v>0.59189702474662764</v>
      </c>
      <c r="O446" s="160">
        <f t="shared" si="36"/>
        <v>0.59189702474662764</v>
      </c>
      <c r="P446" s="63"/>
    </row>
    <row r="447" spans="1:16" hidden="1">
      <c r="A447" s="152" t="s">
        <v>175</v>
      </c>
      <c r="B447" s="34" t="s">
        <v>315</v>
      </c>
      <c r="C447" s="40" t="s">
        <v>139</v>
      </c>
      <c r="D447" s="34" t="s">
        <v>139</v>
      </c>
      <c r="E447" s="260">
        <v>1.47E-2</v>
      </c>
      <c r="F447" s="235">
        <v>2</v>
      </c>
      <c r="G447" s="40" t="s">
        <v>317</v>
      </c>
      <c r="H447" s="29">
        <v>2</v>
      </c>
      <c r="I447" s="9">
        <v>2</v>
      </c>
      <c r="J447" s="9">
        <v>2</v>
      </c>
      <c r="K447" s="9">
        <v>3</v>
      </c>
      <c r="L447" s="9">
        <v>2</v>
      </c>
      <c r="M447" s="9">
        <v>2</v>
      </c>
      <c r="N447" s="186">
        <f t="shared" si="35"/>
        <v>0.51126068492676302</v>
      </c>
      <c r="O447" s="160">
        <f t="shared" si="36"/>
        <v>0.51126068492676302</v>
      </c>
      <c r="P447" s="63"/>
    </row>
    <row r="448" spans="1:16" hidden="1">
      <c r="A448" s="152" t="s">
        <v>175</v>
      </c>
      <c r="B448" s="34" t="s">
        <v>315</v>
      </c>
      <c r="C448" s="40" t="s">
        <v>139</v>
      </c>
      <c r="D448" s="34" t="s">
        <v>139</v>
      </c>
      <c r="E448" s="40">
        <v>1.2999999999999999E-3</v>
      </c>
      <c r="F448" s="235">
        <v>2</v>
      </c>
      <c r="G448" s="40" t="s">
        <v>318</v>
      </c>
      <c r="H448" s="29">
        <v>2</v>
      </c>
      <c r="I448" s="9">
        <v>2</v>
      </c>
      <c r="J448" s="9">
        <v>2</v>
      </c>
      <c r="K448" s="9">
        <v>3</v>
      </c>
      <c r="L448" s="9">
        <v>2</v>
      </c>
      <c r="M448" s="9">
        <v>2</v>
      </c>
      <c r="N448" s="186">
        <f t="shared" si="35"/>
        <v>0.51126068492676302</v>
      </c>
      <c r="O448" s="160">
        <f t="shared" si="36"/>
        <v>0.51126068492676302</v>
      </c>
      <c r="P448" s="857"/>
    </row>
    <row r="449" spans="1:868" hidden="1">
      <c r="A449" s="152" t="s">
        <v>175</v>
      </c>
      <c r="B449" s="34" t="s">
        <v>315</v>
      </c>
      <c r="C449" s="40" t="s">
        <v>139</v>
      </c>
      <c r="D449" s="34" t="s">
        <v>139</v>
      </c>
      <c r="E449" s="40">
        <v>1.47E-2</v>
      </c>
      <c r="F449" s="235">
        <v>2</v>
      </c>
      <c r="G449" s="40" t="s">
        <v>319</v>
      </c>
      <c r="H449" s="29">
        <v>2</v>
      </c>
      <c r="I449" s="9">
        <v>2</v>
      </c>
      <c r="J449" s="9">
        <v>2</v>
      </c>
      <c r="K449" s="9">
        <v>3</v>
      </c>
      <c r="L449" s="9">
        <v>2</v>
      </c>
      <c r="M449" s="9">
        <v>2</v>
      </c>
      <c r="N449" s="186">
        <f t="shared" si="35"/>
        <v>0.51126068492676302</v>
      </c>
      <c r="O449" s="160">
        <f t="shared" si="36"/>
        <v>0.51126068492676302</v>
      </c>
      <c r="P449" s="857"/>
    </row>
    <row r="450" spans="1:868" hidden="1">
      <c r="A450" s="872" t="s">
        <v>223</v>
      </c>
      <c r="B450" s="873" t="s">
        <v>179</v>
      </c>
      <c r="C450" s="874" t="s">
        <v>182</v>
      </c>
      <c r="D450" s="873" t="s">
        <v>139</v>
      </c>
      <c r="E450" s="875" t="s">
        <v>150</v>
      </c>
      <c r="F450" s="876">
        <v>1</v>
      </c>
      <c r="G450" s="874"/>
      <c r="H450" s="840"/>
      <c r="I450" s="655"/>
      <c r="J450" s="655"/>
      <c r="K450" s="655" t="str">
        <f>IF( OR( ISBLANK(#REF!),ISBLANK(G450), ISBLANK(#REF!), ISBLANK(H450), ISBLANK(J450) ), "", 1.5*SQRT(   EXP(2.21*(#REF!-1)) + EXP(2.21*(G450-1)) + EXP(2.21*(#REF!-1)) + EXP(2.21*(H450-1)) + EXP(2.21*J450)   )/100 )</f>
        <v/>
      </c>
      <c r="L450" s="655" t="s">
        <v>249</v>
      </c>
      <c r="M450" s="655"/>
      <c r="N450" s="849" t="str">
        <f t="shared" si="35"/>
        <v/>
      </c>
      <c r="O450" s="850" t="str">
        <f t="shared" si="36"/>
        <v/>
      </c>
      <c r="P450" s="857"/>
    </row>
    <row r="451" spans="1:868" hidden="1">
      <c r="A451" s="872" t="s">
        <v>223</v>
      </c>
      <c r="B451" s="873" t="s">
        <v>179</v>
      </c>
      <c r="C451" s="874" t="s">
        <v>180</v>
      </c>
      <c r="D451" s="873" t="s">
        <v>139</v>
      </c>
      <c r="E451" s="875" t="s">
        <v>150</v>
      </c>
      <c r="F451" s="876">
        <v>1</v>
      </c>
      <c r="G451" s="874"/>
      <c r="H451" s="840"/>
      <c r="I451" s="655"/>
      <c r="J451" s="655"/>
      <c r="K451" s="655" t="str">
        <f>IF( OR( ISBLANK(#REF!),ISBLANK(G451), ISBLANK(#REF!), ISBLANK(H451), ISBLANK(J451) ), "", 1.5*SQRT(   EXP(2.21*(#REF!-1)) + EXP(2.21*(G451-1)) + EXP(2.21*(#REF!-1)) + EXP(2.21*(H451-1)) + EXP(2.21*J451)   )/100 )</f>
        <v/>
      </c>
      <c r="L451" s="655" t="s">
        <v>249</v>
      </c>
      <c r="M451" s="655"/>
      <c r="N451" s="849" t="str">
        <f t="shared" ref="N451:N482" si="37">IF( OR( ISBLANK(H451),ISBLANK(J451), ISBLANK(K451), ISBLANK(L451), ISBLANK(M451) ), "", 1.5*SQRT(   EXP(2.21*(H451-1)) + EXP(2.21*(J451-1)) + EXP(2.21*(K451-1)) + EXP(2.21*(L451-1)) + EXP(2.21*M451)   )/100*2.45 )</f>
        <v/>
      </c>
      <c r="O451" s="850" t="str">
        <f t="shared" ref="O451:O482" si="38">IF( OR( ISBLANK(I451),ISBLANK(J451), ISBLANK(K451), ISBLANK(L451), ISBLANK(M451) ), "", 1.5*SQRT( EXP(2.21*(I451-1)) + EXP(2.21*(J451-1)) + EXP(2.21*(K451-1)) + EXP(2.21*(L451-1)) + EXP(2.21*M451)   )/100*2.45 )</f>
        <v/>
      </c>
      <c r="P451" s="857"/>
    </row>
    <row r="452" spans="1:868" hidden="1">
      <c r="A452" s="872" t="s">
        <v>223</v>
      </c>
      <c r="B452" s="873" t="s">
        <v>184</v>
      </c>
      <c r="C452" s="874" t="s">
        <v>182</v>
      </c>
      <c r="D452" s="873" t="s">
        <v>139</v>
      </c>
      <c r="E452" s="875">
        <v>0</v>
      </c>
      <c r="F452" s="876">
        <v>2</v>
      </c>
      <c r="G452" s="874" t="s">
        <v>320</v>
      </c>
      <c r="H452" s="840"/>
      <c r="I452" s="655"/>
      <c r="J452" s="655"/>
      <c r="K452" s="655"/>
      <c r="L452" s="655"/>
      <c r="M452" s="655"/>
      <c r="N452" s="849" t="str">
        <f t="shared" si="37"/>
        <v/>
      </c>
      <c r="O452" s="850" t="str">
        <f t="shared" si="38"/>
        <v/>
      </c>
      <c r="P452" s="857"/>
    </row>
    <row r="453" spans="1:868" hidden="1">
      <c r="A453" s="152" t="s">
        <v>283</v>
      </c>
      <c r="B453" s="34" t="s">
        <v>179</v>
      </c>
      <c r="C453" s="40" t="s">
        <v>139</v>
      </c>
      <c r="D453" s="34" t="s">
        <v>91</v>
      </c>
      <c r="E453" s="260">
        <v>0.03</v>
      </c>
      <c r="F453" s="235">
        <v>1</v>
      </c>
      <c r="G453" s="40" t="s">
        <v>255</v>
      </c>
      <c r="H453" s="29">
        <v>1</v>
      </c>
      <c r="I453" s="9">
        <v>2</v>
      </c>
      <c r="J453" s="9">
        <v>3</v>
      </c>
      <c r="K453" s="9">
        <v>1</v>
      </c>
      <c r="L453" s="9">
        <v>1</v>
      </c>
      <c r="M453" s="9">
        <v>2</v>
      </c>
      <c r="N453" s="186">
        <f t="shared" si="37"/>
        <v>0.47802211380704585</v>
      </c>
      <c r="O453" s="160">
        <f t="shared" si="38"/>
        <v>0.48935255543384243</v>
      </c>
      <c r="P453" s="63"/>
    </row>
    <row r="454" spans="1:868" hidden="1">
      <c r="A454" s="872" t="s">
        <v>223</v>
      </c>
      <c r="B454" s="873" t="s">
        <v>184</v>
      </c>
      <c r="C454" s="874" t="s">
        <v>182</v>
      </c>
      <c r="D454" s="873" t="s">
        <v>139</v>
      </c>
      <c r="E454" s="875">
        <f>1-E452</f>
        <v>1</v>
      </c>
      <c r="F454" s="876">
        <v>2</v>
      </c>
      <c r="G454" s="874" t="s">
        <v>321</v>
      </c>
      <c r="H454" s="840"/>
      <c r="I454" s="655"/>
      <c r="J454" s="655"/>
      <c r="K454" s="655"/>
      <c r="L454" s="655"/>
      <c r="M454" s="655"/>
      <c r="N454" s="849" t="str">
        <f t="shared" si="37"/>
        <v/>
      </c>
      <c r="O454" s="850" t="str">
        <f t="shared" si="38"/>
        <v/>
      </c>
      <c r="P454" s="857"/>
    </row>
    <row r="455" spans="1:868" hidden="1">
      <c r="A455" s="152" t="s">
        <v>112</v>
      </c>
      <c r="B455" s="34" t="s">
        <v>241</v>
      </c>
      <c r="C455" s="40" t="s">
        <v>139</v>
      </c>
      <c r="D455" s="34" t="s">
        <v>95</v>
      </c>
      <c r="E455" s="260">
        <v>0</v>
      </c>
      <c r="F455" s="235">
        <v>1</v>
      </c>
      <c r="G455" s="40"/>
      <c r="H455" s="29"/>
      <c r="I455" s="9"/>
      <c r="J455" s="9"/>
      <c r="K455" s="9"/>
      <c r="L455" s="9"/>
      <c r="M455" s="9"/>
      <c r="N455" s="186" t="str">
        <f t="shared" si="37"/>
        <v/>
      </c>
      <c r="O455" s="160" t="str">
        <f t="shared" si="38"/>
        <v/>
      </c>
      <c r="P455" s="63"/>
    </row>
    <row r="456" spans="1:868" hidden="1">
      <c r="A456" s="152" t="s">
        <v>112</v>
      </c>
      <c r="B456" s="34" t="s">
        <v>241</v>
      </c>
      <c r="C456" s="40" t="s">
        <v>139</v>
      </c>
      <c r="D456" s="34" t="s">
        <v>99</v>
      </c>
      <c r="E456" s="260">
        <v>0</v>
      </c>
      <c r="F456" s="235">
        <v>1</v>
      </c>
      <c r="G456" s="40"/>
      <c r="H456" s="29"/>
      <c r="I456" s="9"/>
      <c r="J456" s="9"/>
      <c r="K456" s="9"/>
      <c r="L456" s="9"/>
      <c r="M456" s="9"/>
      <c r="N456" s="186" t="str">
        <f t="shared" si="37"/>
        <v/>
      </c>
      <c r="O456" s="160" t="str">
        <f t="shared" si="38"/>
        <v/>
      </c>
      <c r="P456" s="63"/>
    </row>
    <row r="457" spans="1:868" hidden="1">
      <c r="A457" s="152" t="s">
        <v>204</v>
      </c>
      <c r="B457" s="34" t="s">
        <v>322</v>
      </c>
      <c r="C457" s="40" t="s">
        <v>139</v>
      </c>
      <c r="D457" s="34" t="s">
        <v>139</v>
      </c>
      <c r="E457" s="260">
        <v>0.33</v>
      </c>
      <c r="F457" s="235">
        <v>2</v>
      </c>
      <c r="G457" s="40" t="s">
        <v>323</v>
      </c>
      <c r="H457" s="29">
        <v>2</v>
      </c>
      <c r="I457" s="9"/>
      <c r="J457" s="9">
        <v>1</v>
      </c>
      <c r="K457" s="9">
        <v>3</v>
      </c>
      <c r="L457" s="9">
        <v>1</v>
      </c>
      <c r="M457" s="9">
        <v>2</v>
      </c>
      <c r="N457" s="186">
        <f t="shared" si="37"/>
        <v>0.48935255543384243</v>
      </c>
      <c r="O457" s="160" t="str">
        <f t="shared" si="38"/>
        <v/>
      </c>
      <c r="P457" s="63"/>
    </row>
    <row r="458" spans="1:868" hidden="1">
      <c r="A458" s="152" t="s">
        <v>324</v>
      </c>
      <c r="B458" s="34" t="s">
        <v>322</v>
      </c>
      <c r="C458" s="40" t="s">
        <v>139</v>
      </c>
      <c r="D458" s="34" t="s">
        <v>139</v>
      </c>
      <c r="E458" s="260">
        <v>0.15</v>
      </c>
      <c r="F458" s="235">
        <v>2</v>
      </c>
      <c r="G458" s="40" t="s">
        <v>325</v>
      </c>
      <c r="H458" s="29">
        <v>2</v>
      </c>
      <c r="I458" s="9"/>
      <c r="J458" s="9">
        <v>3</v>
      </c>
      <c r="K458" s="9">
        <v>3</v>
      </c>
      <c r="L458" s="9">
        <v>1</v>
      </c>
      <c r="M458" s="9">
        <v>2</v>
      </c>
      <c r="N458" s="186">
        <f t="shared" si="37"/>
        <v>0.59189702474662764</v>
      </c>
      <c r="O458" s="160" t="str">
        <f t="shared" si="38"/>
        <v/>
      </c>
      <c r="P458" s="63"/>
    </row>
    <row r="459" spans="1:868" hidden="1">
      <c r="A459" s="152" t="s">
        <v>204</v>
      </c>
      <c r="B459" s="34" t="s">
        <v>326</v>
      </c>
      <c r="C459" s="40" t="s">
        <v>139</v>
      </c>
      <c r="D459" s="34" t="s">
        <v>139</v>
      </c>
      <c r="E459" s="260">
        <v>0.16</v>
      </c>
      <c r="F459" s="235">
        <v>2</v>
      </c>
      <c r="G459" s="40" t="s">
        <v>323</v>
      </c>
      <c r="H459" s="29">
        <v>2</v>
      </c>
      <c r="I459" s="9"/>
      <c r="J459" s="9">
        <v>1</v>
      </c>
      <c r="K459" s="9">
        <v>3</v>
      </c>
      <c r="L459" s="9">
        <v>1</v>
      </c>
      <c r="M459" s="9">
        <v>2</v>
      </c>
      <c r="N459" s="186">
        <f t="shared" si="37"/>
        <v>0.48935255543384243</v>
      </c>
      <c r="O459" s="160" t="str">
        <f t="shared" si="38"/>
        <v/>
      </c>
      <c r="P459" s="63"/>
    </row>
    <row r="460" spans="1:868" hidden="1">
      <c r="A460" s="152" t="s">
        <v>235</v>
      </c>
      <c r="B460" s="34" t="s">
        <v>326</v>
      </c>
      <c r="C460" s="40" t="s">
        <v>139</v>
      </c>
      <c r="D460" s="34" t="s">
        <v>139</v>
      </c>
      <c r="E460" s="260">
        <v>1.2999999999999999E-3</v>
      </c>
      <c r="F460" s="235">
        <v>2</v>
      </c>
      <c r="G460" s="40" t="s">
        <v>177</v>
      </c>
      <c r="H460" s="29">
        <v>1</v>
      </c>
      <c r="I460" s="9"/>
      <c r="J460" s="9">
        <v>1</v>
      </c>
      <c r="K460" s="9">
        <v>1</v>
      </c>
      <c r="L460" s="9">
        <v>1</v>
      </c>
      <c r="M460" s="9">
        <v>3</v>
      </c>
      <c r="N460" s="186">
        <f t="shared" si="37"/>
        <v>1.0141150152164344</v>
      </c>
      <c r="O460" s="160" t="str">
        <f t="shared" si="38"/>
        <v/>
      </c>
      <c r="P460" s="63"/>
    </row>
    <row r="461" spans="1:868" hidden="1">
      <c r="A461" s="152" t="s">
        <v>235</v>
      </c>
      <c r="B461" s="34" t="s">
        <v>326</v>
      </c>
      <c r="C461" s="40" t="s">
        <v>139</v>
      </c>
      <c r="D461" s="34" t="s">
        <v>139</v>
      </c>
      <c r="E461" s="260">
        <v>1.47E-2</v>
      </c>
      <c r="F461" s="235">
        <v>2</v>
      </c>
      <c r="G461" s="40" t="s">
        <v>317</v>
      </c>
      <c r="H461" s="29">
        <v>1</v>
      </c>
      <c r="I461" s="9"/>
      <c r="J461" s="9">
        <v>1</v>
      </c>
      <c r="K461" s="9">
        <v>1</v>
      </c>
      <c r="L461" s="9">
        <v>1</v>
      </c>
      <c r="M461" s="9">
        <v>3</v>
      </c>
      <c r="N461" s="186">
        <f t="shared" si="37"/>
        <v>1.0141150152164344</v>
      </c>
      <c r="O461" s="160" t="str">
        <f t="shared" si="38"/>
        <v/>
      </c>
      <c r="P461" s="63"/>
    </row>
    <row r="462" spans="1:868" hidden="1">
      <c r="A462" s="152" t="s">
        <v>327</v>
      </c>
      <c r="B462" s="34" t="s">
        <v>326</v>
      </c>
      <c r="C462" s="40" t="s">
        <v>139</v>
      </c>
      <c r="D462" s="34" t="s">
        <v>139</v>
      </c>
      <c r="E462" s="260">
        <v>0.5</v>
      </c>
      <c r="F462" s="235">
        <v>2</v>
      </c>
      <c r="G462" s="40" t="s">
        <v>328</v>
      </c>
      <c r="H462" s="29">
        <v>2</v>
      </c>
      <c r="I462" s="9"/>
      <c r="J462" s="9">
        <v>1</v>
      </c>
      <c r="K462" s="9">
        <v>3</v>
      </c>
      <c r="L462" s="9">
        <v>2</v>
      </c>
      <c r="M462" s="9">
        <v>2</v>
      </c>
      <c r="N462" s="186">
        <f t="shared" si="37"/>
        <v>0.50042652380814845</v>
      </c>
      <c r="O462" s="160" t="str">
        <f t="shared" si="38"/>
        <v/>
      </c>
      <c r="P462" s="63" t="s">
        <v>329</v>
      </c>
    </row>
    <row r="463" spans="1:868" s="851" customFormat="1" hidden="1">
      <c r="A463" s="152" t="s">
        <v>327</v>
      </c>
      <c r="B463" s="34" t="s">
        <v>326</v>
      </c>
      <c r="C463" s="40" t="s">
        <v>139</v>
      </c>
      <c r="D463" s="34" t="s">
        <v>139</v>
      </c>
      <c r="E463" s="260">
        <v>0.85</v>
      </c>
      <c r="F463" s="235">
        <v>2</v>
      </c>
      <c r="G463" s="40" t="s">
        <v>330</v>
      </c>
      <c r="H463" s="29">
        <v>2</v>
      </c>
      <c r="I463" s="9"/>
      <c r="J463" s="9">
        <v>2</v>
      </c>
      <c r="K463" s="9">
        <v>3</v>
      </c>
      <c r="L463" s="9">
        <v>2</v>
      </c>
      <c r="M463" s="9">
        <v>2</v>
      </c>
      <c r="N463" s="186">
        <f t="shared" si="37"/>
        <v>0.51126068492676302</v>
      </c>
      <c r="O463" s="160" t="str">
        <f t="shared" si="38"/>
        <v/>
      </c>
      <c r="P463" s="63" t="s">
        <v>331</v>
      </c>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6"/>
      <c r="DF463" s="16"/>
      <c r="DG463" s="16"/>
      <c r="DH463" s="16"/>
      <c r="DI463" s="16"/>
      <c r="DJ463" s="16"/>
      <c r="DK463" s="16"/>
      <c r="DL463" s="16"/>
      <c r="DM463" s="16"/>
      <c r="DN463" s="16"/>
      <c r="DO463" s="16"/>
      <c r="DP463" s="16"/>
      <c r="DQ463" s="16"/>
      <c r="DR463" s="16"/>
      <c r="DS463" s="16"/>
      <c r="DT463" s="16"/>
      <c r="DU463" s="16"/>
      <c r="DV463" s="16"/>
      <c r="DW463" s="16"/>
      <c r="DX463" s="16"/>
      <c r="DY463" s="16"/>
      <c r="DZ463" s="16"/>
      <c r="EA463" s="16"/>
      <c r="EB463" s="16"/>
      <c r="EC463" s="16"/>
      <c r="ED463" s="16"/>
      <c r="EE463" s="16"/>
      <c r="EF463" s="16"/>
      <c r="EG463" s="16"/>
      <c r="EH463" s="16"/>
      <c r="EI463" s="16"/>
      <c r="EJ463" s="16"/>
      <c r="EK463" s="16"/>
      <c r="EL463" s="16"/>
      <c r="EM463" s="16"/>
      <c r="EN463" s="16"/>
      <c r="EO463" s="16"/>
      <c r="EP463" s="16"/>
      <c r="EQ463" s="16"/>
      <c r="ER463" s="16"/>
      <c r="ES463" s="16"/>
      <c r="ET463" s="16"/>
      <c r="EU463" s="16"/>
      <c r="EV463" s="16"/>
      <c r="EW463" s="16"/>
      <c r="EX463" s="16"/>
      <c r="EY463" s="16"/>
      <c r="EZ463" s="16"/>
      <c r="FA463" s="16"/>
      <c r="FB463" s="16"/>
      <c r="FC463" s="16"/>
      <c r="FD463" s="16"/>
      <c r="FE463" s="16"/>
      <c r="FF463" s="16"/>
      <c r="FG463" s="16"/>
      <c r="FH463" s="16"/>
      <c r="FI463" s="16"/>
      <c r="FJ463" s="16"/>
      <c r="FK463" s="16"/>
      <c r="FL463" s="16"/>
      <c r="FM463" s="16"/>
      <c r="FN463" s="16"/>
      <c r="FO463" s="16"/>
      <c r="FP463" s="16"/>
      <c r="FQ463" s="16"/>
      <c r="FR463" s="16"/>
      <c r="FS463" s="16"/>
      <c r="FT463" s="16"/>
      <c r="FU463" s="16"/>
      <c r="FV463" s="16"/>
      <c r="FW463" s="16"/>
      <c r="FX463" s="16"/>
      <c r="FY463" s="16"/>
      <c r="FZ463" s="16"/>
      <c r="GA463" s="16"/>
      <c r="GB463" s="16"/>
      <c r="GC463" s="16"/>
      <c r="GD463" s="16"/>
      <c r="GE463" s="16"/>
      <c r="GF463" s="16"/>
      <c r="GG463" s="16"/>
      <c r="GH463" s="16"/>
      <c r="GI463" s="16"/>
      <c r="GJ463" s="16"/>
      <c r="GK463" s="16"/>
      <c r="GL463" s="16"/>
      <c r="GM463" s="16"/>
      <c r="GN463" s="16"/>
      <c r="GO463" s="16"/>
      <c r="GP463" s="16"/>
      <c r="GQ463" s="16"/>
      <c r="GR463" s="16"/>
      <c r="GS463" s="16"/>
      <c r="GT463" s="16"/>
      <c r="GU463" s="16"/>
      <c r="GV463" s="16"/>
      <c r="GW463" s="16"/>
      <c r="GX463" s="16"/>
      <c r="GY463" s="16"/>
      <c r="GZ463" s="16"/>
      <c r="HA463" s="16"/>
      <c r="HB463" s="16"/>
      <c r="HC463" s="16"/>
      <c r="HD463" s="16"/>
      <c r="HE463" s="16"/>
      <c r="HF463" s="16"/>
      <c r="HG463" s="16"/>
      <c r="HH463" s="16"/>
      <c r="HI463" s="16"/>
      <c r="HJ463" s="16"/>
      <c r="HK463" s="16"/>
      <c r="HL463" s="16"/>
      <c r="HM463" s="16"/>
      <c r="HN463" s="16"/>
      <c r="HO463" s="16"/>
      <c r="HP463" s="16"/>
      <c r="HQ463" s="16"/>
      <c r="HR463" s="16"/>
      <c r="HS463" s="16"/>
      <c r="HT463" s="16"/>
      <c r="HU463" s="16"/>
      <c r="HV463" s="16"/>
      <c r="HW463" s="16"/>
      <c r="HX463" s="16"/>
      <c r="HY463" s="16"/>
      <c r="HZ463" s="16"/>
      <c r="IA463" s="16"/>
      <c r="IB463" s="16"/>
      <c r="IC463" s="16"/>
      <c r="ID463" s="16"/>
      <c r="IE463" s="16"/>
      <c r="IF463" s="16"/>
      <c r="IG463" s="16"/>
      <c r="IH463" s="16"/>
      <c r="II463" s="16"/>
      <c r="IJ463" s="16"/>
      <c r="IK463" s="16"/>
      <c r="IL463" s="16"/>
      <c r="IM463" s="16"/>
      <c r="IN463" s="16"/>
      <c r="IO463" s="16"/>
      <c r="IP463" s="16"/>
      <c r="IQ463" s="16"/>
      <c r="IR463" s="16"/>
      <c r="IS463" s="16"/>
      <c r="IT463" s="16"/>
      <c r="IU463" s="16"/>
      <c r="IV463" s="16"/>
      <c r="IW463" s="16"/>
      <c r="IX463" s="16"/>
      <c r="IY463" s="16"/>
      <c r="IZ463" s="16"/>
      <c r="JA463" s="16"/>
      <c r="JB463" s="16"/>
      <c r="JC463" s="16"/>
      <c r="JD463" s="16"/>
      <c r="JE463" s="16"/>
      <c r="JF463" s="16"/>
      <c r="JG463" s="16"/>
      <c r="JH463" s="16"/>
      <c r="JI463" s="16"/>
      <c r="JJ463" s="16"/>
      <c r="JK463" s="16"/>
      <c r="JL463" s="16"/>
      <c r="JM463" s="16"/>
      <c r="JN463" s="16"/>
      <c r="JO463" s="16"/>
      <c r="JP463" s="16"/>
      <c r="JQ463" s="16"/>
      <c r="JR463" s="16"/>
      <c r="JS463" s="16"/>
      <c r="JT463" s="16"/>
      <c r="JU463" s="16"/>
      <c r="JV463" s="16"/>
      <c r="JW463" s="16"/>
      <c r="JX463" s="16"/>
      <c r="JY463" s="16"/>
      <c r="JZ463" s="16"/>
      <c r="KA463" s="16"/>
      <c r="KB463" s="16"/>
      <c r="KC463" s="16"/>
      <c r="KD463" s="16"/>
      <c r="KE463" s="16"/>
      <c r="KF463" s="16"/>
      <c r="KG463" s="16"/>
      <c r="KH463" s="16"/>
      <c r="KI463" s="16"/>
      <c r="KJ463" s="16"/>
      <c r="KK463" s="16"/>
      <c r="KL463" s="16"/>
      <c r="KM463" s="16"/>
      <c r="KN463" s="16"/>
      <c r="KO463" s="16"/>
      <c r="KP463" s="16"/>
      <c r="KQ463" s="16"/>
      <c r="KR463" s="16"/>
      <c r="KS463" s="16"/>
      <c r="KT463" s="16"/>
      <c r="KU463" s="16"/>
      <c r="KV463" s="16"/>
      <c r="KW463" s="16"/>
      <c r="KX463" s="16"/>
      <c r="KY463" s="16"/>
      <c r="KZ463" s="16"/>
      <c r="LA463" s="16"/>
      <c r="LB463" s="16"/>
      <c r="LC463" s="16"/>
      <c r="LD463" s="16"/>
      <c r="LE463" s="16"/>
      <c r="LF463" s="16"/>
      <c r="LG463" s="16"/>
      <c r="LH463" s="16"/>
      <c r="LI463" s="16"/>
      <c r="LJ463" s="16"/>
      <c r="LK463" s="16"/>
      <c r="LL463" s="16"/>
      <c r="LM463" s="16"/>
      <c r="LN463" s="16"/>
      <c r="LO463" s="16"/>
      <c r="LP463" s="16"/>
      <c r="LQ463" s="16"/>
      <c r="LR463" s="16"/>
      <c r="LS463" s="16"/>
      <c r="LT463" s="16"/>
      <c r="LU463" s="16"/>
      <c r="LV463" s="16"/>
      <c r="LW463" s="16"/>
      <c r="LX463" s="16"/>
      <c r="LY463" s="16"/>
      <c r="LZ463" s="16"/>
      <c r="MA463" s="16"/>
      <c r="MB463" s="16"/>
      <c r="MC463" s="16"/>
      <c r="MD463" s="16"/>
      <c r="ME463" s="16"/>
      <c r="MF463" s="16"/>
      <c r="MG463" s="16"/>
      <c r="MH463" s="16"/>
      <c r="MI463" s="16"/>
      <c r="MJ463" s="16"/>
      <c r="MK463" s="16"/>
      <c r="ML463" s="16"/>
      <c r="MM463" s="16"/>
      <c r="MN463" s="16"/>
      <c r="MO463" s="16"/>
      <c r="MP463" s="16"/>
      <c r="MQ463" s="16"/>
      <c r="MR463" s="16"/>
      <c r="MS463" s="16"/>
      <c r="MT463" s="16"/>
      <c r="MU463" s="16"/>
      <c r="MV463" s="16"/>
      <c r="MW463" s="16"/>
      <c r="MX463" s="16"/>
      <c r="MY463" s="16"/>
      <c r="MZ463" s="16"/>
      <c r="NA463" s="16"/>
      <c r="NB463" s="16"/>
      <c r="NC463" s="16"/>
      <c r="ND463" s="16"/>
      <c r="NE463" s="16"/>
      <c r="NF463" s="16"/>
      <c r="NG463" s="16"/>
      <c r="NH463" s="16"/>
      <c r="NI463" s="16"/>
      <c r="NJ463" s="16"/>
      <c r="NK463" s="16"/>
      <c r="NL463" s="16"/>
      <c r="NM463" s="16"/>
      <c r="NN463" s="16"/>
      <c r="NO463" s="16"/>
      <c r="NP463" s="16"/>
      <c r="NQ463" s="16"/>
      <c r="NR463" s="16"/>
      <c r="NS463" s="16"/>
      <c r="NT463" s="16"/>
      <c r="NU463" s="16"/>
      <c r="NV463" s="16"/>
      <c r="NW463" s="16"/>
      <c r="NX463" s="16"/>
      <c r="NY463" s="16"/>
      <c r="NZ463" s="16"/>
      <c r="OA463" s="16"/>
      <c r="OB463" s="16"/>
      <c r="OC463" s="16"/>
      <c r="OD463" s="16"/>
      <c r="OE463" s="16"/>
      <c r="OF463" s="16"/>
      <c r="OG463" s="16"/>
      <c r="OH463" s="16"/>
      <c r="OI463" s="16"/>
      <c r="OJ463" s="16"/>
      <c r="OK463" s="16"/>
      <c r="OL463" s="16"/>
      <c r="OM463" s="16"/>
      <c r="ON463" s="16"/>
      <c r="OO463" s="16"/>
      <c r="OP463" s="16"/>
      <c r="OQ463" s="16"/>
      <c r="OR463" s="16"/>
      <c r="OS463" s="16"/>
      <c r="OT463" s="16"/>
      <c r="OU463" s="16"/>
      <c r="OV463" s="16"/>
      <c r="OW463" s="16"/>
      <c r="OX463" s="16"/>
      <c r="OY463" s="16"/>
      <c r="OZ463" s="16"/>
      <c r="PA463" s="16"/>
      <c r="PB463" s="16"/>
      <c r="PC463" s="16"/>
      <c r="PD463" s="16"/>
      <c r="PE463" s="16"/>
      <c r="PF463" s="16"/>
      <c r="PG463" s="16"/>
      <c r="PH463" s="16"/>
      <c r="PI463" s="16"/>
      <c r="PJ463" s="16"/>
      <c r="PK463" s="16"/>
      <c r="PL463" s="16"/>
      <c r="PM463" s="16"/>
      <c r="PN463" s="16"/>
      <c r="PO463" s="16"/>
      <c r="PP463" s="16"/>
      <c r="PQ463" s="16"/>
      <c r="PR463" s="16"/>
      <c r="PS463" s="16"/>
      <c r="PT463" s="16"/>
      <c r="PU463" s="16"/>
      <c r="PV463" s="16"/>
      <c r="PW463" s="16"/>
      <c r="PX463" s="16"/>
      <c r="PY463" s="16"/>
      <c r="PZ463" s="16"/>
      <c r="QA463" s="16"/>
      <c r="QB463" s="16"/>
      <c r="QC463" s="16"/>
      <c r="QD463" s="16"/>
      <c r="QE463" s="16"/>
      <c r="QF463" s="16"/>
      <c r="QG463" s="16"/>
      <c r="QH463" s="16"/>
      <c r="QI463" s="16"/>
      <c r="QJ463" s="16"/>
      <c r="QK463" s="16"/>
      <c r="QL463" s="16"/>
      <c r="QM463" s="16"/>
      <c r="QN463" s="16"/>
      <c r="QO463" s="16"/>
      <c r="QP463" s="16"/>
      <c r="QQ463" s="16"/>
      <c r="QR463" s="16"/>
      <c r="QS463" s="16"/>
      <c r="QT463" s="16"/>
      <c r="QU463" s="16"/>
      <c r="QV463" s="16"/>
      <c r="QW463" s="16"/>
      <c r="QX463" s="16"/>
      <c r="QY463" s="16"/>
      <c r="QZ463" s="16"/>
      <c r="RA463" s="16"/>
      <c r="RB463" s="16"/>
      <c r="RC463" s="16"/>
      <c r="RD463" s="16"/>
      <c r="RE463" s="16"/>
      <c r="RF463" s="16"/>
      <c r="RG463" s="16"/>
      <c r="RH463" s="16"/>
      <c r="RI463" s="16"/>
      <c r="RJ463" s="16"/>
      <c r="RK463" s="16"/>
      <c r="RL463" s="16"/>
      <c r="RM463" s="16"/>
      <c r="RN463" s="16"/>
      <c r="RO463" s="16"/>
      <c r="RP463" s="16"/>
      <c r="RQ463" s="16"/>
      <c r="RR463" s="16"/>
      <c r="RS463" s="16"/>
      <c r="RT463" s="16"/>
      <c r="RU463" s="16"/>
      <c r="RV463" s="16"/>
      <c r="RW463" s="16"/>
      <c r="RX463" s="16"/>
      <c r="RY463" s="16"/>
      <c r="RZ463" s="16"/>
      <c r="SA463" s="16"/>
      <c r="SB463" s="16"/>
      <c r="SC463" s="16"/>
      <c r="SD463" s="16"/>
      <c r="SE463" s="16"/>
      <c r="SF463" s="16"/>
      <c r="SG463" s="16"/>
      <c r="SH463" s="16"/>
      <c r="SI463" s="16"/>
      <c r="SJ463" s="16"/>
      <c r="SK463" s="16"/>
      <c r="SL463" s="16"/>
      <c r="SM463" s="16"/>
      <c r="SN463" s="16"/>
      <c r="SO463" s="16"/>
      <c r="SP463" s="16"/>
      <c r="SQ463" s="16"/>
      <c r="SR463" s="16"/>
      <c r="SS463" s="16"/>
      <c r="ST463" s="16"/>
      <c r="SU463" s="16"/>
      <c r="SV463" s="16"/>
      <c r="SW463" s="16"/>
      <c r="SX463" s="16"/>
      <c r="SY463" s="16"/>
      <c r="SZ463" s="16"/>
      <c r="TA463" s="16"/>
      <c r="TB463" s="16"/>
      <c r="TC463" s="16"/>
      <c r="TD463" s="16"/>
      <c r="TE463" s="16"/>
      <c r="TF463" s="16"/>
      <c r="TG463" s="16"/>
      <c r="TH463" s="16"/>
      <c r="TI463" s="16"/>
      <c r="TJ463" s="16"/>
      <c r="TK463" s="16"/>
      <c r="TL463" s="16"/>
      <c r="TM463" s="16"/>
      <c r="TN463" s="16"/>
      <c r="TO463" s="16"/>
      <c r="TP463" s="16"/>
      <c r="TQ463" s="16"/>
      <c r="TR463" s="16"/>
      <c r="TS463" s="16"/>
      <c r="TT463" s="16"/>
      <c r="TU463" s="16"/>
      <c r="TV463" s="16"/>
      <c r="TW463" s="16"/>
      <c r="TX463" s="16"/>
      <c r="TY463" s="16"/>
      <c r="TZ463" s="16"/>
      <c r="UA463" s="16"/>
      <c r="UB463" s="16"/>
      <c r="UC463" s="16"/>
      <c r="UD463" s="16"/>
      <c r="UE463" s="16"/>
      <c r="UF463" s="16"/>
      <c r="UG463" s="16"/>
      <c r="UH463" s="16"/>
      <c r="UI463" s="16"/>
      <c r="UJ463" s="16"/>
      <c r="UK463" s="16"/>
      <c r="UL463" s="16"/>
      <c r="UM463" s="16"/>
      <c r="UN463" s="16"/>
      <c r="UO463" s="16"/>
      <c r="UP463" s="16"/>
      <c r="UQ463" s="16"/>
      <c r="UR463" s="16"/>
      <c r="US463" s="16"/>
      <c r="UT463" s="16"/>
      <c r="UU463" s="16"/>
      <c r="UV463" s="16"/>
      <c r="UW463" s="16"/>
      <c r="UX463" s="16"/>
      <c r="UY463" s="16"/>
      <c r="UZ463" s="16"/>
      <c r="VA463" s="16"/>
      <c r="VB463" s="16"/>
      <c r="VC463" s="16"/>
      <c r="VD463" s="16"/>
      <c r="VE463" s="16"/>
      <c r="VF463" s="16"/>
      <c r="VG463" s="16"/>
      <c r="VH463" s="16"/>
      <c r="VI463" s="16"/>
      <c r="VJ463" s="16"/>
      <c r="VK463" s="16"/>
      <c r="VL463" s="16"/>
      <c r="VM463" s="16"/>
      <c r="VN463" s="16"/>
      <c r="VO463" s="16"/>
      <c r="VP463" s="16"/>
      <c r="VQ463" s="16"/>
      <c r="VR463" s="16"/>
      <c r="VS463" s="16"/>
      <c r="VT463" s="16"/>
      <c r="VU463" s="16"/>
      <c r="VV463" s="16"/>
      <c r="VW463" s="16"/>
      <c r="VX463" s="16"/>
      <c r="VY463" s="16"/>
      <c r="VZ463" s="16"/>
      <c r="WA463" s="16"/>
      <c r="WB463" s="16"/>
      <c r="WC463" s="16"/>
      <c r="WD463" s="16"/>
      <c r="WE463" s="16"/>
      <c r="WF463" s="16"/>
      <c r="WG463" s="16"/>
      <c r="WH463" s="16"/>
      <c r="WI463" s="16"/>
      <c r="WJ463" s="16"/>
      <c r="WK463" s="16"/>
      <c r="WL463" s="16"/>
      <c r="WM463" s="16"/>
      <c r="WN463" s="16"/>
      <c r="WO463" s="16"/>
      <c r="WP463" s="16"/>
      <c r="WQ463" s="16"/>
      <c r="WR463" s="16"/>
      <c r="WS463" s="16"/>
      <c r="WT463" s="16"/>
      <c r="WU463" s="16"/>
      <c r="WV463" s="16"/>
      <c r="WW463" s="16"/>
      <c r="WX463" s="16"/>
      <c r="WY463" s="16"/>
      <c r="WZ463" s="16"/>
      <c r="XA463" s="16"/>
      <c r="XB463" s="16"/>
      <c r="XC463" s="16"/>
      <c r="XD463" s="16"/>
      <c r="XE463" s="16"/>
      <c r="XF463" s="16"/>
      <c r="XG463" s="16"/>
      <c r="XH463" s="16"/>
      <c r="XI463" s="16"/>
      <c r="XJ463" s="16"/>
      <c r="XK463" s="16"/>
      <c r="XL463" s="16"/>
      <c r="XM463" s="16"/>
      <c r="XN463" s="16"/>
      <c r="XO463" s="16"/>
      <c r="XP463" s="16"/>
      <c r="XQ463" s="16"/>
      <c r="XR463" s="16"/>
      <c r="XS463" s="16"/>
      <c r="XT463" s="16"/>
      <c r="XU463" s="16"/>
      <c r="XV463" s="16"/>
      <c r="XW463" s="16"/>
      <c r="XX463" s="16"/>
      <c r="XY463" s="16"/>
      <c r="XZ463" s="16"/>
      <c r="YA463" s="16"/>
      <c r="YB463" s="16"/>
      <c r="YC463" s="16"/>
      <c r="YD463" s="16"/>
      <c r="YE463" s="16"/>
      <c r="YF463" s="16"/>
      <c r="YG463" s="16"/>
      <c r="YH463" s="16"/>
      <c r="YI463" s="16"/>
      <c r="YJ463" s="16"/>
      <c r="YK463" s="16"/>
      <c r="YL463" s="16"/>
      <c r="YM463" s="16"/>
      <c r="YN463" s="16"/>
      <c r="YO463" s="16"/>
      <c r="YP463" s="16"/>
      <c r="YQ463" s="16"/>
      <c r="YR463" s="16"/>
      <c r="YS463" s="16"/>
      <c r="YT463" s="16"/>
      <c r="YU463" s="16"/>
      <c r="YV463" s="16"/>
      <c r="YW463" s="16"/>
      <c r="YX463" s="16"/>
      <c r="YY463" s="16"/>
      <c r="YZ463" s="16"/>
      <c r="ZA463" s="16"/>
      <c r="ZB463" s="16"/>
      <c r="ZC463" s="16"/>
      <c r="ZD463" s="16"/>
      <c r="ZE463" s="16"/>
      <c r="ZF463" s="16"/>
      <c r="ZG463" s="16"/>
      <c r="ZH463" s="16"/>
      <c r="ZI463" s="16"/>
      <c r="ZJ463" s="16"/>
      <c r="ZK463" s="16"/>
      <c r="ZL463" s="16"/>
      <c r="ZM463" s="16"/>
      <c r="ZN463" s="16"/>
      <c r="ZO463" s="16"/>
      <c r="ZP463" s="16"/>
      <c r="ZQ463" s="16"/>
      <c r="ZR463" s="16"/>
      <c r="ZS463" s="16"/>
      <c r="ZT463" s="16"/>
      <c r="ZU463" s="16"/>
      <c r="ZV463" s="16"/>
      <c r="ZW463" s="16"/>
      <c r="ZX463" s="16"/>
      <c r="ZY463" s="16"/>
      <c r="ZZ463" s="16"/>
      <c r="AAA463" s="16"/>
      <c r="AAB463" s="16"/>
      <c r="AAC463" s="16"/>
      <c r="AAD463" s="16"/>
      <c r="AAE463" s="16"/>
      <c r="AAF463" s="16"/>
      <c r="AAG463" s="16"/>
      <c r="AAH463" s="16"/>
      <c r="AAI463" s="16"/>
      <c r="AAJ463" s="16"/>
      <c r="AAK463" s="16"/>
      <c r="AAL463" s="16"/>
      <c r="AAM463" s="16"/>
      <c r="AAN463" s="16"/>
      <c r="AAO463" s="16"/>
      <c r="AAP463" s="16"/>
      <c r="AAQ463" s="16"/>
      <c r="AAR463" s="16"/>
      <c r="AAS463" s="16"/>
      <c r="AAT463" s="16"/>
      <c r="AAU463" s="16"/>
      <c r="AAV463" s="16"/>
      <c r="AAW463" s="16"/>
      <c r="AAX463" s="16"/>
      <c r="AAY463" s="16"/>
      <c r="AAZ463" s="16"/>
      <c r="ABA463" s="16"/>
      <c r="ABB463" s="16"/>
      <c r="ABC463" s="16"/>
      <c r="ABD463" s="16"/>
      <c r="ABE463" s="16"/>
      <c r="ABF463" s="16"/>
      <c r="ABG463" s="16"/>
      <c r="ABH463" s="16"/>
      <c r="ABI463" s="16"/>
      <c r="ABJ463" s="16"/>
      <c r="ABK463" s="16"/>
      <c r="ABL463" s="16"/>
      <c r="ABM463" s="16"/>
      <c r="ABN463" s="16"/>
      <c r="ABO463" s="16"/>
      <c r="ABP463" s="16"/>
      <c r="ABQ463" s="16"/>
      <c r="ABR463" s="16"/>
      <c r="ABS463" s="16"/>
      <c r="ABT463" s="16"/>
      <c r="ABU463" s="16"/>
      <c r="ABV463" s="16"/>
      <c r="ABW463" s="16"/>
      <c r="ABX463" s="16"/>
      <c r="ABY463" s="16"/>
      <c r="ABZ463" s="16"/>
      <c r="ACA463" s="16"/>
      <c r="ACB463" s="16"/>
      <c r="ACC463" s="16"/>
      <c r="ACD463" s="16"/>
      <c r="ACE463" s="16"/>
      <c r="ACF463" s="16"/>
      <c r="ACG463" s="16"/>
      <c r="ACH463" s="16"/>
      <c r="ACI463" s="16"/>
      <c r="ACJ463" s="16"/>
      <c r="ACK463" s="16"/>
      <c r="ACL463" s="16"/>
      <c r="ACM463" s="16"/>
      <c r="ACN463" s="16"/>
      <c r="ACO463" s="16"/>
      <c r="ACP463" s="16"/>
      <c r="ACQ463" s="16"/>
      <c r="ACR463" s="16"/>
      <c r="ACS463" s="16"/>
      <c r="ACT463" s="16"/>
      <c r="ACU463" s="16"/>
      <c r="ACV463" s="16"/>
      <c r="ACW463" s="16"/>
      <c r="ACX463" s="16"/>
      <c r="ACY463" s="16"/>
      <c r="ACZ463" s="16"/>
      <c r="ADA463" s="16"/>
      <c r="ADB463" s="16"/>
      <c r="ADC463" s="16"/>
      <c r="ADD463" s="16"/>
      <c r="ADE463" s="16"/>
      <c r="ADF463" s="16"/>
      <c r="ADG463" s="16"/>
      <c r="ADH463" s="16"/>
      <c r="ADI463" s="16"/>
      <c r="ADJ463" s="16"/>
      <c r="ADK463" s="16"/>
      <c r="ADL463" s="16"/>
      <c r="ADM463" s="16"/>
      <c r="ADN463" s="16"/>
      <c r="ADO463" s="16"/>
      <c r="ADP463" s="16"/>
      <c r="ADQ463" s="16"/>
      <c r="ADR463" s="16"/>
      <c r="ADS463" s="16"/>
      <c r="ADT463" s="16"/>
      <c r="ADU463" s="16"/>
      <c r="ADV463" s="16"/>
      <c r="ADW463" s="16"/>
      <c r="ADX463" s="16"/>
      <c r="ADY463" s="16"/>
      <c r="ADZ463" s="16"/>
      <c r="AEA463" s="16"/>
      <c r="AEB463" s="16"/>
      <c r="AEC463" s="16"/>
      <c r="AED463" s="16"/>
      <c r="AEE463" s="16"/>
      <c r="AEF463" s="16"/>
      <c r="AEG463" s="16"/>
      <c r="AEH463" s="16"/>
      <c r="AEI463" s="16"/>
      <c r="AEJ463" s="16"/>
      <c r="AEK463" s="16"/>
      <c r="AEL463" s="16"/>
      <c r="AEM463" s="16"/>
      <c r="AEN463" s="16"/>
      <c r="AEO463" s="16"/>
      <c r="AEP463" s="16"/>
      <c r="AEQ463" s="16"/>
      <c r="AER463" s="16"/>
      <c r="AES463" s="16"/>
      <c r="AET463" s="16"/>
      <c r="AEU463" s="16"/>
      <c r="AEV463" s="16"/>
      <c r="AEW463" s="16"/>
      <c r="AEX463" s="16"/>
      <c r="AEY463" s="16"/>
      <c r="AEZ463" s="16"/>
      <c r="AFA463" s="16"/>
      <c r="AFB463" s="16"/>
      <c r="AFC463" s="16"/>
      <c r="AFD463" s="16"/>
      <c r="AFE463" s="16"/>
      <c r="AFF463" s="16"/>
      <c r="AFG463" s="16"/>
      <c r="AFH463" s="16"/>
      <c r="AFI463" s="16"/>
      <c r="AFJ463" s="16"/>
      <c r="AFK463" s="16"/>
      <c r="AFL463" s="16"/>
      <c r="AFM463" s="16"/>
      <c r="AFN463" s="16"/>
      <c r="AFO463" s="16"/>
      <c r="AFP463" s="16"/>
      <c r="AFQ463" s="16"/>
      <c r="AFR463" s="16"/>
      <c r="AFS463" s="16"/>
      <c r="AFT463" s="16"/>
      <c r="AFU463" s="16"/>
      <c r="AFV463" s="16"/>
      <c r="AFW463" s="16"/>
      <c r="AFX463" s="16"/>
      <c r="AFY463" s="16"/>
      <c r="AFZ463" s="16"/>
      <c r="AGA463" s="16"/>
      <c r="AGB463" s="16"/>
      <c r="AGC463" s="16"/>
      <c r="AGD463" s="16"/>
      <c r="AGE463" s="16"/>
      <c r="AGF463" s="16"/>
      <c r="AGG463" s="16"/>
      <c r="AGH463" s="16"/>
      <c r="AGI463" s="16"/>
      <c r="AGJ463" s="16"/>
    </row>
    <row r="464" spans="1:868" hidden="1">
      <c r="A464" s="152" t="s">
        <v>236</v>
      </c>
      <c r="B464" s="34" t="s">
        <v>326</v>
      </c>
      <c r="C464" s="40" t="s">
        <v>139</v>
      </c>
      <c r="D464" s="34" t="s">
        <v>139</v>
      </c>
      <c r="E464" s="260">
        <v>1.2999999999999999E-3</v>
      </c>
      <c r="F464" s="235">
        <v>2</v>
      </c>
      <c r="G464" s="40" t="s">
        <v>177</v>
      </c>
      <c r="H464" s="29">
        <v>1</v>
      </c>
      <c r="I464" s="9"/>
      <c r="J464" s="9">
        <v>1</v>
      </c>
      <c r="K464" s="9">
        <v>1</v>
      </c>
      <c r="L464" s="9">
        <v>1</v>
      </c>
      <c r="M464" s="9">
        <v>3</v>
      </c>
      <c r="N464" s="186">
        <f t="shared" si="37"/>
        <v>1.0141150152164344</v>
      </c>
      <c r="O464" s="160" t="str">
        <f t="shared" si="38"/>
        <v/>
      </c>
      <c r="P464" s="63"/>
    </row>
    <row r="465" spans="1:16" hidden="1">
      <c r="A465" s="152" t="s">
        <v>236</v>
      </c>
      <c r="B465" s="34" t="s">
        <v>326</v>
      </c>
      <c r="C465" s="40" t="s">
        <v>139</v>
      </c>
      <c r="D465" s="34" t="s">
        <v>139</v>
      </c>
      <c r="E465" s="260">
        <v>1.47E-2</v>
      </c>
      <c r="F465" s="235">
        <v>2</v>
      </c>
      <c r="G465" s="40" t="s">
        <v>317</v>
      </c>
      <c r="H465" s="29">
        <v>1</v>
      </c>
      <c r="I465" s="9"/>
      <c r="J465" s="9">
        <v>1</v>
      </c>
      <c r="K465" s="9">
        <v>1</v>
      </c>
      <c r="L465" s="9">
        <v>1</v>
      </c>
      <c r="M465" s="9">
        <v>3</v>
      </c>
      <c r="N465" s="186">
        <f t="shared" si="37"/>
        <v>1.0141150152164344</v>
      </c>
      <c r="O465" s="160" t="str">
        <f t="shared" si="38"/>
        <v/>
      </c>
      <c r="P465" s="63"/>
    </row>
    <row r="466" spans="1:16" hidden="1">
      <c r="A466" s="152" t="s">
        <v>237</v>
      </c>
      <c r="B466" s="34" t="s">
        <v>326</v>
      </c>
      <c r="C466" s="40" t="s">
        <v>139</v>
      </c>
      <c r="D466" s="34" t="s">
        <v>139</v>
      </c>
      <c r="E466" s="260">
        <v>1.2999999999999999E-3</v>
      </c>
      <c r="F466" s="235">
        <v>2</v>
      </c>
      <c r="G466" s="40" t="s">
        <v>177</v>
      </c>
      <c r="H466" s="29">
        <v>1</v>
      </c>
      <c r="I466" s="9"/>
      <c r="J466" s="9">
        <v>1</v>
      </c>
      <c r="K466" s="9">
        <v>1</v>
      </c>
      <c r="L466" s="9">
        <v>1</v>
      </c>
      <c r="M466" s="9">
        <v>3</v>
      </c>
      <c r="N466" s="186">
        <f t="shared" si="37"/>
        <v>1.0141150152164344</v>
      </c>
      <c r="O466" s="160" t="str">
        <f t="shared" si="38"/>
        <v/>
      </c>
      <c r="P466" s="63"/>
    </row>
    <row r="467" spans="1:16" hidden="1">
      <c r="A467" s="152" t="s">
        <v>237</v>
      </c>
      <c r="B467" s="34" t="s">
        <v>326</v>
      </c>
      <c r="C467" s="40" t="s">
        <v>139</v>
      </c>
      <c r="D467" s="34" t="s">
        <v>139</v>
      </c>
      <c r="E467" s="260">
        <v>1.47E-2</v>
      </c>
      <c r="F467" s="235">
        <v>2</v>
      </c>
      <c r="G467" s="40" t="s">
        <v>317</v>
      </c>
      <c r="H467" s="29">
        <v>1</v>
      </c>
      <c r="I467" s="9"/>
      <c r="J467" s="9">
        <v>1</v>
      </c>
      <c r="K467" s="9">
        <v>1</v>
      </c>
      <c r="L467" s="9">
        <v>1</v>
      </c>
      <c r="M467" s="9">
        <v>3</v>
      </c>
      <c r="N467" s="186">
        <f t="shared" si="37"/>
        <v>1.0141150152164344</v>
      </c>
      <c r="O467" s="160" t="str">
        <f t="shared" si="38"/>
        <v/>
      </c>
      <c r="P467" s="63"/>
    </row>
    <row r="468" spans="1:16" hidden="1">
      <c r="A468" s="152" t="s">
        <v>183</v>
      </c>
      <c r="B468" s="34" t="s">
        <v>326</v>
      </c>
      <c r="C468" s="40" t="s">
        <v>139</v>
      </c>
      <c r="D468" s="34" t="s">
        <v>139</v>
      </c>
      <c r="E468" s="40">
        <v>1.2999999999999999E-3</v>
      </c>
      <c r="F468" s="235">
        <v>2</v>
      </c>
      <c r="G468" s="40" t="s">
        <v>318</v>
      </c>
      <c r="H468" s="29">
        <v>2</v>
      </c>
      <c r="I468" s="9"/>
      <c r="J468" s="9">
        <v>2</v>
      </c>
      <c r="K468" s="9">
        <v>3</v>
      </c>
      <c r="L468" s="9">
        <v>2</v>
      </c>
      <c r="M468" s="9">
        <v>2</v>
      </c>
      <c r="N468" s="186">
        <f t="shared" si="37"/>
        <v>0.51126068492676302</v>
      </c>
      <c r="O468" s="160" t="str">
        <f t="shared" si="38"/>
        <v/>
      </c>
      <c r="P468" s="857"/>
    </row>
    <row r="469" spans="1:16" hidden="1">
      <c r="A469" s="152" t="s">
        <v>183</v>
      </c>
      <c r="B469" s="34" t="s">
        <v>326</v>
      </c>
      <c r="C469" s="40" t="s">
        <v>139</v>
      </c>
      <c r="D469" s="34" t="s">
        <v>139</v>
      </c>
      <c r="E469" s="40">
        <v>1.47E-2</v>
      </c>
      <c r="F469" s="235">
        <v>2</v>
      </c>
      <c r="G469" s="40" t="s">
        <v>319</v>
      </c>
      <c r="H469" s="29">
        <v>2</v>
      </c>
      <c r="I469" s="9"/>
      <c r="J469" s="9">
        <v>2</v>
      </c>
      <c r="K469" s="9">
        <v>3</v>
      </c>
      <c r="L469" s="9">
        <v>2</v>
      </c>
      <c r="M469" s="9">
        <v>2</v>
      </c>
      <c r="N469" s="186">
        <f t="shared" si="37"/>
        <v>0.51126068492676302</v>
      </c>
      <c r="O469" s="160" t="str">
        <f t="shared" si="38"/>
        <v/>
      </c>
      <c r="P469" s="857"/>
    </row>
    <row r="470" spans="1:16" hidden="1">
      <c r="A470" s="152" t="s">
        <v>204</v>
      </c>
      <c r="B470" s="34" t="s">
        <v>315</v>
      </c>
      <c r="C470" s="40" t="s">
        <v>139</v>
      </c>
      <c r="D470" s="34" t="s">
        <v>139</v>
      </c>
      <c r="E470" s="260">
        <v>0.51</v>
      </c>
      <c r="F470" s="235">
        <v>2</v>
      </c>
      <c r="G470" s="40" t="s">
        <v>323</v>
      </c>
      <c r="H470" s="29">
        <v>2</v>
      </c>
      <c r="I470" s="9"/>
      <c r="J470" s="9">
        <v>1</v>
      </c>
      <c r="K470" s="9">
        <v>3</v>
      </c>
      <c r="L470" s="9">
        <v>1</v>
      </c>
      <c r="M470" s="9">
        <v>2</v>
      </c>
      <c r="N470" s="186">
        <f t="shared" si="37"/>
        <v>0.48935255543384243</v>
      </c>
      <c r="O470" s="160" t="str">
        <f t="shared" si="38"/>
        <v/>
      </c>
      <c r="P470" s="63"/>
    </row>
    <row r="471" spans="1:16" hidden="1">
      <c r="A471" s="872" t="s">
        <v>223</v>
      </c>
      <c r="B471" s="873" t="s">
        <v>184</v>
      </c>
      <c r="C471" s="874" t="s">
        <v>180</v>
      </c>
      <c r="D471" s="873" t="s">
        <v>139</v>
      </c>
      <c r="E471" s="875">
        <v>0</v>
      </c>
      <c r="F471" s="876">
        <v>2</v>
      </c>
      <c r="G471" s="874" t="s">
        <v>332</v>
      </c>
      <c r="H471" s="840"/>
      <c r="I471" s="655"/>
      <c r="J471" s="655"/>
      <c r="K471" s="655"/>
      <c r="L471" s="655"/>
      <c r="M471" s="655"/>
      <c r="N471" s="849" t="str">
        <f t="shared" si="37"/>
        <v/>
      </c>
      <c r="O471" s="850" t="str">
        <f t="shared" si="38"/>
        <v/>
      </c>
      <c r="P471" s="857"/>
    </row>
    <row r="472" spans="1:16" hidden="1">
      <c r="A472" s="152" t="s">
        <v>223</v>
      </c>
      <c r="B472" s="34" t="s">
        <v>176</v>
      </c>
      <c r="C472" s="40" t="s">
        <v>139</v>
      </c>
      <c r="D472" s="34" t="s">
        <v>139</v>
      </c>
      <c r="E472" s="260">
        <v>1E-4</v>
      </c>
      <c r="F472" s="235">
        <v>3</v>
      </c>
      <c r="G472" s="40" t="s">
        <v>333</v>
      </c>
      <c r="H472" s="29">
        <v>2</v>
      </c>
      <c r="I472" s="9">
        <v>2</v>
      </c>
      <c r="J472" s="9">
        <v>1</v>
      </c>
      <c r="K472" s="9">
        <v>1</v>
      </c>
      <c r="L472" s="9">
        <v>1</v>
      </c>
      <c r="M472" s="9">
        <v>3</v>
      </c>
      <c r="N472" s="186">
        <f t="shared" si="37"/>
        <v>1.0195048044558224</v>
      </c>
      <c r="O472" s="160">
        <f t="shared" si="38"/>
        <v>1.0195048044558224</v>
      </c>
      <c r="P472" s="63"/>
    </row>
    <row r="473" spans="1:16" hidden="1">
      <c r="A473" s="872" t="s">
        <v>334</v>
      </c>
      <c r="B473" s="873" t="s">
        <v>179</v>
      </c>
      <c r="C473" s="874" t="s">
        <v>182</v>
      </c>
      <c r="D473" s="873" t="s">
        <v>139</v>
      </c>
      <c r="E473" s="875" t="s">
        <v>150</v>
      </c>
      <c r="F473" s="876">
        <v>1</v>
      </c>
      <c r="G473" s="874"/>
      <c r="H473" s="840"/>
      <c r="I473" s="655"/>
      <c r="J473" s="655"/>
      <c r="K473" s="655" t="str">
        <f>IF( OR( ISBLANK(#REF!),ISBLANK(G473), ISBLANK(#REF!), ISBLANK(H473), ISBLANK(J473) ), "", 1.5*SQRT(   EXP(2.21*(#REF!-1)) + EXP(2.21*(G473-1)) + EXP(2.21*(#REF!-1)) + EXP(2.21*(H473-1)) + EXP(2.21*J473)   )/100 )</f>
        <v/>
      </c>
      <c r="L473" s="655" t="s">
        <v>249</v>
      </c>
      <c r="M473" s="655"/>
      <c r="N473" s="849" t="str">
        <f t="shared" si="37"/>
        <v/>
      </c>
      <c r="O473" s="850" t="str">
        <f t="shared" si="38"/>
        <v/>
      </c>
      <c r="P473" s="857"/>
    </row>
    <row r="474" spans="1:16" hidden="1">
      <c r="A474" s="872" t="s">
        <v>334</v>
      </c>
      <c r="B474" s="873" t="s">
        <v>179</v>
      </c>
      <c r="C474" s="874" t="s">
        <v>180</v>
      </c>
      <c r="D474" s="873" t="s">
        <v>139</v>
      </c>
      <c r="E474" s="875" t="s">
        <v>150</v>
      </c>
      <c r="F474" s="876">
        <v>1</v>
      </c>
      <c r="G474" s="874"/>
      <c r="H474" s="840"/>
      <c r="I474" s="655"/>
      <c r="J474" s="655"/>
      <c r="K474" s="655" t="str">
        <f>IF( OR( ISBLANK(#REF!),ISBLANK(G474), ISBLANK(#REF!), ISBLANK(H474), ISBLANK(J474) ), "", 1.5*SQRT(   EXP(2.21*(#REF!-1)) + EXP(2.21*(G474-1)) + EXP(2.21*(#REF!-1)) + EXP(2.21*(H474-1)) + EXP(2.21*J474)   )/100 )</f>
        <v/>
      </c>
      <c r="L474" s="655" t="s">
        <v>249</v>
      </c>
      <c r="M474" s="655"/>
      <c r="N474" s="849" t="str">
        <f t="shared" si="37"/>
        <v/>
      </c>
      <c r="O474" s="850" t="str">
        <f t="shared" si="38"/>
        <v/>
      </c>
      <c r="P474" s="857"/>
    </row>
    <row r="475" spans="1:16" hidden="1">
      <c r="A475" s="152" t="s">
        <v>335</v>
      </c>
      <c r="B475" s="34" t="s">
        <v>315</v>
      </c>
      <c r="C475" s="40" t="s">
        <v>139</v>
      </c>
      <c r="D475" s="34" t="s">
        <v>139</v>
      </c>
      <c r="E475" s="260">
        <v>0.41463414634146339</v>
      </c>
      <c r="F475" s="235">
        <v>2</v>
      </c>
      <c r="G475" s="40" t="s">
        <v>336</v>
      </c>
      <c r="H475" s="29">
        <v>2</v>
      </c>
      <c r="I475" s="9"/>
      <c r="J475" s="9">
        <v>3</v>
      </c>
      <c r="K475" s="9">
        <v>3</v>
      </c>
      <c r="L475" s="9">
        <v>1</v>
      </c>
      <c r="M475" s="9">
        <v>2</v>
      </c>
      <c r="N475" s="186">
        <f t="shared" si="37"/>
        <v>0.59189702474662764</v>
      </c>
      <c r="O475" s="160" t="str">
        <f t="shared" si="38"/>
        <v/>
      </c>
      <c r="P475" s="63"/>
    </row>
    <row r="476" spans="1:16" hidden="1">
      <c r="A476" s="152" t="s">
        <v>335</v>
      </c>
      <c r="B476" s="34" t="s">
        <v>315</v>
      </c>
      <c r="C476" s="40" t="s">
        <v>139</v>
      </c>
      <c r="D476" s="34" t="s">
        <v>139</v>
      </c>
      <c r="E476" s="260">
        <v>0.70487804878048776</v>
      </c>
      <c r="F476" s="235">
        <v>2</v>
      </c>
      <c r="G476" s="40" t="s">
        <v>336</v>
      </c>
      <c r="H476" s="29">
        <v>2</v>
      </c>
      <c r="I476" s="9"/>
      <c r="J476" s="9">
        <v>3</v>
      </c>
      <c r="K476" s="9">
        <v>3</v>
      </c>
      <c r="L476" s="9">
        <v>1</v>
      </c>
      <c r="M476" s="9">
        <v>2</v>
      </c>
      <c r="N476" s="186">
        <f t="shared" si="37"/>
        <v>0.59189702474662764</v>
      </c>
      <c r="O476" s="160" t="str">
        <f t="shared" si="38"/>
        <v/>
      </c>
      <c r="P476" s="63"/>
    </row>
    <row r="477" spans="1:16" hidden="1">
      <c r="A477" s="152" t="s">
        <v>112</v>
      </c>
      <c r="B477" s="34" t="s">
        <v>337</v>
      </c>
      <c r="C477" s="40" t="s">
        <v>139</v>
      </c>
      <c r="D477" s="34" t="s">
        <v>85</v>
      </c>
      <c r="E477" s="260">
        <v>0</v>
      </c>
      <c r="F477" s="235">
        <v>1</v>
      </c>
      <c r="G477" s="40"/>
      <c r="H477" s="29"/>
      <c r="I477" s="9"/>
      <c r="J477" s="9"/>
      <c r="K477" s="9"/>
      <c r="L477" s="9"/>
      <c r="M477" s="9"/>
      <c r="N477" s="186" t="str">
        <f t="shared" si="37"/>
        <v/>
      </c>
      <c r="O477" s="160" t="str">
        <f t="shared" si="38"/>
        <v/>
      </c>
      <c r="P477" s="63"/>
    </row>
    <row r="478" spans="1:16" hidden="1">
      <c r="A478" s="152" t="s">
        <v>112</v>
      </c>
      <c r="B478" s="34" t="s">
        <v>337</v>
      </c>
      <c r="C478" s="40" t="s">
        <v>139</v>
      </c>
      <c r="D478" s="34" t="s">
        <v>86</v>
      </c>
      <c r="E478" s="260">
        <v>0.39167899730176692</v>
      </c>
      <c r="F478" s="235">
        <v>1</v>
      </c>
      <c r="G478" s="40" t="s">
        <v>163</v>
      </c>
      <c r="H478" s="29">
        <v>2</v>
      </c>
      <c r="I478" s="9">
        <v>2</v>
      </c>
      <c r="J478" s="9">
        <v>2</v>
      </c>
      <c r="K478" s="9">
        <v>2</v>
      </c>
      <c r="L478" s="9">
        <v>1</v>
      </c>
      <c r="M478" s="9">
        <v>2</v>
      </c>
      <c r="N478" s="186">
        <f t="shared" si="37"/>
        <v>0.38795788889711302</v>
      </c>
      <c r="O478" s="160">
        <f t="shared" si="38"/>
        <v>0.38795788889711302</v>
      </c>
      <c r="P478" s="63"/>
    </row>
    <row r="479" spans="1:16" hidden="1">
      <c r="A479" s="152" t="s">
        <v>112</v>
      </c>
      <c r="B479" s="34" t="s">
        <v>337</v>
      </c>
      <c r="C479" s="40" t="s">
        <v>139</v>
      </c>
      <c r="D479" s="34" t="s">
        <v>87</v>
      </c>
      <c r="E479" s="260">
        <v>0</v>
      </c>
      <c r="F479" s="235">
        <v>1</v>
      </c>
      <c r="G479" s="40"/>
      <c r="H479" s="29"/>
      <c r="I479" s="9"/>
      <c r="J479" s="9"/>
      <c r="K479" s="9"/>
      <c r="L479" s="9"/>
      <c r="M479" s="9"/>
      <c r="N479" s="186" t="str">
        <f t="shared" si="37"/>
        <v/>
      </c>
      <c r="O479" s="160" t="str">
        <f t="shared" si="38"/>
        <v/>
      </c>
      <c r="P479" s="63"/>
    </row>
    <row r="480" spans="1:16" hidden="1">
      <c r="A480" s="152" t="s">
        <v>112</v>
      </c>
      <c r="B480" s="34" t="s">
        <v>337</v>
      </c>
      <c r="C480" s="40" t="s">
        <v>139</v>
      </c>
      <c r="D480" s="34" t="s">
        <v>88</v>
      </c>
      <c r="E480" s="260">
        <v>0</v>
      </c>
      <c r="F480" s="235">
        <v>1</v>
      </c>
      <c r="G480" s="40"/>
      <c r="H480" s="29"/>
      <c r="I480" s="9"/>
      <c r="J480" s="9"/>
      <c r="K480" s="9"/>
      <c r="L480" s="9"/>
      <c r="M480" s="9"/>
      <c r="N480" s="186" t="str">
        <f t="shared" si="37"/>
        <v/>
      </c>
      <c r="O480" s="160" t="str">
        <f t="shared" si="38"/>
        <v/>
      </c>
      <c r="P480" s="63"/>
    </row>
    <row r="481" spans="1:16" hidden="1">
      <c r="A481" s="152" t="s">
        <v>112</v>
      </c>
      <c r="B481" s="34" t="s">
        <v>337</v>
      </c>
      <c r="C481" s="40" t="s">
        <v>139</v>
      </c>
      <c r="D481" s="34" t="s">
        <v>89</v>
      </c>
      <c r="E481" s="260">
        <v>0</v>
      </c>
      <c r="F481" s="235">
        <v>1</v>
      </c>
      <c r="G481" s="40"/>
      <c r="H481" s="29"/>
      <c r="I481" s="9"/>
      <c r="J481" s="9"/>
      <c r="K481" s="9"/>
      <c r="L481" s="9"/>
      <c r="M481" s="9"/>
      <c r="N481" s="186" t="str">
        <f t="shared" si="37"/>
        <v/>
      </c>
      <c r="O481" s="160" t="str">
        <f t="shared" si="38"/>
        <v/>
      </c>
      <c r="P481" s="63"/>
    </row>
    <row r="482" spans="1:16" hidden="1">
      <c r="A482" s="152" t="s">
        <v>112</v>
      </c>
      <c r="B482" s="34" t="s">
        <v>337</v>
      </c>
      <c r="C482" s="40" t="s">
        <v>139</v>
      </c>
      <c r="D482" s="34" t="s">
        <v>90</v>
      </c>
      <c r="E482" s="260">
        <v>0</v>
      </c>
      <c r="F482" s="235">
        <v>1</v>
      </c>
      <c r="G482" s="40"/>
      <c r="H482" s="29"/>
      <c r="I482" s="9"/>
      <c r="J482" s="9"/>
      <c r="K482" s="9"/>
      <c r="L482" s="9"/>
      <c r="M482" s="9"/>
      <c r="N482" s="186" t="str">
        <f t="shared" si="37"/>
        <v/>
      </c>
      <c r="O482" s="160" t="str">
        <f t="shared" si="38"/>
        <v/>
      </c>
      <c r="P482" s="63"/>
    </row>
    <row r="483" spans="1:16" hidden="1">
      <c r="A483" s="152" t="s">
        <v>112</v>
      </c>
      <c r="B483" s="34" t="s">
        <v>337</v>
      </c>
      <c r="C483" s="40" t="s">
        <v>139</v>
      </c>
      <c r="D483" s="34" t="s">
        <v>91</v>
      </c>
      <c r="E483" s="260">
        <v>9.4657445223231051E-2</v>
      </c>
      <c r="F483" s="235">
        <v>1</v>
      </c>
      <c r="G483" s="40" t="s">
        <v>163</v>
      </c>
      <c r="H483" s="29">
        <v>2</v>
      </c>
      <c r="I483" s="9">
        <v>2</v>
      </c>
      <c r="J483" s="9">
        <v>2</v>
      </c>
      <c r="K483" s="9">
        <v>2</v>
      </c>
      <c r="L483" s="9">
        <v>1</v>
      </c>
      <c r="M483" s="9">
        <v>2</v>
      </c>
      <c r="N483" s="186">
        <f t="shared" ref="N483:N514" si="39">IF( OR( ISBLANK(H483),ISBLANK(J483), ISBLANK(K483), ISBLANK(L483), ISBLANK(M483) ), "", 1.5*SQRT(   EXP(2.21*(H483-1)) + EXP(2.21*(J483-1)) + EXP(2.21*(K483-1)) + EXP(2.21*(L483-1)) + EXP(2.21*M483)   )/100*2.45 )</f>
        <v>0.38795788889711302</v>
      </c>
      <c r="O483" s="160">
        <f t="shared" ref="O483:O514" si="40">IF( OR( ISBLANK(I483),ISBLANK(J483), ISBLANK(K483), ISBLANK(L483), ISBLANK(M483) ), "", 1.5*SQRT( EXP(2.21*(I483-1)) + EXP(2.21*(J483-1)) + EXP(2.21*(K483-1)) + EXP(2.21*(L483-1)) + EXP(2.21*M483)   )/100*2.45 )</f>
        <v>0.38795788889711302</v>
      </c>
      <c r="P483" s="63"/>
    </row>
    <row r="484" spans="1:16" hidden="1">
      <c r="A484" s="152" t="s">
        <v>112</v>
      </c>
      <c r="B484" s="34" t="s">
        <v>337</v>
      </c>
      <c r="C484" s="40" t="s">
        <v>139</v>
      </c>
      <c r="D484" s="34" t="s">
        <v>95</v>
      </c>
      <c r="E484" s="260">
        <v>0</v>
      </c>
      <c r="F484" s="235">
        <v>1</v>
      </c>
      <c r="G484" s="40"/>
      <c r="H484" s="29"/>
      <c r="I484" s="9"/>
      <c r="J484" s="9"/>
      <c r="K484" s="9"/>
      <c r="L484" s="9"/>
      <c r="M484" s="9"/>
      <c r="N484" s="186" t="str">
        <f t="shared" si="39"/>
        <v/>
      </c>
      <c r="O484" s="160" t="str">
        <f t="shared" si="40"/>
        <v/>
      </c>
      <c r="P484" s="63"/>
    </row>
    <row r="485" spans="1:16" hidden="1">
      <c r="A485" s="152" t="s">
        <v>112</v>
      </c>
      <c r="B485" s="34" t="s">
        <v>337</v>
      </c>
      <c r="C485" s="40" t="s">
        <v>139</v>
      </c>
      <c r="D485" s="34" t="s">
        <v>99</v>
      </c>
      <c r="E485" s="260">
        <v>0</v>
      </c>
      <c r="F485" s="235">
        <v>1</v>
      </c>
      <c r="G485" s="40"/>
      <c r="H485" s="29"/>
      <c r="I485" s="9"/>
      <c r="J485" s="9"/>
      <c r="K485" s="9"/>
      <c r="L485" s="9"/>
      <c r="M485" s="9"/>
      <c r="N485" s="186" t="str">
        <f t="shared" si="39"/>
        <v/>
      </c>
      <c r="O485" s="160" t="str">
        <f t="shared" si="40"/>
        <v/>
      </c>
      <c r="P485" s="63"/>
    </row>
    <row r="486" spans="1:16" hidden="1">
      <c r="A486" s="152" t="s">
        <v>37</v>
      </c>
      <c r="B486" s="34" t="s">
        <v>338</v>
      </c>
      <c r="C486" s="40" t="s">
        <v>139</v>
      </c>
      <c r="D486" s="34" t="s">
        <v>85</v>
      </c>
      <c r="E486" s="260">
        <f>Intentionally_produced_MPs!P127</f>
        <v>0</v>
      </c>
      <c r="F486" s="235">
        <v>1</v>
      </c>
      <c r="G486" s="40"/>
      <c r="H486" s="29"/>
      <c r="I486" s="9"/>
      <c r="J486" s="9"/>
      <c r="K486" s="9"/>
      <c r="L486" s="9"/>
      <c r="M486" s="9"/>
      <c r="N486" s="186" t="str">
        <f t="shared" si="39"/>
        <v/>
      </c>
      <c r="O486" s="160" t="str">
        <f t="shared" si="40"/>
        <v/>
      </c>
      <c r="P486" s="63"/>
    </row>
    <row r="487" spans="1:16" hidden="1">
      <c r="A487" s="152" t="s">
        <v>37</v>
      </c>
      <c r="B487" s="34" t="s">
        <v>338</v>
      </c>
      <c r="C487" s="40" t="s">
        <v>139</v>
      </c>
      <c r="D487" s="34" t="s">
        <v>86</v>
      </c>
      <c r="E487" s="260">
        <f>Intentionally_produced_MPs!P128</f>
        <v>0</v>
      </c>
      <c r="F487" s="235">
        <v>1</v>
      </c>
      <c r="G487" s="40"/>
      <c r="H487" s="29"/>
      <c r="I487" s="9"/>
      <c r="J487" s="9"/>
      <c r="K487" s="9"/>
      <c r="L487" s="9"/>
      <c r="M487" s="9"/>
      <c r="N487" s="186" t="str">
        <f t="shared" si="39"/>
        <v/>
      </c>
      <c r="O487" s="160" t="str">
        <f t="shared" si="40"/>
        <v/>
      </c>
      <c r="P487" s="63"/>
    </row>
    <row r="488" spans="1:16" hidden="1">
      <c r="A488" s="152" t="s">
        <v>37</v>
      </c>
      <c r="B488" s="34" t="s">
        <v>338</v>
      </c>
      <c r="C488" s="40" t="s">
        <v>139</v>
      </c>
      <c r="D488" s="34" t="s">
        <v>87</v>
      </c>
      <c r="E488" s="260">
        <f>Intentionally_produced_MPs!P129</f>
        <v>0</v>
      </c>
      <c r="F488" s="235">
        <v>1</v>
      </c>
      <c r="G488" s="40"/>
      <c r="H488" s="29"/>
      <c r="I488" s="9"/>
      <c r="J488" s="9"/>
      <c r="K488" s="9"/>
      <c r="L488" s="9"/>
      <c r="M488" s="9"/>
      <c r="N488" s="186" t="str">
        <f t="shared" si="39"/>
        <v/>
      </c>
      <c r="O488" s="160" t="str">
        <f t="shared" si="40"/>
        <v/>
      </c>
      <c r="P488" s="63"/>
    </row>
    <row r="489" spans="1:16" hidden="1">
      <c r="A489" s="152" t="s">
        <v>37</v>
      </c>
      <c r="B489" s="34" t="s">
        <v>338</v>
      </c>
      <c r="C489" s="40" t="s">
        <v>139</v>
      </c>
      <c r="D489" s="34" t="s">
        <v>88</v>
      </c>
      <c r="E489" s="260">
        <f>Intentionally_produced_MPs!P130</f>
        <v>0</v>
      </c>
      <c r="F489" s="235">
        <v>1</v>
      </c>
      <c r="G489" s="40"/>
      <c r="H489" s="29"/>
      <c r="I489" s="9"/>
      <c r="J489" s="9"/>
      <c r="K489" s="9"/>
      <c r="L489" s="9"/>
      <c r="M489" s="9"/>
      <c r="N489" s="186" t="str">
        <f t="shared" si="39"/>
        <v/>
      </c>
      <c r="O489" s="160" t="str">
        <f t="shared" si="40"/>
        <v/>
      </c>
      <c r="P489" s="63"/>
    </row>
    <row r="490" spans="1:16" hidden="1">
      <c r="A490" s="152" t="s">
        <v>37</v>
      </c>
      <c r="B490" s="34" t="s">
        <v>338</v>
      </c>
      <c r="C490" s="40" t="s">
        <v>139</v>
      </c>
      <c r="D490" s="34" t="s">
        <v>89</v>
      </c>
      <c r="E490" s="260">
        <f>Intentionally_produced_MPs!P131</f>
        <v>0</v>
      </c>
      <c r="F490" s="235">
        <v>1</v>
      </c>
      <c r="G490" s="40"/>
      <c r="H490" s="29"/>
      <c r="I490" s="9"/>
      <c r="J490" s="9"/>
      <c r="K490" s="9"/>
      <c r="L490" s="9"/>
      <c r="M490" s="9"/>
      <c r="N490" s="186" t="str">
        <f t="shared" si="39"/>
        <v/>
      </c>
      <c r="O490" s="160" t="str">
        <f t="shared" si="40"/>
        <v/>
      </c>
      <c r="P490" s="63"/>
    </row>
    <row r="491" spans="1:16" hidden="1">
      <c r="A491" s="152" t="s">
        <v>37</v>
      </c>
      <c r="B491" s="34" t="s">
        <v>338</v>
      </c>
      <c r="C491" s="40" t="s">
        <v>139</v>
      </c>
      <c r="D491" s="34" t="s">
        <v>90</v>
      </c>
      <c r="E491" s="260">
        <f>Intentionally_produced_MPs!P132</f>
        <v>0</v>
      </c>
      <c r="F491" s="235">
        <v>1</v>
      </c>
      <c r="G491" s="40"/>
      <c r="H491" s="29"/>
      <c r="I491" s="9"/>
      <c r="J491" s="9"/>
      <c r="K491" s="9"/>
      <c r="L491" s="9"/>
      <c r="M491" s="9"/>
      <c r="N491" s="186" t="str">
        <f t="shared" si="39"/>
        <v/>
      </c>
      <c r="O491" s="160" t="str">
        <f t="shared" si="40"/>
        <v/>
      </c>
      <c r="P491" s="63"/>
    </row>
    <row r="492" spans="1:16" hidden="1">
      <c r="A492" s="152" t="s">
        <v>37</v>
      </c>
      <c r="B492" s="34" t="s">
        <v>338</v>
      </c>
      <c r="C492" s="40" t="s">
        <v>139</v>
      </c>
      <c r="D492" s="34" t="s">
        <v>91</v>
      </c>
      <c r="E492" s="260">
        <f>Intentionally_produced_MPs!P133</f>
        <v>0</v>
      </c>
      <c r="F492" s="235">
        <v>1</v>
      </c>
      <c r="G492" s="40"/>
      <c r="H492" s="29"/>
      <c r="I492" s="9"/>
      <c r="J492" s="9"/>
      <c r="K492" s="9"/>
      <c r="L492" s="9"/>
      <c r="M492" s="9"/>
      <c r="N492" s="186" t="str">
        <f t="shared" si="39"/>
        <v/>
      </c>
      <c r="O492" s="160" t="str">
        <f t="shared" si="40"/>
        <v/>
      </c>
      <c r="P492" s="63"/>
    </row>
    <row r="493" spans="1:16" hidden="1">
      <c r="A493" s="152" t="s">
        <v>37</v>
      </c>
      <c r="B493" s="34" t="s">
        <v>338</v>
      </c>
      <c r="C493" s="40" t="s">
        <v>139</v>
      </c>
      <c r="D493" s="34" t="s">
        <v>92</v>
      </c>
      <c r="E493" s="260">
        <f>Intentionally_produced_MPs!P134</f>
        <v>0</v>
      </c>
      <c r="F493" s="235">
        <v>1</v>
      </c>
      <c r="G493" s="40"/>
      <c r="H493" s="29"/>
      <c r="I493" s="9"/>
      <c r="J493" s="9"/>
      <c r="K493" s="9"/>
      <c r="L493" s="9"/>
      <c r="M493" s="9"/>
      <c r="N493" s="186" t="str">
        <f t="shared" si="39"/>
        <v/>
      </c>
      <c r="O493" s="160" t="str">
        <f t="shared" si="40"/>
        <v/>
      </c>
      <c r="P493" s="63"/>
    </row>
    <row r="494" spans="1:16" hidden="1">
      <c r="A494" s="152" t="s">
        <v>37</v>
      </c>
      <c r="B494" s="34" t="s">
        <v>338</v>
      </c>
      <c r="C494" s="40" t="s">
        <v>139</v>
      </c>
      <c r="D494" s="34" t="s">
        <v>93</v>
      </c>
      <c r="E494" s="260">
        <f>Intentionally_produced_MPs!P135</f>
        <v>0</v>
      </c>
      <c r="F494" s="235">
        <v>1</v>
      </c>
      <c r="G494" s="40"/>
      <c r="H494" s="29"/>
      <c r="I494" s="9"/>
      <c r="J494" s="9"/>
      <c r="K494" s="9"/>
      <c r="L494" s="9"/>
      <c r="M494" s="9"/>
      <c r="N494" s="186" t="str">
        <f t="shared" si="39"/>
        <v/>
      </c>
      <c r="O494" s="160" t="str">
        <f t="shared" si="40"/>
        <v/>
      </c>
      <c r="P494" s="63"/>
    </row>
    <row r="495" spans="1:16" hidden="1">
      <c r="A495" s="152" t="s">
        <v>37</v>
      </c>
      <c r="B495" s="34" t="s">
        <v>338</v>
      </c>
      <c r="C495" s="40" t="s">
        <v>139</v>
      </c>
      <c r="D495" s="34" t="s">
        <v>94</v>
      </c>
      <c r="E495" s="260">
        <f>Intentionally_produced_MPs!P136</f>
        <v>0</v>
      </c>
      <c r="F495" s="235">
        <v>1</v>
      </c>
      <c r="G495" s="40"/>
      <c r="H495" s="29"/>
      <c r="I495" s="9"/>
      <c r="J495" s="9"/>
      <c r="K495" s="9"/>
      <c r="L495" s="9"/>
      <c r="M495" s="9"/>
      <c r="N495" s="186" t="str">
        <f t="shared" si="39"/>
        <v/>
      </c>
      <c r="O495" s="160" t="str">
        <f t="shared" si="40"/>
        <v/>
      </c>
      <c r="P495" s="63"/>
    </row>
    <row r="496" spans="1:16" hidden="1">
      <c r="A496" s="152" t="s">
        <v>37</v>
      </c>
      <c r="B496" s="34" t="s">
        <v>338</v>
      </c>
      <c r="C496" s="40" t="s">
        <v>139</v>
      </c>
      <c r="D496" s="34" t="s">
        <v>95</v>
      </c>
      <c r="E496" s="260">
        <f>Intentionally_produced_MPs!P137</f>
        <v>0</v>
      </c>
      <c r="F496" s="235">
        <v>1</v>
      </c>
      <c r="G496" s="40"/>
      <c r="H496" s="29"/>
      <c r="I496" s="9"/>
      <c r="J496" s="9"/>
      <c r="K496" s="9"/>
      <c r="L496" s="9"/>
      <c r="M496" s="9"/>
      <c r="N496" s="186" t="str">
        <f t="shared" si="39"/>
        <v/>
      </c>
      <c r="O496" s="160" t="str">
        <f t="shared" si="40"/>
        <v/>
      </c>
      <c r="P496" s="63"/>
    </row>
    <row r="497" spans="1:16" hidden="1">
      <c r="A497" s="152" t="s">
        <v>37</v>
      </c>
      <c r="B497" s="34" t="s">
        <v>338</v>
      </c>
      <c r="C497" s="40" t="s">
        <v>139</v>
      </c>
      <c r="D497" s="34" t="s">
        <v>96</v>
      </c>
      <c r="E497" s="260">
        <f>Intentionally_produced_MPs!P138</f>
        <v>0</v>
      </c>
      <c r="F497" s="235">
        <v>1</v>
      </c>
      <c r="G497" s="40"/>
      <c r="H497" s="29"/>
      <c r="I497" s="9"/>
      <c r="J497" s="9"/>
      <c r="K497" s="9"/>
      <c r="L497" s="9"/>
      <c r="M497" s="9"/>
      <c r="N497" s="186" t="str">
        <f t="shared" si="39"/>
        <v/>
      </c>
      <c r="O497" s="160" t="str">
        <f t="shared" si="40"/>
        <v/>
      </c>
      <c r="P497" s="63"/>
    </row>
    <row r="498" spans="1:16" hidden="1">
      <c r="A498" s="152" t="s">
        <v>37</v>
      </c>
      <c r="B498" s="34" t="s">
        <v>338</v>
      </c>
      <c r="C498" s="40" t="s">
        <v>139</v>
      </c>
      <c r="D498" s="34" t="s">
        <v>97</v>
      </c>
      <c r="E498" s="260">
        <f>Intentionally_produced_MPs!P139</f>
        <v>0</v>
      </c>
      <c r="F498" s="235">
        <v>1</v>
      </c>
      <c r="G498" s="40"/>
      <c r="H498" s="29"/>
      <c r="I498" s="9"/>
      <c r="J498" s="9"/>
      <c r="K498" s="9"/>
      <c r="L498" s="9"/>
      <c r="M498" s="9"/>
      <c r="N498" s="186" t="str">
        <f t="shared" si="39"/>
        <v/>
      </c>
      <c r="O498" s="160" t="str">
        <f t="shared" si="40"/>
        <v/>
      </c>
      <c r="P498" s="63"/>
    </row>
    <row r="499" spans="1:16" hidden="1">
      <c r="A499" s="152" t="s">
        <v>37</v>
      </c>
      <c r="B499" s="34" t="s">
        <v>338</v>
      </c>
      <c r="C499" s="40" t="s">
        <v>139</v>
      </c>
      <c r="D499" s="34" t="s">
        <v>98</v>
      </c>
      <c r="E499" s="260">
        <f>Intentionally_produced_MPs!P140</f>
        <v>0.14573018486415787</v>
      </c>
      <c r="F499" s="235">
        <v>1</v>
      </c>
      <c r="G499" s="40"/>
      <c r="H499" s="29">
        <v>3</v>
      </c>
      <c r="I499" s="9">
        <v>2</v>
      </c>
      <c r="J499" s="9">
        <v>3</v>
      </c>
      <c r="K499" s="9">
        <v>3</v>
      </c>
      <c r="L499" s="9">
        <v>3</v>
      </c>
      <c r="M499" s="9">
        <v>3</v>
      </c>
      <c r="N499" s="186">
        <f t="shared" si="39"/>
        <v>1.2132328390150593</v>
      </c>
      <c r="O499" s="160">
        <f t="shared" si="40"/>
        <v>1.1713319510247036</v>
      </c>
      <c r="P499" s="63"/>
    </row>
    <row r="500" spans="1:16" hidden="1">
      <c r="A500" s="152" t="s">
        <v>322</v>
      </c>
      <c r="B500" s="34" t="s">
        <v>223</v>
      </c>
      <c r="C500" s="40" t="s">
        <v>139</v>
      </c>
      <c r="D500" s="34" t="s">
        <v>139</v>
      </c>
      <c r="E500" s="260">
        <v>0.1</v>
      </c>
      <c r="F500" s="235">
        <v>1</v>
      </c>
      <c r="G500" s="40" t="s">
        <v>339</v>
      </c>
      <c r="H500" s="29"/>
      <c r="I500" s="9"/>
      <c r="J500" s="9"/>
      <c r="K500" s="9"/>
      <c r="L500" s="9"/>
      <c r="M500" s="9"/>
      <c r="N500" s="186" t="str">
        <f t="shared" si="39"/>
        <v/>
      </c>
      <c r="O500" s="160" t="str">
        <f t="shared" si="40"/>
        <v/>
      </c>
      <c r="P500" s="63" t="s">
        <v>340</v>
      </c>
    </row>
    <row r="501" spans="1:16" hidden="1">
      <c r="A501" s="152" t="s">
        <v>322</v>
      </c>
      <c r="B501" s="34" t="s">
        <v>223</v>
      </c>
      <c r="C501" s="40" t="s">
        <v>139</v>
      </c>
      <c r="D501" s="34" t="s">
        <v>139</v>
      </c>
      <c r="E501" s="260">
        <v>0.9</v>
      </c>
      <c r="F501" s="235">
        <v>1</v>
      </c>
      <c r="G501" s="40" t="s">
        <v>341</v>
      </c>
      <c r="H501" s="29"/>
      <c r="I501" s="9"/>
      <c r="J501" s="9"/>
      <c r="K501" s="9"/>
      <c r="L501" s="9"/>
      <c r="M501" s="9"/>
      <c r="N501" s="186" t="str">
        <f t="shared" si="39"/>
        <v/>
      </c>
      <c r="O501" s="160" t="str">
        <f t="shared" si="40"/>
        <v/>
      </c>
      <c r="P501" s="63" t="s">
        <v>340</v>
      </c>
    </row>
    <row r="502" spans="1:16" hidden="1">
      <c r="A502" s="152" t="s">
        <v>200</v>
      </c>
      <c r="B502" s="34" t="s">
        <v>223</v>
      </c>
      <c r="C502" s="40" t="s">
        <v>139</v>
      </c>
      <c r="D502" s="34" t="s">
        <v>139</v>
      </c>
      <c r="E502" s="260" t="s">
        <v>150</v>
      </c>
      <c r="F502" s="235">
        <v>1</v>
      </c>
      <c r="G502" s="40"/>
      <c r="H502" s="29"/>
      <c r="I502" s="9"/>
      <c r="J502" s="9"/>
      <c r="K502" s="9" t="str">
        <f>IF( OR( ISBLANK(#REF!),ISBLANK(G502), ISBLANK(#REF!), ISBLANK(H502), ISBLANK(J502) ), "", 1.5*SQRT(   EXP(2.21*(#REF!-1)) + EXP(2.21*(G502-1)) + EXP(2.21*(#REF!-1)) + EXP(2.21*(H502-1)) + EXP(2.21*J502)   )/100 )</f>
        <v/>
      </c>
      <c r="L502" s="9" t="str">
        <f>IF( OR( ISBLANK(E502),ISBLANK(G502), ISBLANK(#REF!), ISBLANK(H502), ISBLANK(J502) ), "", 1.5*SQRT(   EXP(2.21*(E502-1)) + EXP(2.21*(G502-1)) + EXP(2.21*(#REF!-1)) + EXP(2.21*(H502-1)) + EXP(2.21*J502)   )/100 )</f>
        <v/>
      </c>
      <c r="M502" s="9"/>
      <c r="N502" s="186" t="str">
        <f t="shared" si="39"/>
        <v/>
      </c>
      <c r="O502" s="160" t="str">
        <f t="shared" si="40"/>
        <v/>
      </c>
      <c r="P502" s="63"/>
    </row>
    <row r="503" spans="1:16" hidden="1">
      <c r="A503" s="152" t="s">
        <v>201</v>
      </c>
      <c r="B503" s="34" t="s">
        <v>223</v>
      </c>
      <c r="C503" s="40" t="s">
        <v>139</v>
      </c>
      <c r="D503" s="34" t="s">
        <v>139</v>
      </c>
      <c r="E503" s="260" t="s">
        <v>150</v>
      </c>
      <c r="F503" s="235">
        <v>1</v>
      </c>
      <c r="G503" s="40"/>
      <c r="H503" s="29"/>
      <c r="I503" s="9"/>
      <c r="J503" s="9"/>
      <c r="K503" s="9" t="str">
        <f>IF( OR( ISBLANK(#REF!),ISBLANK(G503), ISBLANK(#REF!), ISBLANK(H503), ISBLANK(J503) ), "", 1.5*SQRT(   EXP(2.21*(#REF!-1)) + EXP(2.21*(G503-1)) + EXP(2.21*(#REF!-1)) + EXP(2.21*(H503-1)) + EXP(2.21*J503)   )/100 )</f>
        <v/>
      </c>
      <c r="L503" s="9" t="str">
        <f>IF( OR( ISBLANK(E503),ISBLANK(G503), ISBLANK(#REF!), ISBLANK(H503), ISBLANK(J503) ), "", 1.5*SQRT(   EXP(2.21*(E503-1)) + EXP(2.21*(G503-1)) + EXP(2.21*(#REF!-1)) + EXP(2.21*(H503-1)) + EXP(2.21*J503)   )/100 )</f>
        <v/>
      </c>
      <c r="M503" s="9"/>
      <c r="N503" s="186" t="str">
        <f t="shared" si="39"/>
        <v/>
      </c>
      <c r="O503" s="160" t="str">
        <f t="shared" si="40"/>
        <v/>
      </c>
      <c r="P503" s="63"/>
    </row>
    <row r="504" spans="1:16" hidden="1">
      <c r="A504" s="152" t="s">
        <v>202</v>
      </c>
      <c r="B504" s="34" t="s">
        <v>223</v>
      </c>
      <c r="C504" s="40" t="s">
        <v>139</v>
      </c>
      <c r="D504" s="34" t="s">
        <v>139</v>
      </c>
      <c r="E504" s="260" t="s">
        <v>150</v>
      </c>
      <c r="F504" s="235">
        <v>1</v>
      </c>
      <c r="G504" s="40"/>
      <c r="H504" s="29"/>
      <c r="I504" s="9"/>
      <c r="J504" s="9"/>
      <c r="K504" s="9" t="str">
        <f>IF( OR( ISBLANK(#REF!),ISBLANK(G504), ISBLANK(#REF!), ISBLANK(H504), ISBLANK(J504) ), "", 1.5*SQRT(   EXP(2.21*(#REF!-1)) + EXP(2.21*(G504-1)) + EXP(2.21*(#REF!-1)) + EXP(2.21*(H504-1)) + EXP(2.21*J504)   )/100 )</f>
        <v/>
      </c>
      <c r="L504" s="9" t="str">
        <f>IF( OR( ISBLANK(E504),ISBLANK(G504), ISBLANK(#REF!), ISBLANK(H504), ISBLANK(J504) ), "", 1.5*SQRT(   EXP(2.21*(E504-1)) + EXP(2.21*(G504-1)) + EXP(2.21*(#REF!-1)) + EXP(2.21*(H504-1)) + EXP(2.21*J504)   )/100 )</f>
        <v/>
      </c>
      <c r="M504" s="9"/>
      <c r="N504" s="186" t="str">
        <f t="shared" si="39"/>
        <v/>
      </c>
      <c r="O504" s="160" t="str">
        <f t="shared" si="40"/>
        <v/>
      </c>
      <c r="P504" s="63"/>
    </row>
    <row r="505" spans="1:16" hidden="1">
      <c r="A505" s="152" t="s">
        <v>304</v>
      </c>
      <c r="B505" s="34" t="s">
        <v>223</v>
      </c>
      <c r="C505" s="40" t="s">
        <v>139</v>
      </c>
      <c r="D505" s="34" t="s">
        <v>139</v>
      </c>
      <c r="E505" s="260" t="s">
        <v>150</v>
      </c>
      <c r="F505" s="235">
        <v>1</v>
      </c>
      <c r="G505" s="40"/>
      <c r="H505" s="29"/>
      <c r="I505" s="9"/>
      <c r="J505" s="9"/>
      <c r="K505" s="9"/>
      <c r="L505" s="9"/>
      <c r="M505" s="9"/>
      <c r="N505" s="186" t="str">
        <f t="shared" si="39"/>
        <v/>
      </c>
      <c r="O505" s="160" t="str">
        <f t="shared" si="40"/>
        <v/>
      </c>
      <c r="P505" s="63"/>
    </row>
    <row r="506" spans="1:16" hidden="1">
      <c r="A506" s="152" t="s">
        <v>322</v>
      </c>
      <c r="B506" s="34" t="s">
        <v>342</v>
      </c>
      <c r="C506" s="40" t="s">
        <v>139</v>
      </c>
      <c r="D506" s="34" t="s">
        <v>139</v>
      </c>
      <c r="E506" s="260" t="s">
        <v>150</v>
      </c>
      <c r="F506" s="235">
        <v>1</v>
      </c>
      <c r="G506" s="40" t="s">
        <v>343</v>
      </c>
      <c r="H506" s="29"/>
      <c r="I506" s="9"/>
      <c r="J506" s="9"/>
      <c r="K506" s="9"/>
      <c r="L506" s="9"/>
      <c r="M506" s="9"/>
      <c r="N506" s="186" t="str">
        <f t="shared" si="39"/>
        <v/>
      </c>
      <c r="O506" s="160" t="str">
        <f t="shared" si="40"/>
        <v/>
      </c>
      <c r="P506" s="63" t="s">
        <v>340</v>
      </c>
    </row>
    <row r="507" spans="1:16" hidden="1">
      <c r="A507" s="152" t="s">
        <v>322</v>
      </c>
      <c r="B507" s="34" t="s">
        <v>265</v>
      </c>
      <c r="C507" s="40" t="s">
        <v>139</v>
      </c>
      <c r="D507" s="34" t="s">
        <v>139</v>
      </c>
      <c r="E507" s="260">
        <v>1.0200000000000001E-3</v>
      </c>
      <c r="F507" s="235">
        <v>2</v>
      </c>
      <c r="G507" s="40" t="s">
        <v>344</v>
      </c>
      <c r="H507" s="29">
        <v>2</v>
      </c>
      <c r="I507" s="9"/>
      <c r="J507" s="9">
        <v>3</v>
      </c>
      <c r="K507" s="9">
        <v>3</v>
      </c>
      <c r="L507" s="9">
        <v>3</v>
      </c>
      <c r="M507" s="9">
        <v>2</v>
      </c>
      <c r="N507" s="186">
        <f t="shared" si="39"/>
        <v>0.67913051197703389</v>
      </c>
      <c r="O507" s="160" t="str">
        <f t="shared" si="40"/>
        <v/>
      </c>
      <c r="P507" s="63" t="s">
        <v>345</v>
      </c>
    </row>
    <row r="508" spans="1:16" hidden="1">
      <c r="A508" s="152" t="s">
        <v>326</v>
      </c>
      <c r="B508" s="34" t="s">
        <v>223</v>
      </c>
      <c r="C508" s="40" t="s">
        <v>139</v>
      </c>
      <c r="D508" s="34" t="s">
        <v>139</v>
      </c>
      <c r="E508" s="260" t="s">
        <v>150</v>
      </c>
      <c r="F508" s="235">
        <v>1</v>
      </c>
      <c r="G508" s="40"/>
      <c r="H508" s="29"/>
      <c r="I508" s="9"/>
      <c r="J508" s="9"/>
      <c r="K508" s="9"/>
      <c r="L508" s="9"/>
      <c r="M508" s="9"/>
      <c r="N508" s="186" t="str">
        <f t="shared" si="39"/>
        <v/>
      </c>
      <c r="O508" s="160" t="str">
        <f t="shared" si="40"/>
        <v/>
      </c>
      <c r="P508" s="63"/>
    </row>
    <row r="509" spans="1:16" hidden="1">
      <c r="A509" s="152" t="s">
        <v>235</v>
      </c>
      <c r="B509" s="34" t="s">
        <v>223</v>
      </c>
      <c r="C509" s="40" t="s">
        <v>139</v>
      </c>
      <c r="D509" s="34" t="s">
        <v>139</v>
      </c>
      <c r="E509" s="260" t="s">
        <v>150</v>
      </c>
      <c r="F509" s="235">
        <v>1</v>
      </c>
      <c r="G509" s="40"/>
      <c r="H509" s="29"/>
      <c r="I509" s="9"/>
      <c r="J509" s="9"/>
      <c r="K509" s="9"/>
      <c r="L509" s="9"/>
      <c r="M509" s="9"/>
      <c r="N509" s="186" t="str">
        <f t="shared" si="39"/>
        <v/>
      </c>
      <c r="O509" s="160" t="str">
        <f t="shared" si="40"/>
        <v/>
      </c>
      <c r="P509" s="63"/>
    </row>
    <row r="510" spans="1:16" hidden="1">
      <c r="A510" s="152" t="s">
        <v>324</v>
      </c>
      <c r="B510" s="34" t="s">
        <v>223</v>
      </c>
      <c r="C510" s="40" t="s">
        <v>139</v>
      </c>
      <c r="D510" s="34" t="s">
        <v>139</v>
      </c>
      <c r="E510" s="260" t="s">
        <v>150</v>
      </c>
      <c r="F510" s="235">
        <v>1</v>
      </c>
      <c r="G510" s="40"/>
      <c r="H510" s="29"/>
      <c r="I510" s="9"/>
      <c r="J510" s="9"/>
      <c r="K510" s="9"/>
      <c r="L510" s="9"/>
      <c r="M510" s="9"/>
      <c r="N510" s="186" t="str">
        <f t="shared" si="39"/>
        <v/>
      </c>
      <c r="O510" s="160" t="str">
        <f t="shared" si="40"/>
        <v/>
      </c>
      <c r="P510" s="63"/>
    </row>
    <row r="511" spans="1:16" hidden="1">
      <c r="A511" s="152" t="s">
        <v>327</v>
      </c>
      <c r="B511" s="34" t="s">
        <v>223</v>
      </c>
      <c r="C511" s="40" t="s">
        <v>139</v>
      </c>
      <c r="D511" s="34" t="s">
        <v>139</v>
      </c>
      <c r="E511" s="260" t="s">
        <v>150</v>
      </c>
      <c r="F511" s="235">
        <v>1</v>
      </c>
      <c r="G511" s="40"/>
      <c r="H511" s="29"/>
      <c r="I511" s="9"/>
      <c r="J511" s="9"/>
      <c r="K511" s="9"/>
      <c r="L511" s="9"/>
      <c r="M511" s="9"/>
      <c r="N511" s="186" t="str">
        <f t="shared" si="39"/>
        <v/>
      </c>
      <c r="O511" s="160" t="str">
        <f t="shared" si="40"/>
        <v/>
      </c>
      <c r="P511" s="63"/>
    </row>
    <row r="512" spans="1:16" hidden="1">
      <c r="A512" s="152" t="s">
        <v>335</v>
      </c>
      <c r="B512" s="34" t="s">
        <v>223</v>
      </c>
      <c r="C512" s="40" t="s">
        <v>139</v>
      </c>
      <c r="D512" s="34" t="s">
        <v>139</v>
      </c>
      <c r="E512" s="260" t="s">
        <v>150</v>
      </c>
      <c r="F512" s="235">
        <v>1</v>
      </c>
      <c r="G512" s="40"/>
      <c r="H512" s="29"/>
      <c r="I512" s="9"/>
      <c r="J512" s="9"/>
      <c r="K512" s="9"/>
      <c r="L512" s="9"/>
      <c r="M512" s="9"/>
      <c r="N512" s="186" t="str">
        <f t="shared" si="39"/>
        <v/>
      </c>
      <c r="O512" s="160" t="str">
        <f t="shared" si="40"/>
        <v/>
      </c>
      <c r="P512" s="63"/>
    </row>
    <row r="513" spans="1:16" hidden="1">
      <c r="A513" s="152" t="s">
        <v>203</v>
      </c>
      <c r="B513" s="34" t="s">
        <v>223</v>
      </c>
      <c r="C513" s="40" t="s">
        <v>139</v>
      </c>
      <c r="D513" s="34" t="s">
        <v>139</v>
      </c>
      <c r="E513" s="260" t="s">
        <v>150</v>
      </c>
      <c r="F513" s="235">
        <v>1</v>
      </c>
      <c r="G513" s="40"/>
      <c r="H513" s="29"/>
      <c r="I513" s="9"/>
      <c r="J513" s="9"/>
      <c r="K513" s="9" t="str">
        <f>IF( OR( ISBLANK(#REF!),ISBLANK(G513), ISBLANK(#REF!), ISBLANK(H513), ISBLANK(J513) ), "", 1.5*SQRT(   EXP(2.21*(#REF!-1)) + EXP(2.21*(G513-1)) + EXP(2.21*(#REF!-1)) + EXP(2.21*(H513-1)) + EXP(2.21*J513)   )/100 )</f>
        <v/>
      </c>
      <c r="L513" s="9" t="str">
        <f>IF( OR( ISBLANK(E513),ISBLANK(G513), ISBLANK(#REF!), ISBLANK(H513), ISBLANK(J513) ), "", 1.5*SQRT(   EXP(2.21*(E513-1)) + EXP(2.21*(G513-1)) + EXP(2.21*(#REF!-1)) + EXP(2.21*(H513-1)) + EXP(2.21*J513)   )/100 )</f>
        <v/>
      </c>
      <c r="M513" s="9"/>
      <c r="N513" s="186" t="str">
        <f t="shared" si="39"/>
        <v/>
      </c>
      <c r="O513" s="160" t="str">
        <f t="shared" si="40"/>
        <v/>
      </c>
      <c r="P513" s="63"/>
    </row>
    <row r="514" spans="1:16" hidden="1">
      <c r="A514" s="152" t="s">
        <v>236</v>
      </c>
      <c r="B514" s="34" t="s">
        <v>223</v>
      </c>
      <c r="C514" s="40" t="s">
        <v>139</v>
      </c>
      <c r="D514" s="34" t="s">
        <v>139</v>
      </c>
      <c r="E514" s="260" t="s">
        <v>150</v>
      </c>
      <c r="F514" s="235">
        <v>1</v>
      </c>
      <c r="G514" s="40"/>
      <c r="H514" s="29"/>
      <c r="I514" s="9"/>
      <c r="J514" s="9"/>
      <c r="K514" s="9"/>
      <c r="L514" s="9"/>
      <c r="M514" s="9"/>
      <c r="N514" s="186" t="str">
        <f t="shared" si="39"/>
        <v/>
      </c>
      <c r="O514" s="160" t="str">
        <f t="shared" si="40"/>
        <v/>
      </c>
      <c r="P514" s="63"/>
    </row>
    <row r="515" spans="1:16" hidden="1">
      <c r="A515" s="152" t="s">
        <v>237</v>
      </c>
      <c r="B515" s="34" t="s">
        <v>223</v>
      </c>
      <c r="C515" s="40" t="s">
        <v>139</v>
      </c>
      <c r="D515" s="34" t="s">
        <v>139</v>
      </c>
      <c r="E515" s="260" t="s">
        <v>150</v>
      </c>
      <c r="F515" s="235">
        <v>1</v>
      </c>
      <c r="G515" s="40"/>
      <c r="H515" s="29"/>
      <c r="I515" s="9"/>
      <c r="J515" s="9"/>
      <c r="K515" s="9"/>
      <c r="L515" s="9"/>
      <c r="M515" s="9"/>
      <c r="N515" s="186" t="str">
        <f t="shared" ref="N515:N533" si="41">IF( OR( ISBLANK(H515),ISBLANK(J515), ISBLANK(K515), ISBLANK(L515), ISBLANK(M515) ), "", 1.5*SQRT(   EXP(2.21*(H515-1)) + EXP(2.21*(J515-1)) + EXP(2.21*(K515-1)) + EXP(2.21*(L515-1)) + EXP(2.21*M515)   )/100*2.45 )</f>
        <v/>
      </c>
      <c r="O515" s="160" t="str">
        <f t="shared" ref="O515:O533" si="42">IF( OR( ISBLANK(I515),ISBLANK(J515), ISBLANK(K515), ISBLANK(L515), ISBLANK(M515) ), "", 1.5*SQRT( EXP(2.21*(I515-1)) + EXP(2.21*(J515-1)) + EXP(2.21*(K515-1)) + EXP(2.21*(L515-1)) + EXP(2.21*M515)   )/100*2.45 )</f>
        <v/>
      </c>
      <c r="P515" s="63"/>
    </row>
    <row r="516" spans="1:16" hidden="1">
      <c r="A516" s="292" t="s">
        <v>346</v>
      </c>
      <c r="B516" s="55" t="s">
        <v>223</v>
      </c>
      <c r="C516" s="265" t="s">
        <v>139</v>
      </c>
      <c r="D516" s="55" t="s">
        <v>139</v>
      </c>
      <c r="E516" s="260">
        <v>1</v>
      </c>
      <c r="F516" s="235">
        <v>1</v>
      </c>
      <c r="G516" s="265" t="s">
        <v>163</v>
      </c>
      <c r="H516" s="29"/>
      <c r="I516" s="9"/>
      <c r="J516" s="9"/>
      <c r="K516" s="9"/>
      <c r="L516" s="9"/>
      <c r="M516" s="9"/>
      <c r="N516" s="186" t="str">
        <f t="shared" si="41"/>
        <v/>
      </c>
      <c r="O516" s="160" t="str">
        <f t="shared" si="42"/>
        <v/>
      </c>
      <c r="P516" s="63"/>
    </row>
    <row r="517" spans="1:16" hidden="1">
      <c r="A517" s="152" t="s">
        <v>234</v>
      </c>
      <c r="B517" s="55" t="s">
        <v>223</v>
      </c>
      <c r="C517" s="265" t="s">
        <v>139</v>
      </c>
      <c r="D517" s="55" t="s">
        <v>139</v>
      </c>
      <c r="E517" s="260" t="s">
        <v>150</v>
      </c>
      <c r="F517" s="235">
        <v>1</v>
      </c>
      <c r="G517" s="265" t="s">
        <v>347</v>
      </c>
      <c r="H517" s="29"/>
      <c r="I517" s="9"/>
      <c r="J517" s="9"/>
      <c r="K517" s="9"/>
      <c r="L517" s="9"/>
      <c r="M517" s="9"/>
      <c r="N517" s="186" t="str">
        <f t="shared" si="41"/>
        <v/>
      </c>
      <c r="O517" s="160" t="str">
        <f t="shared" si="42"/>
        <v/>
      </c>
      <c r="P517" s="63"/>
    </row>
    <row r="518" spans="1:16" hidden="1">
      <c r="A518" s="292" t="s">
        <v>348</v>
      </c>
      <c r="B518" s="55" t="s">
        <v>178</v>
      </c>
      <c r="C518" s="265" t="s">
        <v>139</v>
      </c>
      <c r="D518" s="55" t="s">
        <v>139</v>
      </c>
      <c r="E518" s="260" t="s">
        <v>150</v>
      </c>
      <c r="F518" s="235">
        <v>1</v>
      </c>
      <c r="G518" s="265" t="s">
        <v>163</v>
      </c>
      <c r="H518" s="29"/>
      <c r="I518" s="9"/>
      <c r="J518" s="9"/>
      <c r="K518" s="9"/>
      <c r="L518" s="9"/>
      <c r="M518" s="9"/>
      <c r="N518" s="186" t="str">
        <f t="shared" si="41"/>
        <v/>
      </c>
      <c r="O518" s="160" t="str">
        <f t="shared" si="42"/>
        <v/>
      </c>
      <c r="P518" s="63"/>
    </row>
    <row r="519" spans="1:16" hidden="1">
      <c r="A519" s="292" t="s">
        <v>348</v>
      </c>
      <c r="B519" s="55" t="s">
        <v>245</v>
      </c>
      <c r="C519" s="265" t="s">
        <v>139</v>
      </c>
      <c r="D519" s="55" t="s">
        <v>139</v>
      </c>
      <c r="E519" s="260">
        <v>0.53527000000000002</v>
      </c>
      <c r="F519" s="235">
        <v>1</v>
      </c>
      <c r="G519" s="265" t="s">
        <v>163</v>
      </c>
      <c r="H519" s="29">
        <v>2</v>
      </c>
      <c r="I519" s="9">
        <v>2</v>
      </c>
      <c r="J519" s="9">
        <v>1</v>
      </c>
      <c r="K519" s="9">
        <v>1</v>
      </c>
      <c r="L519" s="9">
        <v>1</v>
      </c>
      <c r="M519" s="9">
        <v>2</v>
      </c>
      <c r="N519" s="186">
        <f t="shared" si="41"/>
        <v>0.35859414261160716</v>
      </c>
      <c r="O519" s="160">
        <f t="shared" si="42"/>
        <v>0.35859414261160716</v>
      </c>
      <c r="P519" s="859" t="s">
        <v>349</v>
      </c>
    </row>
    <row r="520" spans="1:16" hidden="1">
      <c r="A520" s="292" t="s">
        <v>239</v>
      </c>
      <c r="B520" s="55" t="s">
        <v>223</v>
      </c>
      <c r="C520" s="265" t="s">
        <v>139</v>
      </c>
      <c r="D520" s="55" t="s">
        <v>139</v>
      </c>
      <c r="E520" s="260" t="s">
        <v>150</v>
      </c>
      <c r="F520" s="235">
        <v>1</v>
      </c>
      <c r="G520" s="265" t="s">
        <v>347</v>
      </c>
      <c r="H520" s="29"/>
      <c r="I520" s="9"/>
      <c r="J520" s="9"/>
      <c r="K520" s="9"/>
      <c r="L520" s="9"/>
      <c r="M520" s="9"/>
      <c r="N520" s="186" t="str">
        <f t="shared" si="41"/>
        <v/>
      </c>
      <c r="O520" s="160" t="str">
        <f t="shared" si="42"/>
        <v/>
      </c>
      <c r="P520" s="63"/>
    </row>
    <row r="521" spans="1:16" hidden="1">
      <c r="A521" s="292" t="s">
        <v>240</v>
      </c>
      <c r="B521" s="55" t="s">
        <v>223</v>
      </c>
      <c r="C521" s="265" t="s">
        <v>139</v>
      </c>
      <c r="D521" s="55" t="s">
        <v>139</v>
      </c>
      <c r="E521" s="260" t="s">
        <v>150</v>
      </c>
      <c r="F521" s="235">
        <v>1</v>
      </c>
      <c r="G521" s="265" t="s">
        <v>347</v>
      </c>
      <c r="H521" s="29"/>
      <c r="I521" s="9"/>
      <c r="J521" s="9"/>
      <c r="K521" s="9"/>
      <c r="L521" s="9"/>
      <c r="M521" s="9"/>
      <c r="N521" s="186" t="str">
        <f t="shared" si="41"/>
        <v/>
      </c>
      <c r="O521" s="160" t="str">
        <f t="shared" si="42"/>
        <v/>
      </c>
      <c r="P521" s="63"/>
    </row>
    <row r="522" spans="1:16" hidden="1">
      <c r="A522" s="292" t="s">
        <v>241</v>
      </c>
      <c r="B522" s="55" t="s">
        <v>223</v>
      </c>
      <c r="C522" s="265" t="s">
        <v>139</v>
      </c>
      <c r="D522" s="55" t="s">
        <v>139</v>
      </c>
      <c r="E522" s="260" t="s">
        <v>150</v>
      </c>
      <c r="F522" s="235">
        <v>1</v>
      </c>
      <c r="G522" s="265" t="s">
        <v>347</v>
      </c>
      <c r="H522" s="29"/>
      <c r="I522" s="9"/>
      <c r="J522" s="9"/>
      <c r="K522" s="9"/>
      <c r="L522" s="9"/>
      <c r="M522" s="9"/>
      <c r="N522" s="186" t="str">
        <f t="shared" si="41"/>
        <v/>
      </c>
      <c r="O522" s="160" t="str">
        <f t="shared" si="42"/>
        <v/>
      </c>
      <c r="P522" s="63"/>
    </row>
    <row r="523" spans="1:16" hidden="1">
      <c r="A523" s="292" t="s">
        <v>350</v>
      </c>
      <c r="B523" s="55" t="s">
        <v>204</v>
      </c>
      <c r="C523" s="265" t="s">
        <v>139</v>
      </c>
      <c r="D523" s="55" t="s">
        <v>139</v>
      </c>
      <c r="E523" s="260">
        <v>2.7E-4</v>
      </c>
      <c r="F523" s="235">
        <v>2</v>
      </c>
      <c r="G523" s="265" t="s">
        <v>163</v>
      </c>
      <c r="H523" s="29">
        <v>2</v>
      </c>
      <c r="I523" s="9">
        <v>2</v>
      </c>
      <c r="J523" s="9">
        <v>2</v>
      </c>
      <c r="K523" s="9">
        <v>3</v>
      </c>
      <c r="L523" s="9">
        <v>3</v>
      </c>
      <c r="M523" s="9">
        <v>3</v>
      </c>
      <c r="N523" s="186">
        <f t="shared" si="41"/>
        <v>1.1278755061256258</v>
      </c>
      <c r="O523" s="160">
        <f t="shared" si="42"/>
        <v>1.1278755061256258</v>
      </c>
      <c r="P523" s="63"/>
    </row>
    <row r="524" spans="1:16" hidden="1">
      <c r="A524" s="292" t="s">
        <v>350</v>
      </c>
      <c r="B524" s="55" t="s">
        <v>223</v>
      </c>
      <c r="C524" s="265" t="s">
        <v>139</v>
      </c>
      <c r="D524" s="55" t="s">
        <v>139</v>
      </c>
      <c r="E524" s="260" t="s">
        <v>150</v>
      </c>
      <c r="F524" s="235">
        <v>1</v>
      </c>
      <c r="G524" s="265" t="s">
        <v>163</v>
      </c>
      <c r="H524" s="29"/>
      <c r="I524" s="9"/>
      <c r="J524" s="9"/>
      <c r="K524" s="9"/>
      <c r="L524" s="9"/>
      <c r="M524" s="9"/>
      <c r="N524" s="186" t="str">
        <f t="shared" si="41"/>
        <v/>
      </c>
      <c r="O524" s="160" t="str">
        <f t="shared" si="42"/>
        <v/>
      </c>
      <c r="P524" s="63"/>
    </row>
    <row r="525" spans="1:16" hidden="1">
      <c r="A525" s="292" t="s">
        <v>337</v>
      </c>
      <c r="B525" s="55" t="s">
        <v>223</v>
      </c>
      <c r="C525" s="265" t="s">
        <v>139</v>
      </c>
      <c r="D525" s="55" t="s">
        <v>139</v>
      </c>
      <c r="E525" s="260" t="s">
        <v>150</v>
      </c>
      <c r="F525" s="235">
        <v>1</v>
      </c>
      <c r="G525" s="265" t="s">
        <v>347</v>
      </c>
      <c r="H525" s="29"/>
      <c r="I525" s="9"/>
      <c r="J525" s="9"/>
      <c r="K525" s="9"/>
      <c r="L525" s="9"/>
      <c r="M525" s="9"/>
      <c r="N525" s="186" t="str">
        <f t="shared" si="41"/>
        <v/>
      </c>
      <c r="O525" s="160" t="str">
        <f t="shared" si="42"/>
        <v/>
      </c>
      <c r="P525" s="63"/>
    </row>
    <row r="526" spans="1:16" hidden="1">
      <c r="A526" s="152" t="s">
        <v>227</v>
      </c>
      <c r="B526" s="34" t="s">
        <v>334</v>
      </c>
      <c r="C526" s="40" t="s">
        <v>139</v>
      </c>
      <c r="D526" s="34" t="s">
        <v>139</v>
      </c>
      <c r="E526" s="260">
        <v>0.05</v>
      </c>
      <c r="F526" s="235">
        <v>2</v>
      </c>
      <c r="G526" s="40" t="s">
        <v>351</v>
      </c>
      <c r="H526" s="29">
        <v>1</v>
      </c>
      <c r="I526" s="9">
        <v>1</v>
      </c>
      <c r="J526" s="9">
        <v>2</v>
      </c>
      <c r="K526" s="9">
        <v>3</v>
      </c>
      <c r="L526" s="9">
        <v>1</v>
      </c>
      <c r="M526" s="9">
        <v>3</v>
      </c>
      <c r="N526" s="186">
        <f t="shared" si="41"/>
        <v>1.0725046436742278</v>
      </c>
      <c r="O526" s="160">
        <f t="shared" si="42"/>
        <v>1.0725046436742278</v>
      </c>
      <c r="P526" s="63" t="s">
        <v>352</v>
      </c>
    </row>
    <row r="527" spans="1:16" hidden="1">
      <c r="A527" s="152" t="s">
        <v>312</v>
      </c>
      <c r="B527" s="34" t="s">
        <v>334</v>
      </c>
      <c r="C527" s="522" t="s">
        <v>139</v>
      </c>
      <c r="D527" s="37" t="s">
        <v>139</v>
      </c>
      <c r="E527" s="313">
        <v>0.4</v>
      </c>
      <c r="F527" s="37">
        <v>1</v>
      </c>
      <c r="G527" s="40" t="s">
        <v>353</v>
      </c>
      <c r="H527" s="29">
        <v>2</v>
      </c>
      <c r="I527" s="9">
        <v>2</v>
      </c>
      <c r="J527" s="9">
        <v>1</v>
      </c>
      <c r="K527" s="9">
        <v>1</v>
      </c>
      <c r="L527" s="9">
        <v>1</v>
      </c>
      <c r="M527" s="9">
        <v>1</v>
      </c>
      <c r="N527" s="186">
        <f t="shared" si="41"/>
        <v>0.16933510251023262</v>
      </c>
      <c r="O527" s="160">
        <f t="shared" si="42"/>
        <v>0.16933510251023262</v>
      </c>
      <c r="P527" s="63"/>
    </row>
    <row r="528" spans="1:16" hidden="1">
      <c r="A528" s="152" t="s">
        <v>311</v>
      </c>
      <c r="B528" s="34" t="s">
        <v>334</v>
      </c>
      <c r="C528" s="522" t="s">
        <v>139</v>
      </c>
      <c r="D528" s="37" t="s">
        <v>139</v>
      </c>
      <c r="E528" s="522">
        <v>1</v>
      </c>
      <c r="F528" s="37">
        <v>1</v>
      </c>
      <c r="G528" s="522"/>
      <c r="H528" s="29"/>
      <c r="I528" s="9"/>
      <c r="J528" s="9"/>
      <c r="K528" s="9"/>
      <c r="L528" s="9"/>
      <c r="M528" s="9"/>
      <c r="N528" s="186" t="str">
        <f t="shared" si="41"/>
        <v/>
      </c>
      <c r="O528" s="160" t="str">
        <f t="shared" si="42"/>
        <v/>
      </c>
      <c r="P528" s="63"/>
    </row>
    <row r="529" spans="1:16" hidden="1">
      <c r="A529" s="152" t="s">
        <v>268</v>
      </c>
      <c r="B529" s="34" t="s">
        <v>334</v>
      </c>
      <c r="C529" s="40" t="s">
        <v>139</v>
      </c>
      <c r="D529" s="34" t="s">
        <v>139</v>
      </c>
      <c r="E529" s="260">
        <v>0.05</v>
      </c>
      <c r="F529" s="235">
        <v>2</v>
      </c>
      <c r="G529" s="40" t="s">
        <v>351</v>
      </c>
      <c r="H529" s="29">
        <v>1</v>
      </c>
      <c r="I529" s="9">
        <v>1</v>
      </c>
      <c r="J529" s="9">
        <v>2</v>
      </c>
      <c r="K529" s="9">
        <v>3</v>
      </c>
      <c r="L529" s="9">
        <v>1</v>
      </c>
      <c r="M529" s="9">
        <v>3</v>
      </c>
      <c r="N529" s="186">
        <f t="shared" si="41"/>
        <v>1.0725046436742278</v>
      </c>
      <c r="O529" s="160">
        <f t="shared" si="42"/>
        <v>1.0725046436742278</v>
      </c>
      <c r="P529" s="63" t="s">
        <v>352</v>
      </c>
    </row>
    <row r="530" spans="1:16" hidden="1">
      <c r="A530" s="152" t="s">
        <v>314</v>
      </c>
      <c r="B530" s="34" t="s">
        <v>334</v>
      </c>
      <c r="C530" s="40" t="s">
        <v>139</v>
      </c>
      <c r="D530" s="34" t="s">
        <v>139</v>
      </c>
      <c r="E530" s="260">
        <v>0.05</v>
      </c>
      <c r="F530" s="235">
        <v>2</v>
      </c>
      <c r="G530" s="40" t="s">
        <v>351</v>
      </c>
      <c r="H530" s="29">
        <v>1</v>
      </c>
      <c r="I530" s="9">
        <v>1</v>
      </c>
      <c r="J530" s="9">
        <v>2</v>
      </c>
      <c r="K530" s="9">
        <v>3</v>
      </c>
      <c r="L530" s="9">
        <v>3</v>
      </c>
      <c r="M530" s="9">
        <v>3</v>
      </c>
      <c r="N530" s="186">
        <f t="shared" si="41"/>
        <v>1.123005955058592</v>
      </c>
      <c r="O530" s="160">
        <f t="shared" si="42"/>
        <v>1.123005955058592</v>
      </c>
      <c r="P530" s="63" t="s">
        <v>352</v>
      </c>
    </row>
    <row r="531" spans="1:16" hidden="1">
      <c r="A531" s="152" t="s">
        <v>338</v>
      </c>
      <c r="B531" s="34" t="s">
        <v>334</v>
      </c>
      <c r="C531" s="40" t="s">
        <v>139</v>
      </c>
      <c r="D531" s="34" t="s">
        <v>139</v>
      </c>
      <c r="E531" s="260">
        <v>0.05</v>
      </c>
      <c r="F531" s="235">
        <v>2</v>
      </c>
      <c r="G531" s="40" t="s">
        <v>351</v>
      </c>
      <c r="H531" s="29">
        <v>1</v>
      </c>
      <c r="I531" s="9">
        <v>1</v>
      </c>
      <c r="J531" s="9">
        <v>2</v>
      </c>
      <c r="K531" s="9">
        <v>3</v>
      </c>
      <c r="L531" s="9">
        <v>3</v>
      </c>
      <c r="M531" s="9">
        <v>3</v>
      </c>
      <c r="N531" s="186">
        <f t="shared" si="41"/>
        <v>1.123005955058592</v>
      </c>
      <c r="O531" s="160">
        <f t="shared" si="42"/>
        <v>1.123005955058592</v>
      </c>
      <c r="P531" s="63" t="s">
        <v>352</v>
      </c>
    </row>
    <row r="532" spans="1:16" hidden="1">
      <c r="A532" s="152" t="s">
        <v>354</v>
      </c>
      <c r="B532" s="34" t="s">
        <v>334</v>
      </c>
      <c r="C532" s="40" t="s">
        <v>139</v>
      </c>
      <c r="D532" s="34" t="s">
        <v>139</v>
      </c>
      <c r="E532" s="260">
        <v>0.05</v>
      </c>
      <c r="F532" s="235">
        <v>1</v>
      </c>
      <c r="G532" s="40" t="s">
        <v>351</v>
      </c>
      <c r="H532" s="29">
        <v>2</v>
      </c>
      <c r="I532" s="9">
        <v>1</v>
      </c>
      <c r="J532" s="9">
        <v>2</v>
      </c>
      <c r="K532" s="9">
        <v>3</v>
      </c>
      <c r="L532" s="9">
        <v>1</v>
      </c>
      <c r="M532" s="9">
        <v>3</v>
      </c>
      <c r="N532" s="186">
        <f t="shared" si="41"/>
        <v>1.0776024280428556</v>
      </c>
      <c r="O532" s="160">
        <f t="shared" si="42"/>
        <v>1.0725046436742278</v>
      </c>
      <c r="P532" s="63" t="s">
        <v>352</v>
      </c>
    </row>
    <row r="533" spans="1:16" hidden="1">
      <c r="A533" s="292" t="s">
        <v>238</v>
      </c>
      <c r="B533" s="55" t="s">
        <v>223</v>
      </c>
      <c r="C533" s="265" t="s">
        <v>139</v>
      </c>
      <c r="D533" s="55" t="s">
        <v>139</v>
      </c>
      <c r="E533" s="260" t="s">
        <v>150</v>
      </c>
      <c r="F533" s="235">
        <v>1</v>
      </c>
      <c r="G533" s="265" t="s">
        <v>163</v>
      </c>
      <c r="H533" s="29"/>
      <c r="I533" s="9"/>
      <c r="J533" s="9"/>
      <c r="K533" s="9"/>
      <c r="L533" s="9"/>
      <c r="M533" s="9"/>
      <c r="N533" s="186" t="str">
        <f t="shared" si="41"/>
        <v/>
      </c>
      <c r="O533" s="160" t="str">
        <f t="shared" si="42"/>
        <v/>
      </c>
      <c r="P533" s="63"/>
    </row>
    <row r="534" spans="1:16" hidden="1">
      <c r="A534" s="292" t="s">
        <v>355</v>
      </c>
      <c r="B534" s="55" t="s">
        <v>242</v>
      </c>
      <c r="C534" s="265" t="s">
        <v>139</v>
      </c>
      <c r="D534" s="55" t="s">
        <v>139</v>
      </c>
      <c r="E534" s="260" t="s">
        <v>150</v>
      </c>
      <c r="F534" s="235">
        <v>1</v>
      </c>
      <c r="G534" s="265"/>
      <c r="H534" s="29"/>
      <c r="I534" s="9"/>
      <c r="J534" s="9"/>
      <c r="K534" s="9"/>
      <c r="L534" s="9"/>
      <c r="M534" s="9"/>
      <c r="N534" s="186"/>
      <c r="O534" s="160"/>
      <c r="P534" s="63"/>
    </row>
    <row r="535" spans="1:16" hidden="1">
      <c r="A535" s="292" t="s">
        <v>355</v>
      </c>
      <c r="B535" s="55" t="s">
        <v>356</v>
      </c>
      <c r="C535" s="265" t="s">
        <v>139</v>
      </c>
      <c r="D535" s="55" t="s">
        <v>139</v>
      </c>
      <c r="E535" s="260">
        <v>8.6E-3</v>
      </c>
      <c r="F535" s="235">
        <v>2</v>
      </c>
      <c r="G535" s="265" t="s">
        <v>163</v>
      </c>
      <c r="H535" s="29">
        <v>2</v>
      </c>
      <c r="I535" s="9">
        <v>2</v>
      </c>
      <c r="J535" s="9">
        <v>3</v>
      </c>
      <c r="K535" s="9">
        <v>1</v>
      </c>
      <c r="L535" s="9">
        <v>1</v>
      </c>
      <c r="M535" s="9">
        <v>1</v>
      </c>
      <c r="N535" s="186">
        <f t="shared" ref="N535:N566" si="43">IF( OR( ISBLANK(H535),ISBLANK(J535), ISBLANK(K535), ISBLANK(L535), ISBLANK(M535) ), "", 1.5*SQRT(   EXP(2.21*(H535-1)) + EXP(2.21*(J535-1)) + EXP(2.21*(K535-1)) + EXP(2.21*(L535-1)) + EXP(2.21*M535)   )/100*2.45 )</f>
        <v>0.37356464144298934</v>
      </c>
      <c r="O535" s="160">
        <f t="shared" ref="O535:O566" si="44">IF( OR( ISBLANK(I535),ISBLANK(J535), ISBLANK(K535), ISBLANK(L535), ISBLANK(M535) ), "", 1.5*SQRT( EXP(2.21*(I535-1)) + EXP(2.21*(J535-1)) + EXP(2.21*(K535-1)) + EXP(2.21*(L535-1)) + EXP(2.21*M535)   )/100*2.45 )</f>
        <v>0.37356464144298934</v>
      </c>
      <c r="P535" s="63" t="s">
        <v>357</v>
      </c>
    </row>
    <row r="536" spans="1:16" hidden="1">
      <c r="A536" s="292" t="s">
        <v>355</v>
      </c>
      <c r="B536" s="55" t="s">
        <v>356</v>
      </c>
      <c r="C536" s="265" t="s">
        <v>139</v>
      </c>
      <c r="D536" s="55" t="s">
        <v>139</v>
      </c>
      <c r="E536" s="260">
        <v>1.2999999999999999E-2</v>
      </c>
      <c r="F536" s="235">
        <v>2</v>
      </c>
      <c r="G536" s="265" t="s">
        <v>163</v>
      </c>
      <c r="H536" s="29">
        <v>2</v>
      </c>
      <c r="I536" s="9">
        <v>2</v>
      </c>
      <c r="J536" s="9">
        <v>3</v>
      </c>
      <c r="K536" s="9">
        <v>1</v>
      </c>
      <c r="L536" s="9">
        <v>1</v>
      </c>
      <c r="M536" s="9">
        <v>1</v>
      </c>
      <c r="N536" s="186">
        <f t="shared" si="43"/>
        <v>0.37356464144298934</v>
      </c>
      <c r="O536" s="160">
        <f t="shared" si="44"/>
        <v>0.37356464144298934</v>
      </c>
      <c r="P536" s="63" t="s">
        <v>358</v>
      </c>
    </row>
    <row r="537" spans="1:16" hidden="1">
      <c r="A537" s="292" t="s">
        <v>337</v>
      </c>
      <c r="B537" s="55" t="s">
        <v>204</v>
      </c>
      <c r="C537" s="265" t="s">
        <v>139</v>
      </c>
      <c r="D537" s="55" t="s">
        <v>139</v>
      </c>
      <c r="E537" s="260">
        <v>2.7E-4</v>
      </c>
      <c r="F537" s="235">
        <v>2</v>
      </c>
      <c r="G537" s="265" t="s">
        <v>163</v>
      </c>
      <c r="H537" s="29">
        <v>2</v>
      </c>
      <c r="I537" s="9">
        <v>2</v>
      </c>
      <c r="J537" s="9">
        <v>2</v>
      </c>
      <c r="K537" s="9">
        <v>3</v>
      </c>
      <c r="L537" s="9">
        <v>3</v>
      </c>
      <c r="M537" s="9">
        <v>3</v>
      </c>
      <c r="N537" s="186">
        <f t="shared" si="43"/>
        <v>1.1278755061256258</v>
      </c>
      <c r="O537" s="160">
        <f t="shared" si="44"/>
        <v>1.1278755061256258</v>
      </c>
      <c r="P537" s="63"/>
    </row>
    <row r="538" spans="1:16" hidden="1">
      <c r="A538" s="292" t="s">
        <v>242</v>
      </c>
      <c r="B538" s="55" t="s">
        <v>223</v>
      </c>
      <c r="C538" s="265" t="s">
        <v>139</v>
      </c>
      <c r="D538" s="55" t="s">
        <v>139</v>
      </c>
      <c r="E538" s="260" t="s">
        <v>150</v>
      </c>
      <c r="F538" s="235">
        <v>1</v>
      </c>
      <c r="G538" s="265"/>
      <c r="H538" s="29">
        <v>1</v>
      </c>
      <c r="I538" s="9">
        <v>2</v>
      </c>
      <c r="J538" s="9">
        <v>2</v>
      </c>
      <c r="K538" s="9">
        <v>2</v>
      </c>
      <c r="L538" s="9">
        <v>1</v>
      </c>
      <c r="M538" s="9">
        <v>2</v>
      </c>
      <c r="N538" s="186">
        <f t="shared" si="43"/>
        <v>0.37356464144298934</v>
      </c>
      <c r="O538" s="160">
        <f t="shared" si="44"/>
        <v>0.38795788889711302</v>
      </c>
      <c r="P538" s="63"/>
    </row>
    <row r="539" spans="1:16" hidden="1">
      <c r="A539" s="292" t="s">
        <v>242</v>
      </c>
      <c r="B539" s="55" t="s">
        <v>225</v>
      </c>
      <c r="C539" s="265" t="s">
        <v>139</v>
      </c>
      <c r="D539" s="55" t="s">
        <v>139</v>
      </c>
      <c r="E539" s="260">
        <v>0.44587958</v>
      </c>
      <c r="F539" s="235">
        <v>2</v>
      </c>
      <c r="G539" s="265" t="s">
        <v>224</v>
      </c>
      <c r="H539" s="29">
        <v>1</v>
      </c>
      <c r="I539" s="9">
        <v>2</v>
      </c>
      <c r="J539" s="9">
        <v>2</v>
      </c>
      <c r="K539" s="9">
        <v>2</v>
      </c>
      <c r="L539" s="9">
        <v>1</v>
      </c>
      <c r="M539" s="9">
        <v>2</v>
      </c>
      <c r="N539" s="186">
        <f t="shared" si="43"/>
        <v>0.37356464144298934</v>
      </c>
      <c r="O539" s="160">
        <f t="shared" si="44"/>
        <v>0.38795788889711302</v>
      </c>
      <c r="P539" s="63"/>
    </row>
    <row r="540" spans="1:16" hidden="1">
      <c r="A540" s="292" t="s">
        <v>356</v>
      </c>
      <c r="B540" s="55" t="s">
        <v>228</v>
      </c>
      <c r="C540" s="265" t="s">
        <v>139</v>
      </c>
      <c r="D540" s="55" t="s">
        <v>139</v>
      </c>
      <c r="E540" s="260">
        <v>1</v>
      </c>
      <c r="F540" s="235">
        <v>2</v>
      </c>
      <c r="G540" s="265"/>
      <c r="H540" s="29"/>
      <c r="I540" s="9"/>
      <c r="J540" s="9"/>
      <c r="K540" s="9"/>
      <c r="L540" s="9"/>
      <c r="M540" s="9"/>
      <c r="N540" s="186" t="str">
        <f t="shared" si="43"/>
        <v/>
      </c>
      <c r="O540" s="160" t="str">
        <f t="shared" si="44"/>
        <v/>
      </c>
      <c r="P540" s="63"/>
    </row>
    <row r="541" spans="1:16" hidden="1">
      <c r="A541" s="152" t="s">
        <v>121</v>
      </c>
      <c r="B541" s="34" t="s">
        <v>152</v>
      </c>
      <c r="C541" s="40" t="s">
        <v>139</v>
      </c>
      <c r="D541" s="34" t="s">
        <v>85</v>
      </c>
      <c r="E541" s="260">
        <v>0</v>
      </c>
      <c r="F541" s="235">
        <v>1</v>
      </c>
      <c r="G541" s="40"/>
      <c r="H541" s="29"/>
      <c r="I541" s="9"/>
      <c r="J541" s="9"/>
      <c r="K541" s="9"/>
      <c r="L541" s="9"/>
      <c r="M541" s="9"/>
      <c r="N541" s="186" t="str">
        <f t="shared" si="43"/>
        <v/>
      </c>
      <c r="O541" s="160" t="str">
        <f t="shared" si="44"/>
        <v/>
      </c>
      <c r="P541" s="63"/>
    </row>
    <row r="542" spans="1:16" hidden="1">
      <c r="A542" s="152" t="s">
        <v>326</v>
      </c>
      <c r="B542" s="34" t="s">
        <v>176</v>
      </c>
      <c r="C542" s="40" t="s">
        <v>139</v>
      </c>
      <c r="D542" s="34" t="s">
        <v>139</v>
      </c>
      <c r="E542" s="260">
        <v>1.17E-2</v>
      </c>
      <c r="F542" s="235">
        <v>2</v>
      </c>
      <c r="G542" s="40" t="s">
        <v>344</v>
      </c>
      <c r="H542" s="29">
        <v>2</v>
      </c>
      <c r="I542" s="9"/>
      <c r="J542" s="9">
        <v>3</v>
      </c>
      <c r="K542" s="9">
        <v>3</v>
      </c>
      <c r="L542" s="9">
        <v>3</v>
      </c>
      <c r="M542" s="9">
        <v>2</v>
      </c>
      <c r="N542" s="186">
        <f t="shared" si="43"/>
        <v>0.67913051197703389</v>
      </c>
      <c r="O542" s="160" t="str">
        <f t="shared" si="44"/>
        <v/>
      </c>
      <c r="P542" s="63" t="s">
        <v>359</v>
      </c>
    </row>
    <row r="543" spans="1:16" hidden="1">
      <c r="A543" s="292" t="s">
        <v>360</v>
      </c>
      <c r="B543" s="55" t="s">
        <v>361</v>
      </c>
      <c r="C543" s="265" t="s">
        <v>139</v>
      </c>
      <c r="D543" s="55" t="s">
        <v>139</v>
      </c>
      <c r="E543" s="260">
        <v>0.24038461538461536</v>
      </c>
      <c r="F543" s="235">
        <v>2</v>
      </c>
      <c r="G543" s="265" t="s">
        <v>163</v>
      </c>
      <c r="H543" s="29">
        <v>2</v>
      </c>
      <c r="I543" s="9">
        <v>2</v>
      </c>
      <c r="J543" s="9">
        <v>1</v>
      </c>
      <c r="K543" s="9">
        <v>1</v>
      </c>
      <c r="L543" s="9">
        <v>1</v>
      </c>
      <c r="M543" s="9">
        <v>3</v>
      </c>
      <c r="N543" s="186">
        <f t="shared" si="43"/>
        <v>1.0195048044558224</v>
      </c>
      <c r="O543" s="160">
        <f t="shared" si="44"/>
        <v>1.0195048044558224</v>
      </c>
      <c r="P543" s="63" t="s">
        <v>357</v>
      </c>
    </row>
    <row r="544" spans="1:16" hidden="1">
      <c r="A544" s="292" t="s">
        <v>360</v>
      </c>
      <c r="B544" s="55" t="s">
        <v>361</v>
      </c>
      <c r="C544" s="265" t="s">
        <v>139</v>
      </c>
      <c r="D544" s="55" t="s">
        <v>139</v>
      </c>
      <c r="E544" s="260">
        <v>0.13440860215053765</v>
      </c>
      <c r="F544" s="235">
        <v>2</v>
      </c>
      <c r="G544" s="265" t="s">
        <v>163</v>
      </c>
      <c r="H544" s="29">
        <v>2</v>
      </c>
      <c r="I544" s="9">
        <v>2</v>
      </c>
      <c r="J544" s="9">
        <v>1</v>
      </c>
      <c r="K544" s="9">
        <v>1</v>
      </c>
      <c r="L544" s="9">
        <v>1</v>
      </c>
      <c r="M544" s="9">
        <v>3</v>
      </c>
      <c r="N544" s="186">
        <f t="shared" si="43"/>
        <v>1.0195048044558224</v>
      </c>
      <c r="O544" s="160">
        <f t="shared" si="44"/>
        <v>1.0195048044558224</v>
      </c>
      <c r="P544" s="63" t="s">
        <v>358</v>
      </c>
    </row>
    <row r="545" spans="1:16" hidden="1">
      <c r="A545" s="152" t="s">
        <v>39</v>
      </c>
      <c r="B545" s="34" t="s">
        <v>235</v>
      </c>
      <c r="C545" s="40" t="s">
        <v>139</v>
      </c>
      <c r="D545" s="34" t="s">
        <v>85</v>
      </c>
      <c r="E545" s="260">
        <v>5.33E-2</v>
      </c>
      <c r="F545" s="235">
        <v>1</v>
      </c>
      <c r="G545" s="40" t="s">
        <v>140</v>
      </c>
      <c r="H545" s="29">
        <v>2</v>
      </c>
      <c r="I545" s="9">
        <v>2</v>
      </c>
      <c r="J545" s="9">
        <v>2</v>
      </c>
      <c r="K545" s="9">
        <v>1</v>
      </c>
      <c r="L545" s="9">
        <v>1</v>
      </c>
      <c r="M545" s="9">
        <v>2</v>
      </c>
      <c r="N545" s="186">
        <f t="shared" si="43"/>
        <v>0.37356464144298934</v>
      </c>
      <c r="O545" s="160">
        <f t="shared" si="44"/>
        <v>0.37356464144298934</v>
      </c>
      <c r="P545" s="63"/>
    </row>
    <row r="546" spans="1:16" hidden="1">
      <c r="A546" s="152" t="s">
        <v>39</v>
      </c>
      <c r="B546" s="34" t="s">
        <v>235</v>
      </c>
      <c r="C546" s="40" t="s">
        <v>139</v>
      </c>
      <c r="D546" s="34" t="s">
        <v>86</v>
      </c>
      <c r="E546" s="260">
        <v>0</v>
      </c>
      <c r="F546" s="235">
        <v>1</v>
      </c>
      <c r="G546" s="40" t="s">
        <v>140</v>
      </c>
      <c r="H546" s="29"/>
      <c r="I546" s="9"/>
      <c r="J546" s="9"/>
      <c r="K546" s="9"/>
      <c r="L546" s="9"/>
      <c r="M546" s="9"/>
      <c r="N546" s="186" t="str">
        <f t="shared" si="43"/>
        <v/>
      </c>
      <c r="O546" s="160" t="str">
        <f t="shared" si="44"/>
        <v/>
      </c>
      <c r="P546" s="63"/>
    </row>
    <row r="547" spans="1:16" hidden="1">
      <c r="A547" s="152" t="s">
        <v>39</v>
      </c>
      <c r="B547" s="34" t="s">
        <v>235</v>
      </c>
      <c r="C547" s="40" t="s">
        <v>139</v>
      </c>
      <c r="D547" s="34" t="s">
        <v>87</v>
      </c>
      <c r="E547" s="260">
        <v>2.58E-2</v>
      </c>
      <c r="F547" s="235">
        <v>1</v>
      </c>
      <c r="G547" s="40" t="s">
        <v>140</v>
      </c>
      <c r="H547" s="29">
        <v>2</v>
      </c>
      <c r="I547" s="9">
        <v>2</v>
      </c>
      <c r="J547" s="9">
        <v>2</v>
      </c>
      <c r="K547" s="9">
        <v>1</v>
      </c>
      <c r="L547" s="9">
        <v>1</v>
      </c>
      <c r="M547" s="9">
        <v>2</v>
      </c>
      <c r="N547" s="186">
        <f t="shared" si="43"/>
        <v>0.37356464144298934</v>
      </c>
      <c r="O547" s="160">
        <f t="shared" si="44"/>
        <v>0.37356464144298934</v>
      </c>
      <c r="P547" s="63"/>
    </row>
    <row r="548" spans="1:16" hidden="1">
      <c r="A548" s="152" t="s">
        <v>39</v>
      </c>
      <c r="B548" s="34" t="s">
        <v>235</v>
      </c>
      <c r="C548" s="40" t="s">
        <v>139</v>
      </c>
      <c r="D548" s="34" t="s">
        <v>88</v>
      </c>
      <c r="E548" s="260">
        <v>0</v>
      </c>
      <c r="F548" s="235">
        <v>1</v>
      </c>
      <c r="G548" s="40" t="s">
        <v>140</v>
      </c>
      <c r="H548" s="29"/>
      <c r="I548" s="9"/>
      <c r="J548" s="9"/>
      <c r="K548" s="9"/>
      <c r="L548" s="9"/>
      <c r="M548" s="9"/>
      <c r="N548" s="186" t="str">
        <f t="shared" si="43"/>
        <v/>
      </c>
      <c r="O548" s="160" t="str">
        <f t="shared" si="44"/>
        <v/>
      </c>
      <c r="P548" s="63"/>
    </row>
    <row r="549" spans="1:16" hidden="1">
      <c r="A549" s="152" t="s">
        <v>39</v>
      </c>
      <c r="B549" s="34" t="s">
        <v>235</v>
      </c>
      <c r="C549" s="40" t="s">
        <v>139</v>
      </c>
      <c r="D549" s="34" t="s">
        <v>89</v>
      </c>
      <c r="E549" s="260">
        <v>0</v>
      </c>
      <c r="F549" s="235">
        <v>1</v>
      </c>
      <c r="G549" s="40" t="s">
        <v>140</v>
      </c>
      <c r="H549" s="29"/>
      <c r="I549" s="9"/>
      <c r="J549" s="9"/>
      <c r="K549" s="9"/>
      <c r="L549" s="9"/>
      <c r="M549" s="9"/>
      <c r="N549" s="186" t="str">
        <f t="shared" si="43"/>
        <v/>
      </c>
      <c r="O549" s="160" t="str">
        <f t="shared" si="44"/>
        <v/>
      </c>
      <c r="P549" s="63"/>
    </row>
    <row r="550" spans="1:16" hidden="1">
      <c r="A550" s="152" t="s">
        <v>39</v>
      </c>
      <c r="B550" s="34" t="s">
        <v>235</v>
      </c>
      <c r="C550" s="40" t="s">
        <v>139</v>
      </c>
      <c r="D550" s="34" t="s">
        <v>90</v>
      </c>
      <c r="E550" s="260">
        <v>0</v>
      </c>
      <c r="F550" s="235">
        <v>1</v>
      </c>
      <c r="G550" s="40" t="s">
        <v>140</v>
      </c>
      <c r="H550" s="29"/>
      <c r="I550" s="9"/>
      <c r="J550" s="9"/>
      <c r="K550" s="9"/>
      <c r="L550" s="9"/>
      <c r="M550" s="9"/>
      <c r="N550" s="186" t="str">
        <f t="shared" si="43"/>
        <v/>
      </c>
      <c r="O550" s="160" t="str">
        <f t="shared" si="44"/>
        <v/>
      </c>
      <c r="P550" s="63"/>
    </row>
    <row r="551" spans="1:16" hidden="1">
      <c r="A551" s="152" t="s">
        <v>39</v>
      </c>
      <c r="B551" s="34" t="s">
        <v>235</v>
      </c>
      <c r="C551" s="40" t="s">
        <v>139</v>
      </c>
      <c r="D551" s="34" t="s">
        <v>91</v>
      </c>
      <c r="E551" s="260">
        <v>0</v>
      </c>
      <c r="F551" s="235">
        <v>1</v>
      </c>
      <c r="G551" s="40" t="s">
        <v>140</v>
      </c>
      <c r="H551" s="29"/>
      <c r="I551" s="9"/>
      <c r="J551" s="9"/>
      <c r="K551" s="9"/>
      <c r="L551" s="9"/>
      <c r="M551" s="9"/>
      <c r="N551" s="186" t="str">
        <f t="shared" si="43"/>
        <v/>
      </c>
      <c r="O551" s="160" t="str">
        <f t="shared" si="44"/>
        <v/>
      </c>
      <c r="P551" s="63"/>
    </row>
    <row r="552" spans="1:16" hidden="1">
      <c r="A552" s="152" t="s">
        <v>39</v>
      </c>
      <c r="B552" s="34" t="s">
        <v>235</v>
      </c>
      <c r="C552" s="40" t="s">
        <v>139</v>
      </c>
      <c r="D552" s="34" t="s">
        <v>98</v>
      </c>
      <c r="E552" s="260">
        <v>0</v>
      </c>
      <c r="F552" s="235">
        <v>1</v>
      </c>
      <c r="G552" s="40" t="s">
        <v>141</v>
      </c>
      <c r="H552" s="29"/>
      <c r="I552" s="9"/>
      <c r="J552" s="9"/>
      <c r="K552" s="9"/>
      <c r="L552" s="9"/>
      <c r="M552" s="9"/>
      <c r="N552" s="186" t="str">
        <f t="shared" si="43"/>
        <v/>
      </c>
      <c r="O552" s="160" t="str">
        <f t="shared" si="44"/>
        <v/>
      </c>
      <c r="P552" s="63"/>
    </row>
    <row r="553" spans="1:16" hidden="1">
      <c r="A553" s="152" t="s">
        <v>37</v>
      </c>
      <c r="B553" s="34" t="s">
        <v>362</v>
      </c>
      <c r="C553" s="40" t="s">
        <v>139</v>
      </c>
      <c r="D553" s="34" t="s">
        <v>85</v>
      </c>
      <c r="E553" s="260">
        <f>Intentionally_produced_MPs!T127</f>
        <v>0</v>
      </c>
      <c r="F553" s="235">
        <v>1</v>
      </c>
      <c r="G553" s="40"/>
      <c r="H553" s="29"/>
      <c r="I553" s="9"/>
      <c r="J553" s="9"/>
      <c r="K553" s="9"/>
      <c r="L553" s="9"/>
      <c r="M553" s="9"/>
      <c r="N553" s="186" t="str">
        <f t="shared" si="43"/>
        <v/>
      </c>
      <c r="O553" s="160" t="str">
        <f t="shared" si="44"/>
        <v/>
      </c>
      <c r="P553" s="63"/>
    </row>
    <row r="554" spans="1:16" hidden="1">
      <c r="A554" s="152" t="s">
        <v>37</v>
      </c>
      <c r="B554" s="34" t="s">
        <v>362</v>
      </c>
      <c r="C554" s="40" t="s">
        <v>139</v>
      </c>
      <c r="D554" s="34" t="s">
        <v>86</v>
      </c>
      <c r="E554" s="260">
        <f>Intentionally_produced_MPs!T128</f>
        <v>0</v>
      </c>
      <c r="F554" s="235">
        <v>1</v>
      </c>
      <c r="G554" s="40"/>
      <c r="H554" s="29"/>
      <c r="I554" s="9"/>
      <c r="J554" s="9"/>
      <c r="K554" s="9"/>
      <c r="L554" s="9"/>
      <c r="M554" s="9"/>
      <c r="N554" s="186" t="str">
        <f t="shared" si="43"/>
        <v/>
      </c>
      <c r="O554" s="160" t="str">
        <f t="shared" si="44"/>
        <v/>
      </c>
      <c r="P554" s="63"/>
    </row>
    <row r="555" spans="1:16" hidden="1">
      <c r="A555" s="152" t="s">
        <v>37</v>
      </c>
      <c r="B555" s="34" t="s">
        <v>362</v>
      </c>
      <c r="C555" s="40" t="s">
        <v>139</v>
      </c>
      <c r="D555" s="34" t="s">
        <v>87</v>
      </c>
      <c r="E555" s="260">
        <f>Intentionally_produced_MPs!T129</f>
        <v>0</v>
      </c>
      <c r="F555" s="235">
        <v>1</v>
      </c>
      <c r="G555" s="40"/>
      <c r="H555" s="29"/>
      <c r="I555" s="9"/>
      <c r="J555" s="9"/>
      <c r="K555" s="9"/>
      <c r="L555" s="9"/>
      <c r="M555" s="9"/>
      <c r="N555" s="186" t="str">
        <f t="shared" si="43"/>
        <v/>
      </c>
      <c r="O555" s="160" t="str">
        <f t="shared" si="44"/>
        <v/>
      </c>
      <c r="P555" s="63"/>
    </row>
    <row r="556" spans="1:16" hidden="1">
      <c r="A556" s="152" t="s">
        <v>37</v>
      </c>
      <c r="B556" s="34" t="s">
        <v>362</v>
      </c>
      <c r="C556" s="40" t="s">
        <v>139</v>
      </c>
      <c r="D556" s="34" t="s">
        <v>88</v>
      </c>
      <c r="E556" s="260">
        <f>Intentionally_produced_MPs!T130</f>
        <v>0</v>
      </c>
      <c r="F556" s="235">
        <v>1</v>
      </c>
      <c r="G556" s="40"/>
      <c r="H556" s="29"/>
      <c r="I556" s="9"/>
      <c r="J556" s="9"/>
      <c r="K556" s="9"/>
      <c r="L556" s="9"/>
      <c r="M556" s="9"/>
      <c r="N556" s="186" t="str">
        <f t="shared" si="43"/>
        <v/>
      </c>
      <c r="O556" s="160" t="str">
        <f t="shared" si="44"/>
        <v/>
      </c>
      <c r="P556" s="63"/>
    </row>
    <row r="557" spans="1:16" hidden="1">
      <c r="A557" s="152" t="s">
        <v>37</v>
      </c>
      <c r="B557" s="34" t="s">
        <v>362</v>
      </c>
      <c r="C557" s="40" t="s">
        <v>139</v>
      </c>
      <c r="D557" s="34" t="s">
        <v>89</v>
      </c>
      <c r="E557" s="260">
        <f>Intentionally_produced_MPs!T131</f>
        <v>0</v>
      </c>
      <c r="F557" s="235">
        <v>1</v>
      </c>
      <c r="G557" s="40"/>
      <c r="H557" s="29"/>
      <c r="I557" s="9"/>
      <c r="J557" s="9"/>
      <c r="K557" s="9"/>
      <c r="L557" s="9"/>
      <c r="M557" s="9"/>
      <c r="N557" s="186" t="str">
        <f t="shared" si="43"/>
        <v/>
      </c>
      <c r="O557" s="160" t="str">
        <f t="shared" si="44"/>
        <v/>
      </c>
      <c r="P557" s="63"/>
    </row>
    <row r="558" spans="1:16" hidden="1">
      <c r="A558" s="152" t="s">
        <v>37</v>
      </c>
      <c r="B558" s="34" t="s">
        <v>362</v>
      </c>
      <c r="C558" s="40" t="s">
        <v>139</v>
      </c>
      <c r="D558" s="34" t="s">
        <v>90</v>
      </c>
      <c r="E558" s="260">
        <f>Intentionally_produced_MPs!T132</f>
        <v>0</v>
      </c>
      <c r="F558" s="235">
        <v>1</v>
      </c>
      <c r="G558" s="40"/>
      <c r="H558" s="29"/>
      <c r="I558" s="9"/>
      <c r="J558" s="9"/>
      <c r="K558" s="9"/>
      <c r="L558" s="9"/>
      <c r="M558" s="9"/>
      <c r="N558" s="186" t="str">
        <f t="shared" si="43"/>
        <v/>
      </c>
      <c r="O558" s="160" t="str">
        <f t="shared" si="44"/>
        <v/>
      </c>
      <c r="P558" s="63"/>
    </row>
    <row r="559" spans="1:16" hidden="1">
      <c r="A559" s="152" t="s">
        <v>37</v>
      </c>
      <c r="B559" s="34" t="s">
        <v>362</v>
      </c>
      <c r="C559" s="40" t="s">
        <v>139</v>
      </c>
      <c r="D559" s="34" t="s">
        <v>91</v>
      </c>
      <c r="E559" s="260">
        <f>Intentionally_produced_MPs!T133</f>
        <v>0</v>
      </c>
      <c r="F559" s="235">
        <v>1</v>
      </c>
      <c r="G559" s="40"/>
      <c r="H559" s="29"/>
      <c r="I559" s="9"/>
      <c r="J559" s="9"/>
      <c r="K559" s="9"/>
      <c r="L559" s="9"/>
      <c r="M559" s="9"/>
      <c r="N559" s="186" t="str">
        <f t="shared" si="43"/>
        <v/>
      </c>
      <c r="O559" s="160" t="str">
        <f t="shared" si="44"/>
        <v/>
      </c>
      <c r="P559" s="63"/>
    </row>
    <row r="560" spans="1:16" hidden="1">
      <c r="A560" s="152" t="s">
        <v>37</v>
      </c>
      <c r="B560" s="34" t="s">
        <v>362</v>
      </c>
      <c r="C560" s="40" t="s">
        <v>139</v>
      </c>
      <c r="D560" s="34" t="s">
        <v>92</v>
      </c>
      <c r="E560" s="260">
        <f>Intentionally_produced_MPs!T134</f>
        <v>0</v>
      </c>
      <c r="F560" s="235">
        <v>1</v>
      </c>
      <c r="G560" s="40"/>
      <c r="H560" s="29"/>
      <c r="I560" s="9"/>
      <c r="J560" s="9"/>
      <c r="K560" s="9"/>
      <c r="L560" s="9"/>
      <c r="M560" s="9"/>
      <c r="N560" s="186" t="str">
        <f t="shared" si="43"/>
        <v/>
      </c>
      <c r="O560" s="160" t="str">
        <f t="shared" si="44"/>
        <v/>
      </c>
      <c r="P560" s="63"/>
    </row>
    <row r="561" spans="1:16" hidden="1">
      <c r="A561" s="152" t="s">
        <v>37</v>
      </c>
      <c r="B561" s="34" t="s">
        <v>362</v>
      </c>
      <c r="C561" s="40" t="s">
        <v>139</v>
      </c>
      <c r="D561" s="34" t="s">
        <v>93</v>
      </c>
      <c r="E561" s="260">
        <f>Intentionally_produced_MPs!T135</f>
        <v>0</v>
      </c>
      <c r="F561" s="235">
        <v>1</v>
      </c>
      <c r="G561" s="40"/>
      <c r="H561" s="29"/>
      <c r="I561" s="9"/>
      <c r="J561" s="9"/>
      <c r="K561" s="9"/>
      <c r="L561" s="9"/>
      <c r="M561" s="9"/>
      <c r="N561" s="186" t="str">
        <f t="shared" si="43"/>
        <v/>
      </c>
      <c r="O561" s="160" t="str">
        <f t="shared" si="44"/>
        <v/>
      </c>
      <c r="P561" s="63"/>
    </row>
    <row r="562" spans="1:16" hidden="1">
      <c r="A562" s="152" t="s">
        <v>37</v>
      </c>
      <c r="B562" s="34" t="s">
        <v>362</v>
      </c>
      <c r="C562" s="40" t="s">
        <v>139</v>
      </c>
      <c r="D562" s="34" t="s">
        <v>94</v>
      </c>
      <c r="E562" s="260">
        <f>Intentionally_produced_MPs!T136</f>
        <v>0</v>
      </c>
      <c r="F562" s="235">
        <v>1</v>
      </c>
      <c r="G562" s="40"/>
      <c r="H562" s="29"/>
      <c r="I562" s="9"/>
      <c r="J562" s="9"/>
      <c r="K562" s="9"/>
      <c r="L562" s="9"/>
      <c r="M562" s="9"/>
      <c r="N562" s="186" t="str">
        <f t="shared" si="43"/>
        <v/>
      </c>
      <c r="O562" s="160" t="str">
        <f t="shared" si="44"/>
        <v/>
      </c>
      <c r="P562" s="63"/>
    </row>
    <row r="563" spans="1:16" hidden="1">
      <c r="A563" s="152" t="s">
        <v>37</v>
      </c>
      <c r="B563" s="34" t="s">
        <v>362</v>
      </c>
      <c r="C563" s="40" t="s">
        <v>139</v>
      </c>
      <c r="D563" s="34" t="s">
        <v>95</v>
      </c>
      <c r="E563" s="260">
        <f>Intentionally_produced_MPs!T137</f>
        <v>0</v>
      </c>
      <c r="F563" s="235">
        <v>1</v>
      </c>
      <c r="G563" s="40"/>
      <c r="H563" s="29"/>
      <c r="I563" s="9"/>
      <c r="J563" s="9"/>
      <c r="K563" s="9"/>
      <c r="L563" s="9"/>
      <c r="M563" s="9"/>
      <c r="N563" s="186" t="str">
        <f t="shared" si="43"/>
        <v/>
      </c>
      <c r="O563" s="160" t="str">
        <f t="shared" si="44"/>
        <v/>
      </c>
      <c r="P563" s="63"/>
    </row>
    <row r="564" spans="1:16" hidden="1">
      <c r="A564" s="152" t="s">
        <v>37</v>
      </c>
      <c r="B564" s="34" t="s">
        <v>362</v>
      </c>
      <c r="C564" s="40" t="s">
        <v>139</v>
      </c>
      <c r="D564" s="34" t="s">
        <v>96</v>
      </c>
      <c r="E564" s="260">
        <f>Intentionally_produced_MPs!T138</f>
        <v>0</v>
      </c>
      <c r="F564" s="235">
        <v>1</v>
      </c>
      <c r="G564" s="40"/>
      <c r="H564" s="29"/>
      <c r="I564" s="9"/>
      <c r="J564" s="9"/>
      <c r="K564" s="9"/>
      <c r="L564" s="9"/>
      <c r="M564" s="9"/>
      <c r="N564" s="186" t="str">
        <f t="shared" si="43"/>
        <v/>
      </c>
      <c r="O564" s="160" t="str">
        <f t="shared" si="44"/>
        <v/>
      </c>
      <c r="P564" s="63"/>
    </row>
    <row r="565" spans="1:16" hidden="1">
      <c r="A565" s="152" t="s">
        <v>37</v>
      </c>
      <c r="B565" s="34" t="s">
        <v>362</v>
      </c>
      <c r="C565" s="40" t="s">
        <v>139</v>
      </c>
      <c r="D565" s="34" t="s">
        <v>97</v>
      </c>
      <c r="E565" s="260">
        <f>Intentionally_produced_MPs!T139</f>
        <v>0</v>
      </c>
      <c r="F565" s="235">
        <v>1</v>
      </c>
      <c r="G565" s="40"/>
      <c r="H565" s="29"/>
      <c r="I565" s="9"/>
      <c r="J565" s="9"/>
      <c r="K565" s="9"/>
      <c r="L565" s="9"/>
      <c r="M565" s="9"/>
      <c r="N565" s="186" t="str">
        <f t="shared" si="43"/>
        <v/>
      </c>
      <c r="O565" s="160" t="str">
        <f t="shared" si="44"/>
        <v/>
      </c>
      <c r="P565" s="63"/>
    </row>
    <row r="566" spans="1:16" hidden="1">
      <c r="A566" s="152" t="s">
        <v>37</v>
      </c>
      <c r="B566" s="34" t="s">
        <v>362</v>
      </c>
      <c r="C566" s="40" t="s">
        <v>139</v>
      </c>
      <c r="D566" s="34" t="s">
        <v>98</v>
      </c>
      <c r="E566" s="260">
        <f>Intentionally_produced_MPs!T140</f>
        <v>0.3578389480384554</v>
      </c>
      <c r="F566" s="235">
        <v>1</v>
      </c>
      <c r="G566" s="40"/>
      <c r="H566" s="29">
        <v>3</v>
      </c>
      <c r="I566" s="9">
        <v>2</v>
      </c>
      <c r="J566" s="9">
        <v>3</v>
      </c>
      <c r="K566" s="9">
        <v>3</v>
      </c>
      <c r="L566" s="9">
        <v>3</v>
      </c>
      <c r="M566" s="9">
        <v>3</v>
      </c>
      <c r="N566" s="186">
        <f t="shared" si="43"/>
        <v>1.2132328390150593</v>
      </c>
      <c r="O566" s="160">
        <f t="shared" si="44"/>
        <v>1.1713319510247036</v>
      </c>
      <c r="P566" s="63"/>
    </row>
    <row r="567" spans="1:16" hidden="1">
      <c r="A567" s="152" t="s">
        <v>363</v>
      </c>
      <c r="B567" s="34" t="s">
        <v>364</v>
      </c>
      <c r="C567" s="40" t="s">
        <v>139</v>
      </c>
      <c r="D567" s="34" t="s">
        <v>139</v>
      </c>
      <c r="E567" s="260">
        <v>0.03</v>
      </c>
      <c r="F567" s="235">
        <v>2</v>
      </c>
      <c r="G567" s="40" t="s">
        <v>365</v>
      </c>
      <c r="H567" s="29">
        <v>2</v>
      </c>
      <c r="I567" s="9">
        <v>2</v>
      </c>
      <c r="J567" s="9">
        <v>2</v>
      </c>
      <c r="K567" s="9">
        <v>1</v>
      </c>
      <c r="L567" s="9">
        <v>1</v>
      </c>
      <c r="M567" s="9">
        <v>2</v>
      </c>
      <c r="N567" s="186">
        <f t="shared" ref="N567:N598" si="45">IF( OR( ISBLANK(H567),ISBLANK(J567), ISBLANK(K567), ISBLANK(L567), ISBLANK(M567) ), "", 1.5*SQRT(   EXP(2.21*(H567-1)) + EXP(2.21*(J567-1)) + EXP(2.21*(K567-1)) + EXP(2.21*(L567-1)) + EXP(2.21*M567)   )/100*2.45 )</f>
        <v>0.37356464144298934</v>
      </c>
      <c r="O567" s="160">
        <f t="shared" ref="O567:O598" si="46">IF( OR( ISBLANK(I567),ISBLANK(J567), ISBLANK(K567), ISBLANK(L567), ISBLANK(M567) ), "", 1.5*SQRT( EXP(2.21*(I567-1)) + EXP(2.21*(J567-1)) + EXP(2.21*(K567-1)) + EXP(2.21*(L567-1)) + EXP(2.21*M567)   )/100*2.45 )</f>
        <v>0.37356464144298934</v>
      </c>
      <c r="P567" s="63" t="s">
        <v>366</v>
      </c>
    </row>
    <row r="568" spans="1:16" hidden="1">
      <c r="A568" s="152" t="s">
        <v>232</v>
      </c>
      <c r="B568" s="34" t="s">
        <v>367</v>
      </c>
      <c r="C568" s="40" t="s">
        <v>139</v>
      </c>
      <c r="D568" s="34" t="s">
        <v>139</v>
      </c>
      <c r="E568" s="260">
        <v>0.03</v>
      </c>
      <c r="F568" s="235">
        <v>2</v>
      </c>
      <c r="G568" s="40" t="s">
        <v>365</v>
      </c>
      <c r="H568" s="29">
        <v>2</v>
      </c>
      <c r="I568" s="9">
        <v>2</v>
      </c>
      <c r="J568" s="9">
        <v>2</v>
      </c>
      <c r="K568" s="9">
        <v>1</v>
      </c>
      <c r="L568" s="9">
        <v>1</v>
      </c>
      <c r="M568" s="9">
        <v>2</v>
      </c>
      <c r="N568" s="186">
        <f t="shared" si="45"/>
        <v>0.37356464144298934</v>
      </c>
      <c r="O568" s="160">
        <f t="shared" si="46"/>
        <v>0.37356464144298934</v>
      </c>
      <c r="P568" s="63" t="s">
        <v>366</v>
      </c>
    </row>
    <row r="569" spans="1:16" hidden="1">
      <c r="A569" s="152" t="s">
        <v>200</v>
      </c>
      <c r="B569" s="34" t="s">
        <v>368</v>
      </c>
      <c r="C569" s="40" t="s">
        <v>139</v>
      </c>
      <c r="D569" s="34" t="s">
        <v>85</v>
      </c>
      <c r="E569" s="260">
        <v>0.13950000000000001</v>
      </c>
      <c r="F569" s="235">
        <v>2</v>
      </c>
      <c r="G569" s="40" t="s">
        <v>369</v>
      </c>
      <c r="H569" s="29">
        <v>2</v>
      </c>
      <c r="I569" s="9">
        <v>2</v>
      </c>
      <c r="J569" s="9">
        <v>2</v>
      </c>
      <c r="K569" s="9">
        <v>1</v>
      </c>
      <c r="L569" s="9">
        <v>1</v>
      </c>
      <c r="M569" s="9">
        <v>2</v>
      </c>
      <c r="N569" s="186">
        <f t="shared" si="45"/>
        <v>0.37356464144298934</v>
      </c>
      <c r="O569" s="160">
        <f t="shared" si="46"/>
        <v>0.37356464144298934</v>
      </c>
      <c r="P569" s="63"/>
    </row>
    <row r="570" spans="1:16" hidden="1">
      <c r="A570" s="152" t="s">
        <v>200</v>
      </c>
      <c r="B570" s="34" t="s">
        <v>368</v>
      </c>
      <c r="C570" s="40" t="s">
        <v>139</v>
      </c>
      <c r="D570" s="34" t="s">
        <v>86</v>
      </c>
      <c r="E570" s="260">
        <v>0.24110000000000001</v>
      </c>
      <c r="F570" s="235">
        <v>2</v>
      </c>
      <c r="G570" s="40" t="s">
        <v>369</v>
      </c>
      <c r="H570" s="29">
        <v>2</v>
      </c>
      <c r="I570" s="9">
        <v>2</v>
      </c>
      <c r="J570" s="9">
        <v>2</v>
      </c>
      <c r="K570" s="9">
        <v>1</v>
      </c>
      <c r="L570" s="9">
        <v>1</v>
      </c>
      <c r="M570" s="9">
        <v>2</v>
      </c>
      <c r="N570" s="186">
        <f t="shared" si="45"/>
        <v>0.37356464144298934</v>
      </c>
      <c r="O570" s="160">
        <f t="shared" si="46"/>
        <v>0.37356464144298934</v>
      </c>
      <c r="P570" s="63"/>
    </row>
    <row r="571" spans="1:16" hidden="1">
      <c r="A571" s="152" t="s">
        <v>200</v>
      </c>
      <c r="B571" s="34" t="s">
        <v>368</v>
      </c>
      <c r="C571" s="40" t="s">
        <v>139</v>
      </c>
      <c r="D571" s="34" t="s">
        <v>87</v>
      </c>
      <c r="E571" s="260">
        <v>0.17499999999999999</v>
      </c>
      <c r="F571" s="235">
        <v>2</v>
      </c>
      <c r="G571" s="40" t="s">
        <v>369</v>
      </c>
      <c r="H571" s="29">
        <v>2</v>
      </c>
      <c r="I571" s="9">
        <v>2</v>
      </c>
      <c r="J571" s="9">
        <v>2</v>
      </c>
      <c r="K571" s="9">
        <v>1</v>
      </c>
      <c r="L571" s="9">
        <v>1</v>
      </c>
      <c r="M571" s="9">
        <v>2</v>
      </c>
      <c r="N571" s="186">
        <f t="shared" si="45"/>
        <v>0.37356464144298934</v>
      </c>
      <c r="O571" s="160">
        <f t="shared" si="46"/>
        <v>0.37356464144298934</v>
      </c>
      <c r="P571" s="63"/>
    </row>
    <row r="572" spans="1:16" hidden="1">
      <c r="A572" s="152" t="s">
        <v>200</v>
      </c>
      <c r="B572" s="34" t="s">
        <v>368</v>
      </c>
      <c r="C572" s="40" t="s">
        <v>139</v>
      </c>
      <c r="D572" s="34" t="s">
        <v>88</v>
      </c>
      <c r="E572" s="260">
        <v>0.22220000000000001</v>
      </c>
      <c r="F572" s="235">
        <v>2</v>
      </c>
      <c r="G572" s="40" t="s">
        <v>369</v>
      </c>
      <c r="H572" s="29">
        <v>2</v>
      </c>
      <c r="I572" s="9">
        <v>2</v>
      </c>
      <c r="J572" s="9">
        <v>2</v>
      </c>
      <c r="K572" s="9">
        <v>1</v>
      </c>
      <c r="L572" s="9">
        <v>1</v>
      </c>
      <c r="M572" s="9">
        <v>2</v>
      </c>
      <c r="N572" s="186">
        <f t="shared" si="45"/>
        <v>0.37356464144298934</v>
      </c>
      <c r="O572" s="160">
        <f t="shared" si="46"/>
        <v>0.37356464144298934</v>
      </c>
      <c r="P572" s="63"/>
    </row>
    <row r="573" spans="1:16" hidden="1">
      <c r="A573" s="152" t="s">
        <v>200</v>
      </c>
      <c r="B573" s="34" t="s">
        <v>368</v>
      </c>
      <c r="C573" s="40" t="s">
        <v>139</v>
      </c>
      <c r="D573" s="34" t="s">
        <v>89</v>
      </c>
      <c r="E573" s="260">
        <v>0.22220000000000001</v>
      </c>
      <c r="F573" s="235">
        <v>2</v>
      </c>
      <c r="G573" s="40" t="s">
        <v>369</v>
      </c>
      <c r="H573" s="29">
        <v>2</v>
      </c>
      <c r="I573" s="9">
        <v>2</v>
      </c>
      <c r="J573" s="9">
        <v>2</v>
      </c>
      <c r="K573" s="9">
        <v>1</v>
      </c>
      <c r="L573" s="9">
        <v>1</v>
      </c>
      <c r="M573" s="9">
        <v>2</v>
      </c>
      <c r="N573" s="186">
        <f t="shared" si="45"/>
        <v>0.37356464144298934</v>
      </c>
      <c r="O573" s="160">
        <f t="shared" si="46"/>
        <v>0.37356464144298934</v>
      </c>
      <c r="P573" s="63"/>
    </row>
    <row r="574" spans="1:16" hidden="1">
      <c r="A574" s="152" t="s">
        <v>200</v>
      </c>
      <c r="B574" s="34" t="s">
        <v>368</v>
      </c>
      <c r="C574" s="40" t="s">
        <v>139</v>
      </c>
      <c r="D574" s="34" t="s">
        <v>90</v>
      </c>
      <c r="E574" s="260">
        <v>0</v>
      </c>
      <c r="F574" s="235">
        <v>2</v>
      </c>
      <c r="G574" s="40" t="s">
        <v>369</v>
      </c>
      <c r="H574" s="29"/>
      <c r="I574" s="9"/>
      <c r="J574" s="9"/>
      <c r="K574" s="9"/>
      <c r="L574" s="9"/>
      <c r="M574" s="9"/>
      <c r="N574" s="186" t="str">
        <f t="shared" si="45"/>
        <v/>
      </c>
      <c r="O574" s="160" t="str">
        <f t="shared" si="46"/>
        <v/>
      </c>
      <c r="P574" s="63"/>
    </row>
    <row r="575" spans="1:16" hidden="1">
      <c r="A575" s="152" t="s">
        <v>200</v>
      </c>
      <c r="B575" s="34" t="s">
        <v>368</v>
      </c>
      <c r="C575" s="40" t="s">
        <v>139</v>
      </c>
      <c r="D575" s="34" t="s">
        <v>91</v>
      </c>
      <c r="E575" s="260">
        <v>0.22220000000000001</v>
      </c>
      <c r="F575" s="235">
        <v>2</v>
      </c>
      <c r="G575" s="40" t="s">
        <v>369</v>
      </c>
      <c r="H575" s="29">
        <v>2</v>
      </c>
      <c r="I575" s="9">
        <v>2</v>
      </c>
      <c r="J575" s="9">
        <v>2</v>
      </c>
      <c r="K575" s="9">
        <v>1</v>
      </c>
      <c r="L575" s="9">
        <v>1</v>
      </c>
      <c r="M575" s="9">
        <v>2</v>
      </c>
      <c r="N575" s="186">
        <f t="shared" si="45"/>
        <v>0.37356464144298934</v>
      </c>
      <c r="O575" s="160">
        <f t="shared" si="46"/>
        <v>0.37356464144298934</v>
      </c>
      <c r="P575" s="63"/>
    </row>
    <row r="576" spans="1:16" hidden="1">
      <c r="A576" s="152" t="s">
        <v>201</v>
      </c>
      <c r="B576" s="34" t="s">
        <v>368</v>
      </c>
      <c r="C576" s="40" t="s">
        <v>139</v>
      </c>
      <c r="D576" s="34" t="s">
        <v>85</v>
      </c>
      <c r="E576" s="260">
        <v>0</v>
      </c>
      <c r="F576" s="235">
        <v>2</v>
      </c>
      <c r="G576" s="40" t="s">
        <v>369</v>
      </c>
      <c r="H576" s="29"/>
      <c r="I576" s="9"/>
      <c r="J576" s="9"/>
      <c r="K576" s="9"/>
      <c r="L576" s="9"/>
      <c r="M576" s="9"/>
      <c r="N576" s="186" t="str">
        <f t="shared" si="45"/>
        <v/>
      </c>
      <c r="O576" s="160" t="str">
        <f t="shared" si="46"/>
        <v/>
      </c>
      <c r="P576" s="63"/>
    </row>
    <row r="577" spans="1:16" hidden="1">
      <c r="A577" s="152" t="s">
        <v>201</v>
      </c>
      <c r="B577" s="34" t="s">
        <v>368</v>
      </c>
      <c r="C577" s="40" t="s">
        <v>139</v>
      </c>
      <c r="D577" s="34" t="s">
        <v>86</v>
      </c>
      <c r="E577" s="260">
        <v>0</v>
      </c>
      <c r="F577" s="235">
        <v>2</v>
      </c>
      <c r="G577" s="40" t="s">
        <v>369</v>
      </c>
      <c r="H577" s="29"/>
      <c r="I577" s="9"/>
      <c r="J577" s="9"/>
      <c r="K577" s="9"/>
      <c r="L577" s="9"/>
      <c r="M577" s="9"/>
      <c r="N577" s="186" t="str">
        <f t="shared" si="45"/>
        <v/>
      </c>
      <c r="O577" s="160" t="str">
        <f t="shared" si="46"/>
        <v/>
      </c>
      <c r="P577" s="63"/>
    </row>
    <row r="578" spans="1:16" hidden="1">
      <c r="A578" s="152" t="s">
        <v>201</v>
      </c>
      <c r="B578" s="34" t="s">
        <v>368</v>
      </c>
      <c r="C578" s="40" t="s">
        <v>139</v>
      </c>
      <c r="D578" s="34" t="s">
        <v>87</v>
      </c>
      <c r="E578" s="260">
        <v>0</v>
      </c>
      <c r="F578" s="235">
        <v>2</v>
      </c>
      <c r="G578" s="40" t="s">
        <v>369</v>
      </c>
      <c r="H578" s="29"/>
      <c r="I578" s="9"/>
      <c r="J578" s="9"/>
      <c r="K578" s="9"/>
      <c r="L578" s="9"/>
      <c r="M578" s="9"/>
      <c r="N578" s="186" t="str">
        <f t="shared" si="45"/>
        <v/>
      </c>
      <c r="O578" s="160" t="str">
        <f t="shared" si="46"/>
        <v/>
      </c>
      <c r="P578" s="63"/>
    </row>
    <row r="579" spans="1:16" hidden="1">
      <c r="A579" s="152" t="s">
        <v>201</v>
      </c>
      <c r="B579" s="34" t="s">
        <v>368</v>
      </c>
      <c r="C579" s="40" t="s">
        <v>139</v>
      </c>
      <c r="D579" s="34" t="s">
        <v>88</v>
      </c>
      <c r="E579" s="260">
        <v>0.35439999999999999</v>
      </c>
      <c r="F579" s="235">
        <v>2</v>
      </c>
      <c r="G579" s="40" t="s">
        <v>369</v>
      </c>
      <c r="H579" s="29">
        <v>2</v>
      </c>
      <c r="I579" s="9">
        <v>2</v>
      </c>
      <c r="J579" s="9">
        <v>2</v>
      </c>
      <c r="K579" s="9">
        <v>1</v>
      </c>
      <c r="L579" s="9">
        <v>1</v>
      </c>
      <c r="M579" s="9">
        <v>2</v>
      </c>
      <c r="N579" s="186">
        <f t="shared" si="45"/>
        <v>0.37356464144298934</v>
      </c>
      <c r="O579" s="160">
        <f t="shared" si="46"/>
        <v>0.37356464144298934</v>
      </c>
      <c r="P579" s="63"/>
    </row>
    <row r="580" spans="1:16" hidden="1">
      <c r="A580" s="152" t="s">
        <v>201</v>
      </c>
      <c r="B580" s="34" t="s">
        <v>368</v>
      </c>
      <c r="C580" s="40" t="s">
        <v>139</v>
      </c>
      <c r="D580" s="34" t="s">
        <v>89</v>
      </c>
      <c r="E580" s="260">
        <v>0</v>
      </c>
      <c r="F580" s="235">
        <v>2</v>
      </c>
      <c r="G580" s="40" t="s">
        <v>369</v>
      </c>
      <c r="H580" s="29"/>
      <c r="I580" s="9"/>
      <c r="J580" s="9"/>
      <c r="K580" s="9"/>
      <c r="L580" s="9"/>
      <c r="M580" s="9"/>
      <c r="N580" s="186" t="str">
        <f t="shared" si="45"/>
        <v/>
      </c>
      <c r="O580" s="160" t="str">
        <f t="shared" si="46"/>
        <v/>
      </c>
      <c r="P580" s="63"/>
    </row>
    <row r="581" spans="1:16" hidden="1">
      <c r="A581" s="152" t="s">
        <v>201</v>
      </c>
      <c r="B581" s="34" t="s">
        <v>368</v>
      </c>
      <c r="C581" s="40" t="s">
        <v>139</v>
      </c>
      <c r="D581" s="34" t="s">
        <v>90</v>
      </c>
      <c r="E581" s="260">
        <v>0</v>
      </c>
      <c r="F581" s="235">
        <v>2</v>
      </c>
      <c r="G581" s="40" t="s">
        <v>369</v>
      </c>
      <c r="H581" s="29"/>
      <c r="I581" s="9"/>
      <c r="J581" s="9"/>
      <c r="K581" s="9"/>
      <c r="L581" s="9"/>
      <c r="M581" s="9"/>
      <c r="N581" s="186" t="str">
        <f t="shared" si="45"/>
        <v/>
      </c>
      <c r="O581" s="160" t="str">
        <f t="shared" si="46"/>
        <v/>
      </c>
      <c r="P581" s="63"/>
    </row>
    <row r="582" spans="1:16" hidden="1">
      <c r="A582" s="152" t="s">
        <v>201</v>
      </c>
      <c r="B582" s="34" t="s">
        <v>368</v>
      </c>
      <c r="C582" s="40" t="s">
        <v>139</v>
      </c>
      <c r="D582" s="34" t="s">
        <v>91</v>
      </c>
      <c r="E582" s="260">
        <v>0.35439999999999999</v>
      </c>
      <c r="F582" s="235">
        <v>2</v>
      </c>
      <c r="G582" s="40" t="s">
        <v>369</v>
      </c>
      <c r="H582" s="29">
        <v>2</v>
      </c>
      <c r="I582" s="9">
        <v>2</v>
      </c>
      <c r="J582" s="9">
        <v>2</v>
      </c>
      <c r="K582" s="9">
        <v>1</v>
      </c>
      <c r="L582" s="9">
        <v>1</v>
      </c>
      <c r="M582" s="9">
        <v>2</v>
      </c>
      <c r="N582" s="186">
        <f t="shared" si="45"/>
        <v>0.37356464144298934</v>
      </c>
      <c r="O582" s="160">
        <f t="shared" si="46"/>
        <v>0.37356464144298934</v>
      </c>
      <c r="P582" s="63"/>
    </row>
    <row r="583" spans="1:16" hidden="1">
      <c r="A583" s="152" t="s">
        <v>202</v>
      </c>
      <c r="B583" s="34" t="s">
        <v>368</v>
      </c>
      <c r="C583" s="40" t="s">
        <v>139</v>
      </c>
      <c r="D583" s="34" t="s">
        <v>85</v>
      </c>
      <c r="E583" s="260">
        <v>0.1017</v>
      </c>
      <c r="F583" s="235">
        <v>2</v>
      </c>
      <c r="G583" s="40" t="s">
        <v>369</v>
      </c>
      <c r="H583" s="29">
        <v>2</v>
      </c>
      <c r="I583" s="9">
        <v>2</v>
      </c>
      <c r="J583" s="9">
        <v>2</v>
      </c>
      <c r="K583" s="9">
        <v>1</v>
      </c>
      <c r="L583" s="9">
        <v>1</v>
      </c>
      <c r="M583" s="9">
        <v>2</v>
      </c>
      <c r="N583" s="186">
        <f t="shared" si="45"/>
        <v>0.37356464144298934</v>
      </c>
      <c r="O583" s="160">
        <f t="shared" si="46"/>
        <v>0.37356464144298934</v>
      </c>
      <c r="P583" s="63"/>
    </row>
    <row r="584" spans="1:16" hidden="1">
      <c r="A584" s="152" t="s">
        <v>202</v>
      </c>
      <c r="B584" s="34" t="s">
        <v>368</v>
      </c>
      <c r="C584" s="40" t="s">
        <v>139</v>
      </c>
      <c r="D584" s="34" t="s">
        <v>86</v>
      </c>
      <c r="E584" s="260">
        <v>0.28570000000000001</v>
      </c>
      <c r="F584" s="235">
        <v>2</v>
      </c>
      <c r="G584" s="40" t="s">
        <v>369</v>
      </c>
      <c r="H584" s="29">
        <v>2</v>
      </c>
      <c r="I584" s="9">
        <v>2</v>
      </c>
      <c r="J584" s="9">
        <v>2</v>
      </c>
      <c r="K584" s="9">
        <v>1</v>
      </c>
      <c r="L584" s="9">
        <v>1</v>
      </c>
      <c r="M584" s="9">
        <v>2</v>
      </c>
      <c r="N584" s="186">
        <f t="shared" si="45"/>
        <v>0.37356464144298934</v>
      </c>
      <c r="O584" s="160">
        <f t="shared" si="46"/>
        <v>0.37356464144298934</v>
      </c>
      <c r="P584" s="63"/>
    </row>
    <row r="585" spans="1:16" hidden="1">
      <c r="A585" s="152" t="s">
        <v>202</v>
      </c>
      <c r="B585" s="34" t="s">
        <v>368</v>
      </c>
      <c r="C585" s="40" t="s">
        <v>139</v>
      </c>
      <c r="D585" s="34" t="s">
        <v>87</v>
      </c>
      <c r="E585" s="260">
        <v>0.18840000000000001</v>
      </c>
      <c r="F585" s="235">
        <v>2</v>
      </c>
      <c r="G585" s="40" t="s">
        <v>369</v>
      </c>
      <c r="H585" s="29">
        <v>2</v>
      </c>
      <c r="I585" s="9">
        <v>2</v>
      </c>
      <c r="J585" s="9">
        <v>2</v>
      </c>
      <c r="K585" s="9">
        <v>1</v>
      </c>
      <c r="L585" s="9">
        <v>1</v>
      </c>
      <c r="M585" s="9">
        <v>2</v>
      </c>
      <c r="N585" s="186">
        <f t="shared" si="45"/>
        <v>0.37356464144298934</v>
      </c>
      <c r="O585" s="160">
        <f t="shared" si="46"/>
        <v>0.37356464144298934</v>
      </c>
      <c r="P585" s="63"/>
    </row>
    <row r="586" spans="1:16" hidden="1">
      <c r="A586" s="152" t="s">
        <v>202</v>
      </c>
      <c r="B586" s="34" t="s">
        <v>368</v>
      </c>
      <c r="C586" s="40" t="s">
        <v>139</v>
      </c>
      <c r="D586" s="34" t="s">
        <v>88</v>
      </c>
      <c r="E586" s="260">
        <v>0.2</v>
      </c>
      <c r="F586" s="235">
        <v>2</v>
      </c>
      <c r="G586" s="40" t="s">
        <v>369</v>
      </c>
      <c r="H586" s="29">
        <v>2</v>
      </c>
      <c r="I586" s="9">
        <v>2</v>
      </c>
      <c r="J586" s="9">
        <v>2</v>
      </c>
      <c r="K586" s="9">
        <v>1</v>
      </c>
      <c r="L586" s="9">
        <v>1</v>
      </c>
      <c r="M586" s="9">
        <v>2</v>
      </c>
      <c r="N586" s="186">
        <f t="shared" si="45"/>
        <v>0.37356464144298934</v>
      </c>
      <c r="O586" s="160">
        <f t="shared" si="46"/>
        <v>0.37356464144298934</v>
      </c>
      <c r="P586" s="63"/>
    </row>
    <row r="587" spans="1:16" hidden="1">
      <c r="A587" s="152" t="s">
        <v>202</v>
      </c>
      <c r="B587" s="34" t="s">
        <v>368</v>
      </c>
      <c r="C587" s="40" t="s">
        <v>139</v>
      </c>
      <c r="D587" s="34" t="s">
        <v>89</v>
      </c>
      <c r="E587" s="260">
        <v>0.2</v>
      </c>
      <c r="F587" s="235">
        <v>2</v>
      </c>
      <c r="G587" s="40" t="s">
        <v>369</v>
      </c>
      <c r="H587" s="29">
        <v>2</v>
      </c>
      <c r="I587" s="9">
        <v>2</v>
      </c>
      <c r="J587" s="9">
        <v>2</v>
      </c>
      <c r="K587" s="9">
        <v>1</v>
      </c>
      <c r="L587" s="9">
        <v>1</v>
      </c>
      <c r="M587" s="9">
        <v>2</v>
      </c>
      <c r="N587" s="186">
        <f t="shared" si="45"/>
        <v>0.37356464144298934</v>
      </c>
      <c r="O587" s="160">
        <f t="shared" si="46"/>
        <v>0.37356464144298934</v>
      </c>
      <c r="P587" s="63"/>
    </row>
    <row r="588" spans="1:16" hidden="1">
      <c r="A588" s="152" t="s">
        <v>202</v>
      </c>
      <c r="B588" s="34" t="s">
        <v>368</v>
      </c>
      <c r="C588" s="40" t="s">
        <v>139</v>
      </c>
      <c r="D588" s="34" t="s">
        <v>90</v>
      </c>
      <c r="E588" s="260">
        <v>0.2</v>
      </c>
      <c r="F588" s="235">
        <v>2</v>
      </c>
      <c r="G588" s="40" t="s">
        <v>369</v>
      </c>
      <c r="H588" s="29">
        <v>2</v>
      </c>
      <c r="I588" s="9">
        <v>2</v>
      </c>
      <c r="J588" s="9">
        <v>2</v>
      </c>
      <c r="K588" s="9">
        <v>1</v>
      </c>
      <c r="L588" s="9">
        <v>1</v>
      </c>
      <c r="M588" s="9">
        <v>2</v>
      </c>
      <c r="N588" s="186">
        <f t="shared" si="45"/>
        <v>0.37356464144298934</v>
      </c>
      <c r="O588" s="160">
        <f t="shared" si="46"/>
        <v>0.37356464144298934</v>
      </c>
      <c r="P588" s="63"/>
    </row>
    <row r="589" spans="1:16" hidden="1">
      <c r="A589" s="152" t="s">
        <v>202</v>
      </c>
      <c r="B589" s="34" t="s">
        <v>368</v>
      </c>
      <c r="C589" s="40" t="s">
        <v>139</v>
      </c>
      <c r="D589" s="34" t="s">
        <v>91</v>
      </c>
      <c r="E589" s="260">
        <v>0.2</v>
      </c>
      <c r="F589" s="235">
        <v>2</v>
      </c>
      <c r="G589" s="40" t="s">
        <v>369</v>
      </c>
      <c r="H589" s="29">
        <v>2</v>
      </c>
      <c r="I589" s="9">
        <v>2</v>
      </c>
      <c r="J589" s="9">
        <v>2</v>
      </c>
      <c r="K589" s="9">
        <v>1</v>
      </c>
      <c r="L589" s="9">
        <v>1</v>
      </c>
      <c r="M589" s="9">
        <v>2</v>
      </c>
      <c r="N589" s="186">
        <f t="shared" si="45"/>
        <v>0.37356464144298934</v>
      </c>
      <c r="O589" s="160">
        <f t="shared" si="46"/>
        <v>0.37356464144298934</v>
      </c>
      <c r="P589" s="63"/>
    </row>
    <row r="590" spans="1:16" hidden="1">
      <c r="A590" s="152" t="s">
        <v>203</v>
      </c>
      <c r="B590" s="34" t="s">
        <v>368</v>
      </c>
      <c r="C590" s="40" t="s">
        <v>139</v>
      </c>
      <c r="D590" s="34" t="s">
        <v>85</v>
      </c>
      <c r="E590" s="260">
        <v>0</v>
      </c>
      <c r="F590" s="235">
        <v>2</v>
      </c>
      <c r="G590" s="40" t="s">
        <v>369</v>
      </c>
      <c r="H590" s="29"/>
      <c r="I590" s="9"/>
      <c r="J590" s="9"/>
      <c r="K590" s="9"/>
      <c r="L590" s="9"/>
      <c r="M590" s="9"/>
      <c r="N590" s="186" t="str">
        <f t="shared" si="45"/>
        <v/>
      </c>
      <c r="O590" s="160" t="str">
        <f t="shared" si="46"/>
        <v/>
      </c>
      <c r="P590" s="63"/>
    </row>
    <row r="591" spans="1:16" hidden="1">
      <c r="A591" s="152" t="s">
        <v>203</v>
      </c>
      <c r="B591" s="34" t="s">
        <v>368</v>
      </c>
      <c r="C591" s="40" t="s">
        <v>139</v>
      </c>
      <c r="D591" s="34" t="s">
        <v>86</v>
      </c>
      <c r="E591" s="260">
        <v>0.1176</v>
      </c>
      <c r="F591" s="235">
        <v>2</v>
      </c>
      <c r="G591" s="40" t="s">
        <v>369</v>
      </c>
      <c r="H591" s="29">
        <v>2</v>
      </c>
      <c r="I591" s="9"/>
      <c r="J591" s="9">
        <v>2</v>
      </c>
      <c r="K591" s="9">
        <v>1</v>
      </c>
      <c r="L591" s="9">
        <v>1</v>
      </c>
      <c r="M591" s="9">
        <v>2</v>
      </c>
      <c r="N591" s="186">
        <f t="shared" si="45"/>
        <v>0.37356464144298934</v>
      </c>
      <c r="O591" s="160" t="str">
        <f t="shared" si="46"/>
        <v/>
      </c>
      <c r="P591" s="63"/>
    </row>
    <row r="592" spans="1:16" hidden="1">
      <c r="A592" s="152" t="s">
        <v>203</v>
      </c>
      <c r="B592" s="34" t="s">
        <v>368</v>
      </c>
      <c r="C592" s="40" t="s">
        <v>139</v>
      </c>
      <c r="D592" s="34" t="s">
        <v>87</v>
      </c>
      <c r="E592" s="260">
        <v>0.05</v>
      </c>
      <c r="F592" s="235">
        <v>2</v>
      </c>
      <c r="G592" s="40" t="s">
        <v>369</v>
      </c>
      <c r="H592" s="29">
        <v>2</v>
      </c>
      <c r="I592" s="9"/>
      <c r="J592" s="9">
        <v>2</v>
      </c>
      <c r="K592" s="9">
        <v>1</v>
      </c>
      <c r="L592" s="9">
        <v>1</v>
      </c>
      <c r="M592" s="9">
        <v>2</v>
      </c>
      <c r="N592" s="186">
        <f t="shared" si="45"/>
        <v>0.37356464144298934</v>
      </c>
      <c r="O592" s="160" t="str">
        <f t="shared" si="46"/>
        <v/>
      </c>
      <c r="P592" s="63"/>
    </row>
    <row r="593" spans="1:16" hidden="1">
      <c r="A593" s="152" t="s">
        <v>203</v>
      </c>
      <c r="B593" s="34" t="s">
        <v>368</v>
      </c>
      <c r="C593" s="40" t="s">
        <v>139</v>
      </c>
      <c r="D593" s="34" t="s">
        <v>88</v>
      </c>
      <c r="E593" s="260">
        <v>5.5E-2</v>
      </c>
      <c r="F593" s="235">
        <v>2</v>
      </c>
      <c r="G593" s="40" t="s">
        <v>369</v>
      </c>
      <c r="H593" s="29">
        <v>2</v>
      </c>
      <c r="I593" s="9"/>
      <c r="J593" s="9">
        <v>2</v>
      </c>
      <c r="K593" s="9">
        <v>1</v>
      </c>
      <c r="L593" s="9">
        <v>1</v>
      </c>
      <c r="M593" s="9">
        <v>2</v>
      </c>
      <c r="N593" s="186">
        <f t="shared" si="45"/>
        <v>0.37356464144298934</v>
      </c>
      <c r="O593" s="160" t="str">
        <f t="shared" si="46"/>
        <v/>
      </c>
      <c r="P593" s="63"/>
    </row>
    <row r="594" spans="1:16" hidden="1">
      <c r="A594" s="152" t="s">
        <v>203</v>
      </c>
      <c r="B594" s="34" t="s">
        <v>368</v>
      </c>
      <c r="C594" s="40" t="s">
        <v>139</v>
      </c>
      <c r="D594" s="34" t="s">
        <v>89</v>
      </c>
      <c r="E594" s="260">
        <v>5.5E-2</v>
      </c>
      <c r="F594" s="235">
        <v>2</v>
      </c>
      <c r="G594" s="40" t="s">
        <v>369</v>
      </c>
      <c r="H594" s="29">
        <v>2</v>
      </c>
      <c r="I594" s="9"/>
      <c r="J594" s="9">
        <v>2</v>
      </c>
      <c r="K594" s="9">
        <v>1</v>
      </c>
      <c r="L594" s="9">
        <v>1</v>
      </c>
      <c r="M594" s="9">
        <v>2</v>
      </c>
      <c r="N594" s="186">
        <f t="shared" si="45"/>
        <v>0.37356464144298934</v>
      </c>
      <c r="O594" s="160" t="str">
        <f t="shared" si="46"/>
        <v/>
      </c>
      <c r="P594" s="63"/>
    </row>
    <row r="595" spans="1:16" hidden="1">
      <c r="A595" s="152" t="s">
        <v>203</v>
      </c>
      <c r="B595" s="34" t="s">
        <v>368</v>
      </c>
      <c r="C595" s="40" t="s">
        <v>139</v>
      </c>
      <c r="D595" s="34" t="s">
        <v>90</v>
      </c>
      <c r="E595" s="260">
        <v>7.4999999999999997E-2</v>
      </c>
      <c r="F595" s="235">
        <v>2</v>
      </c>
      <c r="G595" s="40" t="s">
        <v>369</v>
      </c>
      <c r="H595" s="29">
        <v>2</v>
      </c>
      <c r="I595" s="9"/>
      <c r="J595" s="9">
        <v>2</v>
      </c>
      <c r="K595" s="9">
        <v>1</v>
      </c>
      <c r="L595" s="9">
        <v>1</v>
      </c>
      <c r="M595" s="9">
        <v>2</v>
      </c>
      <c r="N595" s="186">
        <f t="shared" si="45"/>
        <v>0.37356464144298934</v>
      </c>
      <c r="O595" s="160" t="str">
        <f t="shared" si="46"/>
        <v/>
      </c>
      <c r="P595" s="63"/>
    </row>
    <row r="596" spans="1:16" hidden="1">
      <c r="A596" s="152" t="s">
        <v>203</v>
      </c>
      <c r="B596" s="34" t="s">
        <v>368</v>
      </c>
      <c r="C596" s="40" t="s">
        <v>139</v>
      </c>
      <c r="D596" s="34" t="s">
        <v>91</v>
      </c>
      <c r="E596" s="260">
        <v>8.2299999999999998E-2</v>
      </c>
      <c r="F596" s="235">
        <v>2</v>
      </c>
      <c r="G596" s="40" t="s">
        <v>369</v>
      </c>
      <c r="H596" s="29">
        <v>2</v>
      </c>
      <c r="I596" s="9"/>
      <c r="J596" s="9">
        <v>2</v>
      </c>
      <c r="K596" s="9">
        <v>1</v>
      </c>
      <c r="L596" s="9">
        <v>1</v>
      </c>
      <c r="M596" s="9">
        <v>2</v>
      </c>
      <c r="N596" s="186">
        <f t="shared" si="45"/>
        <v>0.37356464144298934</v>
      </c>
      <c r="O596" s="160" t="str">
        <f t="shared" si="46"/>
        <v/>
      </c>
      <c r="P596" s="63"/>
    </row>
    <row r="597" spans="1:16" hidden="1">
      <c r="A597" s="152" t="s">
        <v>368</v>
      </c>
      <c r="B597" s="34" t="s">
        <v>324</v>
      </c>
      <c r="C597" s="40" t="s">
        <v>139</v>
      </c>
      <c r="D597" s="34" t="s">
        <v>139</v>
      </c>
      <c r="E597" s="260">
        <v>0.1045625</v>
      </c>
      <c r="F597" s="235">
        <v>2</v>
      </c>
      <c r="G597" s="40" t="s">
        <v>370</v>
      </c>
      <c r="H597" s="29">
        <v>1</v>
      </c>
      <c r="I597" s="9"/>
      <c r="J597" s="9">
        <v>1</v>
      </c>
      <c r="K597" s="9">
        <v>3</v>
      </c>
      <c r="L597" s="9">
        <v>1</v>
      </c>
      <c r="M597" s="9">
        <v>2</v>
      </c>
      <c r="N597" s="186">
        <f t="shared" si="45"/>
        <v>0.47802211380704585</v>
      </c>
      <c r="O597" s="160" t="str">
        <f t="shared" si="46"/>
        <v/>
      </c>
      <c r="P597" s="63"/>
    </row>
    <row r="598" spans="1:16" hidden="1">
      <c r="A598" s="152" t="s">
        <v>368</v>
      </c>
      <c r="B598" s="34" t="s">
        <v>327</v>
      </c>
      <c r="C598" s="40" t="s">
        <v>139</v>
      </c>
      <c r="D598" s="34" t="s">
        <v>139</v>
      </c>
      <c r="E598" s="260" t="s">
        <v>150</v>
      </c>
      <c r="F598" s="235">
        <v>1</v>
      </c>
      <c r="G598" s="40"/>
      <c r="H598" s="29"/>
      <c r="I598" s="9"/>
      <c r="J598" s="9"/>
      <c r="K598" s="9"/>
      <c r="L598" s="9"/>
      <c r="M598" s="9"/>
      <c r="N598" s="186" t="str">
        <f t="shared" si="45"/>
        <v/>
      </c>
      <c r="O598" s="160" t="str">
        <f t="shared" si="46"/>
        <v/>
      </c>
      <c r="P598" s="63"/>
    </row>
    <row r="599" spans="1:16" hidden="1">
      <c r="A599" s="152" t="s">
        <v>368</v>
      </c>
      <c r="B599" s="34" t="s">
        <v>335</v>
      </c>
      <c r="C599" s="40" t="s">
        <v>139</v>
      </c>
      <c r="D599" s="34" t="s">
        <v>139</v>
      </c>
      <c r="E599" s="260">
        <v>0.25313000000000002</v>
      </c>
      <c r="F599" s="235">
        <v>2</v>
      </c>
      <c r="G599" s="40" t="s">
        <v>371</v>
      </c>
      <c r="H599" s="29">
        <v>1</v>
      </c>
      <c r="I599" s="9"/>
      <c r="J599" s="9">
        <v>1</v>
      </c>
      <c r="K599" s="9">
        <v>3</v>
      </c>
      <c r="L599" s="9">
        <v>3</v>
      </c>
      <c r="M599" s="9">
        <v>2</v>
      </c>
      <c r="N599" s="186">
        <f t="shared" ref="N599:N630" si="47">IF( OR( ISBLANK(H599),ISBLANK(J599), ISBLANK(K599), ISBLANK(L599), ISBLANK(M599) ), "", 1.5*SQRT(   EXP(2.21*(H599-1)) + EXP(2.21*(J599-1)) + EXP(2.21*(K599-1)) + EXP(2.21*(L599-1)) + EXP(2.21*M599)   )/100*2.45 )</f>
        <v>0.58256442191643876</v>
      </c>
      <c r="O599" s="160" t="str">
        <f t="shared" ref="O599:O630" si="48">IF( OR( ISBLANK(I599),ISBLANK(J599), ISBLANK(K599), ISBLANK(L599), ISBLANK(M599) ), "", 1.5*SQRT( EXP(2.21*(I599-1)) + EXP(2.21*(J599-1)) + EXP(2.21*(K599-1)) + EXP(2.21*(L599-1)) + EXP(2.21*M599)   )/100*2.45 )</f>
        <v/>
      </c>
      <c r="P599" s="63" t="s">
        <v>372</v>
      </c>
    </row>
    <row r="600" spans="1:16" hidden="1">
      <c r="A600" s="152" t="s">
        <v>39</v>
      </c>
      <c r="B600" s="34" t="s">
        <v>203</v>
      </c>
      <c r="C600" s="40" t="s">
        <v>139</v>
      </c>
      <c r="D600" s="34" t="s">
        <v>85</v>
      </c>
      <c r="E600" s="260">
        <v>1.41E-2</v>
      </c>
      <c r="F600" s="235">
        <v>1</v>
      </c>
      <c r="G600" s="40" t="s">
        <v>140</v>
      </c>
      <c r="H600" s="29">
        <v>2</v>
      </c>
      <c r="I600" s="9">
        <v>2</v>
      </c>
      <c r="J600" s="9">
        <v>2</v>
      </c>
      <c r="K600" s="9">
        <v>1</v>
      </c>
      <c r="L600" s="9">
        <v>1</v>
      </c>
      <c r="M600" s="9">
        <v>2</v>
      </c>
      <c r="N600" s="186">
        <f t="shared" si="47"/>
        <v>0.37356464144298934</v>
      </c>
      <c r="O600" s="160">
        <f t="shared" si="48"/>
        <v>0.37356464144298934</v>
      </c>
      <c r="P600" s="63"/>
    </row>
    <row r="601" spans="1:16" hidden="1">
      <c r="A601" s="152" t="s">
        <v>39</v>
      </c>
      <c r="B601" s="34" t="s">
        <v>203</v>
      </c>
      <c r="C601" s="40" t="s">
        <v>139</v>
      </c>
      <c r="D601" s="34" t="s">
        <v>86</v>
      </c>
      <c r="E601" s="260">
        <v>8.3099999999999993E-2</v>
      </c>
      <c r="F601" s="235">
        <v>1</v>
      </c>
      <c r="G601" s="40" t="s">
        <v>140</v>
      </c>
      <c r="H601" s="29">
        <v>2</v>
      </c>
      <c r="I601" s="9">
        <v>2</v>
      </c>
      <c r="J601" s="9">
        <v>2</v>
      </c>
      <c r="K601" s="9">
        <v>1</v>
      </c>
      <c r="L601" s="9">
        <v>1</v>
      </c>
      <c r="M601" s="9">
        <v>2</v>
      </c>
      <c r="N601" s="186">
        <f t="shared" si="47"/>
        <v>0.37356464144298934</v>
      </c>
      <c r="O601" s="160">
        <f t="shared" si="48"/>
        <v>0.37356464144298934</v>
      </c>
      <c r="P601" s="63"/>
    </row>
    <row r="602" spans="1:16" hidden="1">
      <c r="A602" s="152" t="s">
        <v>39</v>
      </c>
      <c r="B602" s="34" t="s">
        <v>203</v>
      </c>
      <c r="C602" s="40" t="s">
        <v>139</v>
      </c>
      <c r="D602" s="34" t="s">
        <v>87</v>
      </c>
      <c r="E602" s="260">
        <v>0.38140000000000002</v>
      </c>
      <c r="F602" s="235">
        <v>1</v>
      </c>
      <c r="G602" s="40" t="s">
        <v>140</v>
      </c>
      <c r="H602" s="29">
        <v>2</v>
      </c>
      <c r="I602" s="9">
        <v>2</v>
      </c>
      <c r="J602" s="9">
        <v>2</v>
      </c>
      <c r="K602" s="9">
        <v>1</v>
      </c>
      <c r="L602" s="9">
        <v>1</v>
      </c>
      <c r="M602" s="9">
        <v>2</v>
      </c>
      <c r="N602" s="186">
        <f t="shared" si="47"/>
        <v>0.37356464144298934</v>
      </c>
      <c r="O602" s="160">
        <f t="shared" si="48"/>
        <v>0.37356464144298934</v>
      </c>
      <c r="P602" s="63"/>
    </row>
    <row r="603" spans="1:16" hidden="1">
      <c r="A603" s="152" t="s">
        <v>39</v>
      </c>
      <c r="B603" s="34" t="s">
        <v>203</v>
      </c>
      <c r="C603" s="40" t="s">
        <v>139</v>
      </c>
      <c r="D603" s="34" t="s">
        <v>88</v>
      </c>
      <c r="E603" s="260">
        <v>0.79759999999999998</v>
      </c>
      <c r="F603" s="235">
        <v>1</v>
      </c>
      <c r="G603" s="40" t="s">
        <v>140</v>
      </c>
      <c r="H603" s="29">
        <v>2</v>
      </c>
      <c r="I603" s="9">
        <v>2</v>
      </c>
      <c r="J603" s="9">
        <v>2</v>
      </c>
      <c r="K603" s="9">
        <v>1</v>
      </c>
      <c r="L603" s="9">
        <v>1</v>
      </c>
      <c r="M603" s="9">
        <v>2</v>
      </c>
      <c r="N603" s="186">
        <f t="shared" si="47"/>
        <v>0.37356464144298934</v>
      </c>
      <c r="O603" s="160">
        <f t="shared" si="48"/>
        <v>0.37356464144298934</v>
      </c>
      <c r="P603" s="63"/>
    </row>
    <row r="604" spans="1:16" hidden="1">
      <c r="A604" s="152" t="s">
        <v>39</v>
      </c>
      <c r="B604" s="34" t="s">
        <v>203</v>
      </c>
      <c r="C604" s="40" t="s">
        <v>139</v>
      </c>
      <c r="D604" s="34" t="s">
        <v>89</v>
      </c>
      <c r="E604" s="260">
        <v>0</v>
      </c>
      <c r="F604" s="235">
        <v>1</v>
      </c>
      <c r="G604" s="40" t="s">
        <v>140</v>
      </c>
      <c r="H604" s="29"/>
      <c r="I604" s="9"/>
      <c r="J604" s="9"/>
      <c r="K604" s="9"/>
      <c r="L604" s="9"/>
      <c r="M604" s="9"/>
      <c r="N604" s="186" t="str">
        <f t="shared" si="47"/>
        <v/>
      </c>
      <c r="O604" s="160" t="str">
        <f t="shared" si="48"/>
        <v/>
      </c>
      <c r="P604" s="63"/>
    </row>
    <row r="605" spans="1:16" hidden="1">
      <c r="A605" s="152" t="s">
        <v>39</v>
      </c>
      <c r="B605" s="34" t="s">
        <v>203</v>
      </c>
      <c r="C605" s="40" t="s">
        <v>139</v>
      </c>
      <c r="D605" s="34" t="s">
        <v>90</v>
      </c>
      <c r="E605" s="260">
        <v>0.45450000000000002</v>
      </c>
      <c r="F605" s="235">
        <v>1</v>
      </c>
      <c r="G605" s="40" t="s">
        <v>140</v>
      </c>
      <c r="H605" s="29">
        <v>2</v>
      </c>
      <c r="I605" s="9">
        <v>2</v>
      </c>
      <c r="J605" s="9">
        <v>2</v>
      </c>
      <c r="K605" s="9">
        <v>1</v>
      </c>
      <c r="L605" s="9">
        <v>1</v>
      </c>
      <c r="M605" s="9">
        <v>2</v>
      </c>
      <c r="N605" s="186">
        <f t="shared" si="47"/>
        <v>0.37356464144298934</v>
      </c>
      <c r="O605" s="160">
        <f t="shared" si="48"/>
        <v>0.37356464144298934</v>
      </c>
      <c r="P605" s="63"/>
    </row>
    <row r="606" spans="1:16" hidden="1">
      <c r="A606" s="152" t="s">
        <v>39</v>
      </c>
      <c r="B606" s="34" t="s">
        <v>203</v>
      </c>
      <c r="C606" s="40" t="s">
        <v>139</v>
      </c>
      <c r="D606" s="34" t="s">
        <v>91</v>
      </c>
      <c r="E606" s="260">
        <v>0.44280000000000003</v>
      </c>
      <c r="F606" s="235">
        <v>2</v>
      </c>
      <c r="G606" s="40" t="s">
        <v>140</v>
      </c>
      <c r="H606" s="29">
        <v>2</v>
      </c>
      <c r="I606" s="9">
        <v>2</v>
      </c>
      <c r="J606" s="9">
        <v>2</v>
      </c>
      <c r="K606" s="9">
        <v>1</v>
      </c>
      <c r="L606" s="9">
        <v>1</v>
      </c>
      <c r="M606" s="9">
        <v>2</v>
      </c>
      <c r="N606" s="186">
        <f t="shared" si="47"/>
        <v>0.37356464144298934</v>
      </c>
      <c r="O606" s="160">
        <f t="shared" si="48"/>
        <v>0.37356464144298934</v>
      </c>
      <c r="P606" s="63" t="s">
        <v>226</v>
      </c>
    </row>
    <row r="607" spans="1:16" hidden="1">
      <c r="A607" s="152" t="s">
        <v>39</v>
      </c>
      <c r="B607" s="34" t="s">
        <v>203</v>
      </c>
      <c r="C607" s="40" t="s">
        <v>139</v>
      </c>
      <c r="D607" s="34" t="s">
        <v>98</v>
      </c>
      <c r="E607" s="260">
        <v>0.20723549488054607</v>
      </c>
      <c r="F607" s="235">
        <v>1</v>
      </c>
      <c r="G607" s="40" t="s">
        <v>141</v>
      </c>
      <c r="H607" s="29">
        <v>2</v>
      </c>
      <c r="I607" s="9">
        <v>1</v>
      </c>
      <c r="J607" s="9">
        <v>2</v>
      </c>
      <c r="K607" s="9">
        <v>2</v>
      </c>
      <c r="L607" s="9">
        <v>1</v>
      </c>
      <c r="M607" s="9">
        <v>2</v>
      </c>
      <c r="N607" s="186">
        <f t="shared" si="47"/>
        <v>0.38795788889711302</v>
      </c>
      <c r="O607" s="160">
        <f t="shared" si="48"/>
        <v>0.37356464144298934</v>
      </c>
      <c r="P607" s="63"/>
    </row>
    <row r="608" spans="1:16" hidden="1">
      <c r="A608" s="152" t="s">
        <v>39</v>
      </c>
      <c r="B608" s="34" t="s">
        <v>236</v>
      </c>
      <c r="C608" s="40" t="s">
        <v>139</v>
      </c>
      <c r="D608" s="34" t="s">
        <v>85</v>
      </c>
      <c r="E608" s="260">
        <v>0.65669999999999995</v>
      </c>
      <c r="F608" s="235">
        <v>1</v>
      </c>
      <c r="G608" s="40" t="s">
        <v>140</v>
      </c>
      <c r="H608" s="29">
        <v>2</v>
      </c>
      <c r="I608" s="9">
        <v>2</v>
      </c>
      <c r="J608" s="9">
        <v>2</v>
      </c>
      <c r="K608" s="9">
        <v>1</v>
      </c>
      <c r="L608" s="9">
        <v>1</v>
      </c>
      <c r="M608" s="9">
        <v>2</v>
      </c>
      <c r="N608" s="186">
        <f t="shared" si="47"/>
        <v>0.37356464144298934</v>
      </c>
      <c r="O608" s="160">
        <f t="shared" si="48"/>
        <v>0.37356464144298934</v>
      </c>
      <c r="P608" s="63"/>
    </row>
    <row r="609" spans="1:16" hidden="1">
      <c r="A609" s="152" t="s">
        <v>39</v>
      </c>
      <c r="B609" s="34" t="s">
        <v>236</v>
      </c>
      <c r="C609" s="40" t="s">
        <v>139</v>
      </c>
      <c r="D609" s="34" t="s">
        <v>86</v>
      </c>
      <c r="E609" s="260">
        <v>1.2200000000000001E-2</v>
      </c>
      <c r="F609" s="235">
        <v>1</v>
      </c>
      <c r="G609" s="40" t="s">
        <v>140</v>
      </c>
      <c r="H609" s="29">
        <v>2</v>
      </c>
      <c r="I609" s="9">
        <v>2</v>
      </c>
      <c r="J609" s="9">
        <v>2</v>
      </c>
      <c r="K609" s="9">
        <v>1</v>
      </c>
      <c r="L609" s="9">
        <v>1</v>
      </c>
      <c r="M609" s="9">
        <v>2</v>
      </c>
      <c r="N609" s="186">
        <f t="shared" si="47"/>
        <v>0.37356464144298934</v>
      </c>
      <c r="O609" s="160">
        <f t="shared" si="48"/>
        <v>0.37356464144298934</v>
      </c>
      <c r="P609" s="63"/>
    </row>
    <row r="610" spans="1:16" hidden="1">
      <c r="A610" s="152" t="s">
        <v>39</v>
      </c>
      <c r="B610" s="34" t="s">
        <v>236</v>
      </c>
      <c r="C610" s="40" t="s">
        <v>139</v>
      </c>
      <c r="D610" s="34" t="s">
        <v>87</v>
      </c>
      <c r="E610" s="260">
        <v>6.9599999999999995E-2</v>
      </c>
      <c r="F610" s="235">
        <v>1</v>
      </c>
      <c r="G610" s="40" t="s">
        <v>140</v>
      </c>
      <c r="H610" s="29">
        <v>2</v>
      </c>
      <c r="I610" s="9">
        <v>2</v>
      </c>
      <c r="J610" s="9">
        <v>2</v>
      </c>
      <c r="K610" s="9">
        <v>1</v>
      </c>
      <c r="L610" s="9">
        <v>1</v>
      </c>
      <c r="M610" s="9">
        <v>2</v>
      </c>
      <c r="N610" s="186">
        <f t="shared" si="47"/>
        <v>0.37356464144298934</v>
      </c>
      <c r="O610" s="160">
        <f t="shared" si="48"/>
        <v>0.37356464144298934</v>
      </c>
      <c r="P610" s="63"/>
    </row>
    <row r="611" spans="1:16" hidden="1">
      <c r="A611" s="152" t="s">
        <v>39</v>
      </c>
      <c r="B611" s="34" t="s">
        <v>236</v>
      </c>
      <c r="C611" s="40" t="s">
        <v>139</v>
      </c>
      <c r="D611" s="34" t="s">
        <v>88</v>
      </c>
      <c r="E611" s="260">
        <v>3.5700000000000003E-2</v>
      </c>
      <c r="F611" s="235">
        <v>1</v>
      </c>
      <c r="G611" s="40" t="s">
        <v>140</v>
      </c>
      <c r="H611" s="29">
        <v>2</v>
      </c>
      <c r="I611" s="9">
        <v>2</v>
      </c>
      <c r="J611" s="9">
        <v>2</v>
      </c>
      <c r="K611" s="9">
        <v>1</v>
      </c>
      <c r="L611" s="9">
        <v>1</v>
      </c>
      <c r="M611" s="9">
        <v>2</v>
      </c>
      <c r="N611" s="186">
        <f t="shared" si="47"/>
        <v>0.37356464144298934</v>
      </c>
      <c r="O611" s="160">
        <f t="shared" si="48"/>
        <v>0.37356464144298934</v>
      </c>
      <c r="P611" s="63"/>
    </row>
    <row r="612" spans="1:16" hidden="1">
      <c r="A612" s="152" t="s">
        <v>39</v>
      </c>
      <c r="B612" s="34" t="s">
        <v>236</v>
      </c>
      <c r="C612" s="40" t="s">
        <v>139</v>
      </c>
      <c r="D612" s="34" t="s">
        <v>89</v>
      </c>
      <c r="E612" s="260">
        <v>0</v>
      </c>
      <c r="F612" s="235">
        <v>1</v>
      </c>
      <c r="G612" s="40" t="s">
        <v>140</v>
      </c>
      <c r="H612" s="29"/>
      <c r="I612" s="9"/>
      <c r="J612" s="9"/>
      <c r="K612" s="9"/>
      <c r="L612" s="9"/>
      <c r="M612" s="9"/>
      <c r="N612" s="186" t="str">
        <f t="shared" si="47"/>
        <v/>
      </c>
      <c r="O612" s="160" t="str">
        <f t="shared" si="48"/>
        <v/>
      </c>
      <c r="P612" s="63"/>
    </row>
    <row r="613" spans="1:16" hidden="1">
      <c r="A613" s="152" t="s">
        <v>39</v>
      </c>
      <c r="B613" s="34" t="s">
        <v>236</v>
      </c>
      <c r="C613" s="40" t="s">
        <v>139</v>
      </c>
      <c r="D613" s="34" t="s">
        <v>90</v>
      </c>
      <c r="E613" s="260">
        <v>7.9500000000000001E-2</v>
      </c>
      <c r="F613" s="235">
        <v>1</v>
      </c>
      <c r="G613" s="40" t="s">
        <v>140</v>
      </c>
      <c r="H613" s="29">
        <v>2</v>
      </c>
      <c r="I613" s="9">
        <v>2</v>
      </c>
      <c r="J613" s="9">
        <v>2</v>
      </c>
      <c r="K613" s="9">
        <v>1</v>
      </c>
      <c r="L613" s="9">
        <v>1</v>
      </c>
      <c r="M613" s="9">
        <v>2</v>
      </c>
      <c r="N613" s="186">
        <f t="shared" si="47"/>
        <v>0.37356464144298934</v>
      </c>
      <c r="O613" s="160">
        <f t="shared" si="48"/>
        <v>0.37356464144298934</v>
      </c>
      <c r="P613" s="63"/>
    </row>
    <row r="614" spans="1:16" hidden="1">
      <c r="A614" s="152" t="s">
        <v>39</v>
      </c>
      <c r="B614" s="34" t="s">
        <v>236</v>
      </c>
      <c r="C614" s="40" t="s">
        <v>139</v>
      </c>
      <c r="D614" s="34" t="s">
        <v>91</v>
      </c>
      <c r="E614" s="260">
        <v>0.01</v>
      </c>
      <c r="F614" s="235">
        <v>1</v>
      </c>
      <c r="G614" s="40" t="s">
        <v>140</v>
      </c>
      <c r="H614" s="29">
        <v>2</v>
      </c>
      <c r="I614" s="9">
        <v>2</v>
      </c>
      <c r="J614" s="9">
        <v>2</v>
      </c>
      <c r="K614" s="9">
        <v>1</v>
      </c>
      <c r="L614" s="9">
        <v>1</v>
      </c>
      <c r="M614" s="9">
        <v>2</v>
      </c>
      <c r="N614" s="186">
        <f t="shared" si="47"/>
        <v>0.37356464144298934</v>
      </c>
      <c r="O614" s="160">
        <f t="shared" si="48"/>
        <v>0.37356464144298934</v>
      </c>
      <c r="P614" s="63"/>
    </row>
    <row r="615" spans="1:16" hidden="1">
      <c r="A615" s="152" t="s">
        <v>39</v>
      </c>
      <c r="B615" s="34" t="s">
        <v>236</v>
      </c>
      <c r="C615" s="40" t="s">
        <v>139</v>
      </c>
      <c r="D615" s="34" t="s">
        <v>98</v>
      </c>
      <c r="E615" s="260">
        <v>0</v>
      </c>
      <c r="F615" s="235">
        <v>1</v>
      </c>
      <c r="G615" s="40" t="s">
        <v>141</v>
      </c>
      <c r="H615" s="29"/>
      <c r="I615" s="9"/>
      <c r="J615" s="9"/>
      <c r="K615" s="9"/>
      <c r="L615" s="9"/>
      <c r="M615" s="9"/>
      <c r="N615" s="186" t="str">
        <f t="shared" si="47"/>
        <v/>
      </c>
      <c r="O615" s="160" t="str">
        <f t="shared" si="48"/>
        <v/>
      </c>
      <c r="P615" s="63"/>
    </row>
    <row r="616" spans="1:16" hidden="1">
      <c r="A616" s="152" t="s">
        <v>39</v>
      </c>
      <c r="B616" s="34" t="s">
        <v>237</v>
      </c>
      <c r="C616" s="40" t="s">
        <v>139</v>
      </c>
      <c r="D616" s="34" t="s">
        <v>85</v>
      </c>
      <c r="E616" s="260">
        <v>0</v>
      </c>
      <c r="F616" s="235">
        <v>1</v>
      </c>
      <c r="G616" s="40" t="s">
        <v>140</v>
      </c>
      <c r="H616" s="29"/>
      <c r="I616" s="9"/>
      <c r="J616" s="9"/>
      <c r="K616" s="9"/>
      <c r="L616" s="9"/>
      <c r="M616" s="9"/>
      <c r="N616" s="186" t="str">
        <f t="shared" si="47"/>
        <v/>
      </c>
      <c r="O616" s="160" t="str">
        <f t="shared" si="48"/>
        <v/>
      </c>
      <c r="P616" s="63"/>
    </row>
    <row r="617" spans="1:16" hidden="1">
      <c r="A617" s="152" t="s">
        <v>39</v>
      </c>
      <c r="B617" s="34" t="s">
        <v>237</v>
      </c>
      <c r="C617" s="40" t="s">
        <v>139</v>
      </c>
      <c r="D617" s="34" t="s">
        <v>86</v>
      </c>
      <c r="E617" s="260">
        <v>0.1638</v>
      </c>
      <c r="F617" s="235">
        <v>1</v>
      </c>
      <c r="G617" s="40" t="s">
        <v>140</v>
      </c>
      <c r="H617" s="29">
        <v>2</v>
      </c>
      <c r="I617" s="9">
        <v>2</v>
      </c>
      <c r="J617" s="9">
        <v>2</v>
      </c>
      <c r="K617" s="9">
        <v>1</v>
      </c>
      <c r="L617" s="9">
        <v>1</v>
      </c>
      <c r="M617" s="9">
        <v>2</v>
      </c>
      <c r="N617" s="186">
        <f t="shared" si="47"/>
        <v>0.37356464144298934</v>
      </c>
      <c r="O617" s="160">
        <f t="shared" si="48"/>
        <v>0.37356464144298934</v>
      </c>
      <c r="P617" s="63"/>
    </row>
    <row r="618" spans="1:16" hidden="1">
      <c r="A618" s="152" t="s">
        <v>39</v>
      </c>
      <c r="B618" s="34" t="s">
        <v>237</v>
      </c>
      <c r="C618" s="40" t="s">
        <v>139</v>
      </c>
      <c r="D618" s="34" t="s">
        <v>87</v>
      </c>
      <c r="E618" s="260">
        <v>0.20619999999999999</v>
      </c>
      <c r="F618" s="235">
        <v>1</v>
      </c>
      <c r="G618" s="40" t="s">
        <v>140</v>
      </c>
      <c r="H618" s="29">
        <v>2</v>
      </c>
      <c r="I618" s="9">
        <v>2</v>
      </c>
      <c r="J618" s="9">
        <v>2</v>
      </c>
      <c r="K618" s="9">
        <v>1</v>
      </c>
      <c r="L618" s="9">
        <v>1</v>
      </c>
      <c r="M618" s="9">
        <v>2</v>
      </c>
      <c r="N618" s="186">
        <f t="shared" si="47"/>
        <v>0.37356464144298934</v>
      </c>
      <c r="O618" s="160">
        <f t="shared" si="48"/>
        <v>0.37356464144298934</v>
      </c>
      <c r="P618" s="63"/>
    </row>
    <row r="619" spans="1:16" hidden="1">
      <c r="A619" s="152" t="s">
        <v>39</v>
      </c>
      <c r="B619" s="34" t="s">
        <v>237</v>
      </c>
      <c r="C619" s="40" t="s">
        <v>139</v>
      </c>
      <c r="D619" s="34" t="s">
        <v>88</v>
      </c>
      <c r="E619" s="260">
        <v>0.15479999999999999</v>
      </c>
      <c r="F619" s="235">
        <v>1</v>
      </c>
      <c r="G619" s="40" t="s">
        <v>140</v>
      </c>
      <c r="H619" s="29">
        <v>2</v>
      </c>
      <c r="I619" s="9">
        <v>2</v>
      </c>
      <c r="J619" s="9">
        <v>2</v>
      </c>
      <c r="K619" s="9">
        <v>1</v>
      </c>
      <c r="L619" s="9">
        <v>1</v>
      </c>
      <c r="M619" s="9">
        <v>2</v>
      </c>
      <c r="N619" s="186">
        <f t="shared" si="47"/>
        <v>0.37356464144298934</v>
      </c>
      <c r="O619" s="160">
        <f t="shared" si="48"/>
        <v>0.37356464144298934</v>
      </c>
      <c r="P619" s="63"/>
    </row>
    <row r="620" spans="1:16" hidden="1">
      <c r="A620" s="152" t="s">
        <v>39</v>
      </c>
      <c r="B620" s="34" t="s">
        <v>237</v>
      </c>
      <c r="C620" s="40" t="s">
        <v>139</v>
      </c>
      <c r="D620" s="34" t="s">
        <v>89</v>
      </c>
      <c r="E620" s="260">
        <v>1</v>
      </c>
      <c r="F620" s="235">
        <v>1</v>
      </c>
      <c r="G620" s="40" t="s">
        <v>140</v>
      </c>
      <c r="H620" s="29"/>
      <c r="I620" s="9"/>
      <c r="J620" s="9"/>
      <c r="K620" s="9"/>
      <c r="L620" s="9"/>
      <c r="M620" s="9"/>
      <c r="N620" s="186" t="str">
        <f t="shared" si="47"/>
        <v/>
      </c>
      <c r="O620" s="160" t="str">
        <f t="shared" si="48"/>
        <v/>
      </c>
      <c r="P620" s="63"/>
    </row>
    <row r="621" spans="1:16" hidden="1">
      <c r="A621" s="152" t="s">
        <v>39</v>
      </c>
      <c r="B621" s="34" t="s">
        <v>237</v>
      </c>
      <c r="C621" s="40" t="s">
        <v>139</v>
      </c>
      <c r="D621" s="34" t="s">
        <v>90</v>
      </c>
      <c r="E621" s="260">
        <v>0.375</v>
      </c>
      <c r="F621" s="235">
        <v>1</v>
      </c>
      <c r="G621" s="40" t="s">
        <v>140</v>
      </c>
      <c r="H621" s="29">
        <v>2</v>
      </c>
      <c r="I621" s="9">
        <v>2</v>
      </c>
      <c r="J621" s="9">
        <v>2</v>
      </c>
      <c r="K621" s="9">
        <v>1</v>
      </c>
      <c r="L621" s="9">
        <v>1</v>
      </c>
      <c r="M621" s="9">
        <v>2</v>
      </c>
      <c r="N621" s="186">
        <f t="shared" si="47"/>
        <v>0.37356464144298934</v>
      </c>
      <c r="O621" s="160">
        <f t="shared" si="48"/>
        <v>0.37356464144298934</v>
      </c>
      <c r="P621" s="63"/>
    </row>
    <row r="622" spans="1:16" hidden="1">
      <c r="A622" s="152" t="s">
        <v>39</v>
      </c>
      <c r="B622" s="34" t="s">
        <v>237</v>
      </c>
      <c r="C622" s="40" t="s">
        <v>139</v>
      </c>
      <c r="D622" s="34" t="s">
        <v>91</v>
      </c>
      <c r="E622" s="260">
        <v>5.9700000000000003E-2</v>
      </c>
      <c r="F622" s="235">
        <v>1</v>
      </c>
      <c r="G622" s="40" t="s">
        <v>140</v>
      </c>
      <c r="H622" s="29">
        <v>2</v>
      </c>
      <c r="I622" s="9">
        <v>2</v>
      </c>
      <c r="J622" s="9">
        <v>2</v>
      </c>
      <c r="K622" s="9">
        <v>1</v>
      </c>
      <c r="L622" s="9">
        <v>1</v>
      </c>
      <c r="M622" s="9">
        <v>2</v>
      </c>
      <c r="N622" s="186">
        <f t="shared" si="47"/>
        <v>0.37356464144298934</v>
      </c>
      <c r="O622" s="160">
        <f t="shared" si="48"/>
        <v>0.37356464144298934</v>
      </c>
      <c r="P622" s="63"/>
    </row>
    <row r="623" spans="1:16" hidden="1">
      <c r="A623" s="152" t="s">
        <v>39</v>
      </c>
      <c r="B623" s="34" t="s">
        <v>237</v>
      </c>
      <c r="C623" s="40" t="s">
        <v>139</v>
      </c>
      <c r="D623" s="34" t="s">
        <v>98</v>
      </c>
      <c r="E623" s="260">
        <v>0.36860068259385664</v>
      </c>
      <c r="F623" s="235">
        <v>1</v>
      </c>
      <c r="G623" s="40" t="s">
        <v>141</v>
      </c>
      <c r="H623" s="29">
        <v>2</v>
      </c>
      <c r="I623" s="9">
        <v>1</v>
      </c>
      <c r="J623" s="9">
        <v>2</v>
      </c>
      <c r="K623" s="9">
        <v>2</v>
      </c>
      <c r="L623" s="9">
        <v>1</v>
      </c>
      <c r="M623" s="9">
        <v>2</v>
      </c>
      <c r="N623" s="186">
        <f t="shared" si="47"/>
        <v>0.38795788889711302</v>
      </c>
      <c r="O623" s="160">
        <f t="shared" si="48"/>
        <v>0.37356464144298934</v>
      </c>
      <c r="P623" s="63"/>
    </row>
    <row r="624" spans="1:16" hidden="1">
      <c r="A624" s="152" t="s">
        <v>121</v>
      </c>
      <c r="B624" s="34" t="s">
        <v>152</v>
      </c>
      <c r="C624" s="40" t="s">
        <v>139</v>
      </c>
      <c r="D624" s="34" t="s">
        <v>86</v>
      </c>
      <c r="E624" s="260">
        <v>0</v>
      </c>
      <c r="F624" s="235">
        <v>1</v>
      </c>
      <c r="G624" s="40"/>
      <c r="H624" s="29"/>
      <c r="I624" s="9"/>
      <c r="J624" s="9"/>
      <c r="K624" s="9"/>
      <c r="L624" s="9"/>
      <c r="M624" s="9"/>
      <c r="N624" s="186" t="str">
        <f t="shared" si="47"/>
        <v/>
      </c>
      <c r="O624" s="160" t="str">
        <f t="shared" si="48"/>
        <v/>
      </c>
      <c r="P624" s="63"/>
    </row>
    <row r="625" spans="1:16" hidden="1">
      <c r="A625" s="152" t="s">
        <v>121</v>
      </c>
      <c r="B625" s="34" t="s">
        <v>152</v>
      </c>
      <c r="C625" s="40" t="s">
        <v>139</v>
      </c>
      <c r="D625" s="34" t="s">
        <v>87</v>
      </c>
      <c r="E625" s="260">
        <v>0.14328135279788046</v>
      </c>
      <c r="F625" s="235">
        <v>1</v>
      </c>
      <c r="G625" s="40"/>
      <c r="H625" s="29">
        <v>3</v>
      </c>
      <c r="I625" s="9">
        <v>3</v>
      </c>
      <c r="J625" s="9">
        <v>2</v>
      </c>
      <c r="K625" s="9">
        <v>2</v>
      </c>
      <c r="L625" s="9">
        <v>1</v>
      </c>
      <c r="M625" s="9">
        <v>2</v>
      </c>
      <c r="N625" s="186">
        <f t="shared" si="47"/>
        <v>0.50042652380814845</v>
      </c>
      <c r="O625" s="160">
        <f t="shared" si="48"/>
        <v>0.50042652380814845</v>
      </c>
      <c r="P625" s="63"/>
    </row>
    <row r="626" spans="1:16" hidden="1">
      <c r="A626" s="152" t="s">
        <v>121</v>
      </c>
      <c r="B626" s="34" t="s">
        <v>152</v>
      </c>
      <c r="C626" s="40" t="s">
        <v>139</v>
      </c>
      <c r="D626" s="34" t="s">
        <v>88</v>
      </c>
      <c r="E626" s="260">
        <v>0</v>
      </c>
      <c r="F626" s="235">
        <v>1</v>
      </c>
      <c r="G626" s="40"/>
      <c r="H626" s="29"/>
      <c r="I626" s="9"/>
      <c r="J626" s="9"/>
      <c r="K626" s="9"/>
      <c r="L626" s="9"/>
      <c r="M626" s="9"/>
      <c r="N626" s="186" t="str">
        <f t="shared" si="47"/>
        <v/>
      </c>
      <c r="O626" s="160" t="str">
        <f t="shared" si="48"/>
        <v/>
      </c>
      <c r="P626" s="63"/>
    </row>
    <row r="627" spans="1:16" hidden="1">
      <c r="A627" s="152" t="s">
        <v>121</v>
      </c>
      <c r="B627" s="34" t="s">
        <v>152</v>
      </c>
      <c r="C627" s="40" t="s">
        <v>139</v>
      </c>
      <c r="D627" s="34" t="s">
        <v>89</v>
      </c>
      <c r="E627" s="260">
        <v>0</v>
      </c>
      <c r="F627" s="235">
        <v>1</v>
      </c>
      <c r="G627" s="40"/>
      <c r="H627" s="29"/>
      <c r="I627" s="9"/>
      <c r="J627" s="9"/>
      <c r="K627" s="9"/>
      <c r="L627" s="9"/>
      <c r="M627" s="9"/>
      <c r="N627" s="186" t="str">
        <f t="shared" si="47"/>
        <v/>
      </c>
      <c r="O627" s="160" t="str">
        <f t="shared" si="48"/>
        <v/>
      </c>
      <c r="P627" s="63"/>
    </row>
    <row r="628" spans="1:16" hidden="1">
      <c r="A628" s="152" t="s">
        <v>121</v>
      </c>
      <c r="B628" s="34" t="s">
        <v>152</v>
      </c>
      <c r="C628" s="40" t="s">
        <v>139</v>
      </c>
      <c r="D628" s="34" t="s">
        <v>90</v>
      </c>
      <c r="E628" s="260">
        <v>0</v>
      </c>
      <c r="F628" s="235">
        <v>1</v>
      </c>
      <c r="G628" s="40"/>
      <c r="H628" s="29"/>
      <c r="I628" s="9"/>
      <c r="J628" s="9"/>
      <c r="K628" s="9"/>
      <c r="L628" s="9"/>
      <c r="M628" s="9"/>
      <c r="N628" s="186" t="str">
        <f t="shared" si="47"/>
        <v/>
      </c>
      <c r="O628" s="160" t="str">
        <f t="shared" si="48"/>
        <v/>
      </c>
      <c r="P628" s="63"/>
    </row>
    <row r="629" spans="1:16" hidden="1">
      <c r="A629" s="152" t="s">
        <v>121</v>
      </c>
      <c r="B629" s="34" t="s">
        <v>152</v>
      </c>
      <c r="C629" s="40" t="s">
        <v>139</v>
      </c>
      <c r="D629" s="34" t="s">
        <v>91</v>
      </c>
      <c r="E629" s="260">
        <v>0.15050289033535363</v>
      </c>
      <c r="F629" s="235">
        <v>1</v>
      </c>
      <c r="G629" s="40"/>
      <c r="H629" s="29">
        <v>3</v>
      </c>
      <c r="I629" s="9">
        <v>3</v>
      </c>
      <c r="J629" s="9">
        <v>2</v>
      </c>
      <c r="K629" s="9">
        <v>2</v>
      </c>
      <c r="L629" s="9">
        <v>1</v>
      </c>
      <c r="M629" s="9">
        <v>2</v>
      </c>
      <c r="N629" s="186">
        <f t="shared" si="47"/>
        <v>0.50042652380814845</v>
      </c>
      <c r="O629" s="160">
        <f t="shared" si="48"/>
        <v>0.50042652380814845</v>
      </c>
      <c r="P629" s="63"/>
    </row>
    <row r="630" spans="1:16" hidden="1">
      <c r="A630" s="152" t="s">
        <v>121</v>
      </c>
      <c r="B630" s="34" t="s">
        <v>152</v>
      </c>
      <c r="C630" s="40" t="s">
        <v>139</v>
      </c>
      <c r="D630" s="34" t="s">
        <v>95</v>
      </c>
      <c r="E630" s="260">
        <v>0.11589508747504616</v>
      </c>
      <c r="F630" s="235">
        <v>1</v>
      </c>
      <c r="G630" s="40"/>
      <c r="H630" s="29">
        <v>3</v>
      </c>
      <c r="I630" s="9">
        <v>4</v>
      </c>
      <c r="J630" s="9">
        <v>2</v>
      </c>
      <c r="K630" s="9">
        <v>2</v>
      </c>
      <c r="L630" s="9">
        <v>1</v>
      </c>
      <c r="M630" s="9">
        <v>2</v>
      </c>
      <c r="N630" s="186">
        <f t="shared" si="47"/>
        <v>0.50042652380814845</v>
      </c>
      <c r="O630" s="160">
        <f t="shared" si="48"/>
        <v>1.0776024280428556</v>
      </c>
      <c r="P630" s="63"/>
    </row>
    <row r="631" spans="1:16" hidden="1">
      <c r="A631" s="152" t="s">
        <v>121</v>
      </c>
      <c r="B631" s="34" t="s">
        <v>152</v>
      </c>
      <c r="C631" s="40" t="s">
        <v>139</v>
      </c>
      <c r="D631" s="34" t="s">
        <v>99</v>
      </c>
      <c r="E631" s="260">
        <v>0</v>
      </c>
      <c r="F631" s="235">
        <v>1</v>
      </c>
      <c r="G631" s="40"/>
      <c r="H631" s="29"/>
      <c r="I631" s="9"/>
      <c r="J631" s="9"/>
      <c r="K631" s="9"/>
      <c r="L631" s="9"/>
      <c r="M631" s="9"/>
      <c r="N631" s="186" t="str">
        <f t="shared" ref="N631:N661" si="49">IF( OR( ISBLANK(H631),ISBLANK(J631), ISBLANK(K631), ISBLANK(L631), ISBLANK(M631) ), "", 1.5*SQRT(   EXP(2.21*(H631-1)) + EXP(2.21*(J631-1)) + EXP(2.21*(K631-1)) + EXP(2.21*(L631-1)) + EXP(2.21*M631)   )/100*2.45 )</f>
        <v/>
      </c>
      <c r="O631" s="160" t="str">
        <f t="shared" ref="O631:O661" si="50">IF( OR( ISBLANK(I631),ISBLANK(J631), ISBLANK(K631), ISBLANK(L631), ISBLANK(M631) ), "", 1.5*SQRT( EXP(2.21*(I631-1)) + EXP(2.21*(J631-1)) + EXP(2.21*(K631-1)) + EXP(2.21*(L631-1)) + EXP(2.21*M631)   )/100*2.45 )</f>
        <v/>
      </c>
      <c r="P631" s="63"/>
    </row>
    <row r="632" spans="1:16" hidden="1">
      <c r="A632" s="152" t="s">
        <v>121</v>
      </c>
      <c r="B632" s="34" t="s">
        <v>170</v>
      </c>
      <c r="C632" s="40" t="s">
        <v>139</v>
      </c>
      <c r="D632" s="34" t="s">
        <v>85</v>
      </c>
      <c r="E632" s="260">
        <v>0</v>
      </c>
      <c r="F632" s="235">
        <v>1</v>
      </c>
      <c r="G632" s="40"/>
      <c r="H632" s="29"/>
      <c r="I632" s="9"/>
      <c r="J632" s="9"/>
      <c r="K632" s="9"/>
      <c r="L632" s="9"/>
      <c r="M632" s="9"/>
      <c r="N632" s="186" t="str">
        <f t="shared" si="49"/>
        <v/>
      </c>
      <c r="O632" s="160" t="str">
        <f t="shared" si="50"/>
        <v/>
      </c>
      <c r="P632" s="63"/>
    </row>
    <row r="633" spans="1:16" hidden="1">
      <c r="A633" s="152" t="s">
        <v>228</v>
      </c>
      <c r="B633" s="34" t="s">
        <v>231</v>
      </c>
      <c r="C633" s="40" t="s">
        <v>139</v>
      </c>
      <c r="D633" s="34" t="s">
        <v>139</v>
      </c>
      <c r="E633" s="260">
        <v>0.52205999999999997</v>
      </c>
      <c r="F633" s="235">
        <v>2</v>
      </c>
      <c r="G633" s="40" t="s">
        <v>373</v>
      </c>
      <c r="H633" s="29">
        <v>3</v>
      </c>
      <c r="I633" s="9"/>
      <c r="J633" s="9">
        <v>3</v>
      </c>
      <c r="K633" s="9">
        <v>3</v>
      </c>
      <c r="L633" s="9">
        <v>3</v>
      </c>
      <c r="M633" s="9">
        <v>3</v>
      </c>
      <c r="N633" s="186">
        <f t="shared" si="49"/>
        <v>1.2132328390150593</v>
      </c>
      <c r="O633" s="160" t="str">
        <f t="shared" si="50"/>
        <v/>
      </c>
      <c r="P633" s="63" t="s">
        <v>374</v>
      </c>
    </row>
    <row r="634" spans="1:16" hidden="1">
      <c r="A634" s="152" t="s">
        <v>228</v>
      </c>
      <c r="B634" s="34" t="s">
        <v>231</v>
      </c>
      <c r="C634" s="40" t="s">
        <v>139</v>
      </c>
      <c r="D634" s="34" t="s">
        <v>139</v>
      </c>
      <c r="E634" s="260">
        <v>0.19137000000000001</v>
      </c>
      <c r="F634" s="235">
        <v>2</v>
      </c>
      <c r="G634" s="40" t="s">
        <v>373</v>
      </c>
      <c r="H634" s="29">
        <v>3</v>
      </c>
      <c r="I634" s="9"/>
      <c r="J634" s="9">
        <v>3</v>
      </c>
      <c r="K634" s="9">
        <v>3</v>
      </c>
      <c r="L634" s="9">
        <v>3</v>
      </c>
      <c r="M634" s="9">
        <v>3</v>
      </c>
      <c r="N634" s="186">
        <f t="shared" si="49"/>
        <v>1.2132328390150593</v>
      </c>
      <c r="O634" s="160" t="str">
        <f t="shared" si="50"/>
        <v/>
      </c>
      <c r="P634" s="63" t="s">
        <v>375</v>
      </c>
    </row>
    <row r="635" spans="1:16" hidden="1">
      <c r="A635" s="152" t="s">
        <v>228</v>
      </c>
      <c r="B635" s="34" t="s">
        <v>231</v>
      </c>
      <c r="C635" s="40" t="s">
        <v>139</v>
      </c>
      <c r="D635" s="34" t="s">
        <v>139</v>
      </c>
      <c r="E635" s="260">
        <v>0.11433</v>
      </c>
      <c r="F635" s="235">
        <v>2</v>
      </c>
      <c r="G635" s="40" t="s">
        <v>373</v>
      </c>
      <c r="H635" s="29">
        <v>3</v>
      </c>
      <c r="I635" s="9"/>
      <c r="J635" s="9">
        <v>3</v>
      </c>
      <c r="K635" s="9">
        <v>3</v>
      </c>
      <c r="L635" s="9">
        <v>3</v>
      </c>
      <c r="M635" s="9">
        <v>3</v>
      </c>
      <c r="N635" s="186">
        <f t="shared" si="49"/>
        <v>1.2132328390150593</v>
      </c>
      <c r="O635" s="160" t="str">
        <f t="shared" si="50"/>
        <v/>
      </c>
      <c r="P635" s="63" t="s">
        <v>376</v>
      </c>
    </row>
    <row r="636" spans="1:16" hidden="1">
      <c r="A636" s="152" t="s">
        <v>228</v>
      </c>
      <c r="B636" s="34" t="s">
        <v>231</v>
      </c>
      <c r="C636" s="40" t="s">
        <v>139</v>
      </c>
      <c r="D636" s="34" t="s">
        <v>139</v>
      </c>
      <c r="E636" s="260">
        <v>0.25267000000000001</v>
      </c>
      <c r="F636" s="235">
        <v>2</v>
      </c>
      <c r="G636" s="40" t="s">
        <v>373</v>
      </c>
      <c r="H636" s="29">
        <v>3</v>
      </c>
      <c r="I636" s="9"/>
      <c r="J636" s="9">
        <v>3</v>
      </c>
      <c r="K636" s="9">
        <v>3</v>
      </c>
      <c r="L636" s="9">
        <v>3</v>
      </c>
      <c r="M636" s="9">
        <v>3</v>
      </c>
      <c r="N636" s="186">
        <f t="shared" si="49"/>
        <v>1.2132328390150593</v>
      </c>
      <c r="O636" s="160" t="str">
        <f t="shared" si="50"/>
        <v/>
      </c>
      <c r="P636" s="63" t="s">
        <v>377</v>
      </c>
    </row>
    <row r="637" spans="1:16" hidden="1">
      <c r="A637" s="152" t="s">
        <v>270</v>
      </c>
      <c r="B637" s="34" t="s">
        <v>301</v>
      </c>
      <c r="C637" s="40" t="s">
        <v>139</v>
      </c>
      <c r="D637" s="34" t="s">
        <v>139</v>
      </c>
      <c r="E637" s="870">
        <v>0.02</v>
      </c>
      <c r="F637" s="34">
        <v>2</v>
      </c>
      <c r="G637" s="40" t="s">
        <v>302</v>
      </c>
      <c r="H637" s="29">
        <v>2</v>
      </c>
      <c r="I637" s="9">
        <v>2</v>
      </c>
      <c r="J637" s="9">
        <v>2</v>
      </c>
      <c r="K637" s="9">
        <v>2</v>
      </c>
      <c r="L637" s="9">
        <v>1</v>
      </c>
      <c r="M637" s="9">
        <v>1</v>
      </c>
      <c r="N637" s="186">
        <f t="shared" si="49"/>
        <v>0.2249354160293616</v>
      </c>
      <c r="O637" s="160">
        <f t="shared" si="50"/>
        <v>0.2249354160293616</v>
      </c>
      <c r="P637" s="857"/>
    </row>
    <row r="638" spans="1:16" hidden="1">
      <c r="A638" s="152" t="s">
        <v>275</v>
      </c>
      <c r="B638" s="34" t="s">
        <v>378</v>
      </c>
      <c r="C638" s="40" t="s">
        <v>139</v>
      </c>
      <c r="D638" s="34" t="s">
        <v>139</v>
      </c>
      <c r="E638" s="870">
        <v>0.9</v>
      </c>
      <c r="F638" s="34">
        <v>1</v>
      </c>
      <c r="G638" s="40" t="s">
        <v>379</v>
      </c>
      <c r="H638" s="29">
        <v>1</v>
      </c>
      <c r="I638" s="9">
        <v>3</v>
      </c>
      <c r="J638" s="9">
        <v>2</v>
      </c>
      <c r="K638" s="9">
        <v>1</v>
      </c>
      <c r="L638" s="9">
        <v>1</v>
      </c>
      <c r="M638" s="9">
        <v>2</v>
      </c>
      <c r="N638" s="186">
        <f t="shared" si="49"/>
        <v>0.35859414261160716</v>
      </c>
      <c r="O638" s="160">
        <f t="shared" si="50"/>
        <v>0.48935255543384243</v>
      </c>
      <c r="P638" s="857"/>
    </row>
    <row r="639" spans="1:16" hidden="1">
      <c r="A639" s="152" t="s">
        <v>275</v>
      </c>
      <c r="B639" s="34" t="s">
        <v>258</v>
      </c>
      <c r="C639" s="40" t="s">
        <v>139</v>
      </c>
      <c r="D639" s="34" t="s">
        <v>139</v>
      </c>
      <c r="E639" s="870">
        <v>0.1</v>
      </c>
      <c r="F639" s="34">
        <v>1</v>
      </c>
      <c r="G639" s="40" t="s">
        <v>379</v>
      </c>
      <c r="H639" s="29">
        <v>1</v>
      </c>
      <c r="I639" s="9">
        <v>3</v>
      </c>
      <c r="J639" s="9">
        <v>2</v>
      </c>
      <c r="K639" s="9">
        <v>1</v>
      </c>
      <c r="L639" s="9">
        <v>1</v>
      </c>
      <c r="M639" s="9">
        <v>2</v>
      </c>
      <c r="N639" s="186">
        <f t="shared" si="49"/>
        <v>0.35859414261160716</v>
      </c>
      <c r="O639" s="160">
        <f t="shared" si="50"/>
        <v>0.48935255543384243</v>
      </c>
      <c r="P639" s="857"/>
    </row>
    <row r="640" spans="1:16" hidden="1">
      <c r="A640" s="152" t="s">
        <v>271</v>
      </c>
      <c r="B640" s="34" t="s">
        <v>380</v>
      </c>
      <c r="C640" s="40" t="s">
        <v>139</v>
      </c>
      <c r="D640" s="34" t="s">
        <v>139</v>
      </c>
      <c r="E640" s="870" t="s">
        <v>150</v>
      </c>
      <c r="F640" s="34">
        <v>1</v>
      </c>
      <c r="G640" s="40"/>
      <c r="H640" s="29"/>
      <c r="I640" s="9"/>
      <c r="J640" s="9"/>
      <c r="K640" s="9"/>
      <c r="L640" s="9"/>
      <c r="M640" s="9"/>
      <c r="N640" s="186" t="str">
        <f t="shared" si="49"/>
        <v/>
      </c>
      <c r="O640" s="160" t="str">
        <f t="shared" si="50"/>
        <v/>
      </c>
      <c r="P640" s="857"/>
    </row>
    <row r="641" spans="1:16" hidden="1">
      <c r="A641" s="152" t="s">
        <v>271</v>
      </c>
      <c r="B641" s="34" t="s">
        <v>231</v>
      </c>
      <c r="C641" s="40" t="s">
        <v>139</v>
      </c>
      <c r="D641" s="34" t="s">
        <v>139</v>
      </c>
      <c r="E641" s="870">
        <v>0.05</v>
      </c>
      <c r="F641" s="34">
        <v>2</v>
      </c>
      <c r="G641" s="40" t="s">
        <v>276</v>
      </c>
      <c r="H641" s="29">
        <v>1</v>
      </c>
      <c r="I641" s="9">
        <v>2</v>
      </c>
      <c r="J641" s="9">
        <v>1</v>
      </c>
      <c r="K641" s="9">
        <v>1</v>
      </c>
      <c r="L641" s="9">
        <v>2</v>
      </c>
      <c r="M641" s="9">
        <v>3</v>
      </c>
      <c r="N641" s="186">
        <f t="shared" si="49"/>
        <v>1.0195048044558224</v>
      </c>
      <c r="O641" s="160">
        <f t="shared" si="50"/>
        <v>1.0248662490928169</v>
      </c>
      <c r="P641" s="857"/>
    </row>
    <row r="642" spans="1:16" hidden="1">
      <c r="A642" s="152" t="s">
        <v>271</v>
      </c>
      <c r="B642" s="34" t="s">
        <v>231</v>
      </c>
      <c r="C642" s="40" t="s">
        <v>139</v>
      </c>
      <c r="D642" s="34" t="s">
        <v>139</v>
      </c>
      <c r="E642" s="870">
        <v>0.1</v>
      </c>
      <c r="F642" s="34">
        <v>2</v>
      </c>
      <c r="G642" s="871" t="s">
        <v>277</v>
      </c>
      <c r="H642" s="29">
        <v>1</v>
      </c>
      <c r="I642" s="9">
        <v>2</v>
      </c>
      <c r="J642" s="9">
        <v>2</v>
      </c>
      <c r="K642" s="9">
        <v>1</v>
      </c>
      <c r="L642" s="9">
        <v>2</v>
      </c>
      <c r="M642" s="9">
        <v>3</v>
      </c>
      <c r="N642" s="186">
        <f t="shared" si="49"/>
        <v>1.0248662490928169</v>
      </c>
      <c r="O642" s="160">
        <f t="shared" si="50"/>
        <v>1.0301997916669636</v>
      </c>
      <c r="P642" s="857"/>
    </row>
    <row r="643" spans="1:16" hidden="1">
      <c r="A643" s="152" t="s">
        <v>271</v>
      </c>
      <c r="B643" s="34" t="s">
        <v>301</v>
      </c>
      <c r="C643" s="40" t="s">
        <v>139</v>
      </c>
      <c r="D643" s="34" t="s">
        <v>139</v>
      </c>
      <c r="E643" s="870">
        <v>0.8</v>
      </c>
      <c r="F643" s="34">
        <v>2</v>
      </c>
      <c r="G643" s="40" t="s">
        <v>381</v>
      </c>
      <c r="H643" s="29">
        <v>1</v>
      </c>
      <c r="I643" s="9">
        <v>2</v>
      </c>
      <c r="J643" s="9">
        <v>1</v>
      </c>
      <c r="K643" s="9">
        <v>1</v>
      </c>
      <c r="L643" s="9">
        <v>3</v>
      </c>
      <c r="M643" s="9">
        <v>3</v>
      </c>
      <c r="N643" s="186">
        <f t="shared" si="49"/>
        <v>1.0673825127299523</v>
      </c>
      <c r="O643" s="160">
        <f t="shared" si="50"/>
        <v>1.0725046436742278</v>
      </c>
      <c r="P643" s="857"/>
    </row>
    <row r="644" spans="1:16" hidden="1">
      <c r="A644" s="152" t="s">
        <v>271</v>
      </c>
      <c r="B644" s="34" t="s">
        <v>301</v>
      </c>
      <c r="C644" s="40" t="s">
        <v>139</v>
      </c>
      <c r="D644" s="34" t="s">
        <v>139</v>
      </c>
      <c r="E644" s="870">
        <v>0.9</v>
      </c>
      <c r="F644" s="34">
        <v>2</v>
      </c>
      <c r="G644" s="40" t="s">
        <v>379</v>
      </c>
      <c r="H644" s="29">
        <v>1</v>
      </c>
      <c r="I644" s="9">
        <v>2</v>
      </c>
      <c r="J644" s="9">
        <v>1</v>
      </c>
      <c r="K644" s="9">
        <v>1</v>
      </c>
      <c r="L644" s="9">
        <v>3</v>
      </c>
      <c r="M644" s="9">
        <v>3</v>
      </c>
      <c r="N644" s="186">
        <f t="shared" si="49"/>
        <v>1.0673825127299523</v>
      </c>
      <c r="O644" s="160">
        <f t="shared" si="50"/>
        <v>1.0725046436742278</v>
      </c>
      <c r="P644" s="857"/>
    </row>
    <row r="645" spans="1:16" hidden="1">
      <c r="A645" s="152" t="s">
        <v>121</v>
      </c>
      <c r="B645" s="34" t="s">
        <v>170</v>
      </c>
      <c r="C645" s="40" t="s">
        <v>139</v>
      </c>
      <c r="D645" s="34" t="s">
        <v>86</v>
      </c>
      <c r="E645" s="260">
        <v>0</v>
      </c>
      <c r="F645" s="235">
        <v>1</v>
      </c>
      <c r="G645" s="40"/>
      <c r="H645" s="29"/>
      <c r="I645" s="9"/>
      <c r="J645" s="9"/>
      <c r="K645" s="9"/>
      <c r="L645" s="9"/>
      <c r="M645" s="9"/>
      <c r="N645" s="186" t="str">
        <f t="shared" si="49"/>
        <v/>
      </c>
      <c r="O645" s="160" t="str">
        <f t="shared" si="50"/>
        <v/>
      </c>
      <c r="P645" s="63"/>
    </row>
    <row r="646" spans="1:16" hidden="1">
      <c r="A646" s="292" t="s">
        <v>360</v>
      </c>
      <c r="B646" s="55" t="s">
        <v>231</v>
      </c>
      <c r="C646" s="265" t="s">
        <v>139</v>
      </c>
      <c r="D646" s="55" t="s">
        <v>139</v>
      </c>
      <c r="E646" s="260">
        <v>3.8461538461538457E-2</v>
      </c>
      <c r="F646" s="235">
        <v>2</v>
      </c>
      <c r="G646" s="265" t="s">
        <v>163</v>
      </c>
      <c r="H646" s="29">
        <v>2</v>
      </c>
      <c r="I646" s="9">
        <v>2</v>
      </c>
      <c r="J646" s="9">
        <v>2</v>
      </c>
      <c r="K646" s="9">
        <v>2</v>
      </c>
      <c r="L646" s="9">
        <v>2</v>
      </c>
      <c r="M646" s="9">
        <v>2</v>
      </c>
      <c r="N646" s="186">
        <f t="shared" si="49"/>
        <v>0.40183591897512122</v>
      </c>
      <c r="O646" s="160">
        <f t="shared" si="50"/>
        <v>0.40183591897512122</v>
      </c>
      <c r="P646" s="63" t="s">
        <v>357</v>
      </c>
    </row>
    <row r="647" spans="1:16" hidden="1">
      <c r="A647" s="292" t="s">
        <v>360</v>
      </c>
      <c r="B647" s="55" t="s">
        <v>231</v>
      </c>
      <c r="C647" s="265" t="s">
        <v>139</v>
      </c>
      <c r="D647" s="55" t="s">
        <v>139</v>
      </c>
      <c r="E647" s="260">
        <v>0.4623655913978495</v>
      </c>
      <c r="F647" s="235">
        <v>2</v>
      </c>
      <c r="G647" s="265" t="s">
        <v>163</v>
      </c>
      <c r="H647" s="29">
        <v>2</v>
      </c>
      <c r="I647" s="9">
        <v>2</v>
      </c>
      <c r="J647" s="9">
        <v>2</v>
      </c>
      <c r="K647" s="9">
        <v>2</v>
      </c>
      <c r="L647" s="9">
        <v>2</v>
      </c>
      <c r="M647" s="9">
        <v>2</v>
      </c>
      <c r="N647" s="186">
        <f t="shared" si="49"/>
        <v>0.40183591897512122</v>
      </c>
      <c r="O647" s="160">
        <f t="shared" si="50"/>
        <v>0.40183591897512122</v>
      </c>
      <c r="P647" s="63" t="s">
        <v>358</v>
      </c>
    </row>
    <row r="648" spans="1:16" hidden="1">
      <c r="A648" s="152" t="s">
        <v>200</v>
      </c>
      <c r="B648" s="34" t="s">
        <v>244</v>
      </c>
      <c r="C648" s="40" t="s">
        <v>139</v>
      </c>
      <c r="D648" s="34" t="s">
        <v>139</v>
      </c>
      <c r="E648" s="260">
        <v>2.1505376344086021E-3</v>
      </c>
      <c r="F648" s="235">
        <v>1</v>
      </c>
      <c r="G648" s="40" t="s">
        <v>145</v>
      </c>
      <c r="H648" s="29">
        <v>2</v>
      </c>
      <c r="I648" s="9">
        <v>2</v>
      </c>
      <c r="J648" s="9">
        <v>2</v>
      </c>
      <c r="K648" s="9">
        <v>3</v>
      </c>
      <c r="L648" s="9">
        <v>1</v>
      </c>
      <c r="M648" s="9">
        <v>2</v>
      </c>
      <c r="N648" s="186">
        <f t="shared" si="49"/>
        <v>0.50042652380814845</v>
      </c>
      <c r="O648" s="160">
        <f t="shared" si="50"/>
        <v>0.50042652380814845</v>
      </c>
      <c r="P648" s="63" t="s">
        <v>382</v>
      </c>
    </row>
    <row r="649" spans="1:16" hidden="1">
      <c r="A649" s="152" t="s">
        <v>201</v>
      </c>
      <c r="B649" s="34" t="s">
        <v>244</v>
      </c>
      <c r="C649" s="40" t="s">
        <v>139</v>
      </c>
      <c r="D649" s="34" t="s">
        <v>85</v>
      </c>
      <c r="E649" s="260">
        <v>1.075268817204301E-2</v>
      </c>
      <c r="F649" s="235">
        <v>1</v>
      </c>
      <c r="G649" s="40" t="s">
        <v>145</v>
      </c>
      <c r="H649" s="29">
        <v>2</v>
      </c>
      <c r="I649" s="9">
        <v>2</v>
      </c>
      <c r="J649" s="9">
        <v>2</v>
      </c>
      <c r="K649" s="9">
        <v>3</v>
      </c>
      <c r="L649" s="9">
        <v>1</v>
      </c>
      <c r="M649" s="9">
        <v>2</v>
      </c>
      <c r="N649" s="186">
        <f t="shared" si="49"/>
        <v>0.50042652380814845</v>
      </c>
      <c r="O649" s="160">
        <f t="shared" si="50"/>
        <v>0.50042652380814845</v>
      </c>
      <c r="P649" s="63" t="s">
        <v>382</v>
      </c>
    </row>
    <row r="650" spans="1:16" hidden="1">
      <c r="A650" s="152" t="s">
        <v>201</v>
      </c>
      <c r="B650" s="34" t="s">
        <v>244</v>
      </c>
      <c r="C650" s="40" t="s">
        <v>139</v>
      </c>
      <c r="D650" s="34" t="s">
        <v>86</v>
      </c>
      <c r="E650" s="260">
        <v>0.5376344086021505</v>
      </c>
      <c r="F650" s="235">
        <v>1</v>
      </c>
      <c r="G650" s="40" t="s">
        <v>145</v>
      </c>
      <c r="H650" s="29">
        <v>2</v>
      </c>
      <c r="I650" s="9">
        <v>2</v>
      </c>
      <c r="J650" s="9">
        <v>2</v>
      </c>
      <c r="K650" s="9">
        <v>3</v>
      </c>
      <c r="L650" s="9">
        <v>1</v>
      </c>
      <c r="M650" s="9">
        <v>2</v>
      </c>
      <c r="N650" s="186">
        <f t="shared" si="49"/>
        <v>0.50042652380814845</v>
      </c>
      <c r="O650" s="160">
        <f t="shared" si="50"/>
        <v>0.50042652380814845</v>
      </c>
      <c r="P650" s="63" t="s">
        <v>382</v>
      </c>
    </row>
    <row r="651" spans="1:16" hidden="1">
      <c r="A651" s="152" t="s">
        <v>201</v>
      </c>
      <c r="B651" s="34" t="s">
        <v>244</v>
      </c>
      <c r="C651" s="40" t="s">
        <v>139</v>
      </c>
      <c r="D651" s="34" t="s">
        <v>87</v>
      </c>
      <c r="E651" s="260">
        <v>1.075268817204301E-2</v>
      </c>
      <c r="F651" s="235">
        <v>1</v>
      </c>
      <c r="G651" s="40" t="s">
        <v>145</v>
      </c>
      <c r="H651" s="29">
        <v>2</v>
      </c>
      <c r="I651" s="9">
        <v>2</v>
      </c>
      <c r="J651" s="9">
        <v>2</v>
      </c>
      <c r="K651" s="9">
        <v>3</v>
      </c>
      <c r="L651" s="9">
        <v>1</v>
      </c>
      <c r="M651" s="9">
        <v>2</v>
      </c>
      <c r="N651" s="186">
        <f t="shared" si="49"/>
        <v>0.50042652380814845</v>
      </c>
      <c r="O651" s="160">
        <f t="shared" si="50"/>
        <v>0.50042652380814845</v>
      </c>
      <c r="P651" s="63" t="s">
        <v>382</v>
      </c>
    </row>
    <row r="652" spans="1:16" hidden="1">
      <c r="A652" s="152" t="s">
        <v>201</v>
      </c>
      <c r="B652" s="34" t="s">
        <v>244</v>
      </c>
      <c r="C652" s="40" t="s">
        <v>139</v>
      </c>
      <c r="D652" s="34" t="s">
        <v>88</v>
      </c>
      <c r="E652" s="260">
        <v>1.075268817204301E-2</v>
      </c>
      <c r="F652" s="235">
        <v>1</v>
      </c>
      <c r="G652" s="40" t="s">
        <v>145</v>
      </c>
      <c r="H652" s="29">
        <v>2</v>
      </c>
      <c r="I652" s="9">
        <v>2</v>
      </c>
      <c r="J652" s="9">
        <v>2</v>
      </c>
      <c r="K652" s="9">
        <v>3</v>
      </c>
      <c r="L652" s="9">
        <v>1</v>
      </c>
      <c r="M652" s="9">
        <v>2</v>
      </c>
      <c r="N652" s="186">
        <f t="shared" si="49"/>
        <v>0.50042652380814845</v>
      </c>
      <c r="O652" s="160">
        <f t="shared" si="50"/>
        <v>0.50042652380814845</v>
      </c>
      <c r="P652" s="63" t="s">
        <v>382</v>
      </c>
    </row>
    <row r="653" spans="1:16" hidden="1">
      <c r="A653" s="152" t="s">
        <v>201</v>
      </c>
      <c r="B653" s="34" t="s">
        <v>244</v>
      </c>
      <c r="C653" s="40" t="s">
        <v>139</v>
      </c>
      <c r="D653" s="34" t="s">
        <v>89</v>
      </c>
      <c r="E653" s="260">
        <v>1.075268817204301E-2</v>
      </c>
      <c r="F653" s="235">
        <v>1</v>
      </c>
      <c r="G653" s="40" t="s">
        <v>145</v>
      </c>
      <c r="H653" s="29">
        <v>2</v>
      </c>
      <c r="I653" s="9">
        <v>2</v>
      </c>
      <c r="J653" s="9">
        <v>2</v>
      </c>
      <c r="K653" s="9">
        <v>3</v>
      </c>
      <c r="L653" s="9">
        <v>1</v>
      </c>
      <c r="M653" s="9">
        <v>2</v>
      </c>
      <c r="N653" s="186">
        <f t="shared" si="49"/>
        <v>0.50042652380814845</v>
      </c>
      <c r="O653" s="160">
        <f t="shared" si="50"/>
        <v>0.50042652380814845</v>
      </c>
      <c r="P653" s="63" t="s">
        <v>382</v>
      </c>
    </row>
    <row r="654" spans="1:16" hidden="1">
      <c r="A654" s="152" t="s">
        <v>201</v>
      </c>
      <c r="B654" s="34" t="s">
        <v>244</v>
      </c>
      <c r="C654" s="40" t="s">
        <v>139</v>
      </c>
      <c r="D654" s="34" t="s">
        <v>90</v>
      </c>
      <c r="E654" s="260">
        <v>1.075268817204301E-2</v>
      </c>
      <c r="F654" s="235">
        <v>1</v>
      </c>
      <c r="G654" s="40" t="s">
        <v>145</v>
      </c>
      <c r="H654" s="29">
        <v>2</v>
      </c>
      <c r="I654" s="9">
        <v>2</v>
      </c>
      <c r="J654" s="9">
        <v>2</v>
      </c>
      <c r="K654" s="9">
        <v>3</v>
      </c>
      <c r="L654" s="9">
        <v>1</v>
      </c>
      <c r="M654" s="9">
        <v>2</v>
      </c>
      <c r="N654" s="186">
        <f t="shared" si="49"/>
        <v>0.50042652380814845</v>
      </c>
      <c r="O654" s="160">
        <f t="shared" si="50"/>
        <v>0.50042652380814845</v>
      </c>
      <c r="P654" s="63" t="s">
        <v>382</v>
      </c>
    </row>
    <row r="655" spans="1:16" hidden="1">
      <c r="A655" s="152" t="s">
        <v>201</v>
      </c>
      <c r="B655" s="34" t="s">
        <v>244</v>
      </c>
      <c r="C655" s="40" t="s">
        <v>139</v>
      </c>
      <c r="D655" s="34" t="s">
        <v>91</v>
      </c>
      <c r="E655" s="260">
        <v>0.82</v>
      </c>
      <c r="F655" s="235">
        <v>1</v>
      </c>
      <c r="G655" s="40" t="s">
        <v>383</v>
      </c>
      <c r="H655" s="29">
        <v>2</v>
      </c>
      <c r="I655" s="9">
        <v>2</v>
      </c>
      <c r="J655" s="9">
        <v>1</v>
      </c>
      <c r="K655" s="9">
        <v>1</v>
      </c>
      <c r="L655" s="9">
        <v>1</v>
      </c>
      <c r="M655" s="9">
        <v>1</v>
      </c>
      <c r="N655" s="186">
        <f t="shared" si="49"/>
        <v>0.16933510251023262</v>
      </c>
      <c r="O655" s="160">
        <f t="shared" si="50"/>
        <v>0.16933510251023262</v>
      </c>
      <c r="P655" s="63"/>
    </row>
    <row r="656" spans="1:16" hidden="1">
      <c r="A656" s="152" t="s">
        <v>202</v>
      </c>
      <c r="B656" s="34" t="s">
        <v>244</v>
      </c>
      <c r="C656" s="40" t="s">
        <v>139</v>
      </c>
      <c r="D656" s="34" t="s">
        <v>139</v>
      </c>
      <c r="E656" s="260">
        <v>0</v>
      </c>
      <c r="F656" s="235">
        <v>1</v>
      </c>
      <c r="G656" s="40" t="s">
        <v>145</v>
      </c>
      <c r="H656" s="29"/>
      <c r="I656" s="9"/>
      <c r="J656" s="9"/>
      <c r="K656" s="9"/>
      <c r="L656" s="9"/>
      <c r="M656" s="9"/>
      <c r="N656" s="186" t="str">
        <f t="shared" si="49"/>
        <v/>
      </c>
      <c r="O656" s="160" t="str">
        <f t="shared" si="50"/>
        <v/>
      </c>
      <c r="P656" s="63"/>
    </row>
    <row r="657" spans="1:16" hidden="1">
      <c r="A657" s="152" t="s">
        <v>235</v>
      </c>
      <c r="B657" s="34" t="s">
        <v>244</v>
      </c>
      <c r="C657" s="40" t="s">
        <v>139</v>
      </c>
      <c r="D657" s="34" t="s">
        <v>139</v>
      </c>
      <c r="E657" s="260">
        <v>0.32258064516129031</v>
      </c>
      <c r="F657" s="235">
        <v>1</v>
      </c>
      <c r="G657" s="40" t="s">
        <v>145</v>
      </c>
      <c r="H657" s="29">
        <v>2</v>
      </c>
      <c r="I657" s="9">
        <v>2</v>
      </c>
      <c r="J657" s="9">
        <v>2</v>
      </c>
      <c r="K657" s="9">
        <v>3</v>
      </c>
      <c r="L657" s="9">
        <v>1</v>
      </c>
      <c r="M657" s="9">
        <v>2</v>
      </c>
      <c r="N657" s="186">
        <f t="shared" si="49"/>
        <v>0.50042652380814845</v>
      </c>
      <c r="O657" s="160">
        <f t="shared" si="50"/>
        <v>0.50042652380814845</v>
      </c>
      <c r="P657" s="63" t="s">
        <v>382</v>
      </c>
    </row>
    <row r="658" spans="1:16" hidden="1">
      <c r="A658" s="152" t="s">
        <v>203</v>
      </c>
      <c r="B658" s="34" t="s">
        <v>244</v>
      </c>
      <c r="C658" s="40" t="s">
        <v>139</v>
      </c>
      <c r="D658" s="34" t="s">
        <v>139</v>
      </c>
      <c r="E658" s="260">
        <v>1.075268817204301E-2</v>
      </c>
      <c r="F658" s="235">
        <v>1</v>
      </c>
      <c r="G658" s="40" t="s">
        <v>145</v>
      </c>
      <c r="H658" s="29">
        <v>2</v>
      </c>
      <c r="I658" s="9">
        <v>2</v>
      </c>
      <c r="J658" s="9">
        <v>2</v>
      </c>
      <c r="K658" s="9">
        <v>3</v>
      </c>
      <c r="L658" s="9">
        <v>1</v>
      </c>
      <c r="M658" s="9">
        <v>2</v>
      </c>
      <c r="N658" s="186">
        <f t="shared" si="49"/>
        <v>0.50042652380814845</v>
      </c>
      <c r="O658" s="160">
        <f t="shared" si="50"/>
        <v>0.50042652380814845</v>
      </c>
      <c r="P658" s="63" t="s">
        <v>382</v>
      </c>
    </row>
    <row r="659" spans="1:16" hidden="1">
      <c r="A659" s="152" t="s">
        <v>236</v>
      </c>
      <c r="B659" s="34" t="s">
        <v>244</v>
      </c>
      <c r="C659" s="40" t="s">
        <v>139</v>
      </c>
      <c r="D659" s="34" t="s">
        <v>139</v>
      </c>
      <c r="E659" s="260">
        <v>0.32258064516129031</v>
      </c>
      <c r="F659" s="235">
        <v>1</v>
      </c>
      <c r="G659" s="40" t="s">
        <v>145</v>
      </c>
      <c r="H659" s="29">
        <v>2</v>
      </c>
      <c r="I659" s="9">
        <v>2</v>
      </c>
      <c r="J659" s="9">
        <v>2</v>
      </c>
      <c r="K659" s="9">
        <v>3</v>
      </c>
      <c r="L659" s="9">
        <v>1</v>
      </c>
      <c r="M659" s="9">
        <v>2</v>
      </c>
      <c r="N659" s="186">
        <f t="shared" si="49"/>
        <v>0.50042652380814845</v>
      </c>
      <c r="O659" s="160">
        <f t="shared" si="50"/>
        <v>0.50042652380814845</v>
      </c>
      <c r="P659" s="63" t="s">
        <v>382</v>
      </c>
    </row>
    <row r="660" spans="1:16" hidden="1">
      <c r="A660" s="152" t="s">
        <v>237</v>
      </c>
      <c r="B660" s="34" t="s">
        <v>244</v>
      </c>
      <c r="C660" s="40" t="s">
        <v>139</v>
      </c>
      <c r="D660" s="34" t="s">
        <v>85</v>
      </c>
      <c r="E660" s="260">
        <v>6.4516129032258063E-2</v>
      </c>
      <c r="F660" s="235">
        <v>1</v>
      </c>
      <c r="G660" s="40" t="s">
        <v>145</v>
      </c>
      <c r="H660" s="29">
        <v>2</v>
      </c>
      <c r="I660" s="9">
        <v>2</v>
      </c>
      <c r="J660" s="9">
        <v>2</v>
      </c>
      <c r="K660" s="9">
        <v>3</v>
      </c>
      <c r="L660" s="9">
        <v>1</v>
      </c>
      <c r="M660" s="9">
        <v>2</v>
      </c>
      <c r="N660" s="186">
        <f t="shared" si="49"/>
        <v>0.50042652380814845</v>
      </c>
      <c r="O660" s="160">
        <f t="shared" si="50"/>
        <v>0.50042652380814845</v>
      </c>
      <c r="P660" s="63" t="s">
        <v>382</v>
      </c>
    </row>
    <row r="661" spans="1:16" hidden="1">
      <c r="A661" s="152" t="s">
        <v>237</v>
      </c>
      <c r="B661" s="34" t="s">
        <v>244</v>
      </c>
      <c r="C661" s="40" t="s">
        <v>139</v>
      </c>
      <c r="D661" s="34" t="s">
        <v>86</v>
      </c>
      <c r="E661" s="260">
        <v>6.4516129032258063E-2</v>
      </c>
      <c r="F661" s="235">
        <v>1</v>
      </c>
      <c r="G661" s="40" t="s">
        <v>145</v>
      </c>
      <c r="H661" s="29">
        <v>2</v>
      </c>
      <c r="I661" s="9">
        <v>2</v>
      </c>
      <c r="J661" s="9">
        <v>2</v>
      </c>
      <c r="K661" s="9">
        <v>3</v>
      </c>
      <c r="L661" s="9">
        <v>1</v>
      </c>
      <c r="M661" s="9">
        <v>2</v>
      </c>
      <c r="N661" s="186">
        <f t="shared" si="49"/>
        <v>0.50042652380814845</v>
      </c>
      <c r="O661" s="160">
        <f t="shared" si="50"/>
        <v>0.50042652380814845</v>
      </c>
      <c r="P661" s="63" t="s">
        <v>382</v>
      </c>
    </row>
    <row r="662" spans="1:16" hidden="1">
      <c r="A662" s="152" t="s">
        <v>237</v>
      </c>
      <c r="B662" s="34" t="s">
        <v>244</v>
      </c>
      <c r="C662" s="40" t="s">
        <v>139</v>
      </c>
      <c r="D662" s="34" t="s">
        <v>87</v>
      </c>
      <c r="E662" s="260">
        <v>6.4516129032258063E-2</v>
      </c>
      <c r="F662" s="235">
        <v>1</v>
      </c>
      <c r="G662" s="40" t="s">
        <v>145</v>
      </c>
      <c r="H662" s="29">
        <v>2</v>
      </c>
      <c r="I662" s="9">
        <v>2</v>
      </c>
      <c r="J662" s="9">
        <v>2</v>
      </c>
      <c r="K662" s="9">
        <v>3</v>
      </c>
      <c r="L662" s="9">
        <v>1</v>
      </c>
      <c r="M662" s="9">
        <v>2</v>
      </c>
      <c r="N662" s="186">
        <f t="shared" ref="N662:N693" si="51">IF( OR( ISBLANK(H662),ISBLANK(J662), ISBLANK(K662), ISBLANK(L662), ISBLANK(M662) ), "", 1.5*SQRT(   EXP(2.21*(H662-1)) + EXP(2.21*(J662-1)) + EXP(2.21*(K662-1)) + EXP(2.21*(L662-1)) + EXP(2.21*M662)   )/100*2.45 )</f>
        <v>0.50042652380814845</v>
      </c>
      <c r="O662" s="160">
        <f t="shared" ref="O662:O693" si="52">IF( OR( ISBLANK(I662),ISBLANK(J662), ISBLANK(K662), ISBLANK(L662), ISBLANK(M662) ), "", 1.5*SQRT( EXP(2.21*(I662-1)) + EXP(2.21*(J662-1)) + EXP(2.21*(K662-1)) + EXP(2.21*(L662-1)) + EXP(2.21*M662)   )/100*2.45 )</f>
        <v>0.50042652380814845</v>
      </c>
      <c r="P662" s="63" t="s">
        <v>382</v>
      </c>
    </row>
    <row r="663" spans="1:16" hidden="1">
      <c r="A663" s="152" t="s">
        <v>237</v>
      </c>
      <c r="B663" s="34" t="s">
        <v>244</v>
      </c>
      <c r="C663" s="40" t="s">
        <v>139</v>
      </c>
      <c r="D663" s="34" t="s">
        <v>88</v>
      </c>
      <c r="E663" s="260">
        <v>6.4516129032258063E-2</v>
      </c>
      <c r="F663" s="235">
        <v>1</v>
      </c>
      <c r="G663" s="40" t="s">
        <v>145</v>
      </c>
      <c r="H663" s="29">
        <v>2</v>
      </c>
      <c r="I663" s="9">
        <v>2</v>
      </c>
      <c r="J663" s="9">
        <v>2</v>
      </c>
      <c r="K663" s="9">
        <v>3</v>
      </c>
      <c r="L663" s="9">
        <v>1</v>
      </c>
      <c r="M663" s="9">
        <v>2</v>
      </c>
      <c r="N663" s="186">
        <f t="shared" si="51"/>
        <v>0.50042652380814845</v>
      </c>
      <c r="O663" s="160">
        <f t="shared" si="52"/>
        <v>0.50042652380814845</v>
      </c>
      <c r="P663" s="63" t="s">
        <v>382</v>
      </c>
    </row>
    <row r="664" spans="1:16" hidden="1">
      <c r="A664" s="152" t="s">
        <v>237</v>
      </c>
      <c r="B664" s="34" t="s">
        <v>244</v>
      </c>
      <c r="C664" s="40" t="s">
        <v>139</v>
      </c>
      <c r="D664" s="34" t="s">
        <v>89</v>
      </c>
      <c r="E664" s="260">
        <v>6.4516129032258063E-2</v>
      </c>
      <c r="F664" s="235">
        <v>1</v>
      </c>
      <c r="G664" s="40" t="s">
        <v>145</v>
      </c>
      <c r="H664" s="29">
        <v>2</v>
      </c>
      <c r="I664" s="9">
        <v>2</v>
      </c>
      <c r="J664" s="9">
        <v>2</v>
      </c>
      <c r="K664" s="9">
        <v>3</v>
      </c>
      <c r="L664" s="9">
        <v>1</v>
      </c>
      <c r="M664" s="9">
        <v>2</v>
      </c>
      <c r="N664" s="186">
        <f t="shared" si="51"/>
        <v>0.50042652380814845</v>
      </c>
      <c r="O664" s="160">
        <f t="shared" si="52"/>
        <v>0.50042652380814845</v>
      </c>
      <c r="P664" s="63" t="s">
        <v>382</v>
      </c>
    </row>
    <row r="665" spans="1:16" hidden="1">
      <c r="A665" s="152" t="s">
        <v>237</v>
      </c>
      <c r="B665" s="34" t="s">
        <v>244</v>
      </c>
      <c r="C665" s="40" t="s">
        <v>139</v>
      </c>
      <c r="D665" s="34" t="s">
        <v>90</v>
      </c>
      <c r="E665" s="260">
        <v>6.4516129032258063E-2</v>
      </c>
      <c r="F665" s="235">
        <v>1</v>
      </c>
      <c r="G665" s="40" t="s">
        <v>145</v>
      </c>
      <c r="H665" s="29">
        <v>2</v>
      </c>
      <c r="I665" s="9">
        <v>2</v>
      </c>
      <c r="J665" s="9">
        <v>2</v>
      </c>
      <c r="K665" s="9">
        <v>3</v>
      </c>
      <c r="L665" s="9">
        <v>1</v>
      </c>
      <c r="M665" s="9">
        <v>2</v>
      </c>
      <c r="N665" s="186">
        <f t="shared" si="51"/>
        <v>0.50042652380814845</v>
      </c>
      <c r="O665" s="160">
        <f t="shared" si="52"/>
        <v>0.50042652380814845</v>
      </c>
      <c r="P665" s="63" t="s">
        <v>382</v>
      </c>
    </row>
    <row r="666" spans="1:16" hidden="1">
      <c r="A666" s="152" t="s">
        <v>237</v>
      </c>
      <c r="B666" s="34" t="s">
        <v>244</v>
      </c>
      <c r="C666" s="40" t="s">
        <v>139</v>
      </c>
      <c r="D666" s="34" t="s">
        <v>91</v>
      </c>
      <c r="E666" s="260">
        <v>6.4516129032258063E-2</v>
      </c>
      <c r="F666" s="235">
        <v>1</v>
      </c>
      <c r="G666" s="40" t="s">
        <v>145</v>
      </c>
      <c r="H666" s="29">
        <v>2</v>
      </c>
      <c r="I666" s="9">
        <v>2</v>
      </c>
      <c r="J666" s="9">
        <v>2</v>
      </c>
      <c r="K666" s="9">
        <v>3</v>
      </c>
      <c r="L666" s="9">
        <v>1</v>
      </c>
      <c r="M666" s="9">
        <v>2</v>
      </c>
      <c r="N666" s="186">
        <f t="shared" si="51"/>
        <v>0.50042652380814845</v>
      </c>
      <c r="O666" s="160">
        <f t="shared" si="52"/>
        <v>0.50042652380814845</v>
      </c>
      <c r="P666" s="63" t="s">
        <v>382</v>
      </c>
    </row>
    <row r="667" spans="1:16" hidden="1">
      <c r="A667" s="152" t="s">
        <v>244</v>
      </c>
      <c r="B667" s="34" t="s">
        <v>283</v>
      </c>
      <c r="C667" s="40" t="s">
        <v>139</v>
      </c>
      <c r="D667" s="34" t="s">
        <v>139</v>
      </c>
      <c r="E667" s="260" t="s">
        <v>150</v>
      </c>
      <c r="F667" s="235">
        <v>1</v>
      </c>
      <c r="G667" s="40"/>
      <c r="H667" s="29"/>
      <c r="I667" s="9"/>
      <c r="J667" s="9"/>
      <c r="K667" s="9"/>
      <c r="L667" s="9"/>
      <c r="M667" s="9"/>
      <c r="N667" s="186" t="str">
        <f t="shared" si="51"/>
        <v/>
      </c>
      <c r="O667" s="160" t="str">
        <f t="shared" si="52"/>
        <v/>
      </c>
      <c r="P667" s="63"/>
    </row>
    <row r="668" spans="1:16" hidden="1">
      <c r="A668" s="152" t="s">
        <v>121</v>
      </c>
      <c r="B668" s="34" t="s">
        <v>170</v>
      </c>
      <c r="C668" s="40" t="s">
        <v>139</v>
      </c>
      <c r="D668" s="34" t="s">
        <v>87</v>
      </c>
      <c r="E668" s="260">
        <v>5.3557140062945638E-2</v>
      </c>
      <c r="F668" s="235">
        <v>1</v>
      </c>
      <c r="G668" s="40"/>
      <c r="H668" s="29">
        <v>3</v>
      </c>
      <c r="I668" s="9">
        <v>3</v>
      </c>
      <c r="J668" s="9">
        <v>2</v>
      </c>
      <c r="K668" s="9">
        <v>2</v>
      </c>
      <c r="L668" s="9">
        <v>1</v>
      </c>
      <c r="M668" s="9">
        <v>2</v>
      </c>
      <c r="N668" s="186">
        <f t="shared" si="51"/>
        <v>0.50042652380814845</v>
      </c>
      <c r="O668" s="160">
        <f t="shared" si="52"/>
        <v>0.50042652380814845</v>
      </c>
      <c r="P668" s="63"/>
    </row>
    <row r="669" spans="1:16" hidden="1">
      <c r="A669" s="152" t="s">
        <v>121</v>
      </c>
      <c r="B669" s="34" t="s">
        <v>170</v>
      </c>
      <c r="C669" s="40" t="s">
        <v>139</v>
      </c>
      <c r="D669" s="34" t="s">
        <v>88</v>
      </c>
      <c r="E669" s="260">
        <v>0</v>
      </c>
      <c r="F669" s="235">
        <v>1</v>
      </c>
      <c r="G669" s="40"/>
      <c r="H669" s="29"/>
      <c r="I669" s="9"/>
      <c r="J669" s="9"/>
      <c r="K669" s="9"/>
      <c r="L669" s="9"/>
      <c r="M669" s="9"/>
      <c r="N669" s="186" t="str">
        <f t="shared" si="51"/>
        <v/>
      </c>
      <c r="O669" s="160" t="str">
        <f t="shared" si="52"/>
        <v/>
      </c>
      <c r="P669" s="63"/>
    </row>
    <row r="670" spans="1:16" hidden="1">
      <c r="A670" s="152" t="s">
        <v>121</v>
      </c>
      <c r="B670" s="34" t="s">
        <v>170</v>
      </c>
      <c r="C670" s="40" t="s">
        <v>139</v>
      </c>
      <c r="D670" s="34" t="s">
        <v>89</v>
      </c>
      <c r="E670" s="260">
        <v>0</v>
      </c>
      <c r="F670" s="235">
        <v>1</v>
      </c>
      <c r="G670" s="40"/>
      <c r="H670" s="29"/>
      <c r="I670" s="9"/>
      <c r="J670" s="9"/>
      <c r="K670" s="9"/>
      <c r="L670" s="9"/>
      <c r="M670" s="9"/>
      <c r="N670" s="186" t="str">
        <f t="shared" si="51"/>
        <v/>
      </c>
      <c r="O670" s="160" t="str">
        <f t="shared" si="52"/>
        <v/>
      </c>
      <c r="P670" s="63"/>
    </row>
    <row r="671" spans="1:16" hidden="1">
      <c r="A671" s="152" t="s">
        <v>121</v>
      </c>
      <c r="B671" s="34" t="s">
        <v>170</v>
      </c>
      <c r="C671" s="40" t="s">
        <v>139</v>
      </c>
      <c r="D671" s="34" t="s">
        <v>90</v>
      </c>
      <c r="E671" s="260">
        <v>0</v>
      </c>
      <c r="F671" s="235">
        <v>1</v>
      </c>
      <c r="G671" s="40"/>
      <c r="H671" s="29"/>
      <c r="I671" s="9"/>
      <c r="J671" s="9"/>
      <c r="K671" s="9"/>
      <c r="L671" s="9"/>
      <c r="M671" s="9"/>
      <c r="N671" s="186" t="str">
        <f t="shared" si="51"/>
        <v/>
      </c>
      <c r="O671" s="160" t="str">
        <f t="shared" si="52"/>
        <v/>
      </c>
      <c r="P671" s="63"/>
    </row>
    <row r="672" spans="1:16" hidden="1">
      <c r="A672" s="152" t="s">
        <v>121</v>
      </c>
      <c r="B672" s="34" t="s">
        <v>170</v>
      </c>
      <c r="C672" s="40" t="s">
        <v>139</v>
      </c>
      <c r="D672" s="34" t="s">
        <v>91</v>
      </c>
      <c r="E672" s="260">
        <v>5.6256478740392787E-2</v>
      </c>
      <c r="F672" s="235">
        <v>1</v>
      </c>
      <c r="G672" s="40"/>
      <c r="H672" s="29">
        <v>3</v>
      </c>
      <c r="I672" s="9">
        <v>3</v>
      </c>
      <c r="J672" s="9">
        <v>2</v>
      </c>
      <c r="K672" s="9">
        <v>2</v>
      </c>
      <c r="L672" s="9">
        <v>1</v>
      </c>
      <c r="M672" s="9">
        <v>2</v>
      </c>
      <c r="N672" s="186">
        <f t="shared" si="51"/>
        <v>0.50042652380814845</v>
      </c>
      <c r="O672" s="160">
        <f t="shared" si="52"/>
        <v>0.50042652380814845</v>
      </c>
      <c r="P672" s="63"/>
    </row>
    <row r="673" spans="1:16" hidden="1">
      <c r="A673" s="152" t="s">
        <v>121</v>
      </c>
      <c r="B673" s="34" t="s">
        <v>170</v>
      </c>
      <c r="C673" s="40" t="s">
        <v>139</v>
      </c>
      <c r="D673" s="34" t="s">
        <v>95</v>
      </c>
      <c r="E673" s="260">
        <v>4.3320427336167665E-2</v>
      </c>
      <c r="F673" s="235">
        <v>1</v>
      </c>
      <c r="G673" s="40"/>
      <c r="H673" s="29">
        <v>3</v>
      </c>
      <c r="I673" s="9">
        <v>3</v>
      </c>
      <c r="J673" s="9">
        <v>2</v>
      </c>
      <c r="K673" s="9">
        <v>2</v>
      </c>
      <c r="L673" s="9">
        <v>1</v>
      </c>
      <c r="M673" s="9">
        <v>2</v>
      </c>
      <c r="N673" s="186">
        <f t="shared" si="51"/>
        <v>0.50042652380814845</v>
      </c>
      <c r="O673" s="160">
        <f t="shared" si="52"/>
        <v>0.50042652380814845</v>
      </c>
      <c r="P673" s="63"/>
    </row>
    <row r="674" spans="1:16" hidden="1">
      <c r="A674" s="152" t="s">
        <v>121</v>
      </c>
      <c r="B674" s="34" t="s">
        <v>170</v>
      </c>
      <c r="C674" s="40" t="s">
        <v>139</v>
      </c>
      <c r="D674" s="34" t="s">
        <v>99</v>
      </c>
      <c r="E674" s="260">
        <v>0</v>
      </c>
      <c r="F674" s="235">
        <v>1</v>
      </c>
      <c r="G674" s="40"/>
      <c r="H674" s="29"/>
      <c r="I674" s="9"/>
      <c r="J674" s="9"/>
      <c r="K674" s="9"/>
      <c r="L674" s="9"/>
      <c r="M674" s="9"/>
      <c r="N674" s="186" t="str">
        <f t="shared" si="51"/>
        <v/>
      </c>
      <c r="O674" s="160" t="str">
        <f t="shared" si="52"/>
        <v/>
      </c>
      <c r="P674" s="63"/>
    </row>
    <row r="675" spans="1:16" hidden="1">
      <c r="A675" s="152" t="s">
        <v>121</v>
      </c>
      <c r="B675" s="34" t="s">
        <v>185</v>
      </c>
      <c r="C675" s="40" t="s">
        <v>139</v>
      </c>
      <c r="D675" s="34" t="s">
        <v>85</v>
      </c>
      <c r="E675" s="260">
        <v>0</v>
      </c>
      <c r="F675" s="235">
        <v>1</v>
      </c>
      <c r="G675" s="40"/>
      <c r="H675" s="29"/>
      <c r="I675" s="9"/>
      <c r="J675" s="9"/>
      <c r="K675" s="9"/>
      <c r="L675" s="9"/>
      <c r="M675" s="9"/>
      <c r="N675" s="186" t="str">
        <f t="shared" si="51"/>
        <v/>
      </c>
      <c r="O675" s="160" t="str">
        <f t="shared" si="52"/>
        <v/>
      </c>
      <c r="P675" s="63"/>
    </row>
    <row r="676" spans="1:16" hidden="1">
      <c r="A676" s="152" t="s">
        <v>121</v>
      </c>
      <c r="B676" s="34" t="s">
        <v>185</v>
      </c>
      <c r="C676" s="40" t="s">
        <v>139</v>
      </c>
      <c r="D676" s="34" t="s">
        <v>86</v>
      </c>
      <c r="E676" s="260">
        <v>1</v>
      </c>
      <c r="F676" s="235">
        <v>1</v>
      </c>
      <c r="G676" s="40"/>
      <c r="H676" s="29">
        <v>2</v>
      </c>
      <c r="I676" s="9">
        <v>2</v>
      </c>
      <c r="J676" s="9">
        <v>2</v>
      </c>
      <c r="K676" s="9">
        <v>2</v>
      </c>
      <c r="L676" s="9">
        <v>1</v>
      </c>
      <c r="M676" s="9">
        <v>2</v>
      </c>
      <c r="N676" s="186">
        <f t="shared" si="51"/>
        <v>0.38795788889711302</v>
      </c>
      <c r="O676" s="160">
        <f t="shared" si="52"/>
        <v>0.38795788889711302</v>
      </c>
      <c r="P676" s="63"/>
    </row>
    <row r="677" spans="1:16" hidden="1">
      <c r="A677" s="152" t="s">
        <v>37</v>
      </c>
      <c r="B677" s="34" t="s">
        <v>354</v>
      </c>
      <c r="C677" s="40" t="s">
        <v>139</v>
      </c>
      <c r="D677" s="34" t="s">
        <v>85</v>
      </c>
      <c r="E677" s="260">
        <f>Intentionally_produced_MPs!B127</f>
        <v>0</v>
      </c>
      <c r="F677" s="235">
        <v>1</v>
      </c>
      <c r="G677" s="40"/>
      <c r="H677" s="29"/>
      <c r="I677" s="9"/>
      <c r="J677" s="9"/>
      <c r="K677" s="9"/>
      <c r="L677" s="9"/>
      <c r="M677" s="9"/>
      <c r="N677" s="186" t="str">
        <f t="shared" si="51"/>
        <v/>
      </c>
      <c r="O677" s="160" t="str">
        <f t="shared" si="52"/>
        <v/>
      </c>
      <c r="P677" s="63"/>
    </row>
    <row r="678" spans="1:16" hidden="1">
      <c r="A678" s="152" t="s">
        <v>37</v>
      </c>
      <c r="B678" s="34" t="s">
        <v>354</v>
      </c>
      <c r="C678" s="40" t="s">
        <v>139</v>
      </c>
      <c r="D678" s="34" t="s">
        <v>86</v>
      </c>
      <c r="E678" s="260">
        <f>Intentionally_produced_MPs!B128</f>
        <v>0.27128102999855674</v>
      </c>
      <c r="F678" s="235">
        <v>1</v>
      </c>
      <c r="G678" s="40"/>
      <c r="H678" s="29">
        <v>3</v>
      </c>
      <c r="I678" s="9">
        <v>2</v>
      </c>
      <c r="J678" s="9">
        <v>3</v>
      </c>
      <c r="K678" s="9">
        <v>3</v>
      </c>
      <c r="L678" s="9">
        <v>3</v>
      </c>
      <c r="M678" s="9">
        <v>3</v>
      </c>
      <c r="N678" s="186">
        <f t="shared" si="51"/>
        <v>1.2132328390150593</v>
      </c>
      <c r="O678" s="160">
        <f t="shared" si="52"/>
        <v>1.1713319510247036</v>
      </c>
      <c r="P678" s="63" t="s">
        <v>384</v>
      </c>
    </row>
    <row r="679" spans="1:16" hidden="1">
      <c r="A679" s="152" t="s">
        <v>37</v>
      </c>
      <c r="B679" s="34" t="s">
        <v>354</v>
      </c>
      <c r="C679" s="40" t="s">
        <v>139</v>
      </c>
      <c r="D679" s="34" t="s">
        <v>87</v>
      </c>
      <c r="E679" s="260">
        <f>Intentionally_produced_MPs!B129</f>
        <v>0</v>
      </c>
      <c r="F679" s="235">
        <v>1</v>
      </c>
      <c r="G679" s="40"/>
      <c r="H679" s="29"/>
      <c r="I679" s="9"/>
      <c r="J679" s="9"/>
      <c r="K679" s="9"/>
      <c r="L679" s="9"/>
      <c r="M679" s="9"/>
      <c r="N679" s="186" t="str">
        <f t="shared" si="51"/>
        <v/>
      </c>
      <c r="O679" s="160" t="str">
        <f t="shared" si="52"/>
        <v/>
      </c>
      <c r="P679" s="63"/>
    </row>
    <row r="680" spans="1:16" hidden="1">
      <c r="A680" s="152" t="s">
        <v>37</v>
      </c>
      <c r="B680" s="34" t="s">
        <v>354</v>
      </c>
      <c r="C680" s="40" t="s">
        <v>139</v>
      </c>
      <c r="D680" s="34" t="s">
        <v>88</v>
      </c>
      <c r="E680" s="260">
        <f>Intentionally_produced_MPs!B130</f>
        <v>0</v>
      </c>
      <c r="F680" s="235">
        <v>1</v>
      </c>
      <c r="G680" s="40"/>
      <c r="H680" s="29"/>
      <c r="I680" s="9"/>
      <c r="J680" s="9"/>
      <c r="K680" s="9"/>
      <c r="L680" s="9"/>
      <c r="M680" s="9"/>
      <c r="N680" s="186" t="str">
        <f t="shared" si="51"/>
        <v/>
      </c>
      <c r="O680" s="160" t="str">
        <f t="shared" si="52"/>
        <v/>
      </c>
      <c r="P680" s="63"/>
    </row>
    <row r="681" spans="1:16" hidden="1">
      <c r="A681" s="152" t="s">
        <v>37</v>
      </c>
      <c r="B681" s="34" t="s">
        <v>354</v>
      </c>
      <c r="C681" s="40" t="s">
        <v>139</v>
      </c>
      <c r="D681" s="34" t="s">
        <v>89</v>
      </c>
      <c r="E681" s="260">
        <f>Intentionally_produced_MPs!B131</f>
        <v>0</v>
      </c>
      <c r="F681" s="235">
        <v>1</v>
      </c>
      <c r="G681" s="40"/>
      <c r="H681" s="29"/>
      <c r="I681" s="9"/>
      <c r="J681" s="9"/>
      <c r="K681" s="9"/>
      <c r="L681" s="9"/>
      <c r="M681" s="9"/>
      <c r="N681" s="186" t="str">
        <f t="shared" si="51"/>
        <v/>
      </c>
      <c r="O681" s="160" t="str">
        <f t="shared" si="52"/>
        <v/>
      </c>
      <c r="P681" s="63"/>
    </row>
    <row r="682" spans="1:16" hidden="1">
      <c r="A682" s="152" t="s">
        <v>37</v>
      </c>
      <c r="B682" s="34" t="s">
        <v>354</v>
      </c>
      <c r="C682" s="40" t="s">
        <v>139</v>
      </c>
      <c r="D682" s="34" t="s">
        <v>90</v>
      </c>
      <c r="E682" s="260">
        <f>Intentionally_produced_MPs!B132</f>
        <v>0</v>
      </c>
      <c r="F682" s="235">
        <v>1</v>
      </c>
      <c r="G682" s="40"/>
      <c r="H682" s="29"/>
      <c r="I682" s="9"/>
      <c r="J682" s="9"/>
      <c r="K682" s="9"/>
      <c r="L682" s="9"/>
      <c r="M682" s="9"/>
      <c r="N682" s="186" t="str">
        <f t="shared" si="51"/>
        <v/>
      </c>
      <c r="O682" s="160" t="str">
        <f t="shared" si="52"/>
        <v/>
      </c>
      <c r="P682" s="63"/>
    </row>
    <row r="683" spans="1:16" hidden="1">
      <c r="A683" s="152" t="s">
        <v>37</v>
      </c>
      <c r="B683" s="34" t="s">
        <v>354</v>
      </c>
      <c r="C683" s="40" t="s">
        <v>139</v>
      </c>
      <c r="D683" s="34" t="s">
        <v>91</v>
      </c>
      <c r="E683" s="260">
        <f>Intentionally_produced_MPs!B133</f>
        <v>0</v>
      </c>
      <c r="F683" s="235">
        <v>1</v>
      </c>
      <c r="G683" s="40"/>
      <c r="H683" s="29"/>
      <c r="I683" s="9"/>
      <c r="J683" s="9"/>
      <c r="K683" s="9"/>
      <c r="L683" s="9"/>
      <c r="M683" s="9"/>
      <c r="N683" s="186" t="str">
        <f t="shared" si="51"/>
        <v/>
      </c>
      <c r="O683" s="160" t="str">
        <f t="shared" si="52"/>
        <v/>
      </c>
      <c r="P683" s="63"/>
    </row>
    <row r="684" spans="1:16" hidden="1">
      <c r="A684" s="152" t="s">
        <v>37</v>
      </c>
      <c r="B684" s="34" t="s">
        <v>354</v>
      </c>
      <c r="C684" s="40" t="s">
        <v>139</v>
      </c>
      <c r="D684" s="34" t="s">
        <v>92</v>
      </c>
      <c r="E684" s="260">
        <f>Intentionally_produced_MPs!B134</f>
        <v>0</v>
      </c>
      <c r="F684" s="235">
        <v>1</v>
      </c>
      <c r="G684" s="40"/>
      <c r="H684" s="29"/>
      <c r="I684" s="9"/>
      <c r="J684" s="9"/>
      <c r="K684" s="9"/>
      <c r="L684" s="9"/>
      <c r="M684" s="9"/>
      <c r="N684" s="186" t="str">
        <f t="shared" si="51"/>
        <v/>
      </c>
      <c r="O684" s="160" t="str">
        <f t="shared" si="52"/>
        <v/>
      </c>
      <c r="P684" s="63"/>
    </row>
    <row r="685" spans="1:16" hidden="1">
      <c r="A685" s="152" t="s">
        <v>37</v>
      </c>
      <c r="B685" s="34" t="s">
        <v>354</v>
      </c>
      <c r="C685" s="40" t="s">
        <v>139</v>
      </c>
      <c r="D685" s="34" t="s">
        <v>93</v>
      </c>
      <c r="E685" s="260">
        <f>Intentionally_produced_MPs!B135</f>
        <v>0.23555374262145426</v>
      </c>
      <c r="F685" s="235">
        <v>1</v>
      </c>
      <c r="G685" s="40"/>
      <c r="H685" s="29">
        <v>3</v>
      </c>
      <c r="I685" s="9">
        <v>2</v>
      </c>
      <c r="J685" s="9">
        <v>3</v>
      </c>
      <c r="K685" s="9">
        <v>3</v>
      </c>
      <c r="L685" s="9">
        <v>3</v>
      </c>
      <c r="M685" s="9">
        <v>3</v>
      </c>
      <c r="N685" s="186">
        <f t="shared" si="51"/>
        <v>1.2132328390150593</v>
      </c>
      <c r="O685" s="160">
        <f t="shared" si="52"/>
        <v>1.1713319510247036</v>
      </c>
      <c r="P685" s="63"/>
    </row>
    <row r="686" spans="1:16" hidden="1">
      <c r="A686" s="152" t="s">
        <v>37</v>
      </c>
      <c r="B686" s="34" t="s">
        <v>354</v>
      </c>
      <c r="C686" s="40" t="s">
        <v>139</v>
      </c>
      <c r="D686" s="34" t="s">
        <v>94</v>
      </c>
      <c r="E686" s="260">
        <f>Intentionally_produced_MPs!B136</f>
        <v>0</v>
      </c>
      <c r="F686" s="235">
        <v>1</v>
      </c>
      <c r="G686" s="40"/>
      <c r="H686" s="29"/>
      <c r="I686" s="9"/>
      <c r="J686" s="9"/>
      <c r="K686" s="9"/>
      <c r="L686" s="9"/>
      <c r="M686" s="9"/>
      <c r="N686" s="186" t="str">
        <f t="shared" si="51"/>
        <v/>
      </c>
      <c r="O686" s="160" t="str">
        <f t="shared" si="52"/>
        <v/>
      </c>
      <c r="P686" s="63"/>
    </row>
    <row r="687" spans="1:16" hidden="1">
      <c r="A687" s="152" t="s">
        <v>37</v>
      </c>
      <c r="B687" s="34" t="s">
        <v>354</v>
      </c>
      <c r="C687" s="40" t="s">
        <v>139</v>
      </c>
      <c r="D687" s="34" t="s">
        <v>95</v>
      </c>
      <c r="E687" s="260">
        <f>Intentionally_produced_MPs!B137</f>
        <v>5.6605334263949885E-3</v>
      </c>
      <c r="F687" s="235">
        <v>1</v>
      </c>
      <c r="G687" s="40"/>
      <c r="H687" s="29">
        <v>3</v>
      </c>
      <c r="I687" s="9">
        <v>2</v>
      </c>
      <c r="J687" s="9">
        <v>3</v>
      </c>
      <c r="K687" s="9">
        <v>3</v>
      </c>
      <c r="L687" s="9">
        <v>3</v>
      </c>
      <c r="M687" s="9">
        <v>3</v>
      </c>
      <c r="N687" s="186">
        <f t="shared" si="51"/>
        <v>1.2132328390150593</v>
      </c>
      <c r="O687" s="160">
        <f t="shared" si="52"/>
        <v>1.1713319510247036</v>
      </c>
      <c r="P687" s="63"/>
    </row>
    <row r="688" spans="1:16" hidden="1">
      <c r="A688" s="152" t="s">
        <v>37</v>
      </c>
      <c r="B688" s="34" t="s">
        <v>354</v>
      </c>
      <c r="C688" s="40" t="s">
        <v>139</v>
      </c>
      <c r="D688" s="34" t="s">
        <v>96</v>
      </c>
      <c r="E688" s="260">
        <f>Intentionally_produced_MPs!B138</f>
        <v>0</v>
      </c>
      <c r="F688" s="235">
        <v>1</v>
      </c>
      <c r="G688" s="40"/>
      <c r="H688" s="29"/>
      <c r="I688" s="9"/>
      <c r="J688" s="9"/>
      <c r="K688" s="9"/>
      <c r="L688" s="9"/>
      <c r="M688" s="9"/>
      <c r="N688" s="186" t="str">
        <f t="shared" si="51"/>
        <v/>
      </c>
      <c r="O688" s="160" t="str">
        <f t="shared" si="52"/>
        <v/>
      </c>
      <c r="P688" s="63"/>
    </row>
    <row r="689" spans="1:16" hidden="1">
      <c r="A689" s="152" t="s">
        <v>37</v>
      </c>
      <c r="B689" s="34" t="s">
        <v>354</v>
      </c>
      <c r="C689" s="40" t="s">
        <v>139</v>
      </c>
      <c r="D689" s="34" t="s">
        <v>97</v>
      </c>
      <c r="E689" s="260">
        <f>Intentionally_produced_MPs!B139</f>
        <v>0</v>
      </c>
      <c r="F689" s="235">
        <v>1</v>
      </c>
      <c r="G689" s="40"/>
      <c r="H689" s="29">
        <v>3</v>
      </c>
      <c r="I689" s="9">
        <v>2</v>
      </c>
      <c r="J689" s="9">
        <v>3</v>
      </c>
      <c r="K689" s="9">
        <v>3</v>
      </c>
      <c r="L689" s="9">
        <v>3</v>
      </c>
      <c r="M689" s="9">
        <v>3</v>
      </c>
      <c r="N689" s="186">
        <f t="shared" si="51"/>
        <v>1.2132328390150593</v>
      </c>
      <c r="O689" s="160">
        <f t="shared" si="52"/>
        <v>1.1713319510247036</v>
      </c>
      <c r="P689" s="63"/>
    </row>
    <row r="690" spans="1:16" hidden="1">
      <c r="A690" s="152" t="s">
        <v>37</v>
      </c>
      <c r="B690" s="34" t="s">
        <v>354</v>
      </c>
      <c r="C690" s="40" t="s">
        <v>139</v>
      </c>
      <c r="D690" s="34" t="s">
        <v>98</v>
      </c>
      <c r="E690" s="260">
        <f>Intentionally_produced_MPs!B140</f>
        <v>2.0189518931614638E-3</v>
      </c>
      <c r="F690" s="235">
        <v>1</v>
      </c>
      <c r="G690" s="40"/>
      <c r="H690" s="29">
        <v>3</v>
      </c>
      <c r="I690" s="9">
        <v>2</v>
      </c>
      <c r="J690" s="9">
        <v>3</v>
      </c>
      <c r="K690" s="9">
        <v>3</v>
      </c>
      <c r="L690" s="9">
        <v>3</v>
      </c>
      <c r="M690" s="9">
        <v>3</v>
      </c>
      <c r="N690" s="186">
        <f t="shared" si="51"/>
        <v>1.2132328390150593</v>
      </c>
      <c r="O690" s="160">
        <f t="shared" si="52"/>
        <v>1.1713319510247036</v>
      </c>
      <c r="P690" s="63"/>
    </row>
    <row r="691" spans="1:16" hidden="1">
      <c r="A691" s="152" t="s">
        <v>256</v>
      </c>
      <c r="B691" s="34" t="s">
        <v>267</v>
      </c>
      <c r="C691" s="40" t="s">
        <v>180</v>
      </c>
      <c r="D691" s="69" t="s">
        <v>96</v>
      </c>
      <c r="E691" s="867">
        <v>0.43243243243243251</v>
      </c>
      <c r="F691" s="34">
        <v>1</v>
      </c>
      <c r="G691" s="344" t="s">
        <v>110</v>
      </c>
      <c r="H691" s="29">
        <v>1</v>
      </c>
      <c r="I691" s="9"/>
      <c r="J691" s="9">
        <v>1</v>
      </c>
      <c r="K691" s="9">
        <v>1</v>
      </c>
      <c r="L691" s="9">
        <v>2</v>
      </c>
      <c r="M691" s="9">
        <v>2</v>
      </c>
      <c r="N691" s="186">
        <f t="shared" si="51"/>
        <v>0.35859414261160716</v>
      </c>
      <c r="O691" s="160" t="str">
        <f t="shared" si="52"/>
        <v/>
      </c>
      <c r="P691" s="63"/>
    </row>
    <row r="692" spans="1:16" hidden="1">
      <c r="A692" s="152" t="s">
        <v>256</v>
      </c>
      <c r="B692" s="34" t="s">
        <v>267</v>
      </c>
      <c r="C692" s="40" t="s">
        <v>180</v>
      </c>
      <c r="D692" s="69" t="s">
        <v>97</v>
      </c>
      <c r="E692" s="867">
        <v>0.66998341625207292</v>
      </c>
      <c r="F692" s="34">
        <v>1</v>
      </c>
      <c r="G692" s="344" t="s">
        <v>110</v>
      </c>
      <c r="H692" s="29">
        <v>1</v>
      </c>
      <c r="I692" s="9"/>
      <c r="J692" s="9">
        <v>1</v>
      </c>
      <c r="K692" s="9">
        <v>1</v>
      </c>
      <c r="L692" s="9">
        <v>2</v>
      </c>
      <c r="M692" s="9">
        <v>2</v>
      </c>
      <c r="N692" s="186">
        <f t="shared" si="51"/>
        <v>0.35859414261160716</v>
      </c>
      <c r="O692" s="160" t="str">
        <f t="shared" si="52"/>
        <v/>
      </c>
      <c r="P692" s="63"/>
    </row>
    <row r="693" spans="1:16" hidden="1">
      <c r="A693" s="152" t="s">
        <v>256</v>
      </c>
      <c r="B693" s="34" t="s">
        <v>267</v>
      </c>
      <c r="C693" s="40" t="s">
        <v>180</v>
      </c>
      <c r="D693" s="69" t="s">
        <v>95</v>
      </c>
      <c r="E693" s="867">
        <v>1</v>
      </c>
      <c r="F693" s="34">
        <v>1</v>
      </c>
      <c r="G693" s="344" t="s">
        <v>110</v>
      </c>
      <c r="H693" s="29">
        <v>1</v>
      </c>
      <c r="I693" s="9"/>
      <c r="J693" s="9">
        <v>1</v>
      </c>
      <c r="K693" s="9">
        <v>1</v>
      </c>
      <c r="L693" s="9">
        <v>2</v>
      </c>
      <c r="M693" s="9">
        <v>2</v>
      </c>
      <c r="N693" s="186">
        <f t="shared" si="51"/>
        <v>0.35859414261160716</v>
      </c>
      <c r="O693" s="160" t="str">
        <f t="shared" si="52"/>
        <v/>
      </c>
      <c r="P693" s="63"/>
    </row>
    <row r="694" spans="1:16" hidden="1">
      <c r="A694" s="152" t="s">
        <v>256</v>
      </c>
      <c r="B694" s="34" t="s">
        <v>267</v>
      </c>
      <c r="C694" s="40" t="s">
        <v>180</v>
      </c>
      <c r="D694" s="69" t="s">
        <v>93</v>
      </c>
      <c r="E694" s="867">
        <v>0.67391304347826086</v>
      </c>
      <c r="F694" s="34">
        <v>1</v>
      </c>
      <c r="G694" s="344" t="s">
        <v>110</v>
      </c>
      <c r="H694" s="29">
        <v>1</v>
      </c>
      <c r="I694" s="9"/>
      <c r="J694" s="9">
        <v>1</v>
      </c>
      <c r="K694" s="9">
        <v>1</v>
      </c>
      <c r="L694" s="9">
        <v>2</v>
      </c>
      <c r="M694" s="9">
        <v>2</v>
      </c>
      <c r="N694" s="186">
        <f t="shared" ref="N694:N720" si="53">IF( OR( ISBLANK(H694),ISBLANK(J694), ISBLANK(K694), ISBLANK(L694), ISBLANK(M694) ), "", 1.5*SQRT(   EXP(2.21*(H694-1)) + EXP(2.21*(J694-1)) + EXP(2.21*(K694-1)) + EXP(2.21*(L694-1)) + EXP(2.21*M694)   )/100*2.45 )</f>
        <v>0.35859414261160716</v>
      </c>
      <c r="O694" s="160" t="str">
        <f t="shared" ref="O694:O720" si="54">IF( OR( ISBLANK(I694),ISBLANK(J694), ISBLANK(K694), ISBLANK(L694), ISBLANK(M694) ), "", 1.5*SQRT( EXP(2.21*(I694-1)) + EXP(2.21*(J694-1)) + EXP(2.21*(K694-1)) + EXP(2.21*(L694-1)) + EXP(2.21*M694)   )/100*2.45 )</f>
        <v/>
      </c>
      <c r="P694" s="63"/>
    </row>
    <row r="695" spans="1:16" hidden="1">
      <c r="A695" s="152" t="s">
        <v>256</v>
      </c>
      <c r="B695" s="34" t="s">
        <v>267</v>
      </c>
      <c r="C695" s="40" t="s">
        <v>180</v>
      </c>
      <c r="D695" s="69" t="s">
        <v>98</v>
      </c>
      <c r="E695" s="867">
        <v>1</v>
      </c>
      <c r="F695" s="34">
        <v>1</v>
      </c>
      <c r="G695" s="344" t="s">
        <v>110</v>
      </c>
      <c r="H695" s="29">
        <v>1</v>
      </c>
      <c r="I695" s="9"/>
      <c r="J695" s="9">
        <v>1</v>
      </c>
      <c r="K695" s="9">
        <v>1</v>
      </c>
      <c r="L695" s="9">
        <v>2</v>
      </c>
      <c r="M695" s="9">
        <v>2</v>
      </c>
      <c r="N695" s="186">
        <f t="shared" si="53"/>
        <v>0.35859414261160716</v>
      </c>
      <c r="O695" s="160" t="str">
        <f t="shared" si="54"/>
        <v/>
      </c>
      <c r="P695" s="63"/>
    </row>
    <row r="696" spans="1:16" hidden="1">
      <c r="A696" s="152" t="s">
        <v>37</v>
      </c>
      <c r="B696" s="34" t="s">
        <v>160</v>
      </c>
      <c r="C696" s="40" t="s">
        <v>139</v>
      </c>
      <c r="D696" s="34" t="s">
        <v>85</v>
      </c>
      <c r="E696" s="260">
        <f>Intentionally_produced_MPs!J127</f>
        <v>5.5555555555555546E-2</v>
      </c>
      <c r="F696" s="235">
        <v>1</v>
      </c>
      <c r="G696" s="40"/>
      <c r="H696" s="29">
        <v>3</v>
      </c>
      <c r="I696" s="9">
        <v>2</v>
      </c>
      <c r="J696" s="9">
        <v>3</v>
      </c>
      <c r="K696" s="9">
        <v>3</v>
      </c>
      <c r="L696" s="9">
        <v>3</v>
      </c>
      <c r="M696" s="9">
        <v>3</v>
      </c>
      <c r="N696" s="186">
        <f t="shared" si="53"/>
        <v>1.2132328390150593</v>
      </c>
      <c r="O696" s="160">
        <f t="shared" si="54"/>
        <v>1.1713319510247036</v>
      </c>
      <c r="P696" s="63"/>
    </row>
    <row r="697" spans="1:16" hidden="1">
      <c r="A697" s="152" t="s">
        <v>37</v>
      </c>
      <c r="B697" s="34" t="s">
        <v>160</v>
      </c>
      <c r="C697" s="40" t="s">
        <v>139</v>
      </c>
      <c r="D697" s="34" t="s">
        <v>86</v>
      </c>
      <c r="E697" s="260">
        <f>Intentionally_produced_MPs!J128</f>
        <v>8.8868167073346722E-3</v>
      </c>
      <c r="F697" s="235">
        <v>1</v>
      </c>
      <c r="G697" s="40"/>
      <c r="H697" s="29">
        <v>3</v>
      </c>
      <c r="I697" s="9">
        <v>2</v>
      </c>
      <c r="J697" s="9">
        <v>3</v>
      </c>
      <c r="K697" s="9">
        <v>3</v>
      </c>
      <c r="L697" s="9">
        <v>3</v>
      </c>
      <c r="M697" s="9">
        <v>3</v>
      </c>
      <c r="N697" s="186">
        <f t="shared" si="53"/>
        <v>1.2132328390150593</v>
      </c>
      <c r="O697" s="160">
        <f t="shared" si="54"/>
        <v>1.1713319510247036</v>
      </c>
      <c r="P697" s="63"/>
    </row>
    <row r="698" spans="1:16" hidden="1">
      <c r="A698" s="152" t="s">
        <v>37</v>
      </c>
      <c r="B698" s="34" t="s">
        <v>160</v>
      </c>
      <c r="C698" s="40" t="s">
        <v>139</v>
      </c>
      <c r="D698" s="34" t="s">
        <v>87</v>
      </c>
      <c r="E698" s="260">
        <f>Intentionally_produced_MPs!J129</f>
        <v>0</v>
      </c>
      <c r="F698" s="235">
        <v>1</v>
      </c>
      <c r="G698" s="40"/>
      <c r="H698" s="29"/>
      <c r="I698" s="9"/>
      <c r="J698" s="9"/>
      <c r="K698" s="9"/>
      <c r="L698" s="9"/>
      <c r="M698" s="9"/>
      <c r="N698" s="186" t="str">
        <f t="shared" si="53"/>
        <v/>
      </c>
      <c r="O698" s="160" t="str">
        <f t="shared" si="54"/>
        <v/>
      </c>
      <c r="P698" s="63"/>
    </row>
    <row r="699" spans="1:16" hidden="1">
      <c r="A699" s="152" t="s">
        <v>37</v>
      </c>
      <c r="B699" s="34" t="s">
        <v>160</v>
      </c>
      <c r="C699" s="40" t="s">
        <v>139</v>
      </c>
      <c r="D699" s="34" t="s">
        <v>88</v>
      </c>
      <c r="E699" s="260">
        <f>Intentionally_produced_MPs!J130</f>
        <v>0</v>
      </c>
      <c r="F699" s="235">
        <v>1</v>
      </c>
      <c r="G699" s="40"/>
      <c r="H699" s="29"/>
      <c r="I699" s="9"/>
      <c r="J699" s="9"/>
      <c r="K699" s="9"/>
      <c r="L699" s="9"/>
      <c r="M699" s="9"/>
      <c r="N699" s="186" t="str">
        <f t="shared" si="53"/>
        <v/>
      </c>
      <c r="O699" s="160" t="str">
        <f t="shared" si="54"/>
        <v/>
      </c>
      <c r="P699" s="63"/>
    </row>
    <row r="700" spans="1:16" hidden="1">
      <c r="A700" s="152" t="s">
        <v>37</v>
      </c>
      <c r="B700" s="34" t="s">
        <v>160</v>
      </c>
      <c r="C700" s="40" t="s">
        <v>139</v>
      </c>
      <c r="D700" s="34" t="s">
        <v>89</v>
      </c>
      <c r="E700" s="260">
        <f>Intentionally_produced_MPs!J131</f>
        <v>0</v>
      </c>
      <c r="F700" s="235">
        <v>1</v>
      </c>
      <c r="G700" s="40"/>
      <c r="H700" s="29"/>
      <c r="I700" s="9"/>
      <c r="J700" s="9"/>
      <c r="K700" s="9"/>
      <c r="L700" s="9"/>
      <c r="M700" s="9"/>
      <c r="N700" s="186" t="str">
        <f t="shared" si="53"/>
        <v/>
      </c>
      <c r="O700" s="160" t="str">
        <f t="shared" si="54"/>
        <v/>
      </c>
      <c r="P700" s="63"/>
    </row>
    <row r="701" spans="1:16" hidden="1">
      <c r="A701" s="152" t="s">
        <v>37</v>
      </c>
      <c r="B701" s="34" t="s">
        <v>160</v>
      </c>
      <c r="C701" s="40" t="s">
        <v>139</v>
      </c>
      <c r="D701" s="34" t="s">
        <v>90</v>
      </c>
      <c r="E701" s="260">
        <f>Intentionally_produced_MPs!J132</f>
        <v>5.5555555555555546E-2</v>
      </c>
      <c r="F701" s="235">
        <v>1</v>
      </c>
      <c r="G701" s="40"/>
      <c r="H701" s="29">
        <v>3</v>
      </c>
      <c r="I701" s="9">
        <v>2</v>
      </c>
      <c r="J701" s="9">
        <v>3</v>
      </c>
      <c r="K701" s="9">
        <v>3</v>
      </c>
      <c r="L701" s="9">
        <v>3</v>
      </c>
      <c r="M701" s="9">
        <v>3</v>
      </c>
      <c r="N701" s="186">
        <f t="shared" si="53"/>
        <v>1.2132328390150593</v>
      </c>
      <c r="O701" s="160">
        <f t="shared" si="54"/>
        <v>1.1713319510247036</v>
      </c>
      <c r="P701" s="63"/>
    </row>
    <row r="702" spans="1:16" hidden="1">
      <c r="A702" s="152" t="s">
        <v>37</v>
      </c>
      <c r="B702" s="34" t="s">
        <v>160</v>
      </c>
      <c r="C702" s="40" t="s">
        <v>139</v>
      </c>
      <c r="D702" s="34" t="s">
        <v>91</v>
      </c>
      <c r="E702" s="260">
        <f>Intentionally_produced_MPs!J133</f>
        <v>0.1555597303733175</v>
      </c>
      <c r="F702" s="235">
        <v>1</v>
      </c>
      <c r="G702" s="40"/>
      <c r="H702" s="29">
        <v>3</v>
      </c>
      <c r="I702" s="9">
        <v>2</v>
      </c>
      <c r="J702" s="9">
        <v>3</v>
      </c>
      <c r="K702" s="9">
        <v>3</v>
      </c>
      <c r="L702" s="9">
        <v>3</v>
      </c>
      <c r="M702" s="9">
        <v>3</v>
      </c>
      <c r="N702" s="186">
        <f t="shared" si="53"/>
        <v>1.2132328390150593</v>
      </c>
      <c r="O702" s="160">
        <f t="shared" si="54"/>
        <v>1.1713319510247036</v>
      </c>
      <c r="P702" s="63"/>
    </row>
    <row r="703" spans="1:16" hidden="1">
      <c r="A703" s="152" t="s">
        <v>37</v>
      </c>
      <c r="B703" s="34" t="s">
        <v>160</v>
      </c>
      <c r="C703" s="40" t="s">
        <v>139</v>
      </c>
      <c r="D703" s="34" t="s">
        <v>92</v>
      </c>
      <c r="E703" s="260">
        <f>Intentionally_produced_MPs!J134</f>
        <v>0</v>
      </c>
      <c r="F703" s="235">
        <v>1</v>
      </c>
      <c r="G703" s="40"/>
      <c r="H703" s="29"/>
      <c r="I703" s="9"/>
      <c r="J703" s="9"/>
      <c r="K703" s="9"/>
      <c r="L703" s="9"/>
      <c r="M703" s="9"/>
      <c r="N703" s="186" t="str">
        <f t="shared" si="53"/>
        <v/>
      </c>
      <c r="O703" s="160" t="str">
        <f t="shared" si="54"/>
        <v/>
      </c>
      <c r="P703" s="63"/>
    </row>
    <row r="704" spans="1:16" hidden="1">
      <c r="A704" s="152" t="s">
        <v>37</v>
      </c>
      <c r="B704" s="34" t="s">
        <v>160</v>
      </c>
      <c r="C704" s="40" t="s">
        <v>139</v>
      </c>
      <c r="D704" s="34" t="s">
        <v>93</v>
      </c>
      <c r="E704" s="260">
        <f>Intentionally_produced_MPs!J135</f>
        <v>4.7372437949387489E-3</v>
      </c>
      <c r="F704" s="235">
        <v>1</v>
      </c>
      <c r="G704" s="40"/>
      <c r="H704" s="29">
        <v>3</v>
      </c>
      <c r="I704" s="9">
        <v>2</v>
      </c>
      <c r="J704" s="9">
        <v>3</v>
      </c>
      <c r="K704" s="9">
        <v>3</v>
      </c>
      <c r="L704" s="9">
        <v>3</v>
      </c>
      <c r="M704" s="9">
        <v>3</v>
      </c>
      <c r="N704" s="186">
        <f t="shared" si="53"/>
        <v>1.2132328390150593</v>
      </c>
      <c r="O704" s="160">
        <f t="shared" si="54"/>
        <v>1.1713319510247036</v>
      </c>
      <c r="P704" s="63"/>
    </row>
    <row r="705" spans="1:16" hidden="1">
      <c r="A705" s="152" t="s">
        <v>37</v>
      </c>
      <c r="B705" s="34" t="s">
        <v>160</v>
      </c>
      <c r="C705" s="40" t="s">
        <v>139</v>
      </c>
      <c r="D705" s="34" t="s">
        <v>94</v>
      </c>
      <c r="E705" s="260">
        <f>Intentionally_produced_MPs!J136</f>
        <v>0</v>
      </c>
      <c r="F705" s="235">
        <v>1</v>
      </c>
      <c r="G705" s="40"/>
      <c r="H705" s="29"/>
      <c r="I705" s="9"/>
      <c r="J705" s="9"/>
      <c r="K705" s="9"/>
      <c r="L705" s="9"/>
      <c r="M705" s="9"/>
      <c r="N705" s="186" t="str">
        <f t="shared" si="53"/>
        <v/>
      </c>
      <c r="O705" s="160" t="str">
        <f t="shared" si="54"/>
        <v/>
      </c>
      <c r="P705" s="63"/>
    </row>
    <row r="706" spans="1:16" hidden="1">
      <c r="A706" s="152" t="s">
        <v>37</v>
      </c>
      <c r="B706" s="34" t="s">
        <v>160</v>
      </c>
      <c r="C706" s="40" t="s">
        <v>139</v>
      </c>
      <c r="D706" s="34" t="s">
        <v>95</v>
      </c>
      <c r="E706" s="260">
        <f>Intentionally_produced_MPs!J137</f>
        <v>4.4333947817568178E-2</v>
      </c>
      <c r="F706" s="235">
        <v>1</v>
      </c>
      <c r="G706" s="40"/>
      <c r="H706" s="29">
        <v>3</v>
      </c>
      <c r="I706" s="9">
        <v>2</v>
      </c>
      <c r="J706" s="9">
        <v>3</v>
      </c>
      <c r="K706" s="9">
        <v>3</v>
      </c>
      <c r="L706" s="9">
        <v>3</v>
      </c>
      <c r="M706" s="9">
        <v>3</v>
      </c>
      <c r="N706" s="186">
        <f t="shared" si="53"/>
        <v>1.2132328390150593</v>
      </c>
      <c r="O706" s="160">
        <f t="shared" si="54"/>
        <v>1.1713319510247036</v>
      </c>
      <c r="P706" s="63"/>
    </row>
    <row r="707" spans="1:16" hidden="1">
      <c r="A707" s="152" t="s">
        <v>37</v>
      </c>
      <c r="B707" s="34" t="s">
        <v>160</v>
      </c>
      <c r="C707" s="40" t="s">
        <v>139</v>
      </c>
      <c r="D707" s="34" t="s">
        <v>96</v>
      </c>
      <c r="E707" s="260">
        <f>Intentionally_produced_MPs!J138</f>
        <v>0</v>
      </c>
      <c r="F707" s="235">
        <v>1</v>
      </c>
      <c r="G707" s="40"/>
      <c r="H707" s="29"/>
      <c r="I707" s="9"/>
      <c r="J707" s="9"/>
      <c r="K707" s="9"/>
      <c r="L707" s="9"/>
      <c r="M707" s="9"/>
      <c r="N707" s="186" t="str">
        <f t="shared" si="53"/>
        <v/>
      </c>
      <c r="O707" s="160" t="str">
        <f t="shared" si="54"/>
        <v/>
      </c>
      <c r="P707" s="63"/>
    </row>
    <row r="708" spans="1:16" hidden="1">
      <c r="A708" s="152" t="s">
        <v>37</v>
      </c>
      <c r="B708" s="34" t="s">
        <v>160</v>
      </c>
      <c r="C708" s="40" t="s">
        <v>139</v>
      </c>
      <c r="D708" s="34" t="s">
        <v>97</v>
      </c>
      <c r="E708" s="260">
        <f>Intentionally_produced_MPs!J139</f>
        <v>4.4586330230196494E-2</v>
      </c>
      <c r="F708" s="235">
        <v>1</v>
      </c>
      <c r="G708" s="40"/>
      <c r="H708" s="29">
        <v>3</v>
      </c>
      <c r="I708" s="9">
        <v>2</v>
      </c>
      <c r="J708" s="9">
        <v>3</v>
      </c>
      <c r="K708" s="9">
        <v>3</v>
      </c>
      <c r="L708" s="9">
        <v>3</v>
      </c>
      <c r="M708" s="9">
        <v>3</v>
      </c>
      <c r="N708" s="186">
        <f t="shared" si="53"/>
        <v>1.2132328390150593</v>
      </c>
      <c r="O708" s="160">
        <f t="shared" si="54"/>
        <v>1.1713319510247036</v>
      </c>
      <c r="P708" s="63"/>
    </row>
    <row r="709" spans="1:16" hidden="1">
      <c r="A709" s="152" t="s">
        <v>37</v>
      </c>
      <c r="B709" s="34" t="s">
        <v>160</v>
      </c>
      <c r="C709" s="40" t="s">
        <v>139</v>
      </c>
      <c r="D709" s="34" t="s">
        <v>98</v>
      </c>
      <c r="E709" s="260">
        <f>Intentionally_produced_MPs!J140</f>
        <v>6.8330054573633985E-3</v>
      </c>
      <c r="F709" s="235">
        <v>1</v>
      </c>
      <c r="G709" s="40"/>
      <c r="H709" s="29">
        <v>3</v>
      </c>
      <c r="I709" s="9">
        <v>2</v>
      </c>
      <c r="J709" s="9">
        <v>3</v>
      </c>
      <c r="K709" s="9">
        <v>3</v>
      </c>
      <c r="L709" s="9">
        <v>3</v>
      </c>
      <c r="M709" s="9">
        <v>3</v>
      </c>
      <c r="N709" s="186">
        <f t="shared" si="53"/>
        <v>1.2132328390150593</v>
      </c>
      <c r="O709" s="160">
        <f t="shared" si="54"/>
        <v>1.1713319510247036</v>
      </c>
      <c r="P709" s="63"/>
    </row>
    <row r="710" spans="1:16" hidden="1">
      <c r="A710" s="152" t="s">
        <v>256</v>
      </c>
      <c r="B710" s="34" t="s">
        <v>267</v>
      </c>
      <c r="C710" s="344" t="s">
        <v>182</v>
      </c>
      <c r="D710" s="69" t="s">
        <v>85</v>
      </c>
      <c r="E710" s="867">
        <v>0.15660919540229881</v>
      </c>
      <c r="F710" s="34">
        <v>1</v>
      </c>
      <c r="G710" s="344" t="s">
        <v>126</v>
      </c>
      <c r="H710" s="29"/>
      <c r="I710" s="9">
        <v>1</v>
      </c>
      <c r="J710" s="9">
        <v>1</v>
      </c>
      <c r="K710" s="9">
        <v>1</v>
      </c>
      <c r="L710" s="9">
        <v>2</v>
      </c>
      <c r="M710" s="9">
        <v>2</v>
      </c>
      <c r="N710" s="186" t="str">
        <f t="shared" si="53"/>
        <v/>
      </c>
      <c r="O710" s="160">
        <f t="shared" si="54"/>
        <v>0.35859414261160716</v>
      </c>
      <c r="P710" s="63"/>
    </row>
    <row r="711" spans="1:16" hidden="1">
      <c r="A711" s="152" t="s">
        <v>209</v>
      </c>
      <c r="B711" s="34" t="s">
        <v>385</v>
      </c>
      <c r="C711" s="40" t="s">
        <v>139</v>
      </c>
      <c r="D711" s="34" t="s">
        <v>139</v>
      </c>
      <c r="E711" s="260" t="s">
        <v>150</v>
      </c>
      <c r="F711" s="235">
        <v>1</v>
      </c>
      <c r="G711" s="40"/>
      <c r="H711" s="29"/>
      <c r="I711" s="9"/>
      <c r="J711" s="9"/>
      <c r="K711" s="9"/>
      <c r="L711" s="9"/>
      <c r="M711" s="9"/>
      <c r="N711" s="186" t="str">
        <f t="shared" si="53"/>
        <v/>
      </c>
      <c r="O711" s="160" t="str">
        <f t="shared" si="54"/>
        <v/>
      </c>
      <c r="P711" s="63"/>
    </row>
    <row r="712" spans="1:16" hidden="1">
      <c r="A712" s="152" t="s">
        <v>215</v>
      </c>
      <c r="B712" s="34" t="s">
        <v>386</v>
      </c>
      <c r="C712" s="40" t="s">
        <v>139</v>
      </c>
      <c r="D712" s="34" t="s">
        <v>139</v>
      </c>
      <c r="E712" s="260" t="s">
        <v>150</v>
      </c>
      <c r="F712" s="235">
        <v>1</v>
      </c>
      <c r="G712" s="40"/>
      <c r="H712" s="29"/>
      <c r="I712" s="9"/>
      <c r="J712" s="9"/>
      <c r="K712" s="9"/>
      <c r="L712" s="9"/>
      <c r="M712" s="9"/>
      <c r="N712" s="186" t="str">
        <f t="shared" si="53"/>
        <v/>
      </c>
      <c r="O712" s="160" t="str">
        <f t="shared" si="54"/>
        <v/>
      </c>
      <c r="P712" s="63" t="s">
        <v>387</v>
      </c>
    </row>
    <row r="713" spans="1:16" hidden="1">
      <c r="A713" s="152" t="s">
        <v>149</v>
      </c>
      <c r="B713" s="34" t="s">
        <v>176</v>
      </c>
      <c r="C713" s="40" t="s">
        <v>139</v>
      </c>
      <c r="D713" s="34" t="s">
        <v>139</v>
      </c>
      <c r="E713" s="260">
        <v>0.03</v>
      </c>
      <c r="F713" s="235">
        <v>2</v>
      </c>
      <c r="G713" s="40" t="s">
        <v>221</v>
      </c>
      <c r="H713" s="29">
        <v>1</v>
      </c>
      <c r="I713" s="9"/>
      <c r="J713" s="9">
        <v>2</v>
      </c>
      <c r="K713" s="9">
        <v>3</v>
      </c>
      <c r="L713" s="9">
        <v>2</v>
      </c>
      <c r="M713" s="9">
        <v>2</v>
      </c>
      <c r="N713" s="186">
        <f t="shared" si="53"/>
        <v>0.50042652380814845</v>
      </c>
      <c r="O713" s="160" t="str">
        <f t="shared" si="54"/>
        <v/>
      </c>
      <c r="P713" s="63" t="s">
        <v>388</v>
      </c>
    </row>
    <row r="714" spans="1:16" hidden="1">
      <c r="A714" s="872" t="s">
        <v>334</v>
      </c>
      <c r="B714" s="873" t="s">
        <v>184</v>
      </c>
      <c r="C714" s="874" t="s">
        <v>182</v>
      </c>
      <c r="D714" s="873" t="s">
        <v>139</v>
      </c>
      <c r="E714" s="875">
        <v>0</v>
      </c>
      <c r="F714" s="876">
        <v>2</v>
      </c>
      <c r="G714" s="874" t="s">
        <v>320</v>
      </c>
      <c r="H714" s="840"/>
      <c r="I714" s="655"/>
      <c r="J714" s="655"/>
      <c r="K714" s="655"/>
      <c r="L714" s="655"/>
      <c r="M714" s="655"/>
      <c r="N714" s="849" t="str">
        <f t="shared" si="53"/>
        <v/>
      </c>
      <c r="O714" s="850" t="str">
        <f t="shared" si="54"/>
        <v/>
      </c>
      <c r="P714" s="857"/>
    </row>
    <row r="715" spans="1:16" hidden="1">
      <c r="A715" s="152" t="s">
        <v>326</v>
      </c>
      <c r="B715" s="34" t="s">
        <v>264</v>
      </c>
      <c r="C715" s="40" t="s">
        <v>139</v>
      </c>
      <c r="D715" s="34" t="s">
        <v>139</v>
      </c>
      <c r="E715" s="260">
        <v>0.01</v>
      </c>
      <c r="F715" s="235">
        <v>2</v>
      </c>
      <c r="G715" s="40" t="s">
        <v>389</v>
      </c>
      <c r="H715" s="29">
        <v>3</v>
      </c>
      <c r="I715" s="9"/>
      <c r="J715" s="9">
        <v>3</v>
      </c>
      <c r="K715" s="9">
        <v>3</v>
      </c>
      <c r="L715" s="9">
        <v>3</v>
      </c>
      <c r="M715" s="9">
        <v>3</v>
      </c>
      <c r="N715" s="186">
        <f t="shared" si="53"/>
        <v>1.2132328390150593</v>
      </c>
      <c r="O715" s="160" t="str">
        <f t="shared" si="54"/>
        <v/>
      </c>
      <c r="P715" s="63"/>
    </row>
    <row r="716" spans="1:16" hidden="1">
      <c r="A716" s="152" t="s">
        <v>244</v>
      </c>
      <c r="B716" s="34" t="s">
        <v>176</v>
      </c>
      <c r="C716" s="40" t="s">
        <v>139</v>
      </c>
      <c r="D716" s="34" t="s">
        <v>139</v>
      </c>
      <c r="E716" s="260">
        <v>1E-4</v>
      </c>
      <c r="F716" s="235">
        <v>2</v>
      </c>
      <c r="G716" s="40" t="s">
        <v>157</v>
      </c>
      <c r="H716" s="29">
        <v>1</v>
      </c>
      <c r="I716" s="9">
        <v>2</v>
      </c>
      <c r="J716" s="9">
        <v>1</v>
      </c>
      <c r="K716" s="9">
        <v>1</v>
      </c>
      <c r="L716" s="9">
        <v>1</v>
      </c>
      <c r="M716" s="9">
        <v>3</v>
      </c>
      <c r="N716" s="186">
        <f t="shared" si="53"/>
        <v>1.0141150152164344</v>
      </c>
      <c r="O716" s="160">
        <f t="shared" si="54"/>
        <v>1.0195048044558224</v>
      </c>
      <c r="P716" s="63"/>
    </row>
    <row r="717" spans="1:16" hidden="1">
      <c r="A717" s="872" t="s">
        <v>334</v>
      </c>
      <c r="B717" s="873" t="s">
        <v>184</v>
      </c>
      <c r="C717" s="874" t="s">
        <v>182</v>
      </c>
      <c r="D717" s="873" t="s">
        <v>139</v>
      </c>
      <c r="E717" s="875">
        <v>1</v>
      </c>
      <c r="F717" s="876">
        <v>2</v>
      </c>
      <c r="G717" s="874" t="s">
        <v>321</v>
      </c>
      <c r="H717" s="840"/>
      <c r="I717" s="655"/>
      <c r="J717" s="655"/>
      <c r="K717" s="655"/>
      <c r="L717" s="655"/>
      <c r="M717" s="655"/>
      <c r="N717" s="849" t="str">
        <f t="shared" si="53"/>
        <v/>
      </c>
      <c r="O717" s="850" t="str">
        <f t="shared" si="54"/>
        <v/>
      </c>
      <c r="P717" s="857"/>
    </row>
    <row r="718" spans="1:16" hidden="1">
      <c r="A718" s="152" t="s">
        <v>121</v>
      </c>
      <c r="B718" s="34" t="s">
        <v>185</v>
      </c>
      <c r="C718" s="40" t="s">
        <v>139</v>
      </c>
      <c r="D718" s="34" t="s">
        <v>87</v>
      </c>
      <c r="E718" s="260">
        <v>0.11189388147015418</v>
      </c>
      <c r="F718" s="235">
        <v>1</v>
      </c>
      <c r="G718" s="40"/>
      <c r="H718" s="29">
        <v>2</v>
      </c>
      <c r="I718" s="9">
        <v>2</v>
      </c>
      <c r="J718" s="9">
        <v>2</v>
      </c>
      <c r="K718" s="9">
        <v>2</v>
      </c>
      <c r="L718" s="9">
        <v>1</v>
      </c>
      <c r="M718" s="9">
        <v>2</v>
      </c>
      <c r="N718" s="186">
        <f t="shared" si="53"/>
        <v>0.38795788889711302</v>
      </c>
      <c r="O718" s="160">
        <f t="shared" si="54"/>
        <v>0.38795788889711302</v>
      </c>
      <c r="P718" s="63"/>
    </row>
    <row r="719" spans="1:16" hidden="1">
      <c r="A719" s="872" t="s">
        <v>334</v>
      </c>
      <c r="B719" s="873" t="s">
        <v>184</v>
      </c>
      <c r="C719" s="874" t="s">
        <v>180</v>
      </c>
      <c r="D719" s="873" t="s">
        <v>139</v>
      </c>
      <c r="E719" s="875">
        <v>0</v>
      </c>
      <c r="F719" s="876">
        <v>2</v>
      </c>
      <c r="G719" s="874" t="s">
        <v>390</v>
      </c>
      <c r="H719" s="840"/>
      <c r="I719" s="655"/>
      <c r="J719" s="655"/>
      <c r="K719" s="655"/>
      <c r="L719" s="655"/>
      <c r="M719" s="655"/>
      <c r="N719" s="849" t="str">
        <f t="shared" si="53"/>
        <v/>
      </c>
      <c r="O719" s="850" t="str">
        <f t="shared" si="54"/>
        <v/>
      </c>
      <c r="P719" s="857"/>
    </row>
    <row r="720" spans="1:16" hidden="1">
      <c r="A720" s="152" t="s">
        <v>334</v>
      </c>
      <c r="B720" s="34" t="s">
        <v>251</v>
      </c>
      <c r="C720" s="40" t="s">
        <v>139</v>
      </c>
      <c r="D720" s="34" t="s">
        <v>139</v>
      </c>
      <c r="E720" s="260">
        <v>1E-4</v>
      </c>
      <c r="F720" s="235">
        <v>3</v>
      </c>
      <c r="G720" s="40" t="s">
        <v>333</v>
      </c>
      <c r="H720" s="29">
        <v>2</v>
      </c>
      <c r="I720" s="9">
        <v>2</v>
      </c>
      <c r="J720" s="9">
        <v>1</v>
      </c>
      <c r="K720" s="9">
        <v>1</v>
      </c>
      <c r="L720" s="9">
        <v>1</v>
      </c>
      <c r="M720" s="9">
        <v>3</v>
      </c>
      <c r="N720" s="186">
        <f t="shared" si="53"/>
        <v>1.0195048044558224</v>
      </c>
      <c r="O720" s="160">
        <f t="shared" si="54"/>
        <v>1.0195048044558224</v>
      </c>
      <c r="P720" s="63" t="s">
        <v>391</v>
      </c>
    </row>
    <row r="721" spans="1:16" hidden="1">
      <c r="A721" s="292" t="s">
        <v>225</v>
      </c>
      <c r="B721" s="55" t="s">
        <v>245</v>
      </c>
      <c r="C721" s="265" t="s">
        <v>139</v>
      </c>
      <c r="D721" s="55" t="s">
        <v>139</v>
      </c>
      <c r="E721" s="260" t="s">
        <v>150</v>
      </c>
      <c r="F721" s="235">
        <v>2</v>
      </c>
      <c r="G721" s="877"/>
      <c r="H721" s="29"/>
      <c r="I721" s="9"/>
      <c r="J721" s="9"/>
      <c r="K721" s="9"/>
      <c r="L721" s="9"/>
      <c r="M721" s="9"/>
      <c r="N721" s="186" t="str">
        <f t="shared" ref="N721:N731" si="55">IF( OR( ISBLANK(H721),ISBLANK(J721), ISBLANK(K721), ISBLANK(L721), ISBLANK(M721) ), "", 1.5*SQRT(   EXP(2.21*(H721-1)) + EXP(2.21*(J721-1)) + EXP(2.21*(K721-1)) + EXP(2.21*(L721-1)) + EXP(2.21*M721)   )/100*2.45 )</f>
        <v/>
      </c>
      <c r="O721" s="160" t="str">
        <f t="shared" ref="O721:O731" si="56">IF( OR( ISBLANK(I721),ISBLANK(J721), ISBLANK(K721), ISBLANK(L721), ISBLANK(M721) ), "", 1.5*SQRT( EXP(2.21*(I721-1)) + EXP(2.21*(J721-1)) + EXP(2.21*(K721-1)) + EXP(2.21*(L721-1)) + EXP(2.21*M721)   )/100*2.45 )</f>
        <v/>
      </c>
      <c r="P721" s="63"/>
    </row>
    <row r="722" spans="1:16" hidden="1">
      <c r="A722" s="152" t="s">
        <v>154</v>
      </c>
      <c r="B722" s="34" t="s">
        <v>251</v>
      </c>
      <c r="C722" s="40" t="s">
        <v>139</v>
      </c>
      <c r="D722" s="34" t="s">
        <v>139</v>
      </c>
      <c r="E722" s="260">
        <v>0.03</v>
      </c>
      <c r="F722" s="235">
        <v>2</v>
      </c>
      <c r="G722" s="40" t="s">
        <v>221</v>
      </c>
      <c r="H722" s="29">
        <v>1</v>
      </c>
      <c r="I722" s="9"/>
      <c r="J722" s="9">
        <v>2</v>
      </c>
      <c r="K722" s="9">
        <v>3</v>
      </c>
      <c r="L722" s="9">
        <v>2</v>
      </c>
      <c r="M722" s="9">
        <v>2</v>
      </c>
      <c r="N722" s="186">
        <f t="shared" si="55"/>
        <v>0.50042652380814845</v>
      </c>
      <c r="O722" s="160" t="str">
        <f t="shared" si="56"/>
        <v/>
      </c>
      <c r="P722" s="63" t="s">
        <v>388</v>
      </c>
    </row>
    <row r="723" spans="1:16" hidden="1">
      <c r="A723" s="292" t="s">
        <v>225</v>
      </c>
      <c r="B723" s="55" t="s">
        <v>179</v>
      </c>
      <c r="C723" s="265" t="s">
        <v>139</v>
      </c>
      <c r="D723" s="55" t="s">
        <v>139</v>
      </c>
      <c r="E723" s="260">
        <v>9.6000000000000002E-2</v>
      </c>
      <c r="F723" s="235">
        <v>2</v>
      </c>
      <c r="G723" s="265" t="s">
        <v>224</v>
      </c>
      <c r="H723" s="29">
        <v>1</v>
      </c>
      <c r="I723" s="9">
        <v>2</v>
      </c>
      <c r="J723" s="9">
        <v>2</v>
      </c>
      <c r="K723" s="9">
        <v>1</v>
      </c>
      <c r="L723" s="9">
        <v>2</v>
      </c>
      <c r="M723" s="9">
        <v>2</v>
      </c>
      <c r="N723" s="186">
        <f t="shared" si="55"/>
        <v>0.37356464144298934</v>
      </c>
      <c r="O723" s="160">
        <f t="shared" si="56"/>
        <v>0.38795788889711302</v>
      </c>
      <c r="P723" s="63"/>
    </row>
    <row r="724" spans="1:16" hidden="1">
      <c r="A724" s="152" t="s">
        <v>256</v>
      </c>
      <c r="B724" s="34" t="s">
        <v>267</v>
      </c>
      <c r="C724" s="40" t="s">
        <v>182</v>
      </c>
      <c r="D724" s="69" t="s">
        <v>86</v>
      </c>
      <c r="E724" s="867">
        <v>0.1689198415949747</v>
      </c>
      <c r="F724" s="34">
        <v>1</v>
      </c>
      <c r="G724" s="344" t="s">
        <v>126</v>
      </c>
      <c r="H724" s="29"/>
      <c r="I724" s="9">
        <v>1</v>
      </c>
      <c r="J724" s="9">
        <v>1</v>
      </c>
      <c r="K724" s="9">
        <v>1</v>
      </c>
      <c r="L724" s="9">
        <v>2</v>
      </c>
      <c r="M724" s="9">
        <v>2</v>
      </c>
      <c r="N724" s="186" t="str">
        <f t="shared" si="55"/>
        <v/>
      </c>
      <c r="O724" s="160">
        <f t="shared" si="56"/>
        <v>0.35859414261160716</v>
      </c>
      <c r="P724" s="63"/>
    </row>
    <row r="725" spans="1:16" hidden="1">
      <c r="A725" s="152" t="s">
        <v>312</v>
      </c>
      <c r="B725" s="34" t="s">
        <v>251</v>
      </c>
      <c r="C725" s="522" t="s">
        <v>139</v>
      </c>
      <c r="D725" s="37" t="s">
        <v>139</v>
      </c>
      <c r="E725" s="313">
        <v>0.52</v>
      </c>
      <c r="F725" s="37">
        <v>1</v>
      </c>
      <c r="G725" s="40" t="s">
        <v>353</v>
      </c>
      <c r="H725" s="29">
        <v>2</v>
      </c>
      <c r="I725" s="9">
        <v>2</v>
      </c>
      <c r="J725" s="9">
        <v>1</v>
      </c>
      <c r="K725" s="9">
        <v>1</v>
      </c>
      <c r="L725" s="9">
        <v>1</v>
      </c>
      <c r="M725" s="9">
        <v>1</v>
      </c>
      <c r="N725" s="186">
        <f t="shared" si="55"/>
        <v>0.16933510251023262</v>
      </c>
      <c r="O725" s="160">
        <f t="shared" si="56"/>
        <v>0.16933510251023262</v>
      </c>
      <c r="P725" s="63"/>
    </row>
    <row r="726" spans="1:16" hidden="1">
      <c r="A726" s="152" t="s">
        <v>283</v>
      </c>
      <c r="B726" s="34" t="s">
        <v>254</v>
      </c>
      <c r="C726" s="40" t="s">
        <v>139</v>
      </c>
      <c r="D726" s="34" t="s">
        <v>139</v>
      </c>
      <c r="E726" s="867">
        <f>0.004*0.0001/100</f>
        <v>4.0000000000000002E-9</v>
      </c>
      <c r="F726" s="235">
        <v>2</v>
      </c>
      <c r="G726" s="522" t="s">
        <v>1995</v>
      </c>
      <c r="H726" s="29">
        <v>2</v>
      </c>
      <c r="I726" s="9">
        <v>1</v>
      </c>
      <c r="J726" s="9">
        <v>2</v>
      </c>
      <c r="K726" s="9">
        <v>3</v>
      </c>
      <c r="L726" s="9">
        <v>3</v>
      </c>
      <c r="M726" s="9">
        <v>1</v>
      </c>
      <c r="N726" s="186">
        <f t="shared" si="55"/>
        <v>0.51126068492676302</v>
      </c>
      <c r="O726" s="160">
        <f t="shared" si="56"/>
        <v>0.50042652380814845</v>
      </c>
      <c r="P726" s="63"/>
    </row>
    <row r="727" spans="1:16" hidden="1">
      <c r="A727" s="152" t="s">
        <v>283</v>
      </c>
      <c r="B727" s="34" t="s">
        <v>254</v>
      </c>
      <c r="C727" s="40" t="s">
        <v>139</v>
      </c>
      <c r="D727" s="34" t="s">
        <v>139</v>
      </c>
      <c r="E727" s="867">
        <f>0.004*0.04/100</f>
        <v>1.6000000000000001E-6</v>
      </c>
      <c r="F727" s="235">
        <v>2</v>
      </c>
      <c r="G727" s="522" t="s">
        <v>1995</v>
      </c>
      <c r="H727" s="29">
        <v>2</v>
      </c>
      <c r="I727" s="9">
        <v>1</v>
      </c>
      <c r="J727" s="9">
        <v>2</v>
      </c>
      <c r="K727" s="9">
        <v>3</v>
      </c>
      <c r="L727" s="9">
        <v>3</v>
      </c>
      <c r="M727" s="9">
        <v>1</v>
      </c>
      <c r="N727" s="186">
        <f t="shared" si="55"/>
        <v>0.51126068492676302</v>
      </c>
      <c r="O727" s="160">
        <f t="shared" si="56"/>
        <v>0.50042652380814845</v>
      </c>
      <c r="P727" s="63"/>
    </row>
    <row r="728" spans="1:16" hidden="1">
      <c r="A728" s="152" t="s">
        <v>256</v>
      </c>
      <c r="B728" s="34" t="s">
        <v>267</v>
      </c>
      <c r="C728" s="40" t="s">
        <v>182</v>
      </c>
      <c r="D728" s="69" t="s">
        <v>87</v>
      </c>
      <c r="E728" s="867">
        <v>9.9585062240663894E-2</v>
      </c>
      <c r="F728" s="34">
        <v>1</v>
      </c>
      <c r="G728" s="344" t="s">
        <v>126</v>
      </c>
      <c r="H728" s="29"/>
      <c r="I728" s="9">
        <v>1</v>
      </c>
      <c r="J728" s="9">
        <v>1</v>
      </c>
      <c r="K728" s="9">
        <v>1</v>
      </c>
      <c r="L728" s="9">
        <v>2</v>
      </c>
      <c r="M728" s="9">
        <v>2</v>
      </c>
      <c r="N728" s="186" t="str">
        <f t="shared" si="55"/>
        <v/>
      </c>
      <c r="O728" s="160">
        <f t="shared" si="56"/>
        <v>0.35859414261160716</v>
      </c>
      <c r="P728" s="63"/>
    </row>
    <row r="729" spans="1:16" hidden="1">
      <c r="A729" s="152" t="s">
        <v>283</v>
      </c>
      <c r="B729" s="34" t="s">
        <v>184</v>
      </c>
      <c r="C729" s="40" t="s">
        <v>139</v>
      </c>
      <c r="D729" s="34" t="s">
        <v>139</v>
      </c>
      <c r="E729" s="260">
        <v>0</v>
      </c>
      <c r="F729" s="235">
        <v>1</v>
      </c>
      <c r="G729" s="40" t="s">
        <v>157</v>
      </c>
      <c r="H729" s="29"/>
      <c r="I729" s="9"/>
      <c r="J729" s="9"/>
      <c r="K729" s="9"/>
      <c r="L729" s="9"/>
      <c r="M729" s="9"/>
      <c r="N729" s="186" t="str">
        <f t="shared" si="55"/>
        <v/>
      </c>
      <c r="O729" s="160" t="str">
        <f t="shared" si="56"/>
        <v/>
      </c>
      <c r="P729" s="63"/>
    </row>
    <row r="730" spans="1:16" hidden="1">
      <c r="A730" s="152" t="s">
        <v>283</v>
      </c>
      <c r="B730" s="34" t="s">
        <v>251</v>
      </c>
      <c r="C730" s="40" t="s">
        <v>139</v>
      </c>
      <c r="D730" s="34" t="s">
        <v>139</v>
      </c>
      <c r="E730" s="867">
        <f>(1-0.004)*0.0001/100</f>
        <v>9.9600000000000008E-7</v>
      </c>
      <c r="F730" s="235">
        <v>2</v>
      </c>
      <c r="G730" s="522" t="s">
        <v>1995</v>
      </c>
      <c r="H730" s="29">
        <v>2</v>
      </c>
      <c r="I730" s="9">
        <v>1</v>
      </c>
      <c r="J730" s="9">
        <v>2</v>
      </c>
      <c r="K730" s="9">
        <v>3</v>
      </c>
      <c r="L730" s="9">
        <v>3</v>
      </c>
      <c r="M730" s="9">
        <v>1</v>
      </c>
      <c r="N730" s="186">
        <f t="shared" si="55"/>
        <v>0.51126068492676302</v>
      </c>
      <c r="O730" s="160">
        <f t="shared" si="56"/>
        <v>0.50042652380814845</v>
      </c>
      <c r="P730" s="63"/>
    </row>
    <row r="731" spans="1:16" hidden="1">
      <c r="A731" s="292" t="s">
        <v>225</v>
      </c>
      <c r="B731" s="55" t="s">
        <v>184</v>
      </c>
      <c r="C731" s="265" t="s">
        <v>139</v>
      </c>
      <c r="D731" s="55" t="s">
        <v>139</v>
      </c>
      <c r="E731" s="260">
        <v>3.0000000000000001E-3</v>
      </c>
      <c r="F731" s="235">
        <v>2</v>
      </c>
      <c r="G731" s="265" t="s">
        <v>224</v>
      </c>
      <c r="H731" s="29">
        <v>1</v>
      </c>
      <c r="I731" s="9">
        <v>2</v>
      </c>
      <c r="J731" s="9">
        <v>2</v>
      </c>
      <c r="K731" s="9">
        <v>1</v>
      </c>
      <c r="L731" s="9">
        <v>2</v>
      </c>
      <c r="M731" s="9">
        <v>2</v>
      </c>
      <c r="N731" s="186">
        <f t="shared" si="55"/>
        <v>0.37356464144298934</v>
      </c>
      <c r="O731" s="160">
        <f t="shared" si="56"/>
        <v>0.38795788889711302</v>
      </c>
      <c r="P731" s="63"/>
    </row>
    <row r="732" spans="1:16" hidden="1">
      <c r="A732" s="292" t="s">
        <v>360</v>
      </c>
      <c r="B732" s="55" t="s">
        <v>251</v>
      </c>
      <c r="C732" s="265" t="s">
        <v>139</v>
      </c>
      <c r="D732" s="55" t="s">
        <v>139</v>
      </c>
      <c r="E732" s="260">
        <v>0.24038461538461536</v>
      </c>
      <c r="F732" s="235">
        <v>2</v>
      </c>
      <c r="G732" s="265" t="s">
        <v>163</v>
      </c>
      <c r="H732" s="29">
        <v>2</v>
      </c>
      <c r="I732" s="9">
        <v>2</v>
      </c>
      <c r="J732" s="9">
        <v>1</v>
      </c>
      <c r="K732" s="9">
        <v>1</v>
      </c>
      <c r="L732" s="9">
        <v>1</v>
      </c>
      <c r="M732" s="9">
        <v>3</v>
      </c>
      <c r="N732" s="186">
        <f t="shared" ref="N732:N789" si="57">IF( OR( ISBLANK(H732),ISBLANK(J732), ISBLANK(K732), ISBLANK(L732), ISBLANK(M732) ), "", 1.5*SQRT(   EXP(2.21*(H732-1)) + EXP(2.21*(J732-1)) + EXP(2.21*(K732-1)) + EXP(2.21*(L732-1)) + EXP(2.21*M732)   )/100*2.45 )</f>
        <v>1.0195048044558224</v>
      </c>
      <c r="O732" s="160">
        <f t="shared" ref="O732:O789" si="58">IF( OR( ISBLANK(I732),ISBLANK(J732), ISBLANK(K732), ISBLANK(L732), ISBLANK(M732) ), "", 1.5*SQRT( EXP(2.21*(I732-1)) + EXP(2.21*(J732-1)) + EXP(2.21*(K732-1)) + EXP(2.21*(L732-1)) + EXP(2.21*M732)   )/100*2.45 )</f>
        <v>1.0195048044558224</v>
      </c>
      <c r="P732" s="63" t="s">
        <v>357</v>
      </c>
    </row>
    <row r="733" spans="1:16" hidden="1">
      <c r="A733" s="292" t="s">
        <v>360</v>
      </c>
      <c r="B733" s="55" t="s">
        <v>251</v>
      </c>
      <c r="C733" s="265" t="s">
        <v>139</v>
      </c>
      <c r="D733" s="55" t="s">
        <v>139</v>
      </c>
      <c r="E733" s="260">
        <v>0.13440860215053765</v>
      </c>
      <c r="F733" s="235">
        <v>2</v>
      </c>
      <c r="G733" s="265" t="s">
        <v>163</v>
      </c>
      <c r="H733" s="29">
        <v>2</v>
      </c>
      <c r="I733" s="9">
        <v>2</v>
      </c>
      <c r="J733" s="9">
        <v>1</v>
      </c>
      <c r="K733" s="9">
        <v>1</v>
      </c>
      <c r="L733" s="9">
        <v>1</v>
      </c>
      <c r="M733" s="9">
        <v>3</v>
      </c>
      <c r="N733" s="186">
        <f t="shared" si="57"/>
        <v>1.0195048044558224</v>
      </c>
      <c r="O733" s="160">
        <f t="shared" si="58"/>
        <v>1.0195048044558224</v>
      </c>
      <c r="P733" s="63" t="s">
        <v>358</v>
      </c>
    </row>
    <row r="734" spans="1:16" hidden="1">
      <c r="A734" s="152" t="s">
        <v>380</v>
      </c>
      <c r="B734" s="34" t="s">
        <v>378</v>
      </c>
      <c r="C734" s="40" t="s">
        <v>139</v>
      </c>
      <c r="D734" s="34" t="s">
        <v>139</v>
      </c>
      <c r="E734" s="870">
        <v>0.9</v>
      </c>
      <c r="F734" s="34">
        <v>1</v>
      </c>
      <c r="G734" s="40" t="s">
        <v>392</v>
      </c>
      <c r="H734" s="29">
        <v>1</v>
      </c>
      <c r="I734" s="9">
        <v>3</v>
      </c>
      <c r="J734" s="9">
        <v>2</v>
      </c>
      <c r="K734" s="9">
        <v>1</v>
      </c>
      <c r="L734" s="9">
        <v>1</v>
      </c>
      <c r="M734" s="9">
        <v>2</v>
      </c>
      <c r="N734" s="186">
        <f t="shared" si="57"/>
        <v>0.35859414261160716</v>
      </c>
      <c r="O734" s="160">
        <f t="shared" si="58"/>
        <v>0.48935255543384243</v>
      </c>
      <c r="P734" s="857"/>
    </row>
    <row r="735" spans="1:16" hidden="1">
      <c r="A735" s="152" t="s">
        <v>380</v>
      </c>
      <c r="B735" s="34" t="s">
        <v>258</v>
      </c>
      <c r="C735" s="40" t="s">
        <v>139</v>
      </c>
      <c r="D735" s="34" t="s">
        <v>139</v>
      </c>
      <c r="E735" s="870">
        <v>0.1</v>
      </c>
      <c r="F735" s="34">
        <v>1</v>
      </c>
      <c r="G735" s="40" t="s">
        <v>379</v>
      </c>
      <c r="H735" s="29">
        <v>1</v>
      </c>
      <c r="I735" s="9">
        <v>3</v>
      </c>
      <c r="J735" s="9">
        <v>2</v>
      </c>
      <c r="K735" s="9">
        <v>1</v>
      </c>
      <c r="L735" s="9">
        <v>1</v>
      </c>
      <c r="M735" s="9">
        <v>2</v>
      </c>
      <c r="N735" s="186">
        <f t="shared" si="57"/>
        <v>0.35859414261160716</v>
      </c>
      <c r="O735" s="160">
        <f t="shared" si="58"/>
        <v>0.48935255543384243</v>
      </c>
      <c r="P735" s="857"/>
    </row>
    <row r="736" spans="1:16" hidden="1">
      <c r="A736" s="152" t="s">
        <v>301</v>
      </c>
      <c r="B736" s="34" t="s">
        <v>179</v>
      </c>
      <c r="C736" s="40" t="s">
        <v>139</v>
      </c>
      <c r="D736" s="34" t="s">
        <v>139</v>
      </c>
      <c r="E736" s="870" t="s">
        <v>150</v>
      </c>
      <c r="F736" s="34">
        <v>1</v>
      </c>
      <c r="G736" s="40" t="s">
        <v>302</v>
      </c>
      <c r="H736" s="29"/>
      <c r="I736" s="9"/>
      <c r="J736" s="9"/>
      <c r="K736" s="9"/>
      <c r="L736" s="9"/>
      <c r="M736" s="9"/>
      <c r="N736" s="186" t="str">
        <f t="shared" si="57"/>
        <v/>
      </c>
      <c r="O736" s="160" t="str">
        <f t="shared" si="58"/>
        <v/>
      </c>
      <c r="P736" s="857"/>
    </row>
    <row r="737" spans="1:16" hidden="1">
      <c r="A737" s="152" t="s">
        <v>301</v>
      </c>
      <c r="B737" s="34" t="s">
        <v>232</v>
      </c>
      <c r="C737" s="40" t="s">
        <v>139</v>
      </c>
      <c r="D737" s="34" t="s">
        <v>139</v>
      </c>
      <c r="E737" s="870">
        <v>0.05</v>
      </c>
      <c r="F737" s="34">
        <v>2</v>
      </c>
      <c r="G737" s="40" t="s">
        <v>393</v>
      </c>
      <c r="H737" s="29">
        <v>1</v>
      </c>
      <c r="I737" s="9">
        <v>2</v>
      </c>
      <c r="J737" s="9">
        <v>1</v>
      </c>
      <c r="K737" s="9">
        <v>2</v>
      </c>
      <c r="L737" s="9">
        <v>2</v>
      </c>
      <c r="M737" s="9">
        <v>4</v>
      </c>
      <c r="N737" s="186">
        <f t="shared" si="57"/>
        <v>3.0582589715853041</v>
      </c>
      <c r="O737" s="160">
        <f t="shared" si="58"/>
        <v>3.0600504439474649</v>
      </c>
      <c r="P737" s="857"/>
    </row>
    <row r="738" spans="1:16" hidden="1">
      <c r="A738" s="152" t="s">
        <v>394</v>
      </c>
      <c r="B738" s="34" t="s">
        <v>378</v>
      </c>
      <c r="C738" s="40" t="s">
        <v>139</v>
      </c>
      <c r="D738" s="34" t="s">
        <v>139</v>
      </c>
      <c r="E738" s="265" t="s">
        <v>150</v>
      </c>
      <c r="F738" s="34">
        <v>1</v>
      </c>
      <c r="G738" s="40" t="s">
        <v>381</v>
      </c>
      <c r="H738" s="29">
        <v>1</v>
      </c>
      <c r="I738" s="9">
        <v>2</v>
      </c>
      <c r="J738" s="9">
        <v>3</v>
      </c>
      <c r="K738" s="9">
        <v>1</v>
      </c>
      <c r="L738" s="9">
        <v>2</v>
      </c>
      <c r="M738" s="9">
        <v>1</v>
      </c>
      <c r="N738" s="186">
        <f t="shared" si="57"/>
        <v>0.37356464144298934</v>
      </c>
      <c r="O738" s="160">
        <f t="shared" si="58"/>
        <v>0.38795788889711297</v>
      </c>
      <c r="P738" s="857"/>
    </row>
    <row r="739" spans="1:16" hidden="1">
      <c r="A739" s="152" t="s">
        <v>394</v>
      </c>
      <c r="B739" s="34" t="s">
        <v>266</v>
      </c>
      <c r="C739" s="40" t="s">
        <v>139</v>
      </c>
      <c r="D739" s="34" t="s">
        <v>139</v>
      </c>
      <c r="E739" s="265">
        <f>0.526*0.34</f>
        <v>0.17884000000000003</v>
      </c>
      <c r="F739" s="34">
        <v>2</v>
      </c>
      <c r="G739" s="40" t="s">
        <v>381</v>
      </c>
      <c r="H739" s="29">
        <v>1</v>
      </c>
      <c r="I739" s="9">
        <v>2</v>
      </c>
      <c r="J739" s="9">
        <v>3</v>
      </c>
      <c r="K739" s="9">
        <v>1</v>
      </c>
      <c r="L739" s="9">
        <v>2</v>
      </c>
      <c r="M739" s="9">
        <v>1</v>
      </c>
      <c r="N739" s="186">
        <f t="shared" si="57"/>
        <v>0.37356464144298934</v>
      </c>
      <c r="O739" s="160">
        <f t="shared" si="58"/>
        <v>0.38795788889711297</v>
      </c>
      <c r="P739" s="857"/>
    </row>
    <row r="740" spans="1:16" hidden="1">
      <c r="A740" s="152" t="s">
        <v>394</v>
      </c>
      <c r="B740" s="34" t="s">
        <v>258</v>
      </c>
      <c r="C740" s="40" t="s">
        <v>139</v>
      </c>
      <c r="D740" s="34" t="s">
        <v>139</v>
      </c>
      <c r="E740" s="265">
        <v>0.255</v>
      </c>
      <c r="F740" s="34">
        <v>2</v>
      </c>
      <c r="G740" s="40" t="s">
        <v>381</v>
      </c>
      <c r="H740" s="29">
        <v>1</v>
      </c>
      <c r="I740" s="9">
        <v>2</v>
      </c>
      <c r="J740" s="9">
        <v>3</v>
      </c>
      <c r="K740" s="9">
        <v>1</v>
      </c>
      <c r="L740" s="9">
        <v>2</v>
      </c>
      <c r="M740" s="9">
        <v>1</v>
      </c>
      <c r="N740" s="186">
        <f t="shared" si="57"/>
        <v>0.37356464144298934</v>
      </c>
      <c r="O740" s="160">
        <f t="shared" si="58"/>
        <v>0.38795788889711297</v>
      </c>
      <c r="P740" s="857"/>
    </row>
    <row r="741" spans="1:16" hidden="1">
      <c r="A741" s="152" t="s">
        <v>394</v>
      </c>
      <c r="B741" s="34" t="s">
        <v>232</v>
      </c>
      <c r="C741" s="40" t="s">
        <v>139</v>
      </c>
      <c r="D741" s="34" t="s">
        <v>139</v>
      </c>
      <c r="E741" s="265">
        <f>0.526*0.66</f>
        <v>0.34716000000000002</v>
      </c>
      <c r="F741" s="34">
        <v>2</v>
      </c>
      <c r="G741" s="40" t="s">
        <v>381</v>
      </c>
      <c r="H741" s="29">
        <v>1</v>
      </c>
      <c r="I741" s="9">
        <v>2</v>
      </c>
      <c r="J741" s="9">
        <v>3</v>
      </c>
      <c r="K741" s="9">
        <v>1</v>
      </c>
      <c r="L741" s="9">
        <v>2</v>
      </c>
      <c r="M741" s="9">
        <v>1</v>
      </c>
      <c r="N741" s="186">
        <f t="shared" si="57"/>
        <v>0.37356464144298934</v>
      </c>
      <c r="O741" s="160">
        <f t="shared" si="58"/>
        <v>0.38795788889711297</v>
      </c>
      <c r="P741" s="857"/>
    </row>
    <row r="742" spans="1:16" hidden="1">
      <c r="A742" s="152" t="s">
        <v>395</v>
      </c>
      <c r="B742" s="34" t="s">
        <v>301</v>
      </c>
      <c r="C742" s="40" t="s">
        <v>139</v>
      </c>
      <c r="D742" s="34" t="s">
        <v>139</v>
      </c>
      <c r="E742" s="265">
        <v>0.01</v>
      </c>
      <c r="F742" s="34">
        <v>2</v>
      </c>
      <c r="G742" s="40" t="s">
        <v>302</v>
      </c>
      <c r="H742" s="29">
        <v>2</v>
      </c>
      <c r="I742" s="9">
        <v>2</v>
      </c>
      <c r="J742" s="9">
        <v>2</v>
      </c>
      <c r="K742" s="9">
        <v>2</v>
      </c>
      <c r="L742" s="9">
        <v>1</v>
      </c>
      <c r="M742" s="9">
        <v>1</v>
      </c>
      <c r="N742" s="186">
        <f t="shared" si="57"/>
        <v>0.2249354160293616</v>
      </c>
      <c r="O742" s="160">
        <f t="shared" si="58"/>
        <v>0.2249354160293616</v>
      </c>
      <c r="P742" s="857"/>
    </row>
    <row r="743" spans="1:16" hidden="1">
      <c r="A743" s="152" t="s">
        <v>326</v>
      </c>
      <c r="B743" s="34" t="s">
        <v>265</v>
      </c>
      <c r="C743" s="40" t="s">
        <v>139</v>
      </c>
      <c r="D743" s="34" t="s">
        <v>139</v>
      </c>
      <c r="E743" s="260">
        <v>1.0200000000000001E-3</v>
      </c>
      <c r="F743" s="235">
        <v>2</v>
      </c>
      <c r="G743" s="40" t="s">
        <v>344</v>
      </c>
      <c r="H743" s="29">
        <v>2</v>
      </c>
      <c r="I743" s="9"/>
      <c r="J743" s="9">
        <v>3</v>
      </c>
      <c r="K743" s="9">
        <v>3</v>
      </c>
      <c r="L743" s="9">
        <v>3</v>
      </c>
      <c r="M743" s="9">
        <v>2</v>
      </c>
      <c r="N743" s="186">
        <f t="shared" si="57"/>
        <v>0.67913051197703389</v>
      </c>
      <c r="O743" s="160" t="str">
        <f t="shared" si="58"/>
        <v/>
      </c>
      <c r="P743" s="63" t="s">
        <v>345</v>
      </c>
    </row>
    <row r="744" spans="1:16" hidden="1">
      <c r="A744" s="152" t="s">
        <v>396</v>
      </c>
      <c r="B744" s="34" t="s">
        <v>269</v>
      </c>
      <c r="C744" s="40" t="s">
        <v>139</v>
      </c>
      <c r="D744" s="34" t="s">
        <v>139</v>
      </c>
      <c r="E744" s="870">
        <v>0.51183800000000002</v>
      </c>
      <c r="F744" s="34">
        <v>2</v>
      </c>
      <c r="G744" s="40" t="s">
        <v>397</v>
      </c>
      <c r="H744" s="29">
        <v>1</v>
      </c>
      <c r="I744" s="9">
        <v>1</v>
      </c>
      <c r="J744" s="9">
        <v>1</v>
      </c>
      <c r="K744" s="9">
        <v>1</v>
      </c>
      <c r="L744" s="9">
        <v>1</v>
      </c>
      <c r="M744" s="9">
        <v>1</v>
      </c>
      <c r="N744" s="186">
        <f t="shared" si="57"/>
        <v>0.13309242924026707</v>
      </c>
      <c r="O744" s="160">
        <f t="shared" si="58"/>
        <v>0.13309242924026707</v>
      </c>
      <c r="P744" s="857"/>
    </row>
    <row r="745" spans="1:16" hidden="1">
      <c r="A745" s="152" t="s">
        <v>396</v>
      </c>
      <c r="B745" s="34" t="s">
        <v>395</v>
      </c>
      <c r="C745" s="40" t="s">
        <v>139</v>
      </c>
      <c r="D745" s="34" t="s">
        <v>139</v>
      </c>
      <c r="E745" s="870">
        <v>0.23042099999999999</v>
      </c>
      <c r="F745" s="34">
        <v>1</v>
      </c>
      <c r="G745" s="40" t="s">
        <v>397</v>
      </c>
      <c r="H745" s="29">
        <v>1</v>
      </c>
      <c r="I745" s="9">
        <v>1</v>
      </c>
      <c r="J745" s="9">
        <v>1</v>
      </c>
      <c r="K745" s="9">
        <v>1</v>
      </c>
      <c r="L745" s="9">
        <v>1</v>
      </c>
      <c r="M745" s="9">
        <v>1</v>
      </c>
      <c r="N745" s="186">
        <f t="shared" si="57"/>
        <v>0.13309242924026707</v>
      </c>
      <c r="O745" s="160">
        <f t="shared" si="58"/>
        <v>0.13309242924026707</v>
      </c>
      <c r="P745" s="857"/>
    </row>
    <row r="746" spans="1:16" hidden="1">
      <c r="A746" s="152" t="s">
        <v>395</v>
      </c>
      <c r="B746" s="34" t="s">
        <v>301</v>
      </c>
      <c r="C746" s="40" t="s">
        <v>139</v>
      </c>
      <c r="D746" s="34" t="s">
        <v>139</v>
      </c>
      <c r="E746" s="265">
        <v>0.02</v>
      </c>
      <c r="F746" s="34">
        <v>2</v>
      </c>
      <c r="G746" s="40" t="s">
        <v>302</v>
      </c>
      <c r="H746" s="29">
        <v>2</v>
      </c>
      <c r="I746" s="9">
        <v>2</v>
      </c>
      <c r="J746" s="9">
        <v>2</v>
      </c>
      <c r="K746" s="9">
        <v>2</v>
      </c>
      <c r="L746" s="9">
        <v>1</v>
      </c>
      <c r="M746" s="9">
        <v>1</v>
      </c>
      <c r="N746" s="186">
        <f t="shared" si="57"/>
        <v>0.2249354160293616</v>
      </c>
      <c r="O746" s="160">
        <f t="shared" si="58"/>
        <v>0.2249354160293616</v>
      </c>
      <c r="P746" s="857"/>
    </row>
    <row r="747" spans="1:16" hidden="1">
      <c r="A747" s="152" t="s">
        <v>396</v>
      </c>
      <c r="B747" s="34" t="s">
        <v>398</v>
      </c>
      <c r="C747" s="40" t="s">
        <v>139</v>
      </c>
      <c r="D747" s="34" t="s">
        <v>139</v>
      </c>
      <c r="E747" s="870">
        <v>0.257741</v>
      </c>
      <c r="F747" s="34">
        <v>2</v>
      </c>
      <c r="G747" s="40" t="s">
        <v>397</v>
      </c>
      <c r="H747" s="29">
        <v>1</v>
      </c>
      <c r="I747" s="9">
        <v>1</v>
      </c>
      <c r="J747" s="9">
        <v>1</v>
      </c>
      <c r="K747" s="9">
        <v>1</v>
      </c>
      <c r="L747" s="9">
        <v>1</v>
      </c>
      <c r="M747" s="9">
        <v>1</v>
      </c>
      <c r="N747" s="186">
        <f t="shared" si="57"/>
        <v>0.13309242924026707</v>
      </c>
      <c r="O747" s="160">
        <f t="shared" si="58"/>
        <v>0.13309242924026707</v>
      </c>
      <c r="P747" s="857"/>
    </row>
    <row r="748" spans="1:16" hidden="1">
      <c r="A748" s="152" t="s">
        <v>395</v>
      </c>
      <c r="B748" s="34" t="s">
        <v>231</v>
      </c>
      <c r="C748" s="40" t="s">
        <v>139</v>
      </c>
      <c r="D748" s="34" t="s">
        <v>139</v>
      </c>
      <c r="E748" s="265">
        <v>0.05</v>
      </c>
      <c r="F748" s="34">
        <v>2</v>
      </c>
      <c r="G748" s="40" t="s">
        <v>276</v>
      </c>
      <c r="H748" s="29">
        <v>1</v>
      </c>
      <c r="I748" s="9">
        <v>2</v>
      </c>
      <c r="J748" s="9">
        <v>1</v>
      </c>
      <c r="K748" s="9">
        <v>1</v>
      </c>
      <c r="L748" s="9">
        <v>2</v>
      </c>
      <c r="M748" s="9">
        <v>3</v>
      </c>
      <c r="N748" s="186">
        <f t="shared" si="57"/>
        <v>1.0195048044558224</v>
      </c>
      <c r="O748" s="160">
        <f t="shared" si="58"/>
        <v>1.0248662490928169</v>
      </c>
      <c r="P748" s="857"/>
    </row>
    <row r="749" spans="1:16" hidden="1">
      <c r="A749" s="152" t="s">
        <v>395</v>
      </c>
      <c r="B749" s="34" t="s">
        <v>231</v>
      </c>
      <c r="C749" s="40" t="s">
        <v>139</v>
      </c>
      <c r="D749" s="34" t="s">
        <v>139</v>
      </c>
      <c r="E749" s="265">
        <v>0.1</v>
      </c>
      <c r="F749" s="34">
        <v>2</v>
      </c>
      <c r="G749" s="871" t="s">
        <v>277</v>
      </c>
      <c r="H749" s="29">
        <v>1</v>
      </c>
      <c r="I749" s="9">
        <v>2</v>
      </c>
      <c r="J749" s="9">
        <v>2</v>
      </c>
      <c r="K749" s="9">
        <v>1</v>
      </c>
      <c r="L749" s="9">
        <v>2</v>
      </c>
      <c r="M749" s="9">
        <v>3</v>
      </c>
      <c r="N749" s="186">
        <f t="shared" si="57"/>
        <v>1.0248662490928169</v>
      </c>
      <c r="O749" s="160">
        <f t="shared" si="58"/>
        <v>1.0301997916669636</v>
      </c>
      <c r="P749" s="857"/>
    </row>
    <row r="750" spans="1:16" hidden="1">
      <c r="A750" s="152" t="s">
        <v>121</v>
      </c>
      <c r="B750" s="34" t="s">
        <v>185</v>
      </c>
      <c r="C750" s="40" t="s">
        <v>139</v>
      </c>
      <c r="D750" s="34" t="s">
        <v>88</v>
      </c>
      <c r="E750" s="260">
        <v>0</v>
      </c>
      <c r="F750" s="235">
        <v>1</v>
      </c>
      <c r="G750" s="40"/>
      <c r="H750" s="29"/>
      <c r="I750" s="9"/>
      <c r="J750" s="9"/>
      <c r="K750" s="9"/>
      <c r="L750" s="9"/>
      <c r="M750" s="9"/>
      <c r="N750" s="186" t="str">
        <f t="shared" si="57"/>
        <v/>
      </c>
      <c r="O750" s="160" t="str">
        <f t="shared" si="58"/>
        <v/>
      </c>
      <c r="P750" s="63"/>
    </row>
    <row r="751" spans="1:16" hidden="1">
      <c r="A751" s="152" t="s">
        <v>121</v>
      </c>
      <c r="B751" s="34" t="s">
        <v>185</v>
      </c>
      <c r="C751" s="40" t="s">
        <v>139</v>
      </c>
      <c r="D751" s="34" t="s">
        <v>89</v>
      </c>
      <c r="E751" s="260">
        <v>0</v>
      </c>
      <c r="F751" s="235">
        <v>1</v>
      </c>
      <c r="G751" s="40"/>
      <c r="H751" s="29"/>
      <c r="I751" s="9"/>
      <c r="J751" s="9"/>
      <c r="K751" s="9"/>
      <c r="L751" s="9"/>
      <c r="M751" s="9"/>
      <c r="N751" s="186" t="str">
        <f t="shared" si="57"/>
        <v/>
      </c>
      <c r="O751" s="160" t="str">
        <f t="shared" si="58"/>
        <v/>
      </c>
      <c r="P751" s="63"/>
    </row>
    <row r="752" spans="1:16" hidden="1">
      <c r="A752" s="152" t="s">
        <v>121</v>
      </c>
      <c r="B752" s="34" t="s">
        <v>185</v>
      </c>
      <c r="C752" s="40" t="s">
        <v>139</v>
      </c>
      <c r="D752" s="34" t="s">
        <v>90</v>
      </c>
      <c r="E752" s="260">
        <v>0</v>
      </c>
      <c r="F752" s="235">
        <v>1</v>
      </c>
      <c r="G752" s="40"/>
      <c r="H752" s="29"/>
      <c r="I752" s="9"/>
      <c r="J752" s="9"/>
      <c r="K752" s="9"/>
      <c r="L752" s="9"/>
      <c r="M752" s="9"/>
      <c r="N752" s="186" t="str">
        <f t="shared" si="57"/>
        <v/>
      </c>
      <c r="O752" s="160" t="str">
        <f t="shared" si="58"/>
        <v/>
      </c>
      <c r="P752" s="63"/>
    </row>
    <row r="753" spans="1:16" hidden="1">
      <c r="A753" s="152" t="s">
        <v>121</v>
      </c>
      <c r="B753" s="34" t="s">
        <v>185</v>
      </c>
      <c r="C753" s="40" t="s">
        <v>139</v>
      </c>
      <c r="D753" s="34" t="s">
        <v>91</v>
      </c>
      <c r="E753" s="260">
        <v>6.387687825104362E-3</v>
      </c>
      <c r="F753" s="235">
        <v>1</v>
      </c>
      <c r="G753" s="40"/>
      <c r="H753" s="29">
        <v>2</v>
      </c>
      <c r="I753" s="9">
        <v>2</v>
      </c>
      <c r="J753" s="9">
        <v>2</v>
      </c>
      <c r="K753" s="9">
        <v>2</v>
      </c>
      <c r="L753" s="9">
        <v>1</v>
      </c>
      <c r="M753" s="9">
        <v>2</v>
      </c>
      <c r="N753" s="186">
        <f t="shared" si="57"/>
        <v>0.38795788889711302</v>
      </c>
      <c r="O753" s="160">
        <f t="shared" si="58"/>
        <v>0.38795788889711302</v>
      </c>
      <c r="P753" s="63"/>
    </row>
    <row r="754" spans="1:16" hidden="1">
      <c r="A754" s="152" t="s">
        <v>121</v>
      </c>
      <c r="B754" s="34" t="s">
        <v>185</v>
      </c>
      <c r="C754" s="40" t="s">
        <v>139</v>
      </c>
      <c r="D754" s="34" t="s">
        <v>95</v>
      </c>
      <c r="E754" s="260">
        <v>9.8377066062213417E-4</v>
      </c>
      <c r="F754" s="235">
        <v>1</v>
      </c>
      <c r="G754" s="40"/>
      <c r="H754" s="29">
        <v>2</v>
      </c>
      <c r="I754" s="9">
        <v>2</v>
      </c>
      <c r="J754" s="9">
        <v>2</v>
      </c>
      <c r="K754" s="9">
        <v>2</v>
      </c>
      <c r="L754" s="9">
        <v>1</v>
      </c>
      <c r="M754" s="9">
        <v>2</v>
      </c>
      <c r="N754" s="186">
        <f t="shared" si="57"/>
        <v>0.38795788889711302</v>
      </c>
      <c r="O754" s="160">
        <f t="shared" si="58"/>
        <v>0.38795788889711302</v>
      </c>
      <c r="P754" s="63"/>
    </row>
    <row r="755" spans="1:16" hidden="1">
      <c r="A755" s="152" t="s">
        <v>121</v>
      </c>
      <c r="B755" s="34" t="s">
        <v>185</v>
      </c>
      <c r="C755" s="40" t="s">
        <v>139</v>
      </c>
      <c r="D755" s="34" t="s">
        <v>99</v>
      </c>
      <c r="E755" s="260">
        <v>0</v>
      </c>
      <c r="F755" s="235">
        <v>1</v>
      </c>
      <c r="G755" s="40"/>
      <c r="H755" s="29"/>
      <c r="I755" s="9"/>
      <c r="J755" s="9"/>
      <c r="K755" s="9"/>
      <c r="L755" s="9"/>
      <c r="M755" s="9"/>
      <c r="N755" s="186" t="str">
        <f t="shared" si="57"/>
        <v/>
      </c>
      <c r="O755" s="160" t="str">
        <f t="shared" si="58"/>
        <v/>
      </c>
      <c r="P755" s="63"/>
    </row>
    <row r="756" spans="1:16" hidden="1">
      <c r="A756" s="152" t="s">
        <v>121</v>
      </c>
      <c r="B756" s="34" t="s">
        <v>346</v>
      </c>
      <c r="C756" s="40" t="s">
        <v>139</v>
      </c>
      <c r="D756" s="34" t="s">
        <v>85</v>
      </c>
      <c r="E756" s="260">
        <v>0</v>
      </c>
      <c r="F756" s="235">
        <v>1</v>
      </c>
      <c r="G756" s="40"/>
      <c r="H756" s="29"/>
      <c r="I756" s="9"/>
      <c r="J756" s="9"/>
      <c r="K756" s="9"/>
      <c r="L756" s="9"/>
      <c r="M756" s="9"/>
      <c r="N756" s="186" t="str">
        <f t="shared" si="57"/>
        <v/>
      </c>
      <c r="O756" s="160" t="str">
        <f t="shared" si="58"/>
        <v/>
      </c>
      <c r="P756" s="63"/>
    </row>
    <row r="757" spans="1:16" hidden="1">
      <c r="A757" s="152" t="s">
        <v>121</v>
      </c>
      <c r="B757" s="34" t="s">
        <v>346</v>
      </c>
      <c r="C757" s="40" t="s">
        <v>139</v>
      </c>
      <c r="D757" s="34" t="s">
        <v>86</v>
      </c>
      <c r="E757" s="260">
        <v>0</v>
      </c>
      <c r="F757" s="235">
        <v>1</v>
      </c>
      <c r="G757" s="40"/>
      <c r="H757" s="29"/>
      <c r="I757" s="9"/>
      <c r="J757" s="9"/>
      <c r="K757" s="9"/>
      <c r="L757" s="9"/>
      <c r="M757" s="9"/>
      <c r="N757" s="186" t="str">
        <f t="shared" si="57"/>
        <v/>
      </c>
      <c r="O757" s="160" t="str">
        <f t="shared" si="58"/>
        <v/>
      </c>
      <c r="P757" s="63"/>
    </row>
    <row r="758" spans="1:16" hidden="1">
      <c r="A758" s="152" t="s">
        <v>121</v>
      </c>
      <c r="B758" s="34" t="s">
        <v>346</v>
      </c>
      <c r="C758" s="40" t="s">
        <v>139</v>
      </c>
      <c r="D758" s="34" t="s">
        <v>87</v>
      </c>
      <c r="E758" s="260">
        <v>0.15197638649335868</v>
      </c>
      <c r="F758" s="235">
        <v>1</v>
      </c>
      <c r="G758" s="40"/>
      <c r="H758" s="29">
        <v>2</v>
      </c>
      <c r="I758" s="9">
        <v>2</v>
      </c>
      <c r="J758" s="9">
        <v>2</v>
      </c>
      <c r="K758" s="9">
        <v>2</v>
      </c>
      <c r="L758" s="9">
        <v>1</v>
      </c>
      <c r="M758" s="9">
        <v>2</v>
      </c>
      <c r="N758" s="186">
        <f t="shared" si="57"/>
        <v>0.38795788889711302</v>
      </c>
      <c r="O758" s="160">
        <f t="shared" si="58"/>
        <v>0.38795788889711302</v>
      </c>
      <c r="P758" s="63"/>
    </row>
    <row r="759" spans="1:16" hidden="1">
      <c r="A759" s="152" t="s">
        <v>256</v>
      </c>
      <c r="B759" s="34" t="s">
        <v>267</v>
      </c>
      <c r="C759" s="40" t="s">
        <v>182</v>
      </c>
      <c r="D759" s="69" t="s">
        <v>88</v>
      </c>
      <c r="E759" s="867">
        <v>0.16331787738279241</v>
      </c>
      <c r="F759" s="34">
        <v>1</v>
      </c>
      <c r="G759" s="344" t="s">
        <v>126</v>
      </c>
      <c r="H759" s="29"/>
      <c r="I759" s="9">
        <v>1</v>
      </c>
      <c r="J759" s="9">
        <v>1</v>
      </c>
      <c r="K759" s="9">
        <v>1</v>
      </c>
      <c r="L759" s="9">
        <v>2</v>
      </c>
      <c r="M759" s="9">
        <v>2</v>
      </c>
      <c r="N759" s="186" t="str">
        <f t="shared" si="57"/>
        <v/>
      </c>
      <c r="O759" s="160">
        <f t="shared" si="58"/>
        <v>0.35859414261160716</v>
      </c>
      <c r="P759" s="63"/>
    </row>
    <row r="760" spans="1:16" hidden="1">
      <c r="A760" s="152" t="s">
        <v>283</v>
      </c>
      <c r="B760" s="34" t="s">
        <v>251</v>
      </c>
      <c r="C760" s="40" t="s">
        <v>139</v>
      </c>
      <c r="D760" s="34" t="s">
        <v>139</v>
      </c>
      <c r="E760" s="867">
        <f>(1-0.004)*0.04/100</f>
        <v>3.9839999999999998E-4</v>
      </c>
      <c r="F760" s="235">
        <v>2</v>
      </c>
      <c r="G760" s="522" t="s">
        <v>1995</v>
      </c>
      <c r="H760" s="29">
        <v>2</v>
      </c>
      <c r="I760" s="9">
        <v>1</v>
      </c>
      <c r="J760" s="9">
        <v>2</v>
      </c>
      <c r="K760" s="9">
        <v>3</v>
      </c>
      <c r="L760" s="9">
        <v>3</v>
      </c>
      <c r="M760" s="9">
        <v>1</v>
      </c>
      <c r="N760" s="186">
        <f t="shared" si="57"/>
        <v>0.51126068492676302</v>
      </c>
      <c r="O760" s="160">
        <f t="shared" si="58"/>
        <v>0.50042652380814845</v>
      </c>
      <c r="P760" s="63"/>
    </row>
    <row r="761" spans="1:16" hidden="1">
      <c r="A761" s="152" t="s">
        <v>283</v>
      </c>
      <c r="B761" s="34" t="s">
        <v>248</v>
      </c>
      <c r="C761" s="40" t="s">
        <v>139</v>
      </c>
      <c r="D761" s="34" t="s">
        <v>139</v>
      </c>
      <c r="E761" s="260" t="s">
        <v>150</v>
      </c>
      <c r="F761" s="235">
        <v>1</v>
      </c>
      <c r="G761" s="40"/>
      <c r="H761" s="29"/>
      <c r="I761" s="9"/>
      <c r="J761" s="9"/>
      <c r="K761" s="9"/>
      <c r="L761" s="9"/>
      <c r="M761" s="9"/>
      <c r="N761" s="186" t="str">
        <f t="shared" si="57"/>
        <v/>
      </c>
      <c r="O761" s="160" t="str">
        <f t="shared" si="58"/>
        <v/>
      </c>
      <c r="P761" s="63"/>
    </row>
    <row r="762" spans="1:16" hidden="1">
      <c r="A762" s="292" t="s">
        <v>225</v>
      </c>
      <c r="B762" s="55" t="s">
        <v>176</v>
      </c>
      <c r="C762" s="265" t="s">
        <v>139</v>
      </c>
      <c r="D762" s="55" t="s">
        <v>139</v>
      </c>
      <c r="E762" s="260">
        <v>1E-4</v>
      </c>
      <c r="F762" s="235">
        <v>1</v>
      </c>
      <c r="G762" s="265" t="s">
        <v>399</v>
      </c>
      <c r="H762" s="29">
        <v>1</v>
      </c>
      <c r="I762" s="9">
        <v>1</v>
      </c>
      <c r="J762" s="9">
        <v>2</v>
      </c>
      <c r="K762" s="9">
        <v>1</v>
      </c>
      <c r="L762" s="9">
        <v>2</v>
      </c>
      <c r="M762" s="9">
        <v>3</v>
      </c>
      <c r="N762" s="186">
        <f t="shared" si="57"/>
        <v>1.0248662490928169</v>
      </c>
      <c r="O762" s="160">
        <f t="shared" si="58"/>
        <v>1.0248662490928169</v>
      </c>
      <c r="P762" s="63"/>
    </row>
    <row r="763" spans="1:16" hidden="1">
      <c r="A763" s="152" t="s">
        <v>385</v>
      </c>
      <c r="B763" s="34" t="s">
        <v>400</v>
      </c>
      <c r="C763" s="40" t="s">
        <v>139</v>
      </c>
      <c r="D763" s="34" t="s">
        <v>139</v>
      </c>
      <c r="E763" s="260" t="s">
        <v>150</v>
      </c>
      <c r="F763" s="235">
        <v>1</v>
      </c>
      <c r="G763" s="40"/>
      <c r="H763" s="29"/>
      <c r="I763" s="9"/>
      <c r="J763" s="9"/>
      <c r="K763" s="9"/>
      <c r="L763" s="9"/>
      <c r="M763" s="9"/>
      <c r="N763" s="186" t="str">
        <f t="shared" si="57"/>
        <v/>
      </c>
      <c r="O763" s="160" t="str">
        <f t="shared" si="58"/>
        <v/>
      </c>
      <c r="P763" s="63" t="s">
        <v>401</v>
      </c>
    </row>
    <row r="764" spans="1:16" hidden="1">
      <c r="A764" s="152" t="s">
        <v>386</v>
      </c>
      <c r="B764" s="34" t="s">
        <v>402</v>
      </c>
      <c r="C764" s="40" t="s">
        <v>139</v>
      </c>
      <c r="D764" s="34" t="s">
        <v>139</v>
      </c>
      <c r="E764" s="260" t="s">
        <v>150</v>
      </c>
      <c r="F764" s="235">
        <v>1</v>
      </c>
      <c r="G764" s="40"/>
      <c r="H764" s="29"/>
      <c r="I764" s="9"/>
      <c r="J764" s="9"/>
      <c r="K764" s="9"/>
      <c r="L764" s="9"/>
      <c r="M764" s="9"/>
      <c r="N764" s="186" t="str">
        <f t="shared" si="57"/>
        <v/>
      </c>
      <c r="O764" s="160" t="str">
        <f t="shared" si="58"/>
        <v/>
      </c>
      <c r="P764" s="63" t="s">
        <v>403</v>
      </c>
    </row>
    <row r="765" spans="1:16" hidden="1">
      <c r="A765" s="152" t="s">
        <v>37</v>
      </c>
      <c r="B765" s="34" t="s">
        <v>161</v>
      </c>
      <c r="C765" s="40" t="s">
        <v>139</v>
      </c>
      <c r="D765" s="34" t="s">
        <v>85</v>
      </c>
      <c r="E765" s="260">
        <f>Intentionally_produced_MPs!L127</f>
        <v>5.5555555555555546E-2</v>
      </c>
      <c r="F765" s="235">
        <v>1</v>
      </c>
      <c r="G765" s="40"/>
      <c r="H765" s="29">
        <v>3</v>
      </c>
      <c r="I765" s="9">
        <v>2</v>
      </c>
      <c r="J765" s="9">
        <v>3</v>
      </c>
      <c r="K765" s="9">
        <v>3</v>
      </c>
      <c r="L765" s="9">
        <v>3</v>
      </c>
      <c r="M765" s="9">
        <v>3</v>
      </c>
      <c r="N765" s="186">
        <f t="shared" si="57"/>
        <v>1.2132328390150593</v>
      </c>
      <c r="O765" s="160">
        <f t="shared" si="58"/>
        <v>1.1713319510247036</v>
      </c>
      <c r="P765" s="63"/>
    </row>
    <row r="766" spans="1:16" hidden="1">
      <c r="A766" s="152" t="s">
        <v>37</v>
      </c>
      <c r="B766" s="34" t="s">
        <v>161</v>
      </c>
      <c r="C766" s="40" t="s">
        <v>139</v>
      </c>
      <c r="D766" s="34" t="s">
        <v>86</v>
      </c>
      <c r="E766" s="260">
        <f>Intentionally_produced_MPs!L128</f>
        <v>8.8868167073346722E-3</v>
      </c>
      <c r="F766" s="235">
        <v>1</v>
      </c>
      <c r="G766" s="40"/>
      <c r="H766" s="29">
        <v>3</v>
      </c>
      <c r="I766" s="9">
        <v>2</v>
      </c>
      <c r="J766" s="9">
        <v>3</v>
      </c>
      <c r="K766" s="9">
        <v>3</v>
      </c>
      <c r="L766" s="9">
        <v>3</v>
      </c>
      <c r="M766" s="9">
        <v>3</v>
      </c>
      <c r="N766" s="186">
        <f t="shared" si="57"/>
        <v>1.2132328390150593</v>
      </c>
      <c r="O766" s="160">
        <f t="shared" si="58"/>
        <v>1.1713319510247036</v>
      </c>
      <c r="P766" s="63"/>
    </row>
    <row r="767" spans="1:16" hidden="1">
      <c r="A767" s="152" t="s">
        <v>37</v>
      </c>
      <c r="B767" s="34" t="s">
        <v>161</v>
      </c>
      <c r="C767" s="40" t="s">
        <v>139</v>
      </c>
      <c r="D767" s="34" t="s">
        <v>87</v>
      </c>
      <c r="E767" s="260">
        <f>Intentionally_produced_MPs!L129</f>
        <v>0</v>
      </c>
      <c r="F767" s="235">
        <v>1</v>
      </c>
      <c r="G767" s="40"/>
      <c r="H767" s="29"/>
      <c r="I767" s="9"/>
      <c r="J767" s="9"/>
      <c r="K767" s="9"/>
      <c r="L767" s="9"/>
      <c r="M767" s="9"/>
      <c r="N767" s="186" t="str">
        <f t="shared" si="57"/>
        <v/>
      </c>
      <c r="O767" s="160" t="str">
        <f t="shared" si="58"/>
        <v/>
      </c>
      <c r="P767" s="63"/>
    </row>
    <row r="768" spans="1:16" hidden="1">
      <c r="A768" s="152" t="s">
        <v>37</v>
      </c>
      <c r="B768" s="34" t="s">
        <v>161</v>
      </c>
      <c r="C768" s="40" t="s">
        <v>139</v>
      </c>
      <c r="D768" s="34" t="s">
        <v>88</v>
      </c>
      <c r="E768" s="260">
        <f>Intentionally_produced_MPs!L130</f>
        <v>0</v>
      </c>
      <c r="F768" s="235">
        <v>1</v>
      </c>
      <c r="G768" s="40"/>
      <c r="H768" s="29"/>
      <c r="I768" s="9"/>
      <c r="J768" s="9"/>
      <c r="K768" s="9"/>
      <c r="L768" s="9"/>
      <c r="M768" s="9"/>
      <c r="N768" s="186" t="str">
        <f t="shared" si="57"/>
        <v/>
      </c>
      <c r="O768" s="160" t="str">
        <f t="shared" si="58"/>
        <v/>
      </c>
      <c r="P768" s="63"/>
    </row>
    <row r="769" spans="1:16" hidden="1">
      <c r="A769" s="152" t="s">
        <v>37</v>
      </c>
      <c r="B769" s="34" t="s">
        <v>161</v>
      </c>
      <c r="C769" s="40" t="s">
        <v>139</v>
      </c>
      <c r="D769" s="34" t="s">
        <v>89</v>
      </c>
      <c r="E769" s="260">
        <f>Intentionally_produced_MPs!L131</f>
        <v>0</v>
      </c>
      <c r="F769" s="235">
        <v>1</v>
      </c>
      <c r="G769" s="40"/>
      <c r="H769" s="29"/>
      <c r="I769" s="9"/>
      <c r="J769" s="9"/>
      <c r="K769" s="9"/>
      <c r="L769" s="9"/>
      <c r="M769" s="9"/>
      <c r="N769" s="186" t="str">
        <f t="shared" si="57"/>
        <v/>
      </c>
      <c r="O769" s="160" t="str">
        <f t="shared" si="58"/>
        <v/>
      </c>
      <c r="P769" s="63"/>
    </row>
    <row r="770" spans="1:16" hidden="1">
      <c r="A770" s="152" t="s">
        <v>37</v>
      </c>
      <c r="B770" s="34" t="s">
        <v>161</v>
      </c>
      <c r="C770" s="40" t="s">
        <v>139</v>
      </c>
      <c r="D770" s="34" t="s">
        <v>90</v>
      </c>
      <c r="E770" s="260">
        <f>Intentionally_produced_MPs!L132</f>
        <v>5.5555555555555546E-2</v>
      </c>
      <c r="F770" s="235">
        <v>1</v>
      </c>
      <c r="G770" s="40"/>
      <c r="H770" s="29">
        <v>3</v>
      </c>
      <c r="I770" s="9">
        <v>2</v>
      </c>
      <c r="J770" s="9">
        <v>3</v>
      </c>
      <c r="K770" s="9">
        <v>3</v>
      </c>
      <c r="L770" s="9">
        <v>3</v>
      </c>
      <c r="M770" s="9">
        <v>3</v>
      </c>
      <c r="N770" s="186">
        <f t="shared" si="57"/>
        <v>1.2132328390150593</v>
      </c>
      <c r="O770" s="160">
        <f t="shared" si="58"/>
        <v>1.1713319510247036</v>
      </c>
      <c r="P770" s="63"/>
    </row>
    <row r="771" spans="1:16" hidden="1">
      <c r="A771" s="152" t="s">
        <v>37</v>
      </c>
      <c r="B771" s="34" t="s">
        <v>161</v>
      </c>
      <c r="C771" s="40" t="s">
        <v>139</v>
      </c>
      <c r="D771" s="34" t="s">
        <v>91</v>
      </c>
      <c r="E771" s="260">
        <f>Intentionally_produced_MPs!L133</f>
        <v>0.1555597303733175</v>
      </c>
      <c r="F771" s="235">
        <v>1</v>
      </c>
      <c r="G771" s="40"/>
      <c r="H771" s="29">
        <v>3</v>
      </c>
      <c r="I771" s="9">
        <v>2</v>
      </c>
      <c r="J771" s="9">
        <v>3</v>
      </c>
      <c r="K771" s="9">
        <v>3</v>
      </c>
      <c r="L771" s="9">
        <v>3</v>
      </c>
      <c r="M771" s="9">
        <v>3</v>
      </c>
      <c r="N771" s="186">
        <f t="shared" si="57"/>
        <v>1.2132328390150593</v>
      </c>
      <c r="O771" s="160">
        <f t="shared" si="58"/>
        <v>1.1713319510247036</v>
      </c>
      <c r="P771" s="63"/>
    </row>
    <row r="772" spans="1:16" hidden="1">
      <c r="A772" s="152" t="s">
        <v>37</v>
      </c>
      <c r="B772" s="34" t="s">
        <v>161</v>
      </c>
      <c r="C772" s="40" t="s">
        <v>139</v>
      </c>
      <c r="D772" s="34" t="s">
        <v>92</v>
      </c>
      <c r="E772" s="260">
        <f>Intentionally_produced_MPs!L134</f>
        <v>0</v>
      </c>
      <c r="F772" s="235">
        <v>1</v>
      </c>
      <c r="G772" s="40"/>
      <c r="H772" s="29"/>
      <c r="I772" s="9"/>
      <c r="J772" s="9"/>
      <c r="K772" s="9"/>
      <c r="L772" s="9"/>
      <c r="M772" s="9"/>
      <c r="N772" s="186" t="str">
        <f t="shared" si="57"/>
        <v/>
      </c>
      <c r="O772" s="160" t="str">
        <f t="shared" si="58"/>
        <v/>
      </c>
      <c r="P772" s="63"/>
    </row>
    <row r="773" spans="1:16" hidden="1">
      <c r="A773" s="152" t="s">
        <v>37</v>
      </c>
      <c r="B773" s="34" t="s">
        <v>161</v>
      </c>
      <c r="C773" s="40" t="s">
        <v>139</v>
      </c>
      <c r="D773" s="34" t="s">
        <v>93</v>
      </c>
      <c r="E773" s="260">
        <f>Intentionally_produced_MPs!L135</f>
        <v>4.7372437949387489E-3</v>
      </c>
      <c r="F773" s="235">
        <v>1</v>
      </c>
      <c r="G773" s="40"/>
      <c r="H773" s="29">
        <v>3</v>
      </c>
      <c r="I773" s="9">
        <v>2</v>
      </c>
      <c r="J773" s="9">
        <v>3</v>
      </c>
      <c r="K773" s="9">
        <v>3</v>
      </c>
      <c r="L773" s="9">
        <v>3</v>
      </c>
      <c r="M773" s="9">
        <v>3</v>
      </c>
      <c r="N773" s="186">
        <f t="shared" si="57"/>
        <v>1.2132328390150593</v>
      </c>
      <c r="O773" s="160">
        <f t="shared" si="58"/>
        <v>1.1713319510247036</v>
      </c>
      <c r="P773" s="63"/>
    </row>
    <row r="774" spans="1:16" hidden="1">
      <c r="A774" s="152" t="s">
        <v>37</v>
      </c>
      <c r="B774" s="34" t="s">
        <v>161</v>
      </c>
      <c r="C774" s="40" t="s">
        <v>139</v>
      </c>
      <c r="D774" s="34" t="s">
        <v>94</v>
      </c>
      <c r="E774" s="260">
        <f>Intentionally_produced_MPs!L136</f>
        <v>0</v>
      </c>
      <c r="F774" s="235">
        <v>1</v>
      </c>
      <c r="G774" s="40"/>
      <c r="H774" s="29"/>
      <c r="I774" s="9"/>
      <c r="J774" s="9"/>
      <c r="K774" s="9"/>
      <c r="L774" s="9"/>
      <c r="M774" s="9"/>
      <c r="N774" s="186" t="str">
        <f t="shared" si="57"/>
        <v/>
      </c>
      <c r="O774" s="160" t="str">
        <f t="shared" si="58"/>
        <v/>
      </c>
      <c r="P774" s="63"/>
    </row>
    <row r="775" spans="1:16" hidden="1">
      <c r="A775" s="152" t="s">
        <v>37</v>
      </c>
      <c r="B775" s="34" t="s">
        <v>161</v>
      </c>
      <c r="C775" s="40" t="s">
        <v>139</v>
      </c>
      <c r="D775" s="34" t="s">
        <v>95</v>
      </c>
      <c r="E775" s="260">
        <f>Intentionally_produced_MPs!L137</f>
        <v>4.4333947817568178E-2</v>
      </c>
      <c r="F775" s="235">
        <v>1</v>
      </c>
      <c r="G775" s="40"/>
      <c r="H775" s="29">
        <v>3</v>
      </c>
      <c r="I775" s="9">
        <v>2</v>
      </c>
      <c r="J775" s="9">
        <v>3</v>
      </c>
      <c r="K775" s="9">
        <v>3</v>
      </c>
      <c r="L775" s="9">
        <v>3</v>
      </c>
      <c r="M775" s="9">
        <v>3</v>
      </c>
      <c r="N775" s="186">
        <f t="shared" si="57"/>
        <v>1.2132328390150593</v>
      </c>
      <c r="O775" s="160">
        <f t="shared" si="58"/>
        <v>1.1713319510247036</v>
      </c>
      <c r="P775" s="63"/>
    </row>
    <row r="776" spans="1:16" hidden="1">
      <c r="A776" s="152" t="s">
        <v>37</v>
      </c>
      <c r="B776" s="34" t="s">
        <v>161</v>
      </c>
      <c r="C776" s="40" t="s">
        <v>139</v>
      </c>
      <c r="D776" s="34" t="s">
        <v>96</v>
      </c>
      <c r="E776" s="260">
        <f>Intentionally_produced_MPs!L138</f>
        <v>0</v>
      </c>
      <c r="F776" s="235">
        <v>1</v>
      </c>
      <c r="G776" s="40"/>
      <c r="H776" s="29"/>
      <c r="I776" s="9"/>
      <c r="J776" s="9"/>
      <c r="K776" s="9"/>
      <c r="L776" s="9"/>
      <c r="M776" s="9"/>
      <c r="N776" s="186" t="str">
        <f t="shared" si="57"/>
        <v/>
      </c>
      <c r="O776" s="160" t="str">
        <f t="shared" si="58"/>
        <v/>
      </c>
      <c r="P776" s="63"/>
    </row>
    <row r="777" spans="1:16" hidden="1">
      <c r="A777" s="152" t="s">
        <v>37</v>
      </c>
      <c r="B777" s="34" t="s">
        <v>161</v>
      </c>
      <c r="C777" s="40" t="s">
        <v>139</v>
      </c>
      <c r="D777" s="34" t="s">
        <v>97</v>
      </c>
      <c r="E777" s="260">
        <f>Intentionally_produced_MPs!L139</f>
        <v>4.4586330230196494E-2</v>
      </c>
      <c r="F777" s="235">
        <v>1</v>
      </c>
      <c r="G777" s="40"/>
      <c r="H777" s="29">
        <v>3</v>
      </c>
      <c r="I777" s="9">
        <v>2</v>
      </c>
      <c r="J777" s="9">
        <v>3</v>
      </c>
      <c r="K777" s="9">
        <v>3</v>
      </c>
      <c r="L777" s="9">
        <v>3</v>
      </c>
      <c r="M777" s="9">
        <v>3</v>
      </c>
      <c r="N777" s="186">
        <f t="shared" si="57"/>
        <v>1.2132328390150593</v>
      </c>
      <c r="O777" s="160">
        <f t="shared" si="58"/>
        <v>1.1713319510247036</v>
      </c>
      <c r="P777" s="63"/>
    </row>
    <row r="778" spans="1:16" hidden="1">
      <c r="A778" s="152" t="s">
        <v>37</v>
      </c>
      <c r="B778" s="34" t="s">
        <v>161</v>
      </c>
      <c r="C778" s="40" t="s">
        <v>139</v>
      </c>
      <c r="D778" s="34" t="s">
        <v>98</v>
      </c>
      <c r="E778" s="260">
        <f>Intentionally_produced_MPs!L140</f>
        <v>6.8330054573633985E-3</v>
      </c>
      <c r="F778" s="235">
        <v>1</v>
      </c>
      <c r="G778" s="40"/>
      <c r="H778" s="29">
        <v>3</v>
      </c>
      <c r="I778" s="9">
        <v>2</v>
      </c>
      <c r="J778" s="9">
        <v>3</v>
      </c>
      <c r="K778" s="9">
        <v>3</v>
      </c>
      <c r="L778" s="9">
        <v>3</v>
      </c>
      <c r="M778" s="9">
        <v>3</v>
      </c>
      <c r="N778" s="186">
        <f t="shared" si="57"/>
        <v>1.2132328390150593</v>
      </c>
      <c r="O778" s="160">
        <f t="shared" si="58"/>
        <v>1.1713319510247036</v>
      </c>
      <c r="P778" s="63"/>
    </row>
    <row r="779" spans="1:16" hidden="1">
      <c r="A779" s="152" t="s">
        <v>364</v>
      </c>
      <c r="B779" s="34" t="s">
        <v>284</v>
      </c>
      <c r="C779" s="40" t="s">
        <v>139</v>
      </c>
      <c r="D779" s="34" t="s">
        <v>139</v>
      </c>
      <c r="E779" s="260">
        <v>1</v>
      </c>
      <c r="F779" s="235">
        <v>2</v>
      </c>
      <c r="G779" s="40" t="s">
        <v>157</v>
      </c>
      <c r="H779" s="29"/>
      <c r="I779" s="9"/>
      <c r="J779" s="9"/>
      <c r="K779" s="9"/>
      <c r="L779" s="9"/>
      <c r="M779" s="9"/>
      <c r="N779" s="186" t="str">
        <f t="shared" si="57"/>
        <v/>
      </c>
      <c r="O779" s="160" t="str">
        <f t="shared" si="58"/>
        <v/>
      </c>
      <c r="P779" s="63"/>
    </row>
    <row r="780" spans="1:16" hidden="1">
      <c r="A780" s="152" t="s">
        <v>385</v>
      </c>
      <c r="B780" s="34" t="s">
        <v>284</v>
      </c>
      <c r="C780" s="40" t="s">
        <v>139</v>
      </c>
      <c r="D780" s="34" t="s">
        <v>139</v>
      </c>
      <c r="E780" s="260">
        <v>0.59523809523809523</v>
      </c>
      <c r="F780" s="235">
        <v>2</v>
      </c>
      <c r="G780" s="40" t="s">
        <v>404</v>
      </c>
      <c r="H780" s="29">
        <v>1</v>
      </c>
      <c r="I780" s="9"/>
      <c r="J780" s="9">
        <v>1</v>
      </c>
      <c r="K780" s="9">
        <v>3</v>
      </c>
      <c r="L780" s="9">
        <v>3</v>
      </c>
      <c r="M780" s="9">
        <v>3</v>
      </c>
      <c r="N780" s="186">
        <f t="shared" si="57"/>
        <v>1.1181151966036349</v>
      </c>
      <c r="O780" s="160" t="str">
        <f t="shared" si="58"/>
        <v/>
      </c>
      <c r="P780" s="63" t="s">
        <v>405</v>
      </c>
    </row>
    <row r="781" spans="1:16" hidden="1">
      <c r="A781" s="152" t="s">
        <v>400</v>
      </c>
      <c r="B781" s="34" t="s">
        <v>284</v>
      </c>
      <c r="C781" s="40" t="s">
        <v>139</v>
      </c>
      <c r="D781" s="34" t="s">
        <v>139</v>
      </c>
      <c r="E781" s="260">
        <v>1</v>
      </c>
      <c r="F781" s="235">
        <v>2</v>
      </c>
      <c r="G781" s="40" t="s">
        <v>157</v>
      </c>
      <c r="H781" s="29">
        <v>3</v>
      </c>
      <c r="I781" s="9"/>
      <c r="J781" s="9">
        <v>3</v>
      </c>
      <c r="K781" s="9">
        <v>3</v>
      </c>
      <c r="L781" s="9">
        <v>3</v>
      </c>
      <c r="M781" s="9">
        <v>3</v>
      </c>
      <c r="N781" s="186">
        <f t="shared" si="57"/>
        <v>1.2132328390150593</v>
      </c>
      <c r="O781" s="160" t="str">
        <f t="shared" si="58"/>
        <v/>
      </c>
      <c r="P781" s="63" t="s">
        <v>406</v>
      </c>
    </row>
    <row r="782" spans="1:16" hidden="1">
      <c r="A782" s="152" t="s">
        <v>367</v>
      </c>
      <c r="B782" s="34" t="s">
        <v>286</v>
      </c>
      <c r="C782" s="40" t="s">
        <v>139</v>
      </c>
      <c r="D782" s="34" t="s">
        <v>139</v>
      </c>
      <c r="E782" s="260">
        <v>0.50016393442622953</v>
      </c>
      <c r="F782" s="235">
        <v>2</v>
      </c>
      <c r="G782" s="866" t="s">
        <v>290</v>
      </c>
      <c r="H782" s="29">
        <v>2</v>
      </c>
      <c r="I782" s="9"/>
      <c r="J782" s="9">
        <v>2</v>
      </c>
      <c r="K782" s="9">
        <v>3</v>
      </c>
      <c r="L782" s="9">
        <v>3</v>
      </c>
      <c r="M782" s="9">
        <v>1</v>
      </c>
      <c r="N782" s="186">
        <f t="shared" si="57"/>
        <v>0.51126068492676302</v>
      </c>
      <c r="O782" s="160" t="str">
        <f t="shared" si="58"/>
        <v/>
      </c>
      <c r="P782" s="63"/>
    </row>
    <row r="783" spans="1:16" hidden="1">
      <c r="A783" s="152" t="s">
        <v>367</v>
      </c>
      <c r="B783" s="34" t="s">
        <v>286</v>
      </c>
      <c r="C783" s="40" t="s">
        <v>139</v>
      </c>
      <c r="D783" s="34" t="s">
        <v>139</v>
      </c>
      <c r="E783" s="260">
        <v>0.78343949044585992</v>
      </c>
      <c r="F783" s="235">
        <v>2</v>
      </c>
      <c r="G783" s="866" t="s">
        <v>407</v>
      </c>
      <c r="H783" s="29">
        <v>2</v>
      </c>
      <c r="I783" s="9"/>
      <c r="J783" s="9">
        <v>2</v>
      </c>
      <c r="K783" s="9">
        <v>3</v>
      </c>
      <c r="L783" s="9">
        <v>3</v>
      </c>
      <c r="M783" s="9">
        <v>1</v>
      </c>
      <c r="N783" s="186">
        <f t="shared" si="57"/>
        <v>0.51126068492676302</v>
      </c>
      <c r="O783" s="160" t="str">
        <f t="shared" si="58"/>
        <v/>
      </c>
      <c r="P783" s="63"/>
    </row>
    <row r="784" spans="1:16" hidden="1">
      <c r="A784" s="152" t="s">
        <v>367</v>
      </c>
      <c r="B784" s="34" t="s">
        <v>286</v>
      </c>
      <c r="C784" s="40" t="s">
        <v>139</v>
      </c>
      <c r="D784" s="34" t="s">
        <v>139</v>
      </c>
      <c r="E784" s="260">
        <v>0.91509433962264153</v>
      </c>
      <c r="F784" s="235">
        <v>2</v>
      </c>
      <c r="G784" s="866" t="s">
        <v>408</v>
      </c>
      <c r="H784" s="29">
        <v>2</v>
      </c>
      <c r="I784" s="9"/>
      <c r="J784" s="9">
        <v>2</v>
      </c>
      <c r="K784" s="9">
        <v>3</v>
      </c>
      <c r="L784" s="9">
        <v>3</v>
      </c>
      <c r="M784" s="9">
        <v>1</v>
      </c>
      <c r="N784" s="186">
        <f t="shared" si="57"/>
        <v>0.51126068492676302</v>
      </c>
      <c r="O784" s="160" t="str">
        <f t="shared" si="58"/>
        <v/>
      </c>
      <c r="P784" s="63"/>
    </row>
    <row r="785" spans="1:16" hidden="1">
      <c r="A785" s="152" t="s">
        <v>367</v>
      </c>
      <c r="B785" s="34" t="s">
        <v>286</v>
      </c>
      <c r="C785" s="40" t="s">
        <v>139</v>
      </c>
      <c r="D785" s="34" t="s">
        <v>139</v>
      </c>
      <c r="E785" s="260">
        <v>0.97399999999999998</v>
      </c>
      <c r="F785" s="235">
        <v>2</v>
      </c>
      <c r="G785" s="866" t="s">
        <v>294</v>
      </c>
      <c r="H785" s="29">
        <v>2</v>
      </c>
      <c r="I785" s="9"/>
      <c r="J785" s="9">
        <v>2</v>
      </c>
      <c r="K785" s="9">
        <v>3</v>
      </c>
      <c r="L785" s="9">
        <v>3</v>
      </c>
      <c r="M785" s="9">
        <v>1</v>
      </c>
      <c r="N785" s="186">
        <f t="shared" si="57"/>
        <v>0.51126068492676302</v>
      </c>
      <c r="O785" s="160" t="str">
        <f t="shared" si="58"/>
        <v/>
      </c>
      <c r="P785" s="63"/>
    </row>
    <row r="786" spans="1:16" hidden="1">
      <c r="A786" s="152" t="s">
        <v>367</v>
      </c>
      <c r="B786" s="34" t="s">
        <v>286</v>
      </c>
      <c r="C786" s="40" t="s">
        <v>139</v>
      </c>
      <c r="D786" s="34" t="s">
        <v>139</v>
      </c>
      <c r="E786" s="260">
        <v>0.98399999999999999</v>
      </c>
      <c r="F786" s="235">
        <v>2</v>
      </c>
      <c r="G786" s="866" t="s">
        <v>294</v>
      </c>
      <c r="H786" s="29">
        <v>2</v>
      </c>
      <c r="I786" s="9"/>
      <c r="J786" s="9">
        <v>2</v>
      </c>
      <c r="K786" s="9">
        <v>3</v>
      </c>
      <c r="L786" s="9">
        <v>3</v>
      </c>
      <c r="M786" s="9">
        <v>1</v>
      </c>
      <c r="N786" s="186">
        <f t="shared" si="57"/>
        <v>0.51126068492676302</v>
      </c>
      <c r="O786" s="160" t="str">
        <f t="shared" si="58"/>
        <v/>
      </c>
      <c r="P786" s="63"/>
    </row>
    <row r="787" spans="1:16" hidden="1">
      <c r="A787" s="152" t="s">
        <v>367</v>
      </c>
      <c r="B787" s="34" t="s">
        <v>286</v>
      </c>
      <c r="C787" s="40" t="s">
        <v>139</v>
      </c>
      <c r="D787" s="34" t="s">
        <v>139</v>
      </c>
      <c r="E787" s="260">
        <v>0.68936446173800259</v>
      </c>
      <c r="F787" s="235">
        <v>2</v>
      </c>
      <c r="G787" s="866" t="s">
        <v>296</v>
      </c>
      <c r="H787" s="29">
        <v>2</v>
      </c>
      <c r="I787" s="9"/>
      <c r="J787" s="9">
        <v>2</v>
      </c>
      <c r="K787" s="9">
        <v>3</v>
      </c>
      <c r="L787" s="9">
        <v>3</v>
      </c>
      <c r="M787" s="9">
        <v>1</v>
      </c>
      <c r="N787" s="186">
        <f t="shared" si="57"/>
        <v>0.51126068492676302</v>
      </c>
      <c r="O787" s="160" t="str">
        <f t="shared" si="58"/>
        <v/>
      </c>
      <c r="P787" s="63"/>
    </row>
    <row r="788" spans="1:16" hidden="1">
      <c r="A788" s="152" t="s">
        <v>386</v>
      </c>
      <c r="B788" s="34" t="s">
        <v>286</v>
      </c>
      <c r="C788" s="40" t="s">
        <v>139</v>
      </c>
      <c r="D788" s="34" t="s">
        <v>139</v>
      </c>
      <c r="E788" s="260">
        <v>0.50016393442622953</v>
      </c>
      <c r="F788" s="235">
        <v>2</v>
      </c>
      <c r="G788" s="40" t="s">
        <v>290</v>
      </c>
      <c r="H788" s="29">
        <v>2</v>
      </c>
      <c r="I788" s="9"/>
      <c r="J788" s="9">
        <v>2</v>
      </c>
      <c r="K788" s="9">
        <v>3</v>
      </c>
      <c r="L788" s="9">
        <v>3</v>
      </c>
      <c r="M788" s="9">
        <v>1</v>
      </c>
      <c r="N788" s="186">
        <f t="shared" si="57"/>
        <v>0.51126068492676302</v>
      </c>
      <c r="O788" s="160" t="str">
        <f t="shared" si="58"/>
        <v/>
      </c>
      <c r="P788" s="63" t="s">
        <v>409</v>
      </c>
    </row>
    <row r="789" spans="1:16" hidden="1">
      <c r="A789" s="152" t="s">
        <v>386</v>
      </c>
      <c r="B789" s="34" t="s">
        <v>286</v>
      </c>
      <c r="C789" s="40" t="s">
        <v>139</v>
      </c>
      <c r="D789" s="34" t="s">
        <v>139</v>
      </c>
      <c r="E789" s="260">
        <v>0.78343949044585992</v>
      </c>
      <c r="F789" s="235">
        <v>2</v>
      </c>
      <c r="G789" s="40" t="s">
        <v>407</v>
      </c>
      <c r="H789" s="29">
        <v>2</v>
      </c>
      <c r="I789" s="9"/>
      <c r="J789" s="9">
        <v>2</v>
      </c>
      <c r="K789" s="9">
        <v>3</v>
      </c>
      <c r="L789" s="9">
        <v>3</v>
      </c>
      <c r="M789" s="9">
        <v>1</v>
      </c>
      <c r="N789" s="186">
        <f t="shared" si="57"/>
        <v>0.51126068492676302</v>
      </c>
      <c r="O789" s="160" t="str">
        <f t="shared" si="58"/>
        <v/>
      </c>
      <c r="P789" s="63"/>
    </row>
    <row r="790" spans="1:16" hidden="1">
      <c r="A790" s="152" t="s">
        <v>386</v>
      </c>
      <c r="B790" s="34" t="s">
        <v>286</v>
      </c>
      <c r="C790" s="40" t="s">
        <v>139</v>
      </c>
      <c r="D790" s="34" t="s">
        <v>139</v>
      </c>
      <c r="E790" s="260">
        <v>0.91509433962264153</v>
      </c>
      <c r="F790" s="235">
        <v>2</v>
      </c>
      <c r="G790" s="40" t="s">
        <v>408</v>
      </c>
      <c r="H790" s="29">
        <v>2</v>
      </c>
      <c r="I790" s="9"/>
      <c r="J790" s="9">
        <v>2</v>
      </c>
      <c r="K790" s="9">
        <v>3</v>
      </c>
      <c r="L790" s="9">
        <v>3</v>
      </c>
      <c r="M790" s="9">
        <v>1</v>
      </c>
      <c r="N790" s="186">
        <f t="shared" ref="N790:N825" si="59">IF( OR( ISBLANK(H790),ISBLANK(J790), ISBLANK(K790), ISBLANK(L790), ISBLANK(M790) ), "", 1.5*SQRT(   EXP(2.21*(H790-1)) + EXP(2.21*(J790-1)) + EXP(2.21*(K790-1)) + EXP(2.21*(L790-1)) + EXP(2.21*M790)   )/100*2.45 )</f>
        <v>0.51126068492676302</v>
      </c>
      <c r="O790" s="160" t="str">
        <f t="shared" ref="O790:O825" si="60">IF( OR( ISBLANK(I790),ISBLANK(J790), ISBLANK(K790), ISBLANK(L790), ISBLANK(M790) ), "", 1.5*SQRT( EXP(2.21*(I790-1)) + EXP(2.21*(J790-1)) + EXP(2.21*(K790-1)) + EXP(2.21*(L790-1)) + EXP(2.21*M790)   )/100*2.45 )</f>
        <v/>
      </c>
      <c r="P790" s="63" t="s">
        <v>410</v>
      </c>
    </row>
    <row r="791" spans="1:16" hidden="1">
      <c r="A791" s="152" t="s">
        <v>386</v>
      </c>
      <c r="B791" s="34" t="s">
        <v>286</v>
      </c>
      <c r="C791" s="40" t="s">
        <v>139</v>
      </c>
      <c r="D791" s="34" t="s">
        <v>139</v>
      </c>
      <c r="E791" s="260">
        <v>0.97399999999999998</v>
      </c>
      <c r="F791" s="235">
        <v>2</v>
      </c>
      <c r="G791" s="40" t="s">
        <v>294</v>
      </c>
      <c r="H791" s="29">
        <v>2</v>
      </c>
      <c r="I791" s="9"/>
      <c r="J791" s="9">
        <v>2</v>
      </c>
      <c r="K791" s="9">
        <v>3</v>
      </c>
      <c r="L791" s="9">
        <v>3</v>
      </c>
      <c r="M791" s="9">
        <v>1</v>
      </c>
      <c r="N791" s="186">
        <f t="shared" si="59"/>
        <v>0.51126068492676302</v>
      </c>
      <c r="O791" s="160" t="str">
        <f t="shared" si="60"/>
        <v/>
      </c>
      <c r="P791" s="63"/>
    </row>
    <row r="792" spans="1:16" hidden="1">
      <c r="A792" s="152" t="s">
        <v>386</v>
      </c>
      <c r="B792" s="34" t="s">
        <v>286</v>
      </c>
      <c r="C792" s="40" t="s">
        <v>139</v>
      </c>
      <c r="D792" s="34" t="s">
        <v>139</v>
      </c>
      <c r="E792" s="260">
        <v>0.98399999999999999</v>
      </c>
      <c r="F792" s="235">
        <v>2</v>
      </c>
      <c r="G792" s="40" t="s">
        <v>294</v>
      </c>
      <c r="H792" s="29">
        <v>2</v>
      </c>
      <c r="I792" s="9"/>
      <c r="J792" s="9">
        <v>2</v>
      </c>
      <c r="K792" s="9">
        <v>3</v>
      </c>
      <c r="L792" s="9">
        <v>3</v>
      </c>
      <c r="M792" s="9">
        <v>1</v>
      </c>
      <c r="N792" s="186">
        <f t="shared" si="59"/>
        <v>0.51126068492676302</v>
      </c>
      <c r="O792" s="160" t="str">
        <f t="shared" si="60"/>
        <v/>
      </c>
      <c r="P792" s="63"/>
    </row>
    <row r="793" spans="1:16" hidden="1">
      <c r="A793" s="152" t="s">
        <v>386</v>
      </c>
      <c r="B793" s="34" t="s">
        <v>286</v>
      </c>
      <c r="C793" s="40" t="s">
        <v>139</v>
      </c>
      <c r="D793" s="34" t="s">
        <v>139</v>
      </c>
      <c r="E793" s="260">
        <v>0.68936446173800259</v>
      </c>
      <c r="F793" s="235">
        <v>2</v>
      </c>
      <c r="G793" s="40" t="s">
        <v>296</v>
      </c>
      <c r="H793" s="29">
        <v>2</v>
      </c>
      <c r="I793" s="9"/>
      <c r="J793" s="9">
        <v>2</v>
      </c>
      <c r="K793" s="9">
        <v>3</v>
      </c>
      <c r="L793" s="9">
        <v>3</v>
      </c>
      <c r="M793" s="9">
        <v>1</v>
      </c>
      <c r="N793" s="186">
        <f t="shared" si="59"/>
        <v>0.51126068492676302</v>
      </c>
      <c r="O793" s="160" t="str">
        <f t="shared" si="60"/>
        <v/>
      </c>
      <c r="P793" s="63" t="s">
        <v>411</v>
      </c>
    </row>
    <row r="794" spans="1:16" hidden="1">
      <c r="A794" s="152" t="s">
        <v>402</v>
      </c>
      <c r="B794" s="34" t="s">
        <v>286</v>
      </c>
      <c r="C794" s="40" t="s">
        <v>139</v>
      </c>
      <c r="D794" s="34" t="s">
        <v>139</v>
      </c>
      <c r="E794" s="260">
        <v>0.72974745818301079</v>
      </c>
      <c r="F794" s="235">
        <v>2</v>
      </c>
      <c r="G794" s="40" t="s">
        <v>290</v>
      </c>
      <c r="H794" s="29">
        <v>2</v>
      </c>
      <c r="I794" s="9"/>
      <c r="J794" s="9">
        <v>2</v>
      </c>
      <c r="K794" s="9">
        <v>3</v>
      </c>
      <c r="L794" s="9">
        <v>3</v>
      </c>
      <c r="M794" s="9">
        <v>1</v>
      </c>
      <c r="N794" s="186">
        <f t="shared" si="59"/>
        <v>0.51126068492676302</v>
      </c>
      <c r="O794" s="160" t="str">
        <f t="shared" si="60"/>
        <v/>
      </c>
      <c r="P794" s="63" t="s">
        <v>412</v>
      </c>
    </row>
    <row r="795" spans="1:16" hidden="1">
      <c r="A795" s="152" t="s">
        <v>402</v>
      </c>
      <c r="B795" s="34" t="s">
        <v>286</v>
      </c>
      <c r="C795" s="40" t="s">
        <v>139</v>
      </c>
      <c r="D795" s="34" t="s">
        <v>139</v>
      </c>
      <c r="E795" s="260">
        <v>7.0000000000000007E-2</v>
      </c>
      <c r="F795" s="235">
        <v>2</v>
      </c>
      <c r="G795" s="40" t="s">
        <v>294</v>
      </c>
      <c r="H795" s="29">
        <v>2</v>
      </c>
      <c r="I795" s="9"/>
      <c r="J795" s="9">
        <v>2</v>
      </c>
      <c r="K795" s="9">
        <v>3</v>
      </c>
      <c r="L795" s="9">
        <v>3</v>
      </c>
      <c r="M795" s="9">
        <v>1</v>
      </c>
      <c r="N795" s="186">
        <f t="shared" si="59"/>
        <v>0.51126068492676302</v>
      </c>
      <c r="O795" s="160" t="str">
        <f t="shared" si="60"/>
        <v/>
      </c>
      <c r="P795" s="63"/>
    </row>
    <row r="796" spans="1:16" hidden="1">
      <c r="A796" s="152" t="s">
        <v>402</v>
      </c>
      <c r="B796" s="34" t="s">
        <v>286</v>
      </c>
      <c r="C796" s="40" t="s">
        <v>139</v>
      </c>
      <c r="D796" s="34" t="s">
        <v>139</v>
      </c>
      <c r="E796" s="260">
        <v>0.2</v>
      </c>
      <c r="F796" s="235">
        <v>2</v>
      </c>
      <c r="G796" s="40" t="s">
        <v>294</v>
      </c>
      <c r="H796" s="29">
        <v>2</v>
      </c>
      <c r="I796" s="9"/>
      <c r="J796" s="9">
        <v>2</v>
      </c>
      <c r="K796" s="9">
        <v>3</v>
      </c>
      <c r="L796" s="9">
        <v>3</v>
      </c>
      <c r="M796" s="9">
        <v>1</v>
      </c>
      <c r="N796" s="186">
        <f t="shared" si="59"/>
        <v>0.51126068492676302</v>
      </c>
      <c r="O796" s="160" t="str">
        <f t="shared" si="60"/>
        <v/>
      </c>
      <c r="P796" s="63"/>
    </row>
    <row r="797" spans="1:16" hidden="1">
      <c r="A797" s="152" t="s">
        <v>402</v>
      </c>
      <c r="B797" s="34" t="s">
        <v>286</v>
      </c>
      <c r="C797" s="40" t="s">
        <v>139</v>
      </c>
      <c r="D797" s="34" t="s">
        <v>139</v>
      </c>
      <c r="E797" s="260">
        <v>0.28601252609603334</v>
      </c>
      <c r="F797" s="235">
        <v>2</v>
      </c>
      <c r="G797" s="40" t="s">
        <v>296</v>
      </c>
      <c r="H797" s="29">
        <v>2</v>
      </c>
      <c r="I797" s="9"/>
      <c r="J797" s="9">
        <v>2</v>
      </c>
      <c r="K797" s="9">
        <v>3</v>
      </c>
      <c r="L797" s="9">
        <v>3</v>
      </c>
      <c r="M797" s="9">
        <v>1</v>
      </c>
      <c r="N797" s="186">
        <f t="shared" si="59"/>
        <v>0.51126068492676302</v>
      </c>
      <c r="O797" s="160" t="str">
        <f t="shared" si="60"/>
        <v/>
      </c>
      <c r="P797" s="63" t="s">
        <v>413</v>
      </c>
    </row>
    <row r="798" spans="1:16" hidden="1">
      <c r="A798" s="152" t="s">
        <v>402</v>
      </c>
      <c r="B798" s="34" t="s">
        <v>286</v>
      </c>
      <c r="C798" s="40" t="s">
        <v>139</v>
      </c>
      <c r="D798" s="34" t="s">
        <v>139</v>
      </c>
      <c r="E798" s="260">
        <v>0.81</v>
      </c>
      <c r="F798" s="235">
        <v>2</v>
      </c>
      <c r="G798" s="40" t="s">
        <v>295</v>
      </c>
      <c r="H798" s="29">
        <v>1</v>
      </c>
      <c r="I798" s="9"/>
      <c r="J798" s="9">
        <v>2</v>
      </c>
      <c r="K798" s="9">
        <v>3</v>
      </c>
      <c r="L798" s="9">
        <v>3</v>
      </c>
      <c r="M798" s="9">
        <v>1</v>
      </c>
      <c r="N798" s="186">
        <f t="shared" si="59"/>
        <v>0.50042652380814845</v>
      </c>
      <c r="O798" s="160" t="str">
        <f t="shared" si="60"/>
        <v/>
      </c>
      <c r="P798" s="63"/>
    </row>
    <row r="799" spans="1:16" hidden="1">
      <c r="A799" s="152" t="s">
        <v>315</v>
      </c>
      <c r="B799" s="34" t="s">
        <v>223</v>
      </c>
      <c r="C799" s="40" t="s">
        <v>139</v>
      </c>
      <c r="D799" s="34" t="s">
        <v>139</v>
      </c>
      <c r="E799" s="260">
        <v>0.1</v>
      </c>
      <c r="F799" s="235">
        <v>2</v>
      </c>
      <c r="G799" s="40" t="s">
        <v>414</v>
      </c>
      <c r="H799" s="29">
        <v>1</v>
      </c>
      <c r="I799" s="9"/>
      <c r="J799" s="9">
        <v>1</v>
      </c>
      <c r="K799" s="9">
        <v>1</v>
      </c>
      <c r="L799" s="9">
        <v>1</v>
      </c>
      <c r="M799" s="9">
        <v>3</v>
      </c>
      <c r="N799" s="186">
        <f t="shared" si="59"/>
        <v>1.0141150152164344</v>
      </c>
      <c r="O799" s="160" t="str">
        <f t="shared" si="60"/>
        <v/>
      </c>
      <c r="P799" s="63"/>
    </row>
    <row r="800" spans="1:16" hidden="1">
      <c r="A800" s="152" t="s">
        <v>395</v>
      </c>
      <c r="B800" s="34" t="s">
        <v>378</v>
      </c>
      <c r="C800" s="40" t="s">
        <v>139</v>
      </c>
      <c r="D800" s="34" t="s">
        <v>139</v>
      </c>
      <c r="E800" s="265">
        <v>0.9</v>
      </c>
      <c r="F800" s="34">
        <v>1</v>
      </c>
      <c r="G800" s="40" t="s">
        <v>379</v>
      </c>
      <c r="H800" s="29">
        <v>1</v>
      </c>
      <c r="I800" s="9">
        <v>3</v>
      </c>
      <c r="J800" s="9">
        <v>2</v>
      </c>
      <c r="K800" s="9">
        <v>1</v>
      </c>
      <c r="L800" s="9">
        <v>1</v>
      </c>
      <c r="M800" s="9">
        <v>2</v>
      </c>
      <c r="N800" s="186">
        <f t="shared" si="59"/>
        <v>0.35859414261160716</v>
      </c>
      <c r="O800" s="160">
        <f t="shared" si="60"/>
        <v>0.48935255543384243</v>
      </c>
      <c r="P800" s="857"/>
    </row>
    <row r="801" spans="1:16" hidden="1">
      <c r="A801" s="292" t="s">
        <v>360</v>
      </c>
      <c r="B801" s="55" t="s">
        <v>266</v>
      </c>
      <c r="C801" s="40" t="s">
        <v>139</v>
      </c>
      <c r="D801" s="55" t="s">
        <v>139</v>
      </c>
      <c r="E801" s="260">
        <v>0.24038461538461536</v>
      </c>
      <c r="F801" s="235">
        <v>2</v>
      </c>
      <c r="G801" s="265" t="s">
        <v>163</v>
      </c>
      <c r="H801" s="29">
        <v>2</v>
      </c>
      <c r="I801" s="9">
        <v>2</v>
      </c>
      <c r="J801" s="9">
        <v>1</v>
      </c>
      <c r="K801" s="9">
        <v>1</v>
      </c>
      <c r="L801" s="9">
        <v>1</v>
      </c>
      <c r="M801" s="9">
        <v>3</v>
      </c>
      <c r="N801" s="186">
        <f t="shared" si="59"/>
        <v>1.0195048044558224</v>
      </c>
      <c r="O801" s="160">
        <f t="shared" si="60"/>
        <v>1.0195048044558224</v>
      </c>
      <c r="P801" s="63" t="s">
        <v>357</v>
      </c>
    </row>
    <row r="802" spans="1:16" hidden="1">
      <c r="A802" s="292" t="s">
        <v>360</v>
      </c>
      <c r="B802" s="55" t="s">
        <v>266</v>
      </c>
      <c r="C802" s="40" t="s">
        <v>139</v>
      </c>
      <c r="D802" s="55" t="s">
        <v>139</v>
      </c>
      <c r="E802" s="260">
        <v>0.13440860215053765</v>
      </c>
      <c r="F802" s="235">
        <v>2</v>
      </c>
      <c r="G802" s="265" t="s">
        <v>163</v>
      </c>
      <c r="H802" s="29">
        <v>2</v>
      </c>
      <c r="I802" s="9">
        <v>2</v>
      </c>
      <c r="J802" s="9">
        <v>1</v>
      </c>
      <c r="K802" s="9">
        <v>1</v>
      </c>
      <c r="L802" s="9">
        <v>1</v>
      </c>
      <c r="M802" s="9">
        <v>3</v>
      </c>
      <c r="N802" s="186">
        <f t="shared" si="59"/>
        <v>1.0195048044558224</v>
      </c>
      <c r="O802" s="160">
        <f t="shared" si="60"/>
        <v>1.0195048044558224</v>
      </c>
      <c r="P802" s="63" t="s">
        <v>358</v>
      </c>
    </row>
    <row r="803" spans="1:16" hidden="1">
      <c r="A803" s="152" t="s">
        <v>367</v>
      </c>
      <c r="B803" s="34" t="s">
        <v>188</v>
      </c>
      <c r="C803" s="40" t="s">
        <v>139</v>
      </c>
      <c r="D803" s="34" t="s">
        <v>139</v>
      </c>
      <c r="E803" s="260" t="s">
        <v>150</v>
      </c>
      <c r="F803" s="235">
        <v>1</v>
      </c>
      <c r="G803" s="40"/>
      <c r="H803" s="29"/>
      <c r="I803" s="9"/>
      <c r="J803" s="9"/>
      <c r="K803" s="9"/>
      <c r="L803" s="9"/>
      <c r="M803" s="9"/>
      <c r="N803" s="186" t="str">
        <f t="shared" si="59"/>
        <v/>
      </c>
      <c r="O803" s="160" t="str">
        <f t="shared" si="60"/>
        <v/>
      </c>
      <c r="P803" s="63"/>
    </row>
    <row r="804" spans="1:16" hidden="1">
      <c r="A804" s="152" t="s">
        <v>232</v>
      </c>
      <c r="B804" s="34" t="s">
        <v>188</v>
      </c>
      <c r="C804" s="40" t="s">
        <v>139</v>
      </c>
      <c r="D804" s="34" t="s">
        <v>139</v>
      </c>
      <c r="E804" s="260">
        <v>0.01</v>
      </c>
      <c r="F804" s="235">
        <v>2</v>
      </c>
      <c r="G804" s="40" t="s">
        <v>415</v>
      </c>
      <c r="H804" s="29">
        <v>3</v>
      </c>
      <c r="I804" s="9">
        <v>3</v>
      </c>
      <c r="J804" s="9">
        <v>4</v>
      </c>
      <c r="K804" s="9">
        <v>3</v>
      </c>
      <c r="L804" s="9">
        <v>3</v>
      </c>
      <c r="M804" s="9">
        <v>1</v>
      </c>
      <c r="N804" s="186">
        <f t="shared" si="59"/>
        <v>1.1713319510247036</v>
      </c>
      <c r="O804" s="160">
        <f t="shared" si="60"/>
        <v>1.1713319510247036</v>
      </c>
      <c r="P804" s="63" t="s">
        <v>416</v>
      </c>
    </row>
    <row r="805" spans="1:16" hidden="1">
      <c r="A805" s="152" t="s">
        <v>232</v>
      </c>
      <c r="B805" s="34" t="s">
        <v>188</v>
      </c>
      <c r="C805" s="40" t="s">
        <v>139</v>
      </c>
      <c r="D805" s="34" t="s">
        <v>139</v>
      </c>
      <c r="E805" s="260">
        <v>0.05</v>
      </c>
      <c r="F805" s="235">
        <v>2</v>
      </c>
      <c r="G805" s="40" t="s">
        <v>415</v>
      </c>
      <c r="H805" s="29">
        <v>3</v>
      </c>
      <c r="I805" s="9">
        <v>3</v>
      </c>
      <c r="J805" s="9">
        <v>4</v>
      </c>
      <c r="K805" s="9">
        <v>3</v>
      </c>
      <c r="L805" s="9">
        <v>3</v>
      </c>
      <c r="M805" s="9">
        <v>1</v>
      </c>
      <c r="N805" s="186">
        <f t="shared" si="59"/>
        <v>1.1713319510247036</v>
      </c>
      <c r="O805" s="160">
        <f t="shared" si="60"/>
        <v>1.1713319510247036</v>
      </c>
      <c r="P805" s="63" t="s">
        <v>416</v>
      </c>
    </row>
    <row r="806" spans="1:16" hidden="1">
      <c r="A806" s="152" t="s">
        <v>232</v>
      </c>
      <c r="B806" s="34" t="s">
        <v>188</v>
      </c>
      <c r="C806" s="40" t="s">
        <v>139</v>
      </c>
      <c r="D806" s="34" t="s">
        <v>139</v>
      </c>
      <c r="E806" s="260">
        <v>0.13</v>
      </c>
      <c r="F806" s="235">
        <v>2</v>
      </c>
      <c r="G806" s="40" t="s">
        <v>415</v>
      </c>
      <c r="H806" s="29">
        <v>3</v>
      </c>
      <c r="I806" s="9">
        <v>3</v>
      </c>
      <c r="J806" s="9">
        <v>4</v>
      </c>
      <c r="K806" s="9">
        <v>3</v>
      </c>
      <c r="L806" s="9">
        <v>3</v>
      </c>
      <c r="M806" s="9">
        <v>1</v>
      </c>
      <c r="N806" s="186">
        <f t="shared" si="59"/>
        <v>1.1713319510247036</v>
      </c>
      <c r="O806" s="160">
        <f t="shared" si="60"/>
        <v>1.1713319510247036</v>
      </c>
      <c r="P806" s="63" t="s">
        <v>416</v>
      </c>
    </row>
    <row r="807" spans="1:16" hidden="1">
      <c r="A807" s="152" t="s">
        <v>232</v>
      </c>
      <c r="B807" s="34" t="s">
        <v>188</v>
      </c>
      <c r="C807" s="40" t="s">
        <v>139</v>
      </c>
      <c r="D807" s="34" t="s">
        <v>139</v>
      </c>
      <c r="E807" s="260">
        <v>0.05</v>
      </c>
      <c r="F807" s="235">
        <v>2</v>
      </c>
      <c r="G807" s="40" t="s">
        <v>415</v>
      </c>
      <c r="H807" s="29">
        <v>3</v>
      </c>
      <c r="I807" s="9">
        <v>3</v>
      </c>
      <c r="J807" s="9">
        <v>4</v>
      </c>
      <c r="K807" s="9">
        <v>3</v>
      </c>
      <c r="L807" s="9">
        <v>3</v>
      </c>
      <c r="M807" s="9">
        <v>1</v>
      </c>
      <c r="N807" s="186">
        <f t="shared" si="59"/>
        <v>1.1713319510247036</v>
      </c>
      <c r="O807" s="160">
        <f t="shared" si="60"/>
        <v>1.1713319510247036</v>
      </c>
      <c r="P807" s="63" t="s">
        <v>416</v>
      </c>
    </row>
    <row r="808" spans="1:16" hidden="1">
      <c r="A808" s="152" t="s">
        <v>232</v>
      </c>
      <c r="B808" s="34" t="s">
        <v>188</v>
      </c>
      <c r="C808" s="40" t="s">
        <v>139</v>
      </c>
      <c r="D808" s="34" t="s">
        <v>139</v>
      </c>
      <c r="E808" s="260">
        <v>0.1</v>
      </c>
      <c r="F808" s="235">
        <v>2</v>
      </c>
      <c r="G808" s="40" t="s">
        <v>415</v>
      </c>
      <c r="H808" s="29">
        <v>3</v>
      </c>
      <c r="I808" s="9">
        <v>3</v>
      </c>
      <c r="J808" s="9">
        <v>4</v>
      </c>
      <c r="K808" s="9">
        <v>3</v>
      </c>
      <c r="L808" s="9">
        <v>3</v>
      </c>
      <c r="M808" s="9">
        <v>1</v>
      </c>
      <c r="N808" s="186">
        <f t="shared" si="59"/>
        <v>1.1713319510247036</v>
      </c>
      <c r="O808" s="160">
        <f t="shared" si="60"/>
        <v>1.1713319510247036</v>
      </c>
      <c r="P808" s="63" t="s">
        <v>416</v>
      </c>
    </row>
    <row r="809" spans="1:16" hidden="1">
      <c r="A809" s="292" t="s">
        <v>225</v>
      </c>
      <c r="B809" s="55" t="s">
        <v>417</v>
      </c>
      <c r="C809" s="265" t="s">
        <v>139</v>
      </c>
      <c r="D809" s="55" t="s">
        <v>139</v>
      </c>
      <c r="E809" s="260">
        <v>1.44E-2</v>
      </c>
      <c r="F809" s="235">
        <v>2</v>
      </c>
      <c r="G809" s="265" t="s">
        <v>224</v>
      </c>
      <c r="H809" s="29">
        <v>1</v>
      </c>
      <c r="I809" s="9">
        <v>2</v>
      </c>
      <c r="J809" s="9">
        <v>2</v>
      </c>
      <c r="K809" s="9">
        <v>1</v>
      </c>
      <c r="L809" s="9">
        <v>2</v>
      </c>
      <c r="M809" s="9">
        <v>2</v>
      </c>
      <c r="N809" s="186">
        <f t="shared" si="59"/>
        <v>0.37356464144298934</v>
      </c>
      <c r="O809" s="160">
        <f t="shared" si="60"/>
        <v>0.38795788889711302</v>
      </c>
      <c r="P809" s="63"/>
    </row>
    <row r="810" spans="1:16" hidden="1">
      <c r="A810" s="152" t="s">
        <v>210</v>
      </c>
      <c r="B810" s="34" t="s">
        <v>265</v>
      </c>
      <c r="C810" s="40" t="s">
        <v>139</v>
      </c>
      <c r="D810" s="34" t="s">
        <v>139</v>
      </c>
      <c r="E810" s="260" t="s">
        <v>150</v>
      </c>
      <c r="F810" s="235">
        <v>1</v>
      </c>
      <c r="G810" s="40"/>
      <c r="H810" s="29"/>
      <c r="I810" s="9"/>
      <c r="J810" s="9"/>
      <c r="K810" s="9"/>
      <c r="L810" s="9"/>
      <c r="M810" s="9"/>
      <c r="N810" s="186" t="str">
        <f t="shared" si="59"/>
        <v/>
      </c>
      <c r="O810" s="160" t="str">
        <f t="shared" si="60"/>
        <v/>
      </c>
      <c r="P810" s="63"/>
    </row>
    <row r="811" spans="1:16" hidden="1">
      <c r="A811" s="152" t="s">
        <v>315</v>
      </c>
      <c r="B811" s="34" t="s">
        <v>223</v>
      </c>
      <c r="C811" s="40" t="s">
        <v>139</v>
      </c>
      <c r="D811" s="34" t="s">
        <v>139</v>
      </c>
      <c r="E811" s="260">
        <v>0.9</v>
      </c>
      <c r="F811" s="235">
        <v>2</v>
      </c>
      <c r="G811" s="40" t="s">
        <v>147</v>
      </c>
      <c r="H811" s="29">
        <v>1</v>
      </c>
      <c r="I811" s="9"/>
      <c r="J811" s="9">
        <v>1</v>
      </c>
      <c r="K811" s="9">
        <v>1</v>
      </c>
      <c r="L811" s="9">
        <v>1</v>
      </c>
      <c r="M811" s="9">
        <v>3</v>
      </c>
      <c r="N811" s="186">
        <f t="shared" si="59"/>
        <v>1.0141150152164344</v>
      </c>
      <c r="O811" s="160" t="str">
        <f t="shared" si="60"/>
        <v/>
      </c>
      <c r="P811" s="63"/>
    </row>
    <row r="812" spans="1:16" hidden="1">
      <c r="A812" s="152" t="s">
        <v>315</v>
      </c>
      <c r="B812" s="34" t="s">
        <v>418</v>
      </c>
      <c r="C812" s="40" t="s">
        <v>139</v>
      </c>
      <c r="D812" s="34" t="s">
        <v>139</v>
      </c>
      <c r="E812" s="260" t="s">
        <v>150</v>
      </c>
      <c r="F812" s="235">
        <v>1</v>
      </c>
      <c r="G812" s="40"/>
      <c r="H812" s="29"/>
      <c r="I812" s="9"/>
      <c r="J812" s="9"/>
      <c r="K812" s="9"/>
      <c r="L812" s="9"/>
      <c r="M812" s="9"/>
      <c r="N812" s="186" t="str">
        <f t="shared" si="59"/>
        <v/>
      </c>
      <c r="O812" s="160" t="str">
        <f t="shared" si="60"/>
        <v/>
      </c>
      <c r="P812" s="63"/>
    </row>
    <row r="813" spans="1:16" hidden="1">
      <c r="A813" s="152" t="s">
        <v>385</v>
      </c>
      <c r="B813" s="34" t="s">
        <v>265</v>
      </c>
      <c r="C813" s="40" t="s">
        <v>139</v>
      </c>
      <c r="D813" s="34" t="s">
        <v>139</v>
      </c>
      <c r="E813" s="260">
        <v>0</v>
      </c>
      <c r="F813" s="235">
        <v>2</v>
      </c>
      <c r="G813" s="40" t="s">
        <v>419</v>
      </c>
      <c r="H813" s="29"/>
      <c r="I813" s="9"/>
      <c r="J813" s="9"/>
      <c r="K813" s="9"/>
      <c r="L813" s="9"/>
      <c r="M813" s="9"/>
      <c r="N813" s="186" t="str">
        <f t="shared" si="59"/>
        <v/>
      </c>
      <c r="O813" s="160" t="str">
        <f t="shared" si="60"/>
        <v/>
      </c>
      <c r="P813" s="63" t="s">
        <v>401</v>
      </c>
    </row>
    <row r="814" spans="1:16" hidden="1">
      <c r="A814" s="152" t="s">
        <v>400</v>
      </c>
      <c r="B814" s="34" t="s">
        <v>265</v>
      </c>
      <c r="C814" s="40" t="s">
        <v>139</v>
      </c>
      <c r="D814" s="34" t="s">
        <v>139</v>
      </c>
      <c r="E814" s="260" t="s">
        <v>150</v>
      </c>
      <c r="F814" s="235">
        <v>1</v>
      </c>
      <c r="G814" s="40"/>
      <c r="H814" s="29"/>
      <c r="I814" s="9"/>
      <c r="J814" s="9"/>
      <c r="K814" s="9"/>
      <c r="L814" s="9"/>
      <c r="M814" s="9"/>
      <c r="N814" s="186" t="str">
        <f t="shared" si="59"/>
        <v/>
      </c>
      <c r="O814" s="160" t="str">
        <f t="shared" si="60"/>
        <v/>
      </c>
      <c r="P814" s="63"/>
    </row>
    <row r="815" spans="1:16" hidden="1">
      <c r="A815" s="152" t="s">
        <v>256</v>
      </c>
      <c r="B815" s="34" t="s">
        <v>267</v>
      </c>
      <c r="C815" s="40" t="s">
        <v>182</v>
      </c>
      <c r="D815" s="69" t="s">
        <v>89</v>
      </c>
      <c r="E815" s="867">
        <v>4.9733570159857902E-2</v>
      </c>
      <c r="F815" s="34">
        <v>1</v>
      </c>
      <c r="G815" s="344" t="s">
        <v>126</v>
      </c>
      <c r="H815" s="29"/>
      <c r="I815" s="9">
        <v>1</v>
      </c>
      <c r="J815" s="9">
        <v>1</v>
      </c>
      <c r="K815" s="9">
        <v>1</v>
      </c>
      <c r="L815" s="9">
        <v>2</v>
      </c>
      <c r="M815" s="9">
        <v>2</v>
      </c>
      <c r="N815" s="186" t="str">
        <f t="shared" si="59"/>
        <v/>
      </c>
      <c r="O815" s="160">
        <f t="shared" si="60"/>
        <v>0.35859414261160716</v>
      </c>
      <c r="P815" s="63"/>
    </row>
    <row r="816" spans="1:16" hidden="1">
      <c r="A816" s="152" t="s">
        <v>256</v>
      </c>
      <c r="B816" s="34" t="s">
        <v>267</v>
      </c>
      <c r="C816" s="40" t="s">
        <v>182</v>
      </c>
      <c r="D816" s="69" t="s">
        <v>90</v>
      </c>
      <c r="E816" s="867">
        <v>0.225984796129924</v>
      </c>
      <c r="F816" s="34">
        <v>1</v>
      </c>
      <c r="G816" s="344" t="s">
        <v>126</v>
      </c>
      <c r="H816" s="29"/>
      <c r="I816" s="9">
        <v>1</v>
      </c>
      <c r="J816" s="9">
        <v>1</v>
      </c>
      <c r="K816" s="9">
        <v>1</v>
      </c>
      <c r="L816" s="9">
        <v>2</v>
      </c>
      <c r="M816" s="9">
        <v>2</v>
      </c>
      <c r="N816" s="186" t="str">
        <f t="shared" si="59"/>
        <v/>
      </c>
      <c r="O816" s="160">
        <f t="shared" si="60"/>
        <v>0.35859414261160716</v>
      </c>
      <c r="P816" s="63"/>
    </row>
    <row r="817" spans="1:868" hidden="1">
      <c r="A817" s="152" t="s">
        <v>287</v>
      </c>
      <c r="B817" s="34" t="s">
        <v>265</v>
      </c>
      <c r="C817" s="40" t="s">
        <v>139</v>
      </c>
      <c r="D817" s="34" t="s">
        <v>139</v>
      </c>
      <c r="E817" s="260">
        <v>0</v>
      </c>
      <c r="F817" s="235">
        <v>2</v>
      </c>
      <c r="G817" s="40"/>
      <c r="H817" s="29"/>
      <c r="I817" s="9"/>
      <c r="J817" s="9"/>
      <c r="K817" s="9"/>
      <c r="L817" s="9"/>
      <c r="M817" s="9"/>
      <c r="N817" s="186" t="str">
        <f t="shared" si="59"/>
        <v/>
      </c>
      <c r="O817" s="160" t="str">
        <f t="shared" si="60"/>
        <v/>
      </c>
      <c r="P817" s="63"/>
    </row>
    <row r="818" spans="1:868" s="852" customFormat="1" hidden="1">
      <c r="A818" s="152" t="s">
        <v>216</v>
      </c>
      <c r="B818" s="34" t="s">
        <v>258</v>
      </c>
      <c r="C818" s="40" t="s">
        <v>139</v>
      </c>
      <c r="D818" s="34" t="s">
        <v>139</v>
      </c>
      <c r="E818" s="260">
        <v>1</v>
      </c>
      <c r="F818" s="235">
        <v>2</v>
      </c>
      <c r="G818" s="40" t="s">
        <v>157</v>
      </c>
      <c r="H818" s="29"/>
      <c r="I818" s="9"/>
      <c r="J818" s="9"/>
      <c r="K818" s="9"/>
      <c r="L818" s="9"/>
      <c r="M818" s="9"/>
      <c r="N818" s="186" t="str">
        <f t="shared" si="59"/>
        <v/>
      </c>
      <c r="O818" s="160" t="str">
        <f t="shared" si="60"/>
        <v/>
      </c>
      <c r="P818" s="63"/>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6"/>
      <c r="BY818" s="16"/>
      <c r="BZ818" s="16"/>
      <c r="CA818" s="16"/>
      <c r="CB818" s="16"/>
      <c r="CC818" s="16"/>
      <c r="CD818" s="16"/>
      <c r="CE818" s="16"/>
      <c r="CF818" s="16"/>
      <c r="CG818" s="16"/>
      <c r="CH818" s="16"/>
      <c r="CI818" s="16"/>
      <c r="CJ818" s="16"/>
      <c r="CK818" s="16"/>
      <c r="CL818" s="16"/>
      <c r="CM818" s="16"/>
      <c r="CN818" s="16"/>
      <c r="CO818" s="16"/>
      <c r="CP818" s="16"/>
      <c r="CQ818" s="16"/>
      <c r="CR818" s="16"/>
      <c r="CS818" s="16"/>
      <c r="CT818" s="16"/>
      <c r="CU818" s="16"/>
      <c r="CV818" s="16"/>
      <c r="CW818" s="16"/>
      <c r="CX818" s="16"/>
      <c r="CY818" s="16"/>
      <c r="CZ818" s="16"/>
      <c r="DA818" s="16"/>
      <c r="DB818" s="16"/>
      <c r="DC818" s="16"/>
      <c r="DD818" s="16"/>
      <c r="DE818" s="16"/>
      <c r="DF818" s="16"/>
      <c r="DG818" s="16"/>
      <c r="DH818" s="16"/>
      <c r="DI818" s="16"/>
      <c r="DJ818" s="16"/>
      <c r="DK818" s="16"/>
      <c r="DL818" s="16"/>
      <c r="DM818" s="16"/>
      <c r="DN818" s="16"/>
      <c r="DO818" s="16"/>
      <c r="DP818" s="16"/>
      <c r="DQ818" s="16"/>
      <c r="DR818" s="16"/>
      <c r="DS818" s="16"/>
      <c r="DT818" s="16"/>
      <c r="DU818" s="16"/>
      <c r="DV818" s="16"/>
      <c r="DW818" s="16"/>
      <c r="DX818" s="16"/>
      <c r="DY818" s="16"/>
      <c r="DZ818" s="16"/>
      <c r="EA818" s="16"/>
      <c r="EB818" s="16"/>
      <c r="EC818" s="16"/>
      <c r="ED818" s="16"/>
      <c r="EE818" s="16"/>
      <c r="EF818" s="16"/>
      <c r="EG818" s="16"/>
      <c r="EH818" s="16"/>
      <c r="EI818" s="16"/>
      <c r="EJ818" s="16"/>
      <c r="EK818" s="16"/>
      <c r="EL818" s="16"/>
      <c r="EM818" s="16"/>
      <c r="EN818" s="16"/>
      <c r="EO818" s="16"/>
      <c r="EP818" s="16"/>
      <c r="EQ818" s="16"/>
      <c r="ER818" s="16"/>
      <c r="ES818" s="16"/>
      <c r="ET818" s="16"/>
      <c r="EU818" s="16"/>
      <c r="EV818" s="16"/>
      <c r="EW818" s="16"/>
      <c r="EX818" s="16"/>
      <c r="EY818" s="16"/>
      <c r="EZ818" s="16"/>
      <c r="FA818" s="16"/>
      <c r="FB818" s="16"/>
      <c r="FC818" s="16"/>
      <c r="FD818" s="16"/>
      <c r="FE818" s="16"/>
      <c r="FF818" s="16"/>
      <c r="FG818" s="16"/>
      <c r="FH818" s="16"/>
      <c r="FI818" s="16"/>
      <c r="FJ818" s="16"/>
      <c r="FK818" s="16"/>
      <c r="FL818" s="16"/>
      <c r="FM818" s="16"/>
      <c r="FN818" s="16"/>
      <c r="FO818" s="16"/>
      <c r="FP818" s="16"/>
      <c r="FQ818" s="16"/>
      <c r="FR818" s="16"/>
      <c r="FS818" s="16"/>
      <c r="FT818" s="16"/>
      <c r="FU818" s="16"/>
      <c r="FV818" s="16"/>
      <c r="FW818" s="16"/>
      <c r="FX818" s="16"/>
      <c r="FY818" s="16"/>
      <c r="FZ818" s="16"/>
      <c r="GA818" s="16"/>
      <c r="GB818" s="16"/>
      <c r="GC818" s="16"/>
      <c r="GD818" s="16"/>
      <c r="GE818" s="16"/>
      <c r="GF818" s="16"/>
      <c r="GG818" s="16"/>
      <c r="GH818" s="16"/>
      <c r="GI818" s="16"/>
      <c r="GJ818" s="16"/>
      <c r="GK818" s="16"/>
      <c r="GL818" s="16"/>
      <c r="GM818" s="16"/>
      <c r="GN818" s="16"/>
      <c r="GO818" s="16"/>
      <c r="GP818" s="16"/>
      <c r="GQ818" s="16"/>
      <c r="GR818" s="16"/>
      <c r="GS818" s="16"/>
      <c r="GT818" s="16"/>
      <c r="GU818" s="16"/>
      <c r="GV818" s="16"/>
      <c r="GW818" s="16"/>
      <c r="GX818" s="16"/>
      <c r="GY818" s="16"/>
      <c r="GZ818" s="16"/>
      <c r="HA818" s="16"/>
      <c r="HB818" s="16"/>
      <c r="HC818" s="16"/>
      <c r="HD818" s="16"/>
      <c r="HE818" s="16"/>
      <c r="HF818" s="16"/>
      <c r="HG818" s="16"/>
      <c r="HH818" s="16"/>
      <c r="HI818" s="16"/>
      <c r="HJ818" s="16"/>
      <c r="HK818" s="16"/>
      <c r="HL818" s="16"/>
      <c r="HM818" s="16"/>
      <c r="HN818" s="16"/>
      <c r="HO818" s="16"/>
      <c r="HP818" s="16"/>
      <c r="HQ818" s="16"/>
      <c r="HR818" s="16"/>
      <c r="HS818" s="16"/>
      <c r="HT818" s="16"/>
      <c r="HU818" s="16"/>
      <c r="HV818" s="16"/>
      <c r="HW818" s="16"/>
      <c r="HX818" s="16"/>
      <c r="HY818" s="16"/>
      <c r="HZ818" s="16"/>
      <c r="IA818" s="16"/>
      <c r="IB818" s="16"/>
      <c r="IC818" s="16"/>
      <c r="ID818" s="16"/>
      <c r="IE818" s="16"/>
      <c r="IF818" s="16"/>
      <c r="IG818" s="16"/>
      <c r="IH818" s="16"/>
      <c r="II818" s="16"/>
      <c r="IJ818" s="16"/>
      <c r="IK818" s="16"/>
      <c r="IL818" s="16"/>
      <c r="IM818" s="16"/>
      <c r="IN818" s="16"/>
      <c r="IO818" s="16"/>
      <c r="IP818" s="16"/>
      <c r="IQ818" s="16"/>
      <c r="IR818" s="16"/>
      <c r="IS818" s="16"/>
      <c r="IT818" s="16"/>
      <c r="IU818" s="16"/>
      <c r="IV818" s="16"/>
      <c r="IW818" s="16"/>
      <c r="IX818" s="16"/>
      <c r="IY818" s="16"/>
      <c r="IZ818" s="16"/>
      <c r="JA818" s="16"/>
      <c r="JB818" s="16"/>
      <c r="JC818" s="16"/>
      <c r="JD818" s="16"/>
      <c r="JE818" s="16"/>
      <c r="JF818" s="16"/>
      <c r="JG818" s="16"/>
      <c r="JH818" s="16"/>
      <c r="JI818" s="16"/>
      <c r="JJ818" s="16"/>
      <c r="JK818" s="16"/>
      <c r="JL818" s="16"/>
      <c r="JM818" s="16"/>
      <c r="JN818" s="16"/>
      <c r="JO818" s="16"/>
      <c r="JP818" s="16"/>
      <c r="JQ818" s="16"/>
      <c r="JR818" s="16"/>
      <c r="JS818" s="16"/>
      <c r="JT818" s="16"/>
      <c r="JU818" s="16"/>
      <c r="JV818" s="16"/>
      <c r="JW818" s="16"/>
      <c r="JX818" s="16"/>
      <c r="JY818" s="16"/>
      <c r="JZ818" s="16"/>
      <c r="KA818" s="16"/>
      <c r="KB818" s="16"/>
      <c r="KC818" s="16"/>
      <c r="KD818" s="16"/>
      <c r="KE818" s="16"/>
      <c r="KF818" s="16"/>
      <c r="KG818" s="16"/>
      <c r="KH818" s="16"/>
      <c r="KI818" s="16"/>
      <c r="KJ818" s="16"/>
      <c r="KK818" s="16"/>
      <c r="KL818" s="16"/>
      <c r="KM818" s="16"/>
      <c r="KN818" s="16"/>
      <c r="KO818" s="16"/>
      <c r="KP818" s="16"/>
      <c r="KQ818" s="16"/>
      <c r="KR818" s="16"/>
      <c r="KS818" s="16"/>
      <c r="KT818" s="16"/>
      <c r="KU818" s="16"/>
      <c r="KV818" s="16"/>
      <c r="KW818" s="16"/>
      <c r="KX818" s="16"/>
      <c r="KY818" s="16"/>
      <c r="KZ818" s="16"/>
      <c r="LA818" s="16"/>
      <c r="LB818" s="16"/>
      <c r="LC818" s="16"/>
      <c r="LD818" s="16"/>
      <c r="LE818" s="16"/>
      <c r="LF818" s="16"/>
      <c r="LG818" s="16"/>
      <c r="LH818" s="16"/>
      <c r="LI818" s="16"/>
      <c r="LJ818" s="16"/>
      <c r="LK818" s="16"/>
      <c r="LL818" s="16"/>
      <c r="LM818" s="16"/>
      <c r="LN818" s="16"/>
      <c r="LO818" s="16"/>
      <c r="LP818" s="16"/>
      <c r="LQ818" s="16"/>
      <c r="LR818" s="16"/>
      <c r="LS818" s="16"/>
      <c r="LT818" s="16"/>
      <c r="LU818" s="16"/>
      <c r="LV818" s="16"/>
      <c r="LW818" s="16"/>
      <c r="LX818" s="16"/>
      <c r="LY818" s="16"/>
      <c r="LZ818" s="16"/>
      <c r="MA818" s="16"/>
      <c r="MB818" s="16"/>
      <c r="MC818" s="16"/>
      <c r="MD818" s="16"/>
      <c r="ME818" s="16"/>
      <c r="MF818" s="16"/>
      <c r="MG818" s="16"/>
      <c r="MH818" s="16"/>
      <c r="MI818" s="16"/>
      <c r="MJ818" s="16"/>
      <c r="MK818" s="16"/>
      <c r="ML818" s="16"/>
      <c r="MM818" s="16"/>
      <c r="MN818" s="16"/>
      <c r="MO818" s="16"/>
      <c r="MP818" s="16"/>
      <c r="MQ818" s="16"/>
      <c r="MR818" s="16"/>
      <c r="MS818" s="16"/>
      <c r="MT818" s="16"/>
      <c r="MU818" s="16"/>
      <c r="MV818" s="16"/>
      <c r="MW818" s="16"/>
      <c r="MX818" s="16"/>
      <c r="MY818" s="16"/>
      <c r="MZ818" s="16"/>
      <c r="NA818" s="16"/>
      <c r="NB818" s="16"/>
      <c r="NC818" s="16"/>
      <c r="ND818" s="16"/>
      <c r="NE818" s="16"/>
      <c r="NF818" s="16"/>
      <c r="NG818" s="16"/>
      <c r="NH818" s="16"/>
      <c r="NI818" s="16"/>
      <c r="NJ818" s="16"/>
      <c r="NK818" s="16"/>
      <c r="NL818" s="16"/>
      <c r="NM818" s="16"/>
      <c r="NN818" s="16"/>
      <c r="NO818" s="16"/>
      <c r="NP818" s="16"/>
      <c r="NQ818" s="16"/>
      <c r="NR818" s="16"/>
      <c r="NS818" s="16"/>
      <c r="NT818" s="16"/>
      <c r="NU818" s="16"/>
      <c r="NV818" s="16"/>
      <c r="NW818" s="16"/>
      <c r="NX818" s="16"/>
      <c r="NY818" s="16"/>
      <c r="NZ818" s="16"/>
      <c r="OA818" s="16"/>
      <c r="OB818" s="16"/>
      <c r="OC818" s="16"/>
      <c r="OD818" s="16"/>
      <c r="OE818" s="16"/>
      <c r="OF818" s="16"/>
      <c r="OG818" s="16"/>
      <c r="OH818" s="16"/>
      <c r="OI818" s="16"/>
      <c r="OJ818" s="16"/>
      <c r="OK818" s="16"/>
      <c r="OL818" s="16"/>
      <c r="OM818" s="16"/>
      <c r="ON818" s="16"/>
      <c r="OO818" s="16"/>
      <c r="OP818" s="16"/>
      <c r="OQ818" s="16"/>
      <c r="OR818" s="16"/>
      <c r="OS818" s="16"/>
      <c r="OT818" s="16"/>
      <c r="OU818" s="16"/>
      <c r="OV818" s="16"/>
      <c r="OW818" s="16"/>
      <c r="OX818" s="16"/>
      <c r="OY818" s="16"/>
      <c r="OZ818" s="16"/>
      <c r="PA818" s="16"/>
      <c r="PB818" s="16"/>
      <c r="PC818" s="16"/>
      <c r="PD818" s="16"/>
      <c r="PE818" s="16"/>
      <c r="PF818" s="16"/>
      <c r="PG818" s="16"/>
      <c r="PH818" s="16"/>
      <c r="PI818" s="16"/>
      <c r="PJ818" s="16"/>
      <c r="PK818" s="16"/>
      <c r="PL818" s="16"/>
      <c r="PM818" s="16"/>
      <c r="PN818" s="16"/>
      <c r="PO818" s="16"/>
      <c r="PP818" s="16"/>
      <c r="PQ818" s="16"/>
      <c r="PR818" s="16"/>
      <c r="PS818" s="16"/>
      <c r="PT818" s="16"/>
      <c r="PU818" s="16"/>
      <c r="PV818" s="16"/>
      <c r="PW818" s="16"/>
      <c r="PX818" s="16"/>
      <c r="PY818" s="16"/>
      <c r="PZ818" s="16"/>
      <c r="QA818" s="16"/>
      <c r="QB818" s="16"/>
      <c r="QC818" s="16"/>
      <c r="QD818" s="16"/>
      <c r="QE818" s="16"/>
      <c r="QF818" s="16"/>
      <c r="QG818" s="16"/>
      <c r="QH818" s="16"/>
      <c r="QI818" s="16"/>
      <c r="QJ818" s="16"/>
      <c r="QK818" s="16"/>
      <c r="QL818" s="16"/>
      <c r="QM818" s="16"/>
      <c r="QN818" s="16"/>
      <c r="QO818" s="16"/>
      <c r="QP818" s="16"/>
      <c r="QQ818" s="16"/>
      <c r="QR818" s="16"/>
      <c r="QS818" s="16"/>
      <c r="QT818" s="16"/>
      <c r="QU818" s="16"/>
      <c r="QV818" s="16"/>
      <c r="QW818" s="16"/>
      <c r="QX818" s="16"/>
      <c r="QY818" s="16"/>
      <c r="QZ818" s="16"/>
      <c r="RA818" s="16"/>
      <c r="RB818" s="16"/>
      <c r="RC818" s="16"/>
      <c r="RD818" s="16"/>
      <c r="RE818" s="16"/>
      <c r="RF818" s="16"/>
      <c r="RG818" s="16"/>
      <c r="RH818" s="16"/>
      <c r="RI818" s="16"/>
      <c r="RJ818" s="16"/>
      <c r="RK818" s="16"/>
      <c r="RL818" s="16"/>
      <c r="RM818" s="16"/>
      <c r="RN818" s="16"/>
      <c r="RO818" s="16"/>
      <c r="RP818" s="16"/>
      <c r="RQ818" s="16"/>
      <c r="RR818" s="16"/>
      <c r="RS818" s="16"/>
      <c r="RT818" s="16"/>
      <c r="RU818" s="16"/>
      <c r="RV818" s="16"/>
      <c r="RW818" s="16"/>
      <c r="RX818" s="16"/>
      <c r="RY818" s="16"/>
      <c r="RZ818" s="16"/>
      <c r="SA818" s="16"/>
      <c r="SB818" s="16"/>
      <c r="SC818" s="16"/>
      <c r="SD818" s="16"/>
      <c r="SE818" s="16"/>
      <c r="SF818" s="16"/>
      <c r="SG818" s="16"/>
      <c r="SH818" s="16"/>
      <c r="SI818" s="16"/>
      <c r="SJ818" s="16"/>
      <c r="SK818" s="16"/>
      <c r="SL818" s="16"/>
      <c r="SM818" s="16"/>
      <c r="SN818" s="16"/>
      <c r="SO818" s="16"/>
      <c r="SP818" s="16"/>
      <c r="SQ818" s="16"/>
      <c r="SR818" s="16"/>
      <c r="SS818" s="16"/>
      <c r="ST818" s="16"/>
      <c r="SU818" s="16"/>
      <c r="SV818" s="16"/>
      <c r="SW818" s="16"/>
      <c r="SX818" s="16"/>
      <c r="SY818" s="16"/>
      <c r="SZ818" s="16"/>
      <c r="TA818" s="16"/>
      <c r="TB818" s="16"/>
      <c r="TC818" s="16"/>
      <c r="TD818" s="16"/>
      <c r="TE818" s="16"/>
      <c r="TF818" s="16"/>
      <c r="TG818" s="16"/>
      <c r="TH818" s="16"/>
      <c r="TI818" s="16"/>
      <c r="TJ818" s="16"/>
      <c r="TK818" s="16"/>
      <c r="TL818" s="16"/>
      <c r="TM818" s="16"/>
      <c r="TN818" s="16"/>
      <c r="TO818" s="16"/>
      <c r="TP818" s="16"/>
      <c r="TQ818" s="16"/>
      <c r="TR818" s="16"/>
      <c r="TS818" s="16"/>
      <c r="TT818" s="16"/>
      <c r="TU818" s="16"/>
      <c r="TV818" s="16"/>
      <c r="TW818" s="16"/>
      <c r="TX818" s="16"/>
      <c r="TY818" s="16"/>
      <c r="TZ818" s="16"/>
      <c r="UA818" s="16"/>
      <c r="UB818" s="16"/>
      <c r="UC818" s="16"/>
      <c r="UD818" s="16"/>
      <c r="UE818" s="16"/>
      <c r="UF818" s="16"/>
      <c r="UG818" s="16"/>
      <c r="UH818" s="16"/>
      <c r="UI818" s="16"/>
      <c r="UJ818" s="16"/>
      <c r="UK818" s="16"/>
      <c r="UL818" s="16"/>
      <c r="UM818" s="16"/>
      <c r="UN818" s="16"/>
      <c r="UO818" s="16"/>
      <c r="UP818" s="16"/>
      <c r="UQ818" s="16"/>
      <c r="UR818" s="16"/>
      <c r="US818" s="16"/>
      <c r="UT818" s="16"/>
      <c r="UU818" s="16"/>
      <c r="UV818" s="16"/>
      <c r="UW818" s="16"/>
      <c r="UX818" s="16"/>
      <c r="UY818" s="16"/>
      <c r="UZ818" s="16"/>
      <c r="VA818" s="16"/>
      <c r="VB818" s="16"/>
      <c r="VC818" s="16"/>
      <c r="VD818" s="16"/>
      <c r="VE818" s="16"/>
      <c r="VF818" s="16"/>
      <c r="VG818" s="16"/>
      <c r="VH818" s="16"/>
      <c r="VI818" s="16"/>
      <c r="VJ818" s="16"/>
      <c r="VK818" s="16"/>
      <c r="VL818" s="16"/>
      <c r="VM818" s="16"/>
      <c r="VN818" s="16"/>
      <c r="VO818" s="16"/>
      <c r="VP818" s="16"/>
      <c r="VQ818" s="16"/>
      <c r="VR818" s="16"/>
      <c r="VS818" s="16"/>
      <c r="VT818" s="16"/>
      <c r="VU818" s="16"/>
      <c r="VV818" s="16"/>
      <c r="VW818" s="16"/>
      <c r="VX818" s="16"/>
      <c r="VY818" s="16"/>
      <c r="VZ818" s="16"/>
      <c r="WA818" s="16"/>
      <c r="WB818" s="16"/>
      <c r="WC818" s="16"/>
      <c r="WD818" s="16"/>
      <c r="WE818" s="16"/>
      <c r="WF818" s="16"/>
      <c r="WG818" s="16"/>
      <c r="WH818" s="16"/>
      <c r="WI818" s="16"/>
      <c r="WJ818" s="16"/>
      <c r="WK818" s="16"/>
      <c r="WL818" s="16"/>
      <c r="WM818" s="16"/>
      <c r="WN818" s="16"/>
      <c r="WO818" s="16"/>
      <c r="WP818" s="16"/>
      <c r="WQ818" s="16"/>
      <c r="WR818" s="16"/>
      <c r="WS818" s="16"/>
      <c r="WT818" s="16"/>
      <c r="WU818" s="16"/>
      <c r="WV818" s="16"/>
      <c r="WW818" s="16"/>
      <c r="WX818" s="16"/>
      <c r="WY818" s="16"/>
      <c r="WZ818" s="16"/>
      <c r="XA818" s="16"/>
      <c r="XB818" s="16"/>
      <c r="XC818" s="16"/>
      <c r="XD818" s="16"/>
      <c r="XE818" s="16"/>
      <c r="XF818" s="16"/>
      <c r="XG818" s="16"/>
      <c r="XH818" s="16"/>
      <c r="XI818" s="16"/>
      <c r="XJ818" s="16"/>
      <c r="XK818" s="16"/>
      <c r="XL818" s="16"/>
      <c r="XM818" s="16"/>
      <c r="XN818" s="16"/>
      <c r="XO818" s="16"/>
      <c r="XP818" s="16"/>
      <c r="XQ818" s="16"/>
      <c r="XR818" s="16"/>
      <c r="XS818" s="16"/>
      <c r="XT818" s="16"/>
      <c r="XU818" s="16"/>
      <c r="XV818" s="16"/>
      <c r="XW818" s="16"/>
      <c r="XX818" s="16"/>
      <c r="XY818" s="16"/>
      <c r="XZ818" s="16"/>
      <c r="YA818" s="16"/>
      <c r="YB818" s="16"/>
      <c r="YC818" s="16"/>
      <c r="YD818" s="16"/>
      <c r="YE818" s="16"/>
      <c r="YF818" s="16"/>
      <c r="YG818" s="16"/>
      <c r="YH818" s="16"/>
      <c r="YI818" s="16"/>
      <c r="YJ818" s="16"/>
      <c r="YK818" s="16"/>
      <c r="YL818" s="16"/>
      <c r="YM818" s="16"/>
      <c r="YN818" s="16"/>
      <c r="YO818" s="16"/>
      <c r="YP818" s="16"/>
      <c r="YQ818" s="16"/>
      <c r="YR818" s="16"/>
      <c r="YS818" s="16"/>
      <c r="YT818" s="16"/>
      <c r="YU818" s="16"/>
      <c r="YV818" s="16"/>
      <c r="YW818" s="16"/>
      <c r="YX818" s="16"/>
      <c r="YY818" s="16"/>
      <c r="YZ818" s="16"/>
      <c r="ZA818" s="16"/>
      <c r="ZB818" s="16"/>
      <c r="ZC818" s="16"/>
      <c r="ZD818" s="16"/>
      <c r="ZE818" s="16"/>
      <c r="ZF818" s="16"/>
      <c r="ZG818" s="16"/>
      <c r="ZH818" s="16"/>
      <c r="ZI818" s="16"/>
      <c r="ZJ818" s="16"/>
      <c r="ZK818" s="16"/>
      <c r="ZL818" s="16"/>
      <c r="ZM818" s="16"/>
      <c r="ZN818" s="16"/>
      <c r="ZO818" s="16"/>
      <c r="ZP818" s="16"/>
      <c r="ZQ818" s="16"/>
      <c r="ZR818" s="16"/>
      <c r="ZS818" s="16"/>
      <c r="ZT818" s="16"/>
      <c r="ZU818" s="16"/>
      <c r="ZV818" s="16"/>
      <c r="ZW818" s="16"/>
      <c r="ZX818" s="16"/>
      <c r="ZY818" s="16"/>
      <c r="ZZ818" s="16"/>
      <c r="AAA818" s="16"/>
      <c r="AAB818" s="16"/>
      <c r="AAC818" s="16"/>
      <c r="AAD818" s="16"/>
      <c r="AAE818" s="16"/>
      <c r="AAF818" s="16"/>
      <c r="AAG818" s="16"/>
      <c r="AAH818" s="16"/>
      <c r="AAI818" s="16"/>
      <c r="AAJ818" s="16"/>
      <c r="AAK818" s="16"/>
      <c r="AAL818" s="16"/>
      <c r="AAM818" s="16"/>
      <c r="AAN818" s="16"/>
      <c r="AAO818" s="16"/>
      <c r="AAP818" s="16"/>
      <c r="AAQ818" s="16"/>
      <c r="AAR818" s="16"/>
      <c r="AAS818" s="16"/>
      <c r="AAT818" s="16"/>
      <c r="AAU818" s="16"/>
      <c r="AAV818" s="16"/>
      <c r="AAW818" s="16"/>
      <c r="AAX818" s="16"/>
      <c r="AAY818" s="16"/>
      <c r="AAZ818" s="16"/>
      <c r="ABA818" s="16"/>
      <c r="ABB818" s="16"/>
      <c r="ABC818" s="16"/>
      <c r="ABD818" s="16"/>
      <c r="ABE818" s="16"/>
      <c r="ABF818" s="16"/>
      <c r="ABG818" s="16"/>
      <c r="ABH818" s="16"/>
      <c r="ABI818" s="16"/>
      <c r="ABJ818" s="16"/>
      <c r="ABK818" s="16"/>
      <c r="ABL818" s="16"/>
      <c r="ABM818" s="16"/>
      <c r="ABN818" s="16"/>
      <c r="ABO818" s="16"/>
      <c r="ABP818" s="16"/>
      <c r="ABQ818" s="16"/>
      <c r="ABR818" s="16"/>
      <c r="ABS818" s="16"/>
      <c r="ABT818" s="16"/>
      <c r="ABU818" s="16"/>
      <c r="ABV818" s="16"/>
      <c r="ABW818" s="16"/>
      <c r="ABX818" s="16"/>
      <c r="ABY818" s="16"/>
      <c r="ABZ818" s="16"/>
      <c r="ACA818" s="16"/>
      <c r="ACB818" s="16"/>
      <c r="ACC818" s="16"/>
      <c r="ACD818" s="16"/>
      <c r="ACE818" s="16"/>
      <c r="ACF818" s="16"/>
      <c r="ACG818" s="16"/>
      <c r="ACH818" s="16"/>
      <c r="ACI818" s="16"/>
      <c r="ACJ818" s="16"/>
      <c r="ACK818" s="16"/>
      <c r="ACL818" s="16"/>
      <c r="ACM818" s="16"/>
      <c r="ACN818" s="16"/>
      <c r="ACO818" s="16"/>
      <c r="ACP818" s="16"/>
      <c r="ACQ818" s="16"/>
      <c r="ACR818" s="16"/>
      <c r="ACS818" s="16"/>
      <c r="ACT818" s="16"/>
      <c r="ACU818" s="16"/>
      <c r="ACV818" s="16"/>
      <c r="ACW818" s="16"/>
      <c r="ACX818" s="16"/>
      <c r="ACY818" s="16"/>
      <c r="ACZ818" s="16"/>
      <c r="ADA818" s="16"/>
      <c r="ADB818" s="16"/>
      <c r="ADC818" s="16"/>
      <c r="ADD818" s="16"/>
      <c r="ADE818" s="16"/>
      <c r="ADF818" s="16"/>
      <c r="ADG818" s="16"/>
      <c r="ADH818" s="16"/>
      <c r="ADI818" s="16"/>
      <c r="ADJ818" s="16"/>
      <c r="ADK818" s="16"/>
      <c r="ADL818" s="16"/>
      <c r="ADM818" s="16"/>
      <c r="ADN818" s="16"/>
      <c r="ADO818" s="16"/>
      <c r="ADP818" s="16"/>
      <c r="ADQ818" s="16"/>
      <c r="ADR818" s="16"/>
      <c r="ADS818" s="16"/>
      <c r="ADT818" s="16"/>
      <c r="ADU818" s="16"/>
      <c r="ADV818" s="16"/>
      <c r="ADW818" s="16"/>
      <c r="ADX818" s="16"/>
      <c r="ADY818" s="16"/>
      <c r="ADZ818" s="16"/>
      <c r="AEA818" s="16"/>
      <c r="AEB818" s="16"/>
      <c r="AEC818" s="16"/>
      <c r="AED818" s="16"/>
      <c r="AEE818" s="16"/>
      <c r="AEF818" s="16"/>
      <c r="AEG818" s="16"/>
      <c r="AEH818" s="16"/>
      <c r="AEI818" s="16"/>
      <c r="AEJ818" s="16"/>
      <c r="AEK818" s="16"/>
      <c r="AEL818" s="16"/>
      <c r="AEM818" s="16"/>
      <c r="AEN818" s="16"/>
      <c r="AEO818" s="16"/>
      <c r="AEP818" s="16"/>
      <c r="AEQ818" s="16"/>
      <c r="AER818" s="16"/>
      <c r="AES818" s="16"/>
      <c r="AET818" s="16"/>
      <c r="AEU818" s="16"/>
      <c r="AEV818" s="16"/>
      <c r="AEW818" s="16"/>
      <c r="AEX818" s="16"/>
      <c r="AEY818" s="16"/>
      <c r="AEZ818" s="16"/>
      <c r="AFA818" s="16"/>
      <c r="AFB818" s="16"/>
      <c r="AFC818" s="16"/>
      <c r="AFD818" s="16"/>
      <c r="AFE818" s="16"/>
      <c r="AFF818" s="16"/>
      <c r="AFG818" s="16"/>
      <c r="AFH818" s="16"/>
      <c r="AFI818" s="16"/>
      <c r="AFJ818" s="16"/>
      <c r="AFK818" s="16"/>
      <c r="AFL818" s="16"/>
      <c r="AFM818" s="16"/>
      <c r="AFN818" s="16"/>
      <c r="AFO818" s="16"/>
      <c r="AFP818" s="16"/>
      <c r="AFQ818" s="16"/>
      <c r="AFR818" s="16"/>
      <c r="AFS818" s="16"/>
      <c r="AFT818" s="16"/>
      <c r="AFU818" s="16"/>
      <c r="AFV818" s="16"/>
      <c r="AFW818" s="16"/>
      <c r="AFX818" s="16"/>
      <c r="AFY818" s="16"/>
      <c r="AFZ818" s="16"/>
      <c r="AGA818" s="16"/>
      <c r="AGB818" s="16"/>
      <c r="AGC818" s="16"/>
      <c r="AGD818" s="16"/>
      <c r="AGE818" s="16"/>
      <c r="AGF818" s="16"/>
      <c r="AGG818" s="16"/>
      <c r="AGH818" s="16"/>
      <c r="AGI818" s="16"/>
      <c r="AGJ818" s="16"/>
    </row>
    <row r="819" spans="1:868" hidden="1">
      <c r="A819" s="152" t="s">
        <v>256</v>
      </c>
      <c r="B819" s="34" t="s">
        <v>267</v>
      </c>
      <c r="C819" s="40" t="s">
        <v>182</v>
      </c>
      <c r="D819" s="69" t="s">
        <v>91</v>
      </c>
      <c r="E819" s="867">
        <v>9.5582536812193225E-2</v>
      </c>
      <c r="F819" s="34">
        <v>1</v>
      </c>
      <c r="G819" s="344" t="s">
        <v>126</v>
      </c>
      <c r="H819" s="29"/>
      <c r="I819" s="9">
        <v>1</v>
      </c>
      <c r="J819" s="9">
        <v>1</v>
      </c>
      <c r="K819" s="9">
        <v>1</v>
      </c>
      <c r="L819" s="9">
        <v>2</v>
      </c>
      <c r="M819" s="9">
        <v>2</v>
      </c>
      <c r="N819" s="186" t="str">
        <f t="shared" si="59"/>
        <v/>
      </c>
      <c r="O819" s="160">
        <f t="shared" si="60"/>
        <v>0.35859414261160716</v>
      </c>
      <c r="P819" s="63"/>
    </row>
    <row r="820" spans="1:868" hidden="1">
      <c r="A820" s="152" t="s">
        <v>256</v>
      </c>
      <c r="B820" s="34" t="s">
        <v>267</v>
      </c>
      <c r="C820" s="40" t="s">
        <v>182</v>
      </c>
      <c r="D820" s="69" t="s">
        <v>94</v>
      </c>
      <c r="E820" s="867">
        <v>0.24492099322799099</v>
      </c>
      <c r="F820" s="34">
        <v>1</v>
      </c>
      <c r="G820" s="344" t="s">
        <v>126</v>
      </c>
      <c r="H820" s="29"/>
      <c r="I820" s="9">
        <v>1</v>
      </c>
      <c r="J820" s="9">
        <v>1</v>
      </c>
      <c r="K820" s="9">
        <v>1</v>
      </c>
      <c r="L820" s="9">
        <v>2</v>
      </c>
      <c r="M820" s="9">
        <v>2</v>
      </c>
      <c r="N820" s="186" t="str">
        <f t="shared" si="59"/>
        <v/>
      </c>
      <c r="O820" s="160">
        <f t="shared" si="60"/>
        <v>0.35859414261160716</v>
      </c>
      <c r="P820" s="63"/>
    </row>
    <row r="821" spans="1:868" hidden="1">
      <c r="A821" s="152" t="s">
        <v>386</v>
      </c>
      <c r="B821" s="34" t="s">
        <v>258</v>
      </c>
      <c r="C821" s="40" t="s">
        <v>139</v>
      </c>
      <c r="D821" s="34" t="s">
        <v>139</v>
      </c>
      <c r="E821" s="260">
        <v>0</v>
      </c>
      <c r="F821" s="235">
        <v>2</v>
      </c>
      <c r="G821" s="40" t="s">
        <v>419</v>
      </c>
      <c r="H821" s="29"/>
      <c r="I821" s="9"/>
      <c r="J821" s="9"/>
      <c r="K821" s="9"/>
      <c r="L821" s="9"/>
      <c r="M821" s="9"/>
      <c r="N821" s="186" t="str">
        <f t="shared" si="59"/>
        <v/>
      </c>
      <c r="O821" s="160" t="str">
        <f t="shared" si="60"/>
        <v/>
      </c>
      <c r="P821" s="63" t="s">
        <v>401</v>
      </c>
    </row>
    <row r="822" spans="1:868" hidden="1">
      <c r="A822" s="152" t="s">
        <v>402</v>
      </c>
      <c r="B822" s="34" t="s">
        <v>258</v>
      </c>
      <c r="C822" s="40" t="s">
        <v>139</v>
      </c>
      <c r="D822" s="34" t="s">
        <v>139</v>
      </c>
      <c r="E822" s="260">
        <v>0</v>
      </c>
      <c r="F822" s="235">
        <v>2</v>
      </c>
      <c r="G822" s="40" t="s">
        <v>419</v>
      </c>
      <c r="H822" s="29"/>
      <c r="I822" s="9"/>
      <c r="J822" s="9"/>
      <c r="K822" s="9"/>
      <c r="L822" s="9"/>
      <c r="M822" s="9"/>
      <c r="N822" s="186" t="str">
        <f t="shared" si="59"/>
        <v/>
      </c>
      <c r="O822" s="160" t="str">
        <f t="shared" si="60"/>
        <v/>
      </c>
      <c r="P822" s="63" t="s">
        <v>420</v>
      </c>
    </row>
    <row r="823" spans="1:868" hidden="1">
      <c r="A823" s="152" t="s">
        <v>256</v>
      </c>
      <c r="B823" s="34" t="s">
        <v>267</v>
      </c>
      <c r="C823" s="40" t="s">
        <v>182</v>
      </c>
      <c r="D823" s="69" t="s">
        <v>96</v>
      </c>
      <c r="E823" s="867">
        <v>0.19953775038520799</v>
      </c>
      <c r="F823" s="34">
        <v>1</v>
      </c>
      <c r="G823" s="344" t="s">
        <v>126</v>
      </c>
      <c r="H823" s="29"/>
      <c r="I823" s="9">
        <v>1</v>
      </c>
      <c r="J823" s="9">
        <v>1</v>
      </c>
      <c r="K823" s="9">
        <v>1</v>
      </c>
      <c r="L823" s="9">
        <v>2</v>
      </c>
      <c r="M823" s="9">
        <v>2</v>
      </c>
      <c r="N823" s="186" t="str">
        <f t="shared" si="59"/>
        <v/>
      </c>
      <c r="O823" s="160">
        <f t="shared" si="60"/>
        <v>0.35859414261160716</v>
      </c>
      <c r="P823" s="63"/>
    </row>
    <row r="824" spans="1:868" hidden="1">
      <c r="A824" s="152" t="s">
        <v>256</v>
      </c>
      <c r="B824" s="34" t="s">
        <v>267</v>
      </c>
      <c r="C824" s="40" t="s">
        <v>182</v>
      </c>
      <c r="D824" s="69" t="s">
        <v>97</v>
      </c>
      <c r="E824" s="867">
        <v>0.3138111888111888</v>
      </c>
      <c r="F824" s="34">
        <v>1</v>
      </c>
      <c r="G824" s="344" t="s">
        <v>126</v>
      </c>
      <c r="H824" s="29"/>
      <c r="I824" s="9">
        <v>1</v>
      </c>
      <c r="J824" s="9">
        <v>1</v>
      </c>
      <c r="K824" s="9">
        <v>1</v>
      </c>
      <c r="L824" s="9">
        <v>2</v>
      </c>
      <c r="M824" s="9">
        <v>2</v>
      </c>
      <c r="N824" s="186" t="str">
        <f t="shared" si="59"/>
        <v/>
      </c>
      <c r="O824" s="160">
        <f t="shared" si="60"/>
        <v>0.35859414261160716</v>
      </c>
      <c r="P824" s="63"/>
    </row>
    <row r="825" spans="1:868" hidden="1">
      <c r="A825" s="152" t="s">
        <v>289</v>
      </c>
      <c r="B825" s="34" t="s">
        <v>258</v>
      </c>
      <c r="C825" s="40" t="s">
        <v>139</v>
      </c>
      <c r="D825" s="34" t="s">
        <v>139</v>
      </c>
      <c r="E825" s="260" t="s">
        <v>150</v>
      </c>
      <c r="F825" s="235">
        <v>1</v>
      </c>
      <c r="G825" s="40"/>
      <c r="H825" s="29"/>
      <c r="I825" s="9"/>
      <c r="J825" s="9"/>
      <c r="K825" s="9"/>
      <c r="L825" s="9"/>
      <c r="M825" s="9"/>
      <c r="N825" s="186" t="str">
        <f t="shared" si="59"/>
        <v/>
      </c>
      <c r="O825" s="160" t="str">
        <f t="shared" si="60"/>
        <v/>
      </c>
      <c r="P825" s="63"/>
    </row>
    <row r="826" spans="1:868" hidden="1">
      <c r="A826" s="152" t="s">
        <v>395</v>
      </c>
      <c r="B826" s="34" t="s">
        <v>258</v>
      </c>
      <c r="C826" s="40" t="s">
        <v>139</v>
      </c>
      <c r="D826" s="34" t="s">
        <v>139</v>
      </c>
      <c r="E826" s="265">
        <v>0.1</v>
      </c>
      <c r="F826" s="34">
        <v>1</v>
      </c>
      <c r="G826" s="40" t="s">
        <v>379</v>
      </c>
      <c r="H826" s="29">
        <v>1</v>
      </c>
      <c r="I826" s="9">
        <v>3</v>
      </c>
      <c r="J826" s="9">
        <v>2</v>
      </c>
      <c r="K826" s="9">
        <v>1</v>
      </c>
      <c r="L826" s="9">
        <v>1</v>
      </c>
      <c r="M826" s="9">
        <v>2</v>
      </c>
      <c r="N826" s="186">
        <f t="shared" ref="N826:N829" si="61">IF( OR( ISBLANK(H826),ISBLANK(J826), ISBLANK(K826), ISBLANK(L826), ISBLANK(M826) ), "", 1.5*SQRT(   EXP(2.21*(H826-1)) + EXP(2.21*(J826-1)) + EXP(2.21*(K826-1)) + EXP(2.21*(L826-1)) + EXP(2.21*M826)   )/100*2.45 )</f>
        <v>0.35859414261160716</v>
      </c>
      <c r="O826" s="160">
        <f t="shared" ref="O826:O829" si="62">IF( OR( ISBLANK(I826),ISBLANK(J826), ISBLANK(K826), ISBLANK(L826), ISBLANK(M826) ), "", 1.5*SQRT( EXP(2.21*(I826-1)) + EXP(2.21*(J826-1)) + EXP(2.21*(K826-1)) + EXP(2.21*(L826-1)) + EXP(2.21*M826)   )/100*2.45 )</f>
        <v>0.48935255543384243</v>
      </c>
      <c r="P826" s="857"/>
    </row>
    <row r="827" spans="1:868" s="211" customFormat="1" ht="15.75" hidden="1" thickBot="1">
      <c r="A827" s="152" t="s">
        <v>398</v>
      </c>
      <c r="B827" s="34" t="s">
        <v>301</v>
      </c>
      <c r="C827" s="40" t="s">
        <v>139</v>
      </c>
      <c r="D827" s="34" t="s">
        <v>139</v>
      </c>
      <c r="E827" s="265">
        <v>0.1</v>
      </c>
      <c r="F827" s="235">
        <v>2</v>
      </c>
      <c r="G827" s="40" t="s">
        <v>302</v>
      </c>
      <c r="H827" s="29">
        <v>2</v>
      </c>
      <c r="I827" s="9">
        <v>2</v>
      </c>
      <c r="J827" s="9">
        <v>2</v>
      </c>
      <c r="K827" s="9">
        <v>2</v>
      </c>
      <c r="L827" s="9">
        <v>1</v>
      </c>
      <c r="M827" s="9">
        <v>1</v>
      </c>
      <c r="N827" s="186">
        <f t="shared" si="61"/>
        <v>0.2249354160293616</v>
      </c>
      <c r="O827" s="160">
        <f t="shared" si="62"/>
        <v>0.2249354160293616</v>
      </c>
      <c r="P827" s="857"/>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c r="CX827" s="16"/>
      <c r="CY827" s="16"/>
      <c r="CZ827" s="16"/>
      <c r="DA827" s="16"/>
      <c r="DB827" s="16"/>
      <c r="DC827" s="16"/>
      <c r="DD827" s="16"/>
      <c r="DE827" s="16"/>
      <c r="DF827" s="16"/>
      <c r="DG827" s="16"/>
      <c r="DH827" s="16"/>
      <c r="DI827" s="16"/>
      <c r="DJ827" s="16"/>
      <c r="DK827" s="16"/>
      <c r="DL827" s="16"/>
      <c r="DM827" s="16"/>
      <c r="DN827" s="16"/>
      <c r="DO827" s="16"/>
      <c r="DP827" s="16"/>
      <c r="DQ827" s="16"/>
      <c r="DR827" s="16"/>
      <c r="DS827" s="16"/>
      <c r="DT827" s="16"/>
      <c r="DU827" s="16"/>
      <c r="DV827" s="16"/>
      <c r="DW827" s="16"/>
      <c r="DX827" s="16"/>
      <c r="DY827" s="16"/>
      <c r="DZ827" s="16"/>
      <c r="EA827" s="16"/>
      <c r="EB827" s="16"/>
      <c r="EC827" s="16"/>
      <c r="ED827" s="16"/>
      <c r="EE827" s="16"/>
      <c r="EF827" s="16"/>
      <c r="EG827" s="16"/>
      <c r="EH827" s="16"/>
      <c r="EI827" s="16"/>
      <c r="EJ827" s="16"/>
      <c r="EK827" s="16"/>
      <c r="EL827" s="16"/>
      <c r="EM827" s="16"/>
      <c r="EN827" s="16"/>
      <c r="EO827" s="16"/>
      <c r="EP827" s="16"/>
      <c r="EQ827" s="16"/>
      <c r="ER827" s="16"/>
      <c r="ES827" s="16"/>
      <c r="ET827" s="16"/>
      <c r="EU827" s="16"/>
      <c r="EV827" s="16"/>
      <c r="EW827" s="16"/>
      <c r="EX827" s="16"/>
      <c r="EY827" s="16"/>
      <c r="EZ827" s="16"/>
      <c r="FA827" s="16"/>
      <c r="FB827" s="16"/>
      <c r="FC827" s="16"/>
      <c r="FD827" s="16"/>
      <c r="FE827" s="16"/>
      <c r="FF827" s="16"/>
      <c r="FG827" s="16"/>
      <c r="FH827" s="16"/>
      <c r="FI827" s="16"/>
      <c r="FJ827" s="16"/>
      <c r="FK827" s="16"/>
      <c r="FL827" s="16"/>
      <c r="FM827" s="16"/>
      <c r="FN827" s="16"/>
      <c r="FO827" s="16"/>
      <c r="FP827" s="16"/>
      <c r="FQ827" s="16"/>
      <c r="FR827" s="16"/>
      <c r="FS827" s="16"/>
      <c r="FT827" s="16"/>
      <c r="FU827" s="16"/>
      <c r="FV827" s="16"/>
      <c r="FW827" s="16"/>
      <c r="FX827" s="16"/>
      <c r="FY827" s="16"/>
      <c r="FZ827" s="16"/>
      <c r="GA827" s="16"/>
      <c r="GB827" s="16"/>
      <c r="GC827" s="16"/>
      <c r="GD827" s="16"/>
      <c r="GE827" s="16"/>
      <c r="GF827" s="16"/>
      <c r="GG827" s="16"/>
      <c r="GH827" s="16"/>
      <c r="GI827" s="16"/>
      <c r="GJ827" s="16"/>
      <c r="GK827" s="16"/>
      <c r="GL827" s="16"/>
      <c r="GM827" s="16"/>
      <c r="GN827" s="16"/>
      <c r="GO827" s="16"/>
      <c r="GP827" s="16"/>
      <c r="GQ827" s="16"/>
      <c r="GR827" s="16"/>
      <c r="GS827" s="16"/>
      <c r="GT827" s="16"/>
      <c r="GU827" s="16"/>
      <c r="GV827" s="16"/>
      <c r="GW827" s="16"/>
      <c r="GX827" s="16"/>
      <c r="GY827" s="16"/>
      <c r="GZ827" s="16"/>
      <c r="HA827" s="16"/>
      <c r="HB827" s="16"/>
      <c r="HC827" s="16"/>
      <c r="HD827" s="16"/>
      <c r="HE827" s="16"/>
      <c r="HF827" s="16"/>
      <c r="HG827" s="16"/>
      <c r="HH827" s="16"/>
      <c r="HI827" s="16"/>
      <c r="HJ827" s="16"/>
      <c r="HK827" s="16"/>
      <c r="HL827" s="16"/>
      <c r="HM827" s="16"/>
      <c r="HN827" s="16"/>
      <c r="HO827" s="16"/>
      <c r="HP827" s="16"/>
      <c r="HQ827" s="16"/>
      <c r="HR827" s="16"/>
      <c r="HS827" s="16"/>
      <c r="HT827" s="16"/>
      <c r="HU827" s="16"/>
      <c r="HV827" s="16"/>
      <c r="HW827" s="16"/>
      <c r="HX827" s="16"/>
      <c r="HY827" s="16"/>
      <c r="HZ827" s="16"/>
      <c r="IA827" s="16"/>
      <c r="IB827" s="16"/>
      <c r="IC827" s="16"/>
      <c r="ID827" s="16"/>
      <c r="IE827" s="16"/>
      <c r="IF827" s="16"/>
      <c r="IG827" s="16"/>
      <c r="IH827" s="16"/>
      <c r="II827" s="16"/>
      <c r="IJ827" s="16"/>
      <c r="IK827" s="16"/>
      <c r="IL827" s="16"/>
      <c r="IM827" s="16"/>
      <c r="IN827" s="16"/>
      <c r="IO827" s="16"/>
      <c r="IP827" s="16"/>
      <c r="IQ827" s="16"/>
      <c r="IR827" s="16"/>
      <c r="IS827" s="16"/>
      <c r="IT827" s="16"/>
      <c r="IU827" s="16"/>
      <c r="IV827" s="16"/>
      <c r="IW827" s="16"/>
      <c r="IX827" s="16"/>
      <c r="IY827" s="16"/>
      <c r="IZ827" s="16"/>
      <c r="JA827" s="16"/>
      <c r="JB827" s="16"/>
      <c r="JC827" s="16"/>
      <c r="JD827" s="16"/>
      <c r="JE827" s="16"/>
      <c r="JF827" s="16"/>
      <c r="JG827" s="16"/>
      <c r="JH827" s="16"/>
      <c r="JI827" s="16"/>
      <c r="JJ827" s="16"/>
      <c r="JK827" s="16"/>
      <c r="JL827" s="16"/>
      <c r="JM827" s="16"/>
      <c r="JN827" s="16"/>
      <c r="JO827" s="16"/>
      <c r="JP827" s="16"/>
      <c r="JQ827" s="16"/>
      <c r="JR827" s="16"/>
      <c r="JS827" s="16"/>
      <c r="JT827" s="16"/>
      <c r="JU827" s="16"/>
      <c r="JV827" s="16"/>
      <c r="JW827" s="16"/>
      <c r="JX827" s="16"/>
      <c r="JY827" s="16"/>
      <c r="JZ827" s="16"/>
      <c r="KA827" s="16"/>
      <c r="KB827" s="16"/>
      <c r="KC827" s="16"/>
      <c r="KD827" s="16"/>
      <c r="KE827" s="16"/>
      <c r="KF827" s="16"/>
      <c r="KG827" s="16"/>
      <c r="KH827" s="16"/>
      <c r="KI827" s="16"/>
      <c r="KJ827" s="16"/>
      <c r="KK827" s="16"/>
      <c r="KL827" s="16"/>
      <c r="KM827" s="16"/>
      <c r="KN827" s="16"/>
      <c r="KO827" s="16"/>
      <c r="KP827" s="16"/>
      <c r="KQ827" s="16"/>
      <c r="KR827" s="16"/>
      <c r="KS827" s="16"/>
      <c r="KT827" s="16"/>
      <c r="KU827" s="16"/>
      <c r="KV827" s="16"/>
      <c r="KW827" s="16"/>
      <c r="KX827" s="16"/>
      <c r="KY827" s="16"/>
      <c r="KZ827" s="16"/>
      <c r="LA827" s="16"/>
      <c r="LB827" s="16"/>
      <c r="LC827" s="16"/>
      <c r="LD827" s="16"/>
      <c r="LE827" s="16"/>
      <c r="LF827" s="16"/>
      <c r="LG827" s="16"/>
      <c r="LH827" s="16"/>
      <c r="LI827" s="16"/>
      <c r="LJ827" s="16"/>
      <c r="LK827" s="16"/>
      <c r="LL827" s="16"/>
      <c r="LM827" s="16"/>
      <c r="LN827" s="16"/>
      <c r="LO827" s="16"/>
      <c r="LP827" s="16"/>
      <c r="LQ827" s="16"/>
      <c r="LR827" s="16"/>
      <c r="LS827" s="16"/>
      <c r="LT827" s="16"/>
      <c r="LU827" s="16"/>
      <c r="LV827" s="16"/>
      <c r="LW827" s="16"/>
      <c r="LX827" s="16"/>
      <c r="LY827" s="16"/>
      <c r="LZ827" s="16"/>
      <c r="MA827" s="16"/>
      <c r="MB827" s="16"/>
      <c r="MC827" s="16"/>
      <c r="MD827" s="16"/>
      <c r="ME827" s="16"/>
      <c r="MF827" s="16"/>
      <c r="MG827" s="16"/>
      <c r="MH827" s="16"/>
      <c r="MI827" s="16"/>
      <c r="MJ827" s="16"/>
      <c r="MK827" s="16"/>
      <c r="ML827" s="16"/>
      <c r="MM827" s="16"/>
      <c r="MN827" s="16"/>
      <c r="MO827" s="16"/>
      <c r="MP827" s="16"/>
      <c r="MQ827" s="16"/>
      <c r="MR827" s="16"/>
      <c r="MS827" s="16"/>
      <c r="MT827" s="16"/>
      <c r="MU827" s="16"/>
      <c r="MV827" s="16"/>
      <c r="MW827" s="16"/>
      <c r="MX827" s="16"/>
      <c r="MY827" s="16"/>
      <c r="MZ827" s="16"/>
      <c r="NA827" s="16"/>
      <c r="NB827" s="16"/>
      <c r="NC827" s="16"/>
      <c r="ND827" s="16"/>
      <c r="NE827" s="16"/>
      <c r="NF827" s="16"/>
      <c r="NG827" s="16"/>
      <c r="NH827" s="16"/>
      <c r="NI827" s="16"/>
      <c r="NJ827" s="16"/>
      <c r="NK827" s="16"/>
      <c r="NL827" s="16"/>
      <c r="NM827" s="16"/>
      <c r="NN827" s="16"/>
      <c r="NO827" s="16"/>
      <c r="NP827" s="16"/>
      <c r="NQ827" s="16"/>
      <c r="NR827" s="16"/>
      <c r="NS827" s="16"/>
      <c r="NT827" s="16"/>
      <c r="NU827" s="16"/>
      <c r="NV827" s="16"/>
      <c r="NW827" s="16"/>
      <c r="NX827" s="16"/>
      <c r="NY827" s="16"/>
      <c r="NZ827" s="16"/>
      <c r="OA827" s="16"/>
      <c r="OB827" s="16"/>
      <c r="OC827" s="16"/>
      <c r="OD827" s="16"/>
      <c r="OE827" s="16"/>
      <c r="OF827" s="16"/>
      <c r="OG827" s="16"/>
      <c r="OH827" s="16"/>
      <c r="OI827" s="16"/>
      <c r="OJ827" s="16"/>
      <c r="OK827" s="16"/>
      <c r="OL827" s="16"/>
      <c r="OM827" s="16"/>
      <c r="ON827" s="16"/>
      <c r="OO827" s="16"/>
      <c r="OP827" s="16"/>
      <c r="OQ827" s="16"/>
      <c r="OR827" s="16"/>
      <c r="OS827" s="16"/>
      <c r="OT827" s="16"/>
      <c r="OU827" s="16"/>
      <c r="OV827" s="16"/>
      <c r="OW827" s="16"/>
      <c r="OX827" s="16"/>
      <c r="OY827" s="16"/>
      <c r="OZ827" s="16"/>
      <c r="PA827" s="16"/>
      <c r="PB827" s="16"/>
      <c r="PC827" s="16"/>
      <c r="PD827" s="16"/>
      <c r="PE827" s="16"/>
      <c r="PF827" s="16"/>
      <c r="PG827" s="16"/>
      <c r="PH827" s="16"/>
      <c r="PI827" s="16"/>
      <c r="PJ827" s="16"/>
      <c r="PK827" s="16"/>
      <c r="PL827" s="16"/>
      <c r="PM827" s="16"/>
      <c r="PN827" s="16"/>
      <c r="PO827" s="16"/>
      <c r="PP827" s="16"/>
      <c r="PQ827" s="16"/>
      <c r="PR827" s="16"/>
      <c r="PS827" s="16"/>
      <c r="PT827" s="16"/>
      <c r="PU827" s="16"/>
      <c r="PV827" s="16"/>
      <c r="PW827" s="16"/>
      <c r="PX827" s="16"/>
      <c r="PY827" s="16"/>
      <c r="PZ827" s="16"/>
      <c r="QA827" s="16"/>
      <c r="QB827" s="16"/>
      <c r="QC827" s="16"/>
      <c r="QD827" s="16"/>
      <c r="QE827" s="16"/>
      <c r="QF827" s="16"/>
      <c r="QG827" s="16"/>
      <c r="QH827" s="16"/>
      <c r="QI827" s="16"/>
      <c r="QJ827" s="16"/>
      <c r="QK827" s="16"/>
      <c r="QL827" s="16"/>
      <c r="QM827" s="16"/>
      <c r="QN827" s="16"/>
      <c r="QO827" s="16"/>
      <c r="QP827" s="16"/>
      <c r="QQ827" s="16"/>
      <c r="QR827" s="16"/>
      <c r="QS827" s="16"/>
      <c r="QT827" s="16"/>
      <c r="QU827" s="16"/>
      <c r="QV827" s="16"/>
      <c r="QW827" s="16"/>
      <c r="QX827" s="16"/>
      <c r="QY827" s="16"/>
      <c r="QZ827" s="16"/>
      <c r="RA827" s="16"/>
      <c r="RB827" s="16"/>
      <c r="RC827" s="16"/>
      <c r="RD827" s="16"/>
      <c r="RE827" s="16"/>
      <c r="RF827" s="16"/>
      <c r="RG827" s="16"/>
      <c r="RH827" s="16"/>
      <c r="RI827" s="16"/>
      <c r="RJ827" s="16"/>
      <c r="RK827" s="16"/>
      <c r="RL827" s="16"/>
      <c r="RM827" s="16"/>
      <c r="RN827" s="16"/>
      <c r="RO827" s="16"/>
      <c r="RP827" s="16"/>
      <c r="RQ827" s="16"/>
      <c r="RR827" s="16"/>
      <c r="RS827" s="16"/>
      <c r="RT827" s="16"/>
      <c r="RU827" s="16"/>
      <c r="RV827" s="16"/>
      <c r="RW827" s="16"/>
      <c r="RX827" s="16"/>
      <c r="RY827" s="16"/>
      <c r="RZ827" s="16"/>
      <c r="SA827" s="16"/>
      <c r="SB827" s="16"/>
      <c r="SC827" s="16"/>
      <c r="SD827" s="16"/>
      <c r="SE827" s="16"/>
      <c r="SF827" s="16"/>
      <c r="SG827" s="16"/>
      <c r="SH827" s="16"/>
      <c r="SI827" s="16"/>
      <c r="SJ827" s="16"/>
      <c r="SK827" s="16"/>
      <c r="SL827" s="16"/>
      <c r="SM827" s="16"/>
      <c r="SN827" s="16"/>
      <c r="SO827" s="16"/>
      <c r="SP827" s="16"/>
      <c r="SQ827" s="16"/>
      <c r="SR827" s="16"/>
      <c r="SS827" s="16"/>
      <c r="ST827" s="16"/>
      <c r="SU827" s="16"/>
      <c r="SV827" s="16"/>
      <c r="SW827" s="16"/>
      <c r="SX827" s="16"/>
      <c r="SY827" s="16"/>
      <c r="SZ827" s="16"/>
      <c r="TA827" s="16"/>
      <c r="TB827" s="16"/>
      <c r="TC827" s="16"/>
      <c r="TD827" s="16"/>
      <c r="TE827" s="16"/>
      <c r="TF827" s="16"/>
      <c r="TG827" s="16"/>
      <c r="TH827" s="16"/>
      <c r="TI827" s="16"/>
      <c r="TJ827" s="16"/>
      <c r="TK827" s="16"/>
      <c r="TL827" s="16"/>
      <c r="TM827" s="16"/>
      <c r="TN827" s="16"/>
      <c r="TO827" s="16"/>
      <c r="TP827" s="16"/>
      <c r="TQ827" s="16"/>
      <c r="TR827" s="16"/>
      <c r="TS827" s="16"/>
      <c r="TT827" s="16"/>
      <c r="TU827" s="16"/>
      <c r="TV827" s="16"/>
      <c r="TW827" s="16"/>
      <c r="TX827" s="16"/>
      <c r="TY827" s="16"/>
      <c r="TZ827" s="16"/>
      <c r="UA827" s="16"/>
      <c r="UB827" s="16"/>
      <c r="UC827" s="16"/>
      <c r="UD827" s="16"/>
      <c r="UE827" s="16"/>
      <c r="UF827" s="16"/>
      <c r="UG827" s="16"/>
      <c r="UH827" s="16"/>
      <c r="UI827" s="16"/>
      <c r="UJ827" s="16"/>
      <c r="UK827" s="16"/>
      <c r="UL827" s="16"/>
      <c r="UM827" s="16"/>
      <c r="UN827" s="16"/>
      <c r="UO827" s="16"/>
      <c r="UP827" s="16"/>
      <c r="UQ827" s="16"/>
      <c r="UR827" s="16"/>
      <c r="US827" s="16"/>
      <c r="UT827" s="16"/>
      <c r="UU827" s="16"/>
      <c r="UV827" s="16"/>
      <c r="UW827" s="16"/>
      <c r="UX827" s="16"/>
      <c r="UY827" s="16"/>
      <c r="UZ827" s="16"/>
      <c r="VA827" s="16"/>
      <c r="VB827" s="16"/>
      <c r="VC827" s="16"/>
      <c r="VD827" s="16"/>
      <c r="VE827" s="16"/>
      <c r="VF827" s="16"/>
      <c r="VG827" s="16"/>
      <c r="VH827" s="16"/>
      <c r="VI827" s="16"/>
      <c r="VJ827" s="16"/>
      <c r="VK827" s="16"/>
      <c r="VL827" s="16"/>
      <c r="VM827" s="16"/>
      <c r="VN827" s="16"/>
      <c r="VO827" s="16"/>
      <c r="VP827" s="16"/>
      <c r="VQ827" s="16"/>
      <c r="VR827" s="16"/>
      <c r="VS827" s="16"/>
      <c r="VT827" s="16"/>
      <c r="VU827" s="16"/>
      <c r="VV827" s="16"/>
      <c r="VW827" s="16"/>
      <c r="VX827" s="16"/>
      <c r="VY827" s="16"/>
      <c r="VZ827" s="16"/>
      <c r="WA827" s="16"/>
      <c r="WB827" s="16"/>
      <c r="WC827" s="16"/>
      <c r="WD827" s="16"/>
      <c r="WE827" s="16"/>
      <c r="WF827" s="16"/>
      <c r="WG827" s="16"/>
      <c r="WH827" s="16"/>
      <c r="WI827" s="16"/>
      <c r="WJ827" s="16"/>
      <c r="WK827" s="16"/>
      <c r="WL827" s="16"/>
      <c r="WM827" s="16"/>
      <c r="WN827" s="16"/>
      <c r="WO827" s="16"/>
      <c r="WP827" s="16"/>
      <c r="WQ827" s="16"/>
      <c r="WR827" s="16"/>
      <c r="WS827" s="16"/>
      <c r="WT827" s="16"/>
      <c r="WU827" s="16"/>
      <c r="WV827" s="16"/>
      <c r="WW827" s="16"/>
      <c r="WX827" s="16"/>
      <c r="WY827" s="16"/>
      <c r="WZ827" s="16"/>
      <c r="XA827" s="16"/>
      <c r="XB827" s="16"/>
      <c r="XC827" s="16"/>
      <c r="XD827" s="16"/>
      <c r="XE827" s="16"/>
      <c r="XF827" s="16"/>
      <c r="XG827" s="16"/>
      <c r="XH827" s="16"/>
      <c r="XI827" s="16"/>
      <c r="XJ827" s="16"/>
      <c r="XK827" s="16"/>
      <c r="XL827" s="16"/>
      <c r="XM827" s="16"/>
      <c r="XN827" s="16"/>
      <c r="XO827" s="16"/>
      <c r="XP827" s="16"/>
      <c r="XQ827" s="16"/>
      <c r="XR827" s="16"/>
      <c r="XS827" s="16"/>
      <c r="XT827" s="16"/>
      <c r="XU827" s="16"/>
      <c r="XV827" s="16"/>
      <c r="XW827" s="16"/>
      <c r="XX827" s="16"/>
      <c r="XY827" s="16"/>
      <c r="XZ827" s="16"/>
      <c r="YA827" s="16"/>
      <c r="YB827" s="16"/>
      <c r="YC827" s="16"/>
      <c r="YD827" s="16"/>
      <c r="YE827" s="16"/>
      <c r="YF827" s="16"/>
      <c r="YG827" s="16"/>
      <c r="YH827" s="16"/>
      <c r="YI827" s="16"/>
      <c r="YJ827" s="16"/>
      <c r="YK827" s="16"/>
      <c r="YL827" s="16"/>
      <c r="YM827" s="16"/>
      <c r="YN827" s="16"/>
      <c r="YO827" s="16"/>
      <c r="YP827" s="16"/>
      <c r="YQ827" s="16"/>
      <c r="YR827" s="16"/>
      <c r="YS827" s="16"/>
      <c r="YT827" s="16"/>
      <c r="YU827" s="16"/>
      <c r="YV827" s="16"/>
      <c r="YW827" s="16"/>
      <c r="YX827" s="16"/>
      <c r="YY827" s="16"/>
      <c r="YZ827" s="16"/>
      <c r="ZA827" s="16"/>
      <c r="ZB827" s="16"/>
      <c r="ZC827" s="16"/>
      <c r="ZD827" s="16"/>
      <c r="ZE827" s="16"/>
      <c r="ZF827" s="16"/>
      <c r="ZG827" s="16"/>
      <c r="ZH827" s="16"/>
      <c r="ZI827" s="16"/>
      <c r="ZJ827" s="16"/>
      <c r="ZK827" s="16"/>
      <c r="ZL827" s="16"/>
      <c r="ZM827" s="16"/>
      <c r="ZN827" s="16"/>
      <c r="ZO827" s="16"/>
      <c r="ZP827" s="16"/>
      <c r="ZQ827" s="16"/>
      <c r="ZR827" s="16"/>
      <c r="ZS827" s="16"/>
      <c r="ZT827" s="16"/>
      <c r="ZU827" s="16"/>
      <c r="ZV827" s="16"/>
      <c r="ZW827" s="16"/>
      <c r="ZX827" s="16"/>
      <c r="ZY827" s="16"/>
      <c r="ZZ827" s="16"/>
      <c r="AAA827" s="16"/>
      <c r="AAB827" s="16"/>
      <c r="AAC827" s="16"/>
      <c r="AAD827" s="16"/>
      <c r="AAE827" s="16"/>
      <c r="AAF827" s="16"/>
      <c r="AAG827" s="16"/>
      <c r="AAH827" s="16"/>
      <c r="AAI827" s="16"/>
      <c r="AAJ827" s="16"/>
      <c r="AAK827" s="16"/>
      <c r="AAL827" s="16"/>
      <c r="AAM827" s="16"/>
      <c r="AAN827" s="16"/>
      <c r="AAO827" s="16"/>
      <c r="AAP827" s="16"/>
      <c r="AAQ827" s="16"/>
      <c r="AAR827" s="16"/>
      <c r="AAS827" s="16"/>
      <c r="AAT827" s="16"/>
      <c r="AAU827" s="16"/>
      <c r="AAV827" s="16"/>
      <c r="AAW827" s="16"/>
      <c r="AAX827" s="16"/>
      <c r="AAY827" s="16"/>
      <c r="AAZ827" s="16"/>
      <c r="ABA827" s="16"/>
      <c r="ABB827" s="16"/>
      <c r="ABC827" s="16"/>
      <c r="ABD827" s="16"/>
      <c r="ABE827" s="16"/>
      <c r="ABF827" s="16"/>
      <c r="ABG827" s="16"/>
      <c r="ABH827" s="16"/>
      <c r="ABI827" s="16"/>
      <c r="ABJ827" s="16"/>
      <c r="ABK827" s="16"/>
      <c r="ABL827" s="16"/>
      <c r="ABM827" s="16"/>
      <c r="ABN827" s="16"/>
      <c r="ABO827" s="16"/>
      <c r="ABP827" s="16"/>
      <c r="ABQ827" s="16"/>
      <c r="ABR827" s="16"/>
      <c r="ABS827" s="16"/>
      <c r="ABT827" s="16"/>
      <c r="ABU827" s="16"/>
      <c r="ABV827" s="16"/>
      <c r="ABW827" s="16"/>
      <c r="ABX827" s="16"/>
      <c r="ABY827" s="16"/>
      <c r="ABZ827" s="16"/>
      <c r="ACA827" s="16"/>
      <c r="ACB827" s="16"/>
      <c r="ACC827" s="16"/>
      <c r="ACD827" s="16"/>
      <c r="ACE827" s="16"/>
      <c r="ACF827" s="16"/>
      <c r="ACG827" s="16"/>
      <c r="ACH827" s="16"/>
      <c r="ACI827" s="16"/>
      <c r="ACJ827" s="16"/>
      <c r="ACK827" s="16"/>
      <c r="ACL827" s="16"/>
      <c r="ACM827" s="16"/>
      <c r="ACN827" s="16"/>
      <c r="ACO827" s="16"/>
      <c r="ACP827" s="16"/>
      <c r="ACQ827" s="16"/>
      <c r="ACR827" s="16"/>
      <c r="ACS827" s="16"/>
      <c r="ACT827" s="16"/>
      <c r="ACU827" s="16"/>
      <c r="ACV827" s="16"/>
      <c r="ACW827" s="16"/>
      <c r="ACX827" s="16"/>
      <c r="ACY827" s="16"/>
      <c r="ACZ827" s="16"/>
      <c r="ADA827" s="16"/>
      <c r="ADB827" s="16"/>
      <c r="ADC827" s="16"/>
      <c r="ADD827" s="16"/>
      <c r="ADE827" s="16"/>
      <c r="ADF827" s="16"/>
      <c r="ADG827" s="16"/>
      <c r="ADH827" s="16"/>
      <c r="ADI827" s="16"/>
      <c r="ADJ827" s="16"/>
      <c r="ADK827" s="16"/>
      <c r="ADL827" s="16"/>
      <c r="ADM827" s="16"/>
      <c r="ADN827" s="16"/>
      <c r="ADO827" s="16"/>
      <c r="ADP827" s="16"/>
      <c r="ADQ827" s="16"/>
      <c r="ADR827" s="16"/>
      <c r="ADS827" s="16"/>
      <c r="ADT827" s="16"/>
      <c r="ADU827" s="16"/>
      <c r="ADV827" s="16"/>
      <c r="ADW827" s="16"/>
      <c r="ADX827" s="16"/>
      <c r="ADY827" s="16"/>
      <c r="ADZ827" s="16"/>
      <c r="AEA827" s="16"/>
      <c r="AEB827" s="16"/>
      <c r="AEC827" s="16"/>
      <c r="AED827" s="16"/>
      <c r="AEE827" s="16"/>
      <c r="AEF827" s="16"/>
      <c r="AEG827" s="16"/>
      <c r="AEH827" s="16"/>
      <c r="AEI827" s="16"/>
      <c r="AEJ827" s="16"/>
      <c r="AEK827" s="16"/>
      <c r="AEL827" s="16"/>
      <c r="AEM827" s="16"/>
      <c r="AEN827" s="16"/>
      <c r="AEO827" s="16"/>
      <c r="AEP827" s="16"/>
      <c r="AEQ827" s="16"/>
      <c r="AER827" s="16"/>
      <c r="AES827" s="16"/>
      <c r="AET827" s="16"/>
      <c r="AEU827" s="16"/>
      <c r="AEV827" s="16"/>
      <c r="AEW827" s="16"/>
      <c r="AEX827" s="16"/>
      <c r="AEY827" s="16"/>
      <c r="AEZ827" s="16"/>
      <c r="AFA827" s="16"/>
      <c r="AFB827" s="16"/>
      <c r="AFC827" s="16"/>
      <c r="AFD827" s="16"/>
      <c r="AFE827" s="16"/>
      <c r="AFF827" s="16"/>
      <c r="AFG827" s="16"/>
      <c r="AFH827" s="16"/>
      <c r="AFI827" s="16"/>
      <c r="AFJ827" s="16"/>
      <c r="AFK827" s="16"/>
      <c r="AFL827" s="16"/>
      <c r="AFM827" s="16"/>
      <c r="AFN827" s="16"/>
      <c r="AFO827" s="16"/>
      <c r="AFP827" s="16"/>
      <c r="AFQ827" s="16"/>
      <c r="AFR827" s="16"/>
      <c r="AFS827" s="16"/>
      <c r="AFT827" s="16"/>
      <c r="AFU827" s="16"/>
      <c r="AFV827" s="16"/>
      <c r="AFW827" s="16"/>
      <c r="AFX827" s="16"/>
      <c r="AFY827" s="16"/>
      <c r="AFZ827" s="16"/>
      <c r="AGA827" s="16"/>
      <c r="AGB827" s="16"/>
      <c r="AGC827" s="16"/>
      <c r="AGD827" s="16"/>
      <c r="AGE827" s="16"/>
      <c r="AGF827" s="16"/>
      <c r="AGG827" s="16"/>
      <c r="AGH827" s="16"/>
      <c r="AGI827" s="16"/>
      <c r="AGJ827" s="16"/>
    </row>
    <row r="828" spans="1:868" s="852" customFormat="1" hidden="1">
      <c r="A828" s="152" t="s">
        <v>398</v>
      </c>
      <c r="B828" s="34" t="s">
        <v>301</v>
      </c>
      <c r="C828" s="40" t="s">
        <v>139</v>
      </c>
      <c r="D828" s="34" t="s">
        <v>139</v>
      </c>
      <c r="E828" s="265">
        <v>0.02</v>
      </c>
      <c r="F828" s="235">
        <v>2</v>
      </c>
      <c r="G828" s="40" t="s">
        <v>302</v>
      </c>
      <c r="H828" s="29">
        <v>2</v>
      </c>
      <c r="I828" s="9">
        <v>2</v>
      </c>
      <c r="J828" s="9">
        <v>2</v>
      </c>
      <c r="K828" s="9">
        <v>2</v>
      </c>
      <c r="L828" s="9">
        <v>1</v>
      </c>
      <c r="M828" s="9">
        <v>1</v>
      </c>
      <c r="N828" s="186">
        <f t="shared" si="61"/>
        <v>0.2249354160293616</v>
      </c>
      <c r="O828" s="160">
        <f t="shared" si="62"/>
        <v>0.2249354160293616</v>
      </c>
      <c r="P828" s="857"/>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c r="BW828" s="16"/>
      <c r="BX828" s="16"/>
      <c r="BY828" s="16"/>
      <c r="BZ828" s="16"/>
      <c r="CA828" s="16"/>
      <c r="CB828" s="16"/>
      <c r="CC828" s="16"/>
      <c r="CD828" s="16"/>
      <c r="CE828" s="16"/>
      <c r="CF828" s="16"/>
      <c r="CG828" s="16"/>
      <c r="CH828" s="16"/>
      <c r="CI828" s="16"/>
      <c r="CJ828" s="16"/>
      <c r="CK828" s="16"/>
      <c r="CL828" s="16"/>
      <c r="CM828" s="16"/>
      <c r="CN828" s="16"/>
      <c r="CO828" s="16"/>
      <c r="CP828" s="16"/>
      <c r="CQ828" s="16"/>
      <c r="CR828" s="16"/>
      <c r="CS828" s="16"/>
      <c r="CT828" s="16"/>
      <c r="CU828" s="16"/>
      <c r="CV828" s="16"/>
      <c r="CW828" s="16"/>
      <c r="CX828" s="16"/>
      <c r="CY828" s="16"/>
      <c r="CZ828" s="16"/>
      <c r="DA828" s="16"/>
      <c r="DB828" s="16"/>
      <c r="DC828" s="16"/>
      <c r="DD828" s="16"/>
      <c r="DE828" s="16"/>
      <c r="DF828" s="16"/>
      <c r="DG828" s="16"/>
      <c r="DH828" s="16"/>
      <c r="DI828" s="16"/>
      <c r="DJ828" s="16"/>
      <c r="DK828" s="16"/>
      <c r="DL828" s="16"/>
      <c r="DM828" s="16"/>
      <c r="DN828" s="16"/>
      <c r="DO828" s="16"/>
      <c r="DP828" s="16"/>
      <c r="DQ828" s="16"/>
      <c r="DR828" s="16"/>
      <c r="DS828" s="16"/>
      <c r="DT828" s="16"/>
      <c r="DU828" s="16"/>
      <c r="DV828" s="16"/>
      <c r="DW828" s="16"/>
      <c r="DX828" s="16"/>
      <c r="DY828" s="16"/>
      <c r="DZ828" s="16"/>
      <c r="EA828" s="16"/>
      <c r="EB828" s="16"/>
      <c r="EC828" s="16"/>
      <c r="ED828" s="16"/>
      <c r="EE828" s="16"/>
      <c r="EF828" s="16"/>
      <c r="EG828" s="16"/>
      <c r="EH828" s="16"/>
      <c r="EI828" s="16"/>
      <c r="EJ828" s="16"/>
      <c r="EK828" s="16"/>
      <c r="EL828" s="16"/>
      <c r="EM828" s="16"/>
      <c r="EN828" s="16"/>
      <c r="EO828" s="16"/>
      <c r="EP828" s="16"/>
      <c r="EQ828" s="16"/>
      <c r="ER828" s="16"/>
      <c r="ES828" s="16"/>
      <c r="ET828" s="16"/>
      <c r="EU828" s="16"/>
      <c r="EV828" s="16"/>
      <c r="EW828" s="16"/>
      <c r="EX828" s="16"/>
      <c r="EY828" s="16"/>
      <c r="EZ828" s="16"/>
      <c r="FA828" s="16"/>
      <c r="FB828" s="16"/>
      <c r="FC828" s="16"/>
      <c r="FD828" s="16"/>
      <c r="FE828" s="16"/>
      <c r="FF828" s="16"/>
      <c r="FG828" s="16"/>
      <c r="FH828" s="16"/>
      <c r="FI828" s="16"/>
      <c r="FJ828" s="16"/>
      <c r="FK828" s="16"/>
      <c r="FL828" s="16"/>
      <c r="FM828" s="16"/>
      <c r="FN828" s="16"/>
      <c r="FO828" s="16"/>
      <c r="FP828" s="16"/>
      <c r="FQ828" s="16"/>
      <c r="FR828" s="16"/>
      <c r="FS828" s="16"/>
      <c r="FT828" s="16"/>
      <c r="FU828" s="16"/>
      <c r="FV828" s="16"/>
      <c r="FW828" s="16"/>
      <c r="FX828" s="16"/>
      <c r="FY828" s="16"/>
      <c r="FZ828" s="16"/>
      <c r="GA828" s="16"/>
      <c r="GB828" s="16"/>
      <c r="GC828" s="16"/>
      <c r="GD828" s="16"/>
      <c r="GE828" s="16"/>
      <c r="GF828" s="16"/>
      <c r="GG828" s="16"/>
      <c r="GH828" s="16"/>
      <c r="GI828" s="16"/>
      <c r="GJ828" s="16"/>
      <c r="GK828" s="16"/>
      <c r="GL828" s="16"/>
      <c r="GM828" s="16"/>
      <c r="GN828" s="16"/>
      <c r="GO828" s="16"/>
      <c r="GP828" s="16"/>
      <c r="GQ828" s="16"/>
      <c r="GR828" s="16"/>
      <c r="GS828" s="16"/>
      <c r="GT828" s="16"/>
      <c r="GU828" s="16"/>
      <c r="GV828" s="16"/>
      <c r="GW828" s="16"/>
      <c r="GX828" s="16"/>
      <c r="GY828" s="16"/>
      <c r="GZ828" s="16"/>
      <c r="HA828" s="16"/>
      <c r="HB828" s="16"/>
      <c r="HC828" s="16"/>
      <c r="HD828" s="16"/>
      <c r="HE828" s="16"/>
      <c r="HF828" s="16"/>
      <c r="HG828" s="16"/>
      <c r="HH828" s="16"/>
      <c r="HI828" s="16"/>
      <c r="HJ828" s="16"/>
      <c r="HK828" s="16"/>
      <c r="HL828" s="16"/>
      <c r="HM828" s="16"/>
      <c r="HN828" s="16"/>
      <c r="HO828" s="16"/>
      <c r="HP828" s="16"/>
      <c r="HQ828" s="16"/>
      <c r="HR828" s="16"/>
      <c r="HS828" s="16"/>
      <c r="HT828" s="16"/>
      <c r="HU828" s="16"/>
      <c r="HV828" s="16"/>
      <c r="HW828" s="16"/>
      <c r="HX828" s="16"/>
      <c r="HY828" s="16"/>
      <c r="HZ828" s="16"/>
      <c r="IA828" s="16"/>
      <c r="IB828" s="16"/>
      <c r="IC828" s="16"/>
      <c r="ID828" s="16"/>
      <c r="IE828" s="16"/>
      <c r="IF828" s="16"/>
      <c r="IG828" s="16"/>
      <c r="IH828" s="16"/>
      <c r="II828" s="16"/>
      <c r="IJ828" s="16"/>
      <c r="IK828" s="16"/>
      <c r="IL828" s="16"/>
      <c r="IM828" s="16"/>
      <c r="IN828" s="16"/>
      <c r="IO828" s="16"/>
      <c r="IP828" s="16"/>
      <c r="IQ828" s="16"/>
      <c r="IR828" s="16"/>
      <c r="IS828" s="16"/>
      <c r="IT828" s="16"/>
      <c r="IU828" s="16"/>
      <c r="IV828" s="16"/>
      <c r="IW828" s="16"/>
      <c r="IX828" s="16"/>
      <c r="IY828" s="16"/>
      <c r="IZ828" s="16"/>
      <c r="JA828" s="16"/>
      <c r="JB828" s="16"/>
      <c r="JC828" s="16"/>
      <c r="JD828" s="16"/>
      <c r="JE828" s="16"/>
      <c r="JF828" s="16"/>
      <c r="JG828" s="16"/>
      <c r="JH828" s="16"/>
      <c r="JI828" s="16"/>
      <c r="JJ828" s="16"/>
      <c r="JK828" s="16"/>
      <c r="JL828" s="16"/>
      <c r="JM828" s="16"/>
      <c r="JN828" s="16"/>
      <c r="JO828" s="16"/>
      <c r="JP828" s="16"/>
      <c r="JQ828" s="16"/>
      <c r="JR828" s="16"/>
      <c r="JS828" s="16"/>
      <c r="JT828" s="16"/>
      <c r="JU828" s="16"/>
      <c r="JV828" s="16"/>
      <c r="JW828" s="16"/>
      <c r="JX828" s="16"/>
      <c r="JY828" s="16"/>
      <c r="JZ828" s="16"/>
      <c r="KA828" s="16"/>
      <c r="KB828" s="16"/>
      <c r="KC828" s="16"/>
      <c r="KD828" s="16"/>
      <c r="KE828" s="16"/>
      <c r="KF828" s="16"/>
      <c r="KG828" s="16"/>
      <c r="KH828" s="16"/>
      <c r="KI828" s="16"/>
      <c r="KJ828" s="16"/>
      <c r="KK828" s="16"/>
      <c r="KL828" s="16"/>
      <c r="KM828" s="16"/>
      <c r="KN828" s="16"/>
      <c r="KO828" s="16"/>
      <c r="KP828" s="16"/>
      <c r="KQ828" s="16"/>
      <c r="KR828" s="16"/>
      <c r="KS828" s="16"/>
      <c r="KT828" s="16"/>
      <c r="KU828" s="16"/>
      <c r="KV828" s="16"/>
      <c r="KW828" s="16"/>
      <c r="KX828" s="16"/>
      <c r="KY828" s="16"/>
      <c r="KZ828" s="16"/>
      <c r="LA828" s="16"/>
      <c r="LB828" s="16"/>
      <c r="LC828" s="16"/>
      <c r="LD828" s="16"/>
      <c r="LE828" s="16"/>
      <c r="LF828" s="16"/>
      <c r="LG828" s="16"/>
      <c r="LH828" s="16"/>
      <c r="LI828" s="16"/>
      <c r="LJ828" s="16"/>
      <c r="LK828" s="16"/>
      <c r="LL828" s="16"/>
      <c r="LM828" s="16"/>
      <c r="LN828" s="16"/>
      <c r="LO828" s="16"/>
      <c r="LP828" s="16"/>
      <c r="LQ828" s="16"/>
      <c r="LR828" s="16"/>
      <c r="LS828" s="16"/>
      <c r="LT828" s="16"/>
      <c r="LU828" s="16"/>
      <c r="LV828" s="16"/>
      <c r="LW828" s="16"/>
      <c r="LX828" s="16"/>
      <c r="LY828" s="16"/>
      <c r="LZ828" s="16"/>
      <c r="MA828" s="16"/>
      <c r="MB828" s="16"/>
      <c r="MC828" s="16"/>
      <c r="MD828" s="16"/>
      <c r="ME828" s="16"/>
      <c r="MF828" s="16"/>
      <c r="MG828" s="16"/>
      <c r="MH828" s="16"/>
      <c r="MI828" s="16"/>
      <c r="MJ828" s="16"/>
      <c r="MK828" s="16"/>
      <c r="ML828" s="16"/>
      <c r="MM828" s="16"/>
      <c r="MN828" s="16"/>
      <c r="MO828" s="16"/>
      <c r="MP828" s="16"/>
      <c r="MQ828" s="16"/>
      <c r="MR828" s="16"/>
      <c r="MS828" s="16"/>
      <c r="MT828" s="16"/>
      <c r="MU828" s="16"/>
      <c r="MV828" s="16"/>
      <c r="MW828" s="16"/>
      <c r="MX828" s="16"/>
      <c r="MY828" s="16"/>
      <c r="MZ828" s="16"/>
      <c r="NA828" s="16"/>
      <c r="NB828" s="16"/>
      <c r="NC828" s="16"/>
      <c r="ND828" s="16"/>
      <c r="NE828" s="16"/>
      <c r="NF828" s="16"/>
      <c r="NG828" s="16"/>
      <c r="NH828" s="16"/>
      <c r="NI828" s="16"/>
      <c r="NJ828" s="16"/>
      <c r="NK828" s="16"/>
      <c r="NL828" s="16"/>
      <c r="NM828" s="16"/>
      <c r="NN828" s="16"/>
      <c r="NO828" s="16"/>
      <c r="NP828" s="16"/>
      <c r="NQ828" s="16"/>
      <c r="NR828" s="16"/>
      <c r="NS828" s="16"/>
      <c r="NT828" s="16"/>
      <c r="NU828" s="16"/>
      <c r="NV828" s="16"/>
      <c r="NW828" s="16"/>
      <c r="NX828" s="16"/>
      <c r="NY828" s="16"/>
      <c r="NZ828" s="16"/>
      <c r="OA828" s="16"/>
      <c r="OB828" s="16"/>
      <c r="OC828" s="16"/>
      <c r="OD828" s="16"/>
      <c r="OE828" s="16"/>
      <c r="OF828" s="16"/>
      <c r="OG828" s="16"/>
      <c r="OH828" s="16"/>
      <c r="OI828" s="16"/>
      <c r="OJ828" s="16"/>
      <c r="OK828" s="16"/>
      <c r="OL828" s="16"/>
      <c r="OM828" s="16"/>
      <c r="ON828" s="16"/>
      <c r="OO828" s="16"/>
      <c r="OP828" s="16"/>
      <c r="OQ828" s="16"/>
      <c r="OR828" s="16"/>
      <c r="OS828" s="16"/>
      <c r="OT828" s="16"/>
      <c r="OU828" s="16"/>
      <c r="OV828" s="16"/>
      <c r="OW828" s="16"/>
      <c r="OX828" s="16"/>
      <c r="OY828" s="16"/>
      <c r="OZ828" s="16"/>
      <c r="PA828" s="16"/>
      <c r="PB828" s="16"/>
      <c r="PC828" s="16"/>
      <c r="PD828" s="16"/>
      <c r="PE828" s="16"/>
      <c r="PF828" s="16"/>
      <c r="PG828" s="16"/>
      <c r="PH828" s="16"/>
      <c r="PI828" s="16"/>
      <c r="PJ828" s="16"/>
      <c r="PK828" s="16"/>
      <c r="PL828" s="16"/>
      <c r="PM828" s="16"/>
      <c r="PN828" s="16"/>
      <c r="PO828" s="16"/>
      <c r="PP828" s="16"/>
      <c r="PQ828" s="16"/>
      <c r="PR828" s="16"/>
      <c r="PS828" s="16"/>
      <c r="PT828" s="16"/>
      <c r="PU828" s="16"/>
      <c r="PV828" s="16"/>
      <c r="PW828" s="16"/>
      <c r="PX828" s="16"/>
      <c r="PY828" s="16"/>
      <c r="PZ828" s="16"/>
      <c r="QA828" s="16"/>
      <c r="QB828" s="16"/>
      <c r="QC828" s="16"/>
      <c r="QD828" s="16"/>
      <c r="QE828" s="16"/>
      <c r="QF828" s="16"/>
      <c r="QG828" s="16"/>
      <c r="QH828" s="16"/>
      <c r="QI828" s="16"/>
      <c r="QJ828" s="16"/>
      <c r="QK828" s="16"/>
      <c r="QL828" s="16"/>
      <c r="QM828" s="16"/>
      <c r="QN828" s="16"/>
      <c r="QO828" s="16"/>
      <c r="QP828" s="16"/>
      <c r="QQ828" s="16"/>
      <c r="QR828" s="16"/>
      <c r="QS828" s="16"/>
      <c r="QT828" s="16"/>
      <c r="QU828" s="16"/>
      <c r="QV828" s="16"/>
      <c r="QW828" s="16"/>
      <c r="QX828" s="16"/>
      <c r="QY828" s="16"/>
      <c r="QZ828" s="16"/>
      <c r="RA828" s="16"/>
      <c r="RB828" s="16"/>
      <c r="RC828" s="16"/>
      <c r="RD828" s="16"/>
      <c r="RE828" s="16"/>
      <c r="RF828" s="16"/>
      <c r="RG828" s="16"/>
      <c r="RH828" s="16"/>
      <c r="RI828" s="16"/>
      <c r="RJ828" s="16"/>
      <c r="RK828" s="16"/>
      <c r="RL828" s="16"/>
      <c r="RM828" s="16"/>
      <c r="RN828" s="16"/>
      <c r="RO828" s="16"/>
      <c r="RP828" s="16"/>
      <c r="RQ828" s="16"/>
      <c r="RR828" s="16"/>
      <c r="RS828" s="16"/>
      <c r="RT828" s="16"/>
      <c r="RU828" s="16"/>
      <c r="RV828" s="16"/>
      <c r="RW828" s="16"/>
      <c r="RX828" s="16"/>
      <c r="RY828" s="16"/>
      <c r="RZ828" s="16"/>
      <c r="SA828" s="16"/>
      <c r="SB828" s="16"/>
      <c r="SC828" s="16"/>
      <c r="SD828" s="16"/>
      <c r="SE828" s="16"/>
      <c r="SF828" s="16"/>
      <c r="SG828" s="16"/>
      <c r="SH828" s="16"/>
      <c r="SI828" s="16"/>
      <c r="SJ828" s="16"/>
      <c r="SK828" s="16"/>
      <c r="SL828" s="16"/>
      <c r="SM828" s="16"/>
      <c r="SN828" s="16"/>
      <c r="SO828" s="16"/>
      <c r="SP828" s="16"/>
      <c r="SQ828" s="16"/>
      <c r="SR828" s="16"/>
      <c r="SS828" s="16"/>
      <c r="ST828" s="16"/>
      <c r="SU828" s="16"/>
      <c r="SV828" s="16"/>
      <c r="SW828" s="16"/>
      <c r="SX828" s="16"/>
      <c r="SY828" s="16"/>
      <c r="SZ828" s="16"/>
      <c r="TA828" s="16"/>
      <c r="TB828" s="16"/>
      <c r="TC828" s="16"/>
      <c r="TD828" s="16"/>
      <c r="TE828" s="16"/>
      <c r="TF828" s="16"/>
      <c r="TG828" s="16"/>
      <c r="TH828" s="16"/>
      <c r="TI828" s="16"/>
      <c r="TJ828" s="16"/>
      <c r="TK828" s="16"/>
      <c r="TL828" s="16"/>
      <c r="TM828" s="16"/>
      <c r="TN828" s="16"/>
      <c r="TO828" s="16"/>
      <c r="TP828" s="16"/>
      <c r="TQ828" s="16"/>
      <c r="TR828" s="16"/>
      <c r="TS828" s="16"/>
      <c r="TT828" s="16"/>
      <c r="TU828" s="16"/>
      <c r="TV828" s="16"/>
      <c r="TW828" s="16"/>
      <c r="TX828" s="16"/>
      <c r="TY828" s="16"/>
      <c r="TZ828" s="16"/>
      <c r="UA828" s="16"/>
      <c r="UB828" s="16"/>
      <c r="UC828" s="16"/>
      <c r="UD828" s="16"/>
      <c r="UE828" s="16"/>
      <c r="UF828" s="16"/>
      <c r="UG828" s="16"/>
      <c r="UH828" s="16"/>
      <c r="UI828" s="16"/>
      <c r="UJ828" s="16"/>
      <c r="UK828" s="16"/>
      <c r="UL828" s="16"/>
      <c r="UM828" s="16"/>
      <c r="UN828" s="16"/>
      <c r="UO828" s="16"/>
      <c r="UP828" s="16"/>
      <c r="UQ828" s="16"/>
      <c r="UR828" s="16"/>
      <c r="US828" s="16"/>
      <c r="UT828" s="16"/>
      <c r="UU828" s="16"/>
      <c r="UV828" s="16"/>
      <c r="UW828" s="16"/>
      <c r="UX828" s="16"/>
      <c r="UY828" s="16"/>
      <c r="UZ828" s="16"/>
      <c r="VA828" s="16"/>
      <c r="VB828" s="16"/>
      <c r="VC828" s="16"/>
      <c r="VD828" s="16"/>
      <c r="VE828" s="16"/>
      <c r="VF828" s="16"/>
      <c r="VG828" s="16"/>
      <c r="VH828" s="16"/>
      <c r="VI828" s="16"/>
      <c r="VJ828" s="16"/>
      <c r="VK828" s="16"/>
      <c r="VL828" s="16"/>
      <c r="VM828" s="16"/>
      <c r="VN828" s="16"/>
      <c r="VO828" s="16"/>
      <c r="VP828" s="16"/>
      <c r="VQ828" s="16"/>
      <c r="VR828" s="16"/>
      <c r="VS828" s="16"/>
      <c r="VT828" s="16"/>
      <c r="VU828" s="16"/>
      <c r="VV828" s="16"/>
      <c r="VW828" s="16"/>
      <c r="VX828" s="16"/>
      <c r="VY828" s="16"/>
      <c r="VZ828" s="16"/>
      <c r="WA828" s="16"/>
      <c r="WB828" s="16"/>
      <c r="WC828" s="16"/>
      <c r="WD828" s="16"/>
      <c r="WE828" s="16"/>
      <c r="WF828" s="16"/>
      <c r="WG828" s="16"/>
      <c r="WH828" s="16"/>
      <c r="WI828" s="16"/>
      <c r="WJ828" s="16"/>
      <c r="WK828" s="16"/>
      <c r="WL828" s="16"/>
      <c r="WM828" s="16"/>
      <c r="WN828" s="16"/>
      <c r="WO828" s="16"/>
      <c r="WP828" s="16"/>
      <c r="WQ828" s="16"/>
      <c r="WR828" s="16"/>
      <c r="WS828" s="16"/>
      <c r="WT828" s="16"/>
      <c r="WU828" s="16"/>
      <c r="WV828" s="16"/>
      <c r="WW828" s="16"/>
      <c r="WX828" s="16"/>
      <c r="WY828" s="16"/>
      <c r="WZ828" s="16"/>
      <c r="XA828" s="16"/>
      <c r="XB828" s="16"/>
      <c r="XC828" s="16"/>
      <c r="XD828" s="16"/>
      <c r="XE828" s="16"/>
      <c r="XF828" s="16"/>
      <c r="XG828" s="16"/>
      <c r="XH828" s="16"/>
      <c r="XI828" s="16"/>
      <c r="XJ828" s="16"/>
      <c r="XK828" s="16"/>
      <c r="XL828" s="16"/>
      <c r="XM828" s="16"/>
      <c r="XN828" s="16"/>
      <c r="XO828" s="16"/>
      <c r="XP828" s="16"/>
      <c r="XQ828" s="16"/>
      <c r="XR828" s="16"/>
      <c r="XS828" s="16"/>
      <c r="XT828" s="16"/>
      <c r="XU828" s="16"/>
      <c r="XV828" s="16"/>
      <c r="XW828" s="16"/>
      <c r="XX828" s="16"/>
      <c r="XY828" s="16"/>
      <c r="XZ828" s="16"/>
      <c r="YA828" s="16"/>
      <c r="YB828" s="16"/>
      <c r="YC828" s="16"/>
      <c r="YD828" s="16"/>
      <c r="YE828" s="16"/>
      <c r="YF828" s="16"/>
      <c r="YG828" s="16"/>
      <c r="YH828" s="16"/>
      <c r="YI828" s="16"/>
      <c r="YJ828" s="16"/>
      <c r="YK828" s="16"/>
      <c r="YL828" s="16"/>
      <c r="YM828" s="16"/>
      <c r="YN828" s="16"/>
      <c r="YO828" s="16"/>
      <c r="YP828" s="16"/>
      <c r="YQ828" s="16"/>
      <c r="YR828" s="16"/>
      <c r="YS828" s="16"/>
      <c r="YT828" s="16"/>
      <c r="YU828" s="16"/>
      <c r="YV828" s="16"/>
      <c r="YW828" s="16"/>
      <c r="YX828" s="16"/>
      <c r="YY828" s="16"/>
      <c r="YZ828" s="16"/>
      <c r="ZA828" s="16"/>
      <c r="ZB828" s="16"/>
      <c r="ZC828" s="16"/>
      <c r="ZD828" s="16"/>
      <c r="ZE828" s="16"/>
      <c r="ZF828" s="16"/>
      <c r="ZG828" s="16"/>
      <c r="ZH828" s="16"/>
      <c r="ZI828" s="16"/>
      <c r="ZJ828" s="16"/>
      <c r="ZK828" s="16"/>
      <c r="ZL828" s="16"/>
      <c r="ZM828" s="16"/>
      <c r="ZN828" s="16"/>
      <c r="ZO828" s="16"/>
      <c r="ZP828" s="16"/>
      <c r="ZQ828" s="16"/>
      <c r="ZR828" s="16"/>
      <c r="ZS828" s="16"/>
      <c r="ZT828" s="16"/>
      <c r="ZU828" s="16"/>
      <c r="ZV828" s="16"/>
      <c r="ZW828" s="16"/>
      <c r="ZX828" s="16"/>
      <c r="ZY828" s="16"/>
      <c r="ZZ828" s="16"/>
      <c r="AAA828" s="16"/>
      <c r="AAB828" s="16"/>
      <c r="AAC828" s="16"/>
      <c r="AAD828" s="16"/>
      <c r="AAE828" s="16"/>
      <c r="AAF828" s="16"/>
      <c r="AAG828" s="16"/>
      <c r="AAH828" s="16"/>
      <c r="AAI828" s="16"/>
      <c r="AAJ828" s="16"/>
      <c r="AAK828" s="16"/>
      <c r="AAL828" s="16"/>
      <c r="AAM828" s="16"/>
      <c r="AAN828" s="16"/>
      <c r="AAO828" s="16"/>
      <c r="AAP828" s="16"/>
      <c r="AAQ828" s="16"/>
      <c r="AAR828" s="16"/>
      <c r="AAS828" s="16"/>
      <c r="AAT828" s="16"/>
      <c r="AAU828" s="16"/>
      <c r="AAV828" s="16"/>
      <c r="AAW828" s="16"/>
      <c r="AAX828" s="16"/>
      <c r="AAY828" s="16"/>
      <c r="AAZ828" s="16"/>
      <c r="ABA828" s="16"/>
      <c r="ABB828" s="16"/>
      <c r="ABC828" s="16"/>
      <c r="ABD828" s="16"/>
      <c r="ABE828" s="16"/>
      <c r="ABF828" s="16"/>
      <c r="ABG828" s="16"/>
      <c r="ABH828" s="16"/>
      <c r="ABI828" s="16"/>
      <c r="ABJ828" s="16"/>
      <c r="ABK828" s="16"/>
      <c r="ABL828" s="16"/>
      <c r="ABM828" s="16"/>
      <c r="ABN828" s="16"/>
      <c r="ABO828" s="16"/>
      <c r="ABP828" s="16"/>
      <c r="ABQ828" s="16"/>
      <c r="ABR828" s="16"/>
      <c r="ABS828" s="16"/>
      <c r="ABT828" s="16"/>
      <c r="ABU828" s="16"/>
      <c r="ABV828" s="16"/>
      <c r="ABW828" s="16"/>
      <c r="ABX828" s="16"/>
      <c r="ABY828" s="16"/>
      <c r="ABZ828" s="16"/>
      <c r="ACA828" s="16"/>
      <c r="ACB828" s="16"/>
      <c r="ACC828" s="16"/>
      <c r="ACD828" s="16"/>
      <c r="ACE828" s="16"/>
      <c r="ACF828" s="16"/>
      <c r="ACG828" s="16"/>
      <c r="ACH828" s="16"/>
      <c r="ACI828" s="16"/>
      <c r="ACJ828" s="16"/>
      <c r="ACK828" s="16"/>
      <c r="ACL828" s="16"/>
      <c r="ACM828" s="16"/>
      <c r="ACN828" s="16"/>
      <c r="ACO828" s="16"/>
      <c r="ACP828" s="16"/>
      <c r="ACQ828" s="16"/>
      <c r="ACR828" s="16"/>
      <c r="ACS828" s="16"/>
      <c r="ACT828" s="16"/>
      <c r="ACU828" s="16"/>
      <c r="ACV828" s="16"/>
      <c r="ACW828" s="16"/>
      <c r="ACX828" s="16"/>
      <c r="ACY828" s="16"/>
      <c r="ACZ828" s="16"/>
      <c r="ADA828" s="16"/>
      <c r="ADB828" s="16"/>
      <c r="ADC828" s="16"/>
      <c r="ADD828" s="16"/>
      <c r="ADE828" s="16"/>
      <c r="ADF828" s="16"/>
      <c r="ADG828" s="16"/>
      <c r="ADH828" s="16"/>
      <c r="ADI828" s="16"/>
      <c r="ADJ828" s="16"/>
      <c r="ADK828" s="16"/>
      <c r="ADL828" s="16"/>
      <c r="ADM828" s="16"/>
      <c r="ADN828" s="16"/>
      <c r="ADO828" s="16"/>
      <c r="ADP828" s="16"/>
      <c r="ADQ828" s="16"/>
      <c r="ADR828" s="16"/>
      <c r="ADS828" s="16"/>
      <c r="ADT828" s="16"/>
      <c r="ADU828" s="16"/>
      <c r="ADV828" s="16"/>
      <c r="ADW828" s="16"/>
      <c r="ADX828" s="16"/>
      <c r="ADY828" s="16"/>
      <c r="ADZ828" s="16"/>
      <c r="AEA828" s="16"/>
      <c r="AEB828" s="16"/>
      <c r="AEC828" s="16"/>
      <c r="AED828" s="16"/>
      <c r="AEE828" s="16"/>
      <c r="AEF828" s="16"/>
      <c r="AEG828" s="16"/>
      <c r="AEH828" s="16"/>
      <c r="AEI828" s="16"/>
      <c r="AEJ828" s="16"/>
      <c r="AEK828" s="16"/>
      <c r="AEL828" s="16"/>
      <c r="AEM828" s="16"/>
      <c r="AEN828" s="16"/>
      <c r="AEO828" s="16"/>
      <c r="AEP828" s="16"/>
      <c r="AEQ828" s="16"/>
      <c r="AER828" s="16"/>
      <c r="AES828" s="16"/>
      <c r="AET828" s="16"/>
      <c r="AEU828" s="16"/>
      <c r="AEV828" s="16"/>
      <c r="AEW828" s="16"/>
      <c r="AEX828" s="16"/>
      <c r="AEY828" s="16"/>
      <c r="AEZ828" s="16"/>
      <c r="AFA828" s="16"/>
      <c r="AFB828" s="16"/>
      <c r="AFC828" s="16"/>
      <c r="AFD828" s="16"/>
      <c r="AFE828" s="16"/>
      <c r="AFF828" s="16"/>
      <c r="AFG828" s="16"/>
      <c r="AFH828" s="16"/>
      <c r="AFI828" s="16"/>
      <c r="AFJ828" s="16"/>
      <c r="AFK828" s="16"/>
      <c r="AFL828" s="16"/>
      <c r="AFM828" s="16"/>
      <c r="AFN828" s="16"/>
      <c r="AFO828" s="16"/>
      <c r="AFP828" s="16"/>
      <c r="AFQ828" s="16"/>
      <c r="AFR828" s="16"/>
      <c r="AFS828" s="16"/>
      <c r="AFT828" s="16"/>
      <c r="AFU828" s="16"/>
      <c r="AFV828" s="16"/>
      <c r="AFW828" s="16"/>
      <c r="AFX828" s="16"/>
      <c r="AFY828" s="16"/>
      <c r="AFZ828" s="16"/>
      <c r="AGA828" s="16"/>
      <c r="AGB828" s="16"/>
      <c r="AGC828" s="16"/>
      <c r="AGD828" s="16"/>
      <c r="AGE828" s="16"/>
      <c r="AGF828" s="16"/>
      <c r="AGG828" s="16"/>
      <c r="AGH828" s="16"/>
      <c r="AGI828" s="16"/>
      <c r="AGJ828" s="16"/>
    </row>
    <row r="829" spans="1:868" hidden="1">
      <c r="A829" s="152" t="s">
        <v>398</v>
      </c>
      <c r="B829" s="34" t="s">
        <v>394</v>
      </c>
      <c r="C829" s="40" t="s">
        <v>139</v>
      </c>
      <c r="D829" s="34" t="s">
        <v>139</v>
      </c>
      <c r="E829" s="265" t="s">
        <v>150</v>
      </c>
      <c r="F829" s="235">
        <v>1</v>
      </c>
      <c r="G829" s="40"/>
      <c r="H829" s="29"/>
      <c r="I829" s="9"/>
      <c r="J829" s="9"/>
      <c r="K829" s="9"/>
      <c r="L829" s="9"/>
      <c r="M829" s="9"/>
      <c r="N829" s="186" t="str">
        <f t="shared" si="61"/>
        <v/>
      </c>
      <c r="O829" s="160" t="str">
        <f t="shared" si="62"/>
        <v/>
      </c>
      <c r="P829" s="857"/>
    </row>
    <row r="830" spans="1:868" hidden="1">
      <c r="A830" s="152" t="s">
        <v>362</v>
      </c>
      <c r="B830" s="34" t="s">
        <v>258</v>
      </c>
      <c r="C830" s="40" t="s">
        <v>139</v>
      </c>
      <c r="D830" s="34" t="s">
        <v>139</v>
      </c>
      <c r="E830" s="260">
        <v>1</v>
      </c>
      <c r="F830" s="235">
        <v>2</v>
      </c>
      <c r="G830" s="40" t="s">
        <v>157</v>
      </c>
      <c r="H830" s="29">
        <v>1</v>
      </c>
      <c r="I830" s="9">
        <v>1</v>
      </c>
      <c r="J830" s="9">
        <v>2</v>
      </c>
      <c r="K830" s="9">
        <v>4</v>
      </c>
      <c r="L830" s="9">
        <v>3</v>
      </c>
      <c r="M830" s="9">
        <v>3</v>
      </c>
      <c r="N830" s="186">
        <f t="shared" ref="N830:N873" si="63">IF( OR( ISBLANK(H830),ISBLANK(J830), ISBLANK(K830), ISBLANK(L830), ISBLANK(M830) ), "", 1.5*SQRT(   EXP(2.21*(H830-1)) + EXP(2.21*(J830-1)) + EXP(2.21*(K830-1)) + EXP(2.21*(L830-1)) + EXP(2.21*M830)   )/100*2.45 )</f>
        <v>1.4737512213023647</v>
      </c>
      <c r="O830" s="160">
        <f t="shared" ref="O830:O873" si="64">IF( OR( ISBLANK(I830),ISBLANK(J830), ISBLANK(K830), ISBLANK(L830), ISBLANK(M830) ), "", 1.5*SQRT( EXP(2.21*(I830-1)) + EXP(2.21*(J830-1)) + EXP(2.21*(K830-1)) + EXP(2.21*(L830-1)) + EXP(2.21*M830)   )/100*2.45 )</f>
        <v>1.4737512213023647</v>
      </c>
      <c r="P830" s="63"/>
    </row>
    <row r="831" spans="1:868" hidden="1">
      <c r="A831" s="152" t="s">
        <v>121</v>
      </c>
      <c r="B831" s="34" t="s">
        <v>346</v>
      </c>
      <c r="C831" s="40" t="s">
        <v>139</v>
      </c>
      <c r="D831" s="34" t="s">
        <v>88</v>
      </c>
      <c r="E831" s="260">
        <v>0</v>
      </c>
      <c r="F831" s="235">
        <v>1</v>
      </c>
      <c r="G831" s="40"/>
      <c r="H831" s="29"/>
      <c r="I831" s="9"/>
      <c r="J831" s="9"/>
      <c r="K831" s="9"/>
      <c r="L831" s="9"/>
      <c r="M831" s="9"/>
      <c r="N831" s="186" t="str">
        <f t="shared" si="63"/>
        <v/>
      </c>
      <c r="O831" s="160" t="str">
        <f t="shared" si="64"/>
        <v/>
      </c>
      <c r="P831" s="63"/>
    </row>
    <row r="832" spans="1:868" hidden="1">
      <c r="A832" s="152" t="s">
        <v>121</v>
      </c>
      <c r="B832" s="34" t="s">
        <v>346</v>
      </c>
      <c r="C832" s="40" t="s">
        <v>139</v>
      </c>
      <c r="D832" s="34" t="s">
        <v>89</v>
      </c>
      <c r="E832" s="260">
        <v>0</v>
      </c>
      <c r="F832" s="235">
        <v>1</v>
      </c>
      <c r="G832" s="40"/>
      <c r="H832" s="29"/>
      <c r="I832" s="9"/>
      <c r="J832" s="9"/>
      <c r="K832" s="9"/>
      <c r="L832" s="9"/>
      <c r="M832" s="9"/>
      <c r="N832" s="186" t="str">
        <f t="shared" si="63"/>
        <v/>
      </c>
      <c r="O832" s="160" t="str">
        <f t="shared" si="64"/>
        <v/>
      </c>
      <c r="P832" s="63"/>
    </row>
    <row r="833" spans="1:868" s="211" customFormat="1" ht="15.75" hidden="1" thickBot="1">
      <c r="A833" s="152" t="s">
        <v>121</v>
      </c>
      <c r="B833" s="34" t="s">
        <v>346</v>
      </c>
      <c r="C833" s="40" t="s">
        <v>139</v>
      </c>
      <c r="D833" s="34" t="s">
        <v>90</v>
      </c>
      <c r="E833" s="260">
        <v>0</v>
      </c>
      <c r="F833" s="235">
        <v>1</v>
      </c>
      <c r="G833" s="40"/>
      <c r="H833" s="29"/>
      <c r="I833" s="9"/>
      <c r="J833" s="9"/>
      <c r="K833" s="9"/>
      <c r="L833" s="9"/>
      <c r="M833" s="9"/>
      <c r="N833" s="186" t="str">
        <f t="shared" si="63"/>
        <v/>
      </c>
      <c r="O833" s="160" t="str">
        <f t="shared" si="64"/>
        <v/>
      </c>
      <c r="P833" s="63"/>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c r="CX833" s="16"/>
      <c r="CY833" s="16"/>
      <c r="CZ833" s="16"/>
      <c r="DA833" s="16"/>
      <c r="DB833" s="16"/>
      <c r="DC833" s="16"/>
      <c r="DD833" s="16"/>
      <c r="DE833" s="16"/>
      <c r="DF833" s="16"/>
      <c r="DG833" s="16"/>
      <c r="DH833" s="16"/>
      <c r="DI833" s="16"/>
      <c r="DJ833" s="16"/>
      <c r="DK833" s="16"/>
      <c r="DL833" s="16"/>
      <c r="DM833" s="16"/>
      <c r="DN833" s="16"/>
      <c r="DO833" s="16"/>
      <c r="DP833" s="16"/>
      <c r="DQ833" s="16"/>
      <c r="DR833" s="16"/>
      <c r="DS833" s="16"/>
      <c r="DT833" s="16"/>
      <c r="DU833" s="16"/>
      <c r="DV833" s="16"/>
      <c r="DW833" s="16"/>
      <c r="DX833" s="16"/>
      <c r="DY833" s="16"/>
      <c r="DZ833" s="16"/>
      <c r="EA833" s="16"/>
      <c r="EB833" s="16"/>
      <c r="EC833" s="16"/>
      <c r="ED833" s="16"/>
      <c r="EE833" s="16"/>
      <c r="EF833" s="16"/>
      <c r="EG833" s="16"/>
      <c r="EH833" s="16"/>
      <c r="EI833" s="16"/>
      <c r="EJ833" s="16"/>
      <c r="EK833" s="16"/>
      <c r="EL833" s="16"/>
      <c r="EM833" s="16"/>
      <c r="EN833" s="16"/>
      <c r="EO833" s="16"/>
      <c r="EP833" s="16"/>
      <c r="EQ833" s="16"/>
      <c r="ER833" s="16"/>
      <c r="ES833" s="16"/>
      <c r="ET833" s="16"/>
      <c r="EU833" s="16"/>
      <c r="EV833" s="16"/>
      <c r="EW833" s="16"/>
      <c r="EX833" s="16"/>
      <c r="EY833" s="16"/>
      <c r="EZ833" s="16"/>
      <c r="FA833" s="16"/>
      <c r="FB833" s="16"/>
      <c r="FC833" s="16"/>
      <c r="FD833" s="16"/>
      <c r="FE833" s="16"/>
      <c r="FF833" s="16"/>
      <c r="FG833" s="16"/>
      <c r="FH833" s="16"/>
      <c r="FI833" s="16"/>
      <c r="FJ833" s="16"/>
      <c r="FK833" s="16"/>
      <c r="FL833" s="16"/>
      <c r="FM833" s="16"/>
      <c r="FN833" s="16"/>
      <c r="FO833" s="16"/>
      <c r="FP833" s="16"/>
      <c r="FQ833" s="16"/>
      <c r="FR833" s="16"/>
      <c r="FS833" s="16"/>
      <c r="FT833" s="16"/>
      <c r="FU833" s="16"/>
      <c r="FV833" s="16"/>
      <c r="FW833" s="16"/>
      <c r="FX833" s="16"/>
      <c r="FY833" s="16"/>
      <c r="FZ833" s="16"/>
      <c r="GA833" s="16"/>
      <c r="GB833" s="16"/>
      <c r="GC833" s="16"/>
      <c r="GD833" s="16"/>
      <c r="GE833" s="16"/>
      <c r="GF833" s="16"/>
      <c r="GG833" s="16"/>
      <c r="GH833" s="16"/>
      <c r="GI833" s="16"/>
      <c r="GJ833" s="16"/>
      <c r="GK833" s="16"/>
      <c r="GL833" s="16"/>
      <c r="GM833" s="16"/>
      <c r="GN833" s="16"/>
      <c r="GO833" s="16"/>
      <c r="GP833" s="16"/>
      <c r="GQ833" s="16"/>
      <c r="GR833" s="16"/>
      <c r="GS833" s="16"/>
      <c r="GT833" s="16"/>
      <c r="GU833" s="16"/>
      <c r="GV833" s="16"/>
      <c r="GW833" s="16"/>
      <c r="GX833" s="16"/>
      <c r="GY833" s="16"/>
      <c r="GZ833" s="16"/>
      <c r="HA833" s="16"/>
      <c r="HB833" s="16"/>
      <c r="HC833" s="16"/>
      <c r="HD833" s="16"/>
      <c r="HE833" s="16"/>
      <c r="HF833" s="16"/>
      <c r="HG833" s="16"/>
      <c r="HH833" s="16"/>
      <c r="HI833" s="16"/>
      <c r="HJ833" s="16"/>
      <c r="HK833" s="16"/>
      <c r="HL833" s="16"/>
      <c r="HM833" s="16"/>
      <c r="HN833" s="16"/>
      <c r="HO833" s="16"/>
      <c r="HP833" s="16"/>
      <c r="HQ833" s="16"/>
      <c r="HR833" s="16"/>
      <c r="HS833" s="16"/>
      <c r="HT833" s="16"/>
      <c r="HU833" s="16"/>
      <c r="HV833" s="16"/>
      <c r="HW833" s="16"/>
      <c r="HX833" s="16"/>
      <c r="HY833" s="16"/>
      <c r="HZ833" s="16"/>
      <c r="IA833" s="16"/>
      <c r="IB833" s="16"/>
      <c r="IC833" s="16"/>
      <c r="ID833" s="16"/>
      <c r="IE833" s="16"/>
      <c r="IF833" s="16"/>
      <c r="IG833" s="16"/>
      <c r="IH833" s="16"/>
      <c r="II833" s="16"/>
      <c r="IJ833" s="16"/>
      <c r="IK833" s="16"/>
      <c r="IL833" s="16"/>
      <c r="IM833" s="16"/>
      <c r="IN833" s="16"/>
      <c r="IO833" s="16"/>
      <c r="IP833" s="16"/>
      <c r="IQ833" s="16"/>
      <c r="IR833" s="16"/>
      <c r="IS833" s="16"/>
      <c r="IT833" s="16"/>
      <c r="IU833" s="16"/>
      <c r="IV833" s="16"/>
      <c r="IW833" s="16"/>
      <c r="IX833" s="16"/>
      <c r="IY833" s="16"/>
      <c r="IZ833" s="16"/>
      <c r="JA833" s="16"/>
      <c r="JB833" s="16"/>
      <c r="JC833" s="16"/>
      <c r="JD833" s="16"/>
      <c r="JE833" s="16"/>
      <c r="JF833" s="16"/>
      <c r="JG833" s="16"/>
      <c r="JH833" s="16"/>
      <c r="JI833" s="16"/>
      <c r="JJ833" s="16"/>
      <c r="JK833" s="16"/>
      <c r="JL833" s="16"/>
      <c r="JM833" s="16"/>
      <c r="JN833" s="16"/>
      <c r="JO833" s="16"/>
      <c r="JP833" s="16"/>
      <c r="JQ833" s="16"/>
      <c r="JR833" s="16"/>
      <c r="JS833" s="16"/>
      <c r="JT833" s="16"/>
      <c r="JU833" s="16"/>
      <c r="JV833" s="16"/>
      <c r="JW833" s="16"/>
      <c r="JX833" s="16"/>
      <c r="JY833" s="16"/>
      <c r="JZ833" s="16"/>
      <c r="KA833" s="16"/>
      <c r="KB833" s="16"/>
      <c r="KC833" s="16"/>
      <c r="KD833" s="16"/>
      <c r="KE833" s="16"/>
      <c r="KF833" s="16"/>
      <c r="KG833" s="16"/>
      <c r="KH833" s="16"/>
      <c r="KI833" s="16"/>
      <c r="KJ833" s="16"/>
      <c r="KK833" s="16"/>
      <c r="KL833" s="16"/>
      <c r="KM833" s="16"/>
      <c r="KN833" s="16"/>
      <c r="KO833" s="16"/>
      <c r="KP833" s="16"/>
      <c r="KQ833" s="16"/>
      <c r="KR833" s="16"/>
      <c r="KS833" s="16"/>
      <c r="KT833" s="16"/>
      <c r="KU833" s="16"/>
      <c r="KV833" s="16"/>
      <c r="KW833" s="16"/>
      <c r="KX833" s="16"/>
      <c r="KY833" s="16"/>
      <c r="KZ833" s="16"/>
      <c r="LA833" s="16"/>
      <c r="LB833" s="16"/>
      <c r="LC833" s="16"/>
      <c r="LD833" s="16"/>
      <c r="LE833" s="16"/>
      <c r="LF833" s="16"/>
      <c r="LG833" s="16"/>
      <c r="LH833" s="16"/>
      <c r="LI833" s="16"/>
      <c r="LJ833" s="16"/>
      <c r="LK833" s="16"/>
      <c r="LL833" s="16"/>
      <c r="LM833" s="16"/>
      <c r="LN833" s="16"/>
      <c r="LO833" s="16"/>
      <c r="LP833" s="16"/>
      <c r="LQ833" s="16"/>
      <c r="LR833" s="16"/>
      <c r="LS833" s="16"/>
      <c r="LT833" s="16"/>
      <c r="LU833" s="16"/>
      <c r="LV833" s="16"/>
      <c r="LW833" s="16"/>
      <c r="LX833" s="16"/>
      <c r="LY833" s="16"/>
      <c r="LZ833" s="16"/>
      <c r="MA833" s="16"/>
      <c r="MB833" s="16"/>
      <c r="MC833" s="16"/>
      <c r="MD833" s="16"/>
      <c r="ME833" s="16"/>
      <c r="MF833" s="16"/>
      <c r="MG833" s="16"/>
      <c r="MH833" s="16"/>
      <c r="MI833" s="16"/>
      <c r="MJ833" s="16"/>
      <c r="MK833" s="16"/>
      <c r="ML833" s="16"/>
      <c r="MM833" s="16"/>
      <c r="MN833" s="16"/>
      <c r="MO833" s="16"/>
      <c r="MP833" s="16"/>
      <c r="MQ833" s="16"/>
      <c r="MR833" s="16"/>
      <c r="MS833" s="16"/>
      <c r="MT833" s="16"/>
      <c r="MU833" s="16"/>
      <c r="MV833" s="16"/>
      <c r="MW833" s="16"/>
      <c r="MX833" s="16"/>
      <c r="MY833" s="16"/>
      <c r="MZ833" s="16"/>
      <c r="NA833" s="16"/>
      <c r="NB833" s="16"/>
      <c r="NC833" s="16"/>
      <c r="ND833" s="16"/>
      <c r="NE833" s="16"/>
      <c r="NF833" s="16"/>
      <c r="NG833" s="16"/>
      <c r="NH833" s="16"/>
      <c r="NI833" s="16"/>
      <c r="NJ833" s="16"/>
      <c r="NK833" s="16"/>
      <c r="NL833" s="16"/>
      <c r="NM833" s="16"/>
      <c r="NN833" s="16"/>
      <c r="NO833" s="16"/>
      <c r="NP833" s="16"/>
      <c r="NQ833" s="16"/>
      <c r="NR833" s="16"/>
      <c r="NS833" s="16"/>
      <c r="NT833" s="16"/>
      <c r="NU833" s="16"/>
      <c r="NV833" s="16"/>
      <c r="NW833" s="16"/>
      <c r="NX833" s="16"/>
      <c r="NY833" s="16"/>
      <c r="NZ833" s="16"/>
      <c r="OA833" s="16"/>
      <c r="OB833" s="16"/>
      <c r="OC833" s="16"/>
      <c r="OD833" s="16"/>
      <c r="OE833" s="16"/>
      <c r="OF833" s="16"/>
      <c r="OG833" s="16"/>
      <c r="OH833" s="16"/>
      <c r="OI833" s="16"/>
      <c r="OJ833" s="16"/>
      <c r="OK833" s="16"/>
      <c r="OL833" s="16"/>
      <c r="OM833" s="16"/>
      <c r="ON833" s="16"/>
      <c r="OO833" s="16"/>
      <c r="OP833" s="16"/>
      <c r="OQ833" s="16"/>
      <c r="OR833" s="16"/>
      <c r="OS833" s="16"/>
      <c r="OT833" s="16"/>
      <c r="OU833" s="16"/>
      <c r="OV833" s="16"/>
      <c r="OW833" s="16"/>
      <c r="OX833" s="16"/>
      <c r="OY833" s="16"/>
      <c r="OZ833" s="16"/>
      <c r="PA833" s="16"/>
      <c r="PB833" s="16"/>
      <c r="PC833" s="16"/>
      <c r="PD833" s="16"/>
      <c r="PE833" s="16"/>
      <c r="PF833" s="16"/>
      <c r="PG833" s="16"/>
      <c r="PH833" s="16"/>
      <c r="PI833" s="16"/>
      <c r="PJ833" s="16"/>
      <c r="PK833" s="16"/>
      <c r="PL833" s="16"/>
      <c r="PM833" s="16"/>
      <c r="PN833" s="16"/>
      <c r="PO833" s="16"/>
      <c r="PP833" s="16"/>
      <c r="PQ833" s="16"/>
      <c r="PR833" s="16"/>
      <c r="PS833" s="16"/>
      <c r="PT833" s="16"/>
      <c r="PU833" s="16"/>
      <c r="PV833" s="16"/>
      <c r="PW833" s="16"/>
      <c r="PX833" s="16"/>
      <c r="PY833" s="16"/>
      <c r="PZ833" s="16"/>
      <c r="QA833" s="16"/>
      <c r="QB833" s="16"/>
      <c r="QC833" s="16"/>
      <c r="QD833" s="16"/>
      <c r="QE833" s="16"/>
      <c r="QF833" s="16"/>
      <c r="QG833" s="16"/>
      <c r="QH833" s="16"/>
      <c r="QI833" s="16"/>
      <c r="QJ833" s="16"/>
      <c r="QK833" s="16"/>
      <c r="QL833" s="16"/>
      <c r="QM833" s="16"/>
      <c r="QN833" s="16"/>
      <c r="QO833" s="16"/>
      <c r="QP833" s="16"/>
      <c r="QQ833" s="16"/>
      <c r="QR833" s="16"/>
      <c r="QS833" s="16"/>
      <c r="QT833" s="16"/>
      <c r="QU833" s="16"/>
      <c r="QV833" s="16"/>
      <c r="QW833" s="16"/>
      <c r="QX833" s="16"/>
      <c r="QY833" s="16"/>
      <c r="QZ833" s="16"/>
      <c r="RA833" s="16"/>
      <c r="RB833" s="16"/>
      <c r="RC833" s="16"/>
      <c r="RD833" s="16"/>
      <c r="RE833" s="16"/>
      <c r="RF833" s="16"/>
      <c r="RG833" s="16"/>
      <c r="RH833" s="16"/>
      <c r="RI833" s="16"/>
      <c r="RJ833" s="16"/>
      <c r="RK833" s="16"/>
      <c r="RL833" s="16"/>
      <c r="RM833" s="16"/>
      <c r="RN833" s="16"/>
      <c r="RO833" s="16"/>
      <c r="RP833" s="16"/>
      <c r="RQ833" s="16"/>
      <c r="RR833" s="16"/>
      <c r="RS833" s="16"/>
      <c r="RT833" s="16"/>
      <c r="RU833" s="16"/>
      <c r="RV833" s="16"/>
      <c r="RW833" s="16"/>
      <c r="RX833" s="16"/>
      <c r="RY833" s="16"/>
      <c r="RZ833" s="16"/>
      <c r="SA833" s="16"/>
      <c r="SB833" s="16"/>
      <c r="SC833" s="16"/>
      <c r="SD833" s="16"/>
      <c r="SE833" s="16"/>
      <c r="SF833" s="16"/>
      <c r="SG833" s="16"/>
      <c r="SH833" s="16"/>
      <c r="SI833" s="16"/>
      <c r="SJ833" s="16"/>
      <c r="SK833" s="16"/>
      <c r="SL833" s="16"/>
      <c r="SM833" s="16"/>
      <c r="SN833" s="16"/>
      <c r="SO833" s="16"/>
      <c r="SP833" s="16"/>
      <c r="SQ833" s="16"/>
      <c r="SR833" s="16"/>
      <c r="SS833" s="16"/>
      <c r="ST833" s="16"/>
      <c r="SU833" s="16"/>
      <c r="SV833" s="16"/>
      <c r="SW833" s="16"/>
      <c r="SX833" s="16"/>
      <c r="SY833" s="16"/>
      <c r="SZ833" s="16"/>
      <c r="TA833" s="16"/>
      <c r="TB833" s="16"/>
      <c r="TC833" s="16"/>
      <c r="TD833" s="16"/>
      <c r="TE833" s="16"/>
      <c r="TF833" s="16"/>
      <c r="TG833" s="16"/>
      <c r="TH833" s="16"/>
      <c r="TI833" s="16"/>
      <c r="TJ833" s="16"/>
      <c r="TK833" s="16"/>
      <c r="TL833" s="16"/>
      <c r="TM833" s="16"/>
      <c r="TN833" s="16"/>
      <c r="TO833" s="16"/>
      <c r="TP833" s="16"/>
      <c r="TQ833" s="16"/>
      <c r="TR833" s="16"/>
      <c r="TS833" s="16"/>
      <c r="TT833" s="16"/>
      <c r="TU833" s="16"/>
      <c r="TV833" s="16"/>
      <c r="TW833" s="16"/>
      <c r="TX833" s="16"/>
      <c r="TY833" s="16"/>
      <c r="TZ833" s="16"/>
      <c r="UA833" s="16"/>
      <c r="UB833" s="16"/>
      <c r="UC833" s="16"/>
      <c r="UD833" s="16"/>
      <c r="UE833" s="16"/>
      <c r="UF833" s="16"/>
      <c r="UG833" s="16"/>
      <c r="UH833" s="16"/>
      <c r="UI833" s="16"/>
      <c r="UJ833" s="16"/>
      <c r="UK833" s="16"/>
      <c r="UL833" s="16"/>
      <c r="UM833" s="16"/>
      <c r="UN833" s="16"/>
      <c r="UO833" s="16"/>
      <c r="UP833" s="16"/>
      <c r="UQ833" s="16"/>
      <c r="UR833" s="16"/>
      <c r="US833" s="16"/>
      <c r="UT833" s="16"/>
      <c r="UU833" s="16"/>
      <c r="UV833" s="16"/>
      <c r="UW833" s="16"/>
      <c r="UX833" s="16"/>
      <c r="UY833" s="16"/>
      <c r="UZ833" s="16"/>
      <c r="VA833" s="16"/>
      <c r="VB833" s="16"/>
      <c r="VC833" s="16"/>
      <c r="VD833" s="16"/>
      <c r="VE833" s="16"/>
      <c r="VF833" s="16"/>
      <c r="VG833" s="16"/>
      <c r="VH833" s="16"/>
      <c r="VI833" s="16"/>
      <c r="VJ833" s="16"/>
      <c r="VK833" s="16"/>
      <c r="VL833" s="16"/>
      <c r="VM833" s="16"/>
      <c r="VN833" s="16"/>
      <c r="VO833" s="16"/>
      <c r="VP833" s="16"/>
      <c r="VQ833" s="16"/>
      <c r="VR833" s="16"/>
      <c r="VS833" s="16"/>
      <c r="VT833" s="16"/>
      <c r="VU833" s="16"/>
      <c r="VV833" s="16"/>
      <c r="VW833" s="16"/>
      <c r="VX833" s="16"/>
      <c r="VY833" s="16"/>
      <c r="VZ833" s="16"/>
      <c r="WA833" s="16"/>
      <c r="WB833" s="16"/>
      <c r="WC833" s="16"/>
      <c r="WD833" s="16"/>
      <c r="WE833" s="16"/>
      <c r="WF833" s="16"/>
      <c r="WG833" s="16"/>
      <c r="WH833" s="16"/>
      <c r="WI833" s="16"/>
      <c r="WJ833" s="16"/>
      <c r="WK833" s="16"/>
      <c r="WL833" s="16"/>
      <c r="WM833" s="16"/>
      <c r="WN833" s="16"/>
      <c r="WO833" s="16"/>
      <c r="WP833" s="16"/>
      <c r="WQ833" s="16"/>
      <c r="WR833" s="16"/>
      <c r="WS833" s="16"/>
      <c r="WT833" s="16"/>
      <c r="WU833" s="16"/>
      <c r="WV833" s="16"/>
      <c r="WW833" s="16"/>
      <c r="WX833" s="16"/>
      <c r="WY833" s="16"/>
      <c r="WZ833" s="16"/>
      <c r="XA833" s="16"/>
      <c r="XB833" s="16"/>
      <c r="XC833" s="16"/>
      <c r="XD833" s="16"/>
      <c r="XE833" s="16"/>
      <c r="XF833" s="16"/>
      <c r="XG833" s="16"/>
      <c r="XH833" s="16"/>
      <c r="XI833" s="16"/>
      <c r="XJ833" s="16"/>
      <c r="XK833" s="16"/>
      <c r="XL833" s="16"/>
      <c r="XM833" s="16"/>
      <c r="XN833" s="16"/>
      <c r="XO833" s="16"/>
      <c r="XP833" s="16"/>
      <c r="XQ833" s="16"/>
      <c r="XR833" s="16"/>
      <c r="XS833" s="16"/>
      <c r="XT833" s="16"/>
      <c r="XU833" s="16"/>
      <c r="XV833" s="16"/>
      <c r="XW833" s="16"/>
      <c r="XX833" s="16"/>
      <c r="XY833" s="16"/>
      <c r="XZ833" s="16"/>
      <c r="YA833" s="16"/>
      <c r="YB833" s="16"/>
      <c r="YC833" s="16"/>
      <c r="YD833" s="16"/>
      <c r="YE833" s="16"/>
      <c r="YF833" s="16"/>
      <c r="YG833" s="16"/>
      <c r="YH833" s="16"/>
      <c r="YI833" s="16"/>
      <c r="YJ833" s="16"/>
      <c r="YK833" s="16"/>
      <c r="YL833" s="16"/>
      <c r="YM833" s="16"/>
      <c r="YN833" s="16"/>
      <c r="YO833" s="16"/>
      <c r="YP833" s="16"/>
      <c r="YQ833" s="16"/>
      <c r="YR833" s="16"/>
      <c r="YS833" s="16"/>
      <c r="YT833" s="16"/>
      <c r="YU833" s="16"/>
      <c r="YV833" s="16"/>
      <c r="YW833" s="16"/>
      <c r="YX833" s="16"/>
      <c r="YY833" s="16"/>
      <c r="YZ833" s="16"/>
      <c r="ZA833" s="16"/>
      <c r="ZB833" s="16"/>
      <c r="ZC833" s="16"/>
      <c r="ZD833" s="16"/>
      <c r="ZE833" s="16"/>
      <c r="ZF833" s="16"/>
      <c r="ZG833" s="16"/>
      <c r="ZH833" s="16"/>
      <c r="ZI833" s="16"/>
      <c r="ZJ833" s="16"/>
      <c r="ZK833" s="16"/>
      <c r="ZL833" s="16"/>
      <c r="ZM833" s="16"/>
      <c r="ZN833" s="16"/>
      <c r="ZO833" s="16"/>
      <c r="ZP833" s="16"/>
      <c r="ZQ833" s="16"/>
      <c r="ZR833" s="16"/>
      <c r="ZS833" s="16"/>
      <c r="ZT833" s="16"/>
      <c r="ZU833" s="16"/>
      <c r="ZV833" s="16"/>
      <c r="ZW833" s="16"/>
      <c r="ZX833" s="16"/>
      <c r="ZY833" s="16"/>
      <c r="ZZ833" s="16"/>
      <c r="AAA833" s="16"/>
      <c r="AAB833" s="16"/>
      <c r="AAC833" s="16"/>
      <c r="AAD833" s="16"/>
      <c r="AAE833" s="16"/>
      <c r="AAF833" s="16"/>
      <c r="AAG833" s="16"/>
      <c r="AAH833" s="16"/>
      <c r="AAI833" s="16"/>
      <c r="AAJ833" s="16"/>
      <c r="AAK833" s="16"/>
      <c r="AAL833" s="16"/>
      <c r="AAM833" s="16"/>
      <c r="AAN833" s="16"/>
      <c r="AAO833" s="16"/>
      <c r="AAP833" s="16"/>
      <c r="AAQ833" s="16"/>
      <c r="AAR833" s="16"/>
      <c r="AAS833" s="16"/>
      <c r="AAT833" s="16"/>
      <c r="AAU833" s="16"/>
      <c r="AAV833" s="16"/>
      <c r="AAW833" s="16"/>
      <c r="AAX833" s="16"/>
      <c r="AAY833" s="16"/>
      <c r="AAZ833" s="16"/>
      <c r="ABA833" s="16"/>
      <c r="ABB833" s="16"/>
      <c r="ABC833" s="16"/>
      <c r="ABD833" s="16"/>
      <c r="ABE833" s="16"/>
      <c r="ABF833" s="16"/>
      <c r="ABG833" s="16"/>
      <c r="ABH833" s="16"/>
      <c r="ABI833" s="16"/>
      <c r="ABJ833" s="16"/>
      <c r="ABK833" s="16"/>
      <c r="ABL833" s="16"/>
      <c r="ABM833" s="16"/>
      <c r="ABN833" s="16"/>
      <c r="ABO833" s="16"/>
      <c r="ABP833" s="16"/>
      <c r="ABQ833" s="16"/>
      <c r="ABR833" s="16"/>
      <c r="ABS833" s="16"/>
      <c r="ABT833" s="16"/>
      <c r="ABU833" s="16"/>
      <c r="ABV833" s="16"/>
      <c r="ABW833" s="16"/>
      <c r="ABX833" s="16"/>
      <c r="ABY833" s="16"/>
      <c r="ABZ833" s="16"/>
      <c r="ACA833" s="16"/>
      <c r="ACB833" s="16"/>
      <c r="ACC833" s="16"/>
      <c r="ACD833" s="16"/>
      <c r="ACE833" s="16"/>
      <c r="ACF833" s="16"/>
      <c r="ACG833" s="16"/>
      <c r="ACH833" s="16"/>
      <c r="ACI833" s="16"/>
      <c r="ACJ833" s="16"/>
      <c r="ACK833" s="16"/>
      <c r="ACL833" s="16"/>
      <c r="ACM833" s="16"/>
      <c r="ACN833" s="16"/>
      <c r="ACO833" s="16"/>
      <c r="ACP833" s="16"/>
      <c r="ACQ833" s="16"/>
      <c r="ACR833" s="16"/>
      <c r="ACS833" s="16"/>
      <c r="ACT833" s="16"/>
      <c r="ACU833" s="16"/>
      <c r="ACV833" s="16"/>
      <c r="ACW833" s="16"/>
      <c r="ACX833" s="16"/>
      <c r="ACY833" s="16"/>
      <c r="ACZ833" s="16"/>
      <c r="ADA833" s="16"/>
      <c r="ADB833" s="16"/>
      <c r="ADC833" s="16"/>
      <c r="ADD833" s="16"/>
      <c r="ADE833" s="16"/>
      <c r="ADF833" s="16"/>
      <c r="ADG833" s="16"/>
      <c r="ADH833" s="16"/>
      <c r="ADI833" s="16"/>
      <c r="ADJ833" s="16"/>
      <c r="ADK833" s="16"/>
      <c r="ADL833" s="16"/>
      <c r="ADM833" s="16"/>
      <c r="ADN833" s="16"/>
      <c r="ADO833" s="16"/>
      <c r="ADP833" s="16"/>
      <c r="ADQ833" s="16"/>
      <c r="ADR833" s="16"/>
      <c r="ADS833" s="16"/>
      <c r="ADT833" s="16"/>
      <c r="ADU833" s="16"/>
      <c r="ADV833" s="16"/>
      <c r="ADW833" s="16"/>
      <c r="ADX833" s="16"/>
      <c r="ADY833" s="16"/>
      <c r="ADZ833" s="16"/>
      <c r="AEA833" s="16"/>
      <c r="AEB833" s="16"/>
      <c r="AEC833" s="16"/>
      <c r="AED833" s="16"/>
      <c r="AEE833" s="16"/>
      <c r="AEF833" s="16"/>
      <c r="AEG833" s="16"/>
      <c r="AEH833" s="16"/>
      <c r="AEI833" s="16"/>
      <c r="AEJ833" s="16"/>
      <c r="AEK833" s="16"/>
      <c r="AEL833" s="16"/>
      <c r="AEM833" s="16"/>
      <c r="AEN833" s="16"/>
      <c r="AEO833" s="16"/>
      <c r="AEP833" s="16"/>
      <c r="AEQ833" s="16"/>
      <c r="AER833" s="16"/>
      <c r="AES833" s="16"/>
      <c r="AET833" s="16"/>
      <c r="AEU833" s="16"/>
      <c r="AEV833" s="16"/>
      <c r="AEW833" s="16"/>
      <c r="AEX833" s="16"/>
      <c r="AEY833" s="16"/>
      <c r="AEZ833" s="16"/>
      <c r="AFA833" s="16"/>
      <c r="AFB833" s="16"/>
      <c r="AFC833" s="16"/>
      <c r="AFD833" s="16"/>
      <c r="AFE833" s="16"/>
      <c r="AFF833" s="16"/>
      <c r="AFG833" s="16"/>
      <c r="AFH833" s="16"/>
      <c r="AFI833" s="16"/>
      <c r="AFJ833" s="16"/>
      <c r="AFK833" s="16"/>
      <c r="AFL833" s="16"/>
      <c r="AFM833" s="16"/>
      <c r="AFN833" s="16"/>
      <c r="AFO833" s="16"/>
      <c r="AFP833" s="16"/>
      <c r="AFQ833" s="16"/>
      <c r="AFR833" s="16"/>
      <c r="AFS833" s="16"/>
      <c r="AFT833" s="16"/>
      <c r="AFU833" s="16"/>
      <c r="AFV833" s="16"/>
      <c r="AFW833" s="16"/>
      <c r="AFX833" s="16"/>
      <c r="AFY833" s="16"/>
      <c r="AFZ833" s="16"/>
      <c r="AGA833" s="16"/>
      <c r="AGB833" s="16"/>
      <c r="AGC833" s="16"/>
      <c r="AGD833" s="16"/>
      <c r="AGE833" s="16"/>
      <c r="AGF833" s="16"/>
      <c r="AGG833" s="16"/>
      <c r="AGH833" s="16"/>
      <c r="AGI833" s="16"/>
      <c r="AGJ833" s="16"/>
    </row>
    <row r="834" spans="1:868" s="852" customFormat="1" hidden="1">
      <c r="A834" s="152" t="s">
        <v>121</v>
      </c>
      <c r="B834" s="34" t="s">
        <v>346</v>
      </c>
      <c r="C834" s="40" t="s">
        <v>139</v>
      </c>
      <c r="D834" s="34" t="s">
        <v>91</v>
      </c>
      <c r="E834" s="260">
        <v>0.15963616327826599</v>
      </c>
      <c r="F834" s="235">
        <v>1</v>
      </c>
      <c r="G834" s="40"/>
      <c r="H834" s="29">
        <v>2</v>
      </c>
      <c r="I834" s="9">
        <v>2</v>
      </c>
      <c r="J834" s="9">
        <v>2</v>
      </c>
      <c r="K834" s="9">
        <v>2</v>
      </c>
      <c r="L834" s="9">
        <v>1</v>
      </c>
      <c r="M834" s="9">
        <v>2</v>
      </c>
      <c r="N834" s="186">
        <f t="shared" si="63"/>
        <v>0.38795788889711302</v>
      </c>
      <c r="O834" s="160">
        <f t="shared" si="64"/>
        <v>0.38795788889711302</v>
      </c>
      <c r="P834" s="63"/>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c r="CX834" s="16"/>
      <c r="CY834" s="16"/>
      <c r="CZ834" s="16"/>
      <c r="DA834" s="16"/>
      <c r="DB834" s="16"/>
      <c r="DC834" s="16"/>
      <c r="DD834" s="16"/>
      <c r="DE834" s="16"/>
      <c r="DF834" s="16"/>
      <c r="DG834" s="16"/>
      <c r="DH834" s="16"/>
      <c r="DI834" s="16"/>
      <c r="DJ834" s="16"/>
      <c r="DK834" s="16"/>
      <c r="DL834" s="16"/>
      <c r="DM834" s="16"/>
      <c r="DN834" s="16"/>
      <c r="DO834" s="16"/>
      <c r="DP834" s="16"/>
      <c r="DQ834" s="16"/>
      <c r="DR834" s="16"/>
      <c r="DS834" s="16"/>
      <c r="DT834" s="16"/>
      <c r="DU834" s="16"/>
      <c r="DV834" s="16"/>
      <c r="DW834" s="16"/>
      <c r="DX834" s="16"/>
      <c r="DY834" s="16"/>
      <c r="DZ834" s="16"/>
      <c r="EA834" s="16"/>
      <c r="EB834" s="16"/>
      <c r="EC834" s="16"/>
      <c r="ED834" s="16"/>
      <c r="EE834" s="16"/>
      <c r="EF834" s="16"/>
      <c r="EG834" s="16"/>
      <c r="EH834" s="16"/>
      <c r="EI834" s="16"/>
      <c r="EJ834" s="16"/>
      <c r="EK834" s="16"/>
      <c r="EL834" s="16"/>
      <c r="EM834" s="16"/>
      <c r="EN834" s="16"/>
      <c r="EO834" s="16"/>
      <c r="EP834" s="16"/>
      <c r="EQ834" s="16"/>
      <c r="ER834" s="16"/>
      <c r="ES834" s="16"/>
      <c r="ET834" s="16"/>
      <c r="EU834" s="16"/>
      <c r="EV834" s="16"/>
      <c r="EW834" s="16"/>
      <c r="EX834" s="16"/>
      <c r="EY834" s="16"/>
      <c r="EZ834" s="16"/>
      <c r="FA834" s="16"/>
      <c r="FB834" s="16"/>
      <c r="FC834" s="16"/>
      <c r="FD834" s="16"/>
      <c r="FE834" s="16"/>
      <c r="FF834" s="16"/>
      <c r="FG834" s="16"/>
      <c r="FH834" s="16"/>
      <c r="FI834" s="16"/>
      <c r="FJ834" s="16"/>
      <c r="FK834" s="16"/>
      <c r="FL834" s="16"/>
      <c r="FM834" s="16"/>
      <c r="FN834" s="16"/>
      <c r="FO834" s="16"/>
      <c r="FP834" s="16"/>
      <c r="FQ834" s="16"/>
      <c r="FR834" s="16"/>
      <c r="FS834" s="16"/>
      <c r="FT834" s="16"/>
      <c r="FU834" s="16"/>
      <c r="FV834" s="16"/>
      <c r="FW834" s="16"/>
      <c r="FX834" s="16"/>
      <c r="FY834" s="16"/>
      <c r="FZ834" s="16"/>
      <c r="GA834" s="16"/>
      <c r="GB834" s="16"/>
      <c r="GC834" s="16"/>
      <c r="GD834" s="16"/>
      <c r="GE834" s="16"/>
      <c r="GF834" s="16"/>
      <c r="GG834" s="16"/>
      <c r="GH834" s="16"/>
      <c r="GI834" s="16"/>
      <c r="GJ834" s="16"/>
      <c r="GK834" s="16"/>
      <c r="GL834" s="16"/>
      <c r="GM834" s="16"/>
      <c r="GN834" s="16"/>
      <c r="GO834" s="16"/>
      <c r="GP834" s="16"/>
      <c r="GQ834" s="16"/>
      <c r="GR834" s="16"/>
      <c r="GS834" s="16"/>
      <c r="GT834" s="16"/>
      <c r="GU834" s="16"/>
      <c r="GV834" s="16"/>
      <c r="GW834" s="16"/>
      <c r="GX834" s="16"/>
      <c r="GY834" s="16"/>
      <c r="GZ834" s="16"/>
      <c r="HA834" s="16"/>
      <c r="HB834" s="16"/>
      <c r="HC834" s="16"/>
      <c r="HD834" s="16"/>
      <c r="HE834" s="16"/>
      <c r="HF834" s="16"/>
      <c r="HG834" s="16"/>
      <c r="HH834" s="16"/>
      <c r="HI834" s="16"/>
      <c r="HJ834" s="16"/>
      <c r="HK834" s="16"/>
      <c r="HL834" s="16"/>
      <c r="HM834" s="16"/>
      <c r="HN834" s="16"/>
      <c r="HO834" s="16"/>
      <c r="HP834" s="16"/>
      <c r="HQ834" s="16"/>
      <c r="HR834" s="16"/>
      <c r="HS834" s="16"/>
      <c r="HT834" s="16"/>
      <c r="HU834" s="16"/>
      <c r="HV834" s="16"/>
      <c r="HW834" s="16"/>
      <c r="HX834" s="16"/>
      <c r="HY834" s="16"/>
      <c r="HZ834" s="16"/>
      <c r="IA834" s="16"/>
      <c r="IB834" s="16"/>
      <c r="IC834" s="16"/>
      <c r="ID834" s="16"/>
      <c r="IE834" s="16"/>
      <c r="IF834" s="16"/>
      <c r="IG834" s="16"/>
      <c r="IH834" s="16"/>
      <c r="II834" s="16"/>
      <c r="IJ834" s="16"/>
      <c r="IK834" s="16"/>
      <c r="IL834" s="16"/>
      <c r="IM834" s="16"/>
      <c r="IN834" s="16"/>
      <c r="IO834" s="16"/>
      <c r="IP834" s="16"/>
      <c r="IQ834" s="16"/>
      <c r="IR834" s="16"/>
      <c r="IS834" s="16"/>
      <c r="IT834" s="16"/>
      <c r="IU834" s="16"/>
      <c r="IV834" s="16"/>
      <c r="IW834" s="16"/>
      <c r="IX834" s="16"/>
      <c r="IY834" s="16"/>
      <c r="IZ834" s="16"/>
      <c r="JA834" s="16"/>
      <c r="JB834" s="16"/>
      <c r="JC834" s="16"/>
      <c r="JD834" s="16"/>
      <c r="JE834" s="16"/>
      <c r="JF834" s="16"/>
      <c r="JG834" s="16"/>
      <c r="JH834" s="16"/>
      <c r="JI834" s="16"/>
      <c r="JJ834" s="16"/>
      <c r="JK834" s="16"/>
      <c r="JL834" s="16"/>
      <c r="JM834" s="16"/>
      <c r="JN834" s="16"/>
      <c r="JO834" s="16"/>
      <c r="JP834" s="16"/>
      <c r="JQ834" s="16"/>
      <c r="JR834" s="16"/>
      <c r="JS834" s="16"/>
      <c r="JT834" s="16"/>
      <c r="JU834" s="16"/>
      <c r="JV834" s="16"/>
      <c r="JW834" s="16"/>
      <c r="JX834" s="16"/>
      <c r="JY834" s="16"/>
      <c r="JZ834" s="16"/>
      <c r="KA834" s="16"/>
      <c r="KB834" s="16"/>
      <c r="KC834" s="16"/>
      <c r="KD834" s="16"/>
      <c r="KE834" s="16"/>
      <c r="KF834" s="16"/>
      <c r="KG834" s="16"/>
      <c r="KH834" s="16"/>
      <c r="KI834" s="16"/>
      <c r="KJ834" s="16"/>
      <c r="KK834" s="16"/>
      <c r="KL834" s="16"/>
      <c r="KM834" s="16"/>
      <c r="KN834" s="16"/>
      <c r="KO834" s="16"/>
      <c r="KP834" s="16"/>
      <c r="KQ834" s="16"/>
      <c r="KR834" s="16"/>
      <c r="KS834" s="16"/>
      <c r="KT834" s="16"/>
      <c r="KU834" s="16"/>
      <c r="KV834" s="16"/>
      <c r="KW834" s="16"/>
      <c r="KX834" s="16"/>
      <c r="KY834" s="16"/>
      <c r="KZ834" s="16"/>
      <c r="LA834" s="16"/>
      <c r="LB834" s="16"/>
      <c r="LC834" s="16"/>
      <c r="LD834" s="16"/>
      <c r="LE834" s="16"/>
      <c r="LF834" s="16"/>
      <c r="LG834" s="16"/>
      <c r="LH834" s="16"/>
      <c r="LI834" s="16"/>
      <c r="LJ834" s="16"/>
      <c r="LK834" s="16"/>
      <c r="LL834" s="16"/>
      <c r="LM834" s="16"/>
      <c r="LN834" s="16"/>
      <c r="LO834" s="16"/>
      <c r="LP834" s="16"/>
      <c r="LQ834" s="16"/>
      <c r="LR834" s="16"/>
      <c r="LS834" s="16"/>
      <c r="LT834" s="16"/>
      <c r="LU834" s="16"/>
      <c r="LV834" s="16"/>
      <c r="LW834" s="16"/>
      <c r="LX834" s="16"/>
      <c r="LY834" s="16"/>
      <c r="LZ834" s="16"/>
      <c r="MA834" s="16"/>
      <c r="MB834" s="16"/>
      <c r="MC834" s="16"/>
      <c r="MD834" s="16"/>
      <c r="ME834" s="16"/>
      <c r="MF834" s="16"/>
      <c r="MG834" s="16"/>
      <c r="MH834" s="16"/>
      <c r="MI834" s="16"/>
      <c r="MJ834" s="16"/>
      <c r="MK834" s="16"/>
      <c r="ML834" s="16"/>
      <c r="MM834" s="16"/>
      <c r="MN834" s="16"/>
      <c r="MO834" s="16"/>
      <c r="MP834" s="16"/>
      <c r="MQ834" s="16"/>
      <c r="MR834" s="16"/>
      <c r="MS834" s="16"/>
      <c r="MT834" s="16"/>
      <c r="MU834" s="16"/>
      <c r="MV834" s="16"/>
      <c r="MW834" s="16"/>
      <c r="MX834" s="16"/>
      <c r="MY834" s="16"/>
      <c r="MZ834" s="16"/>
      <c r="NA834" s="16"/>
      <c r="NB834" s="16"/>
      <c r="NC834" s="16"/>
      <c r="ND834" s="16"/>
      <c r="NE834" s="16"/>
      <c r="NF834" s="16"/>
      <c r="NG834" s="16"/>
      <c r="NH834" s="16"/>
      <c r="NI834" s="16"/>
      <c r="NJ834" s="16"/>
      <c r="NK834" s="16"/>
      <c r="NL834" s="16"/>
      <c r="NM834" s="16"/>
      <c r="NN834" s="16"/>
      <c r="NO834" s="16"/>
      <c r="NP834" s="16"/>
      <c r="NQ834" s="16"/>
      <c r="NR834" s="16"/>
      <c r="NS834" s="16"/>
      <c r="NT834" s="16"/>
      <c r="NU834" s="16"/>
      <c r="NV834" s="16"/>
      <c r="NW834" s="16"/>
      <c r="NX834" s="16"/>
      <c r="NY834" s="16"/>
      <c r="NZ834" s="16"/>
      <c r="OA834" s="16"/>
      <c r="OB834" s="16"/>
      <c r="OC834" s="16"/>
      <c r="OD834" s="16"/>
      <c r="OE834" s="16"/>
      <c r="OF834" s="16"/>
      <c r="OG834" s="16"/>
      <c r="OH834" s="16"/>
      <c r="OI834" s="16"/>
      <c r="OJ834" s="16"/>
      <c r="OK834" s="16"/>
      <c r="OL834" s="16"/>
      <c r="OM834" s="16"/>
      <c r="ON834" s="16"/>
      <c r="OO834" s="16"/>
      <c r="OP834" s="16"/>
      <c r="OQ834" s="16"/>
      <c r="OR834" s="16"/>
      <c r="OS834" s="16"/>
      <c r="OT834" s="16"/>
      <c r="OU834" s="16"/>
      <c r="OV834" s="16"/>
      <c r="OW834" s="16"/>
      <c r="OX834" s="16"/>
      <c r="OY834" s="16"/>
      <c r="OZ834" s="16"/>
      <c r="PA834" s="16"/>
      <c r="PB834" s="16"/>
      <c r="PC834" s="16"/>
      <c r="PD834" s="16"/>
      <c r="PE834" s="16"/>
      <c r="PF834" s="16"/>
      <c r="PG834" s="16"/>
      <c r="PH834" s="16"/>
      <c r="PI834" s="16"/>
      <c r="PJ834" s="16"/>
      <c r="PK834" s="16"/>
      <c r="PL834" s="16"/>
      <c r="PM834" s="16"/>
      <c r="PN834" s="16"/>
      <c r="PO834" s="16"/>
      <c r="PP834" s="16"/>
      <c r="PQ834" s="16"/>
      <c r="PR834" s="16"/>
      <c r="PS834" s="16"/>
      <c r="PT834" s="16"/>
      <c r="PU834" s="16"/>
      <c r="PV834" s="16"/>
      <c r="PW834" s="16"/>
      <c r="PX834" s="16"/>
      <c r="PY834" s="16"/>
      <c r="PZ834" s="16"/>
      <c r="QA834" s="16"/>
      <c r="QB834" s="16"/>
      <c r="QC834" s="16"/>
      <c r="QD834" s="16"/>
      <c r="QE834" s="16"/>
      <c r="QF834" s="16"/>
      <c r="QG834" s="16"/>
      <c r="QH834" s="16"/>
      <c r="QI834" s="16"/>
      <c r="QJ834" s="16"/>
      <c r="QK834" s="16"/>
      <c r="QL834" s="16"/>
      <c r="QM834" s="16"/>
      <c r="QN834" s="16"/>
      <c r="QO834" s="16"/>
      <c r="QP834" s="16"/>
      <c r="QQ834" s="16"/>
      <c r="QR834" s="16"/>
      <c r="QS834" s="16"/>
      <c r="QT834" s="16"/>
      <c r="QU834" s="16"/>
      <c r="QV834" s="16"/>
      <c r="QW834" s="16"/>
      <c r="QX834" s="16"/>
      <c r="QY834" s="16"/>
      <c r="QZ834" s="16"/>
      <c r="RA834" s="16"/>
      <c r="RB834" s="16"/>
      <c r="RC834" s="16"/>
      <c r="RD834" s="16"/>
      <c r="RE834" s="16"/>
      <c r="RF834" s="16"/>
      <c r="RG834" s="16"/>
      <c r="RH834" s="16"/>
      <c r="RI834" s="16"/>
      <c r="RJ834" s="16"/>
      <c r="RK834" s="16"/>
      <c r="RL834" s="16"/>
      <c r="RM834" s="16"/>
      <c r="RN834" s="16"/>
      <c r="RO834" s="16"/>
      <c r="RP834" s="16"/>
      <c r="RQ834" s="16"/>
      <c r="RR834" s="16"/>
      <c r="RS834" s="16"/>
      <c r="RT834" s="16"/>
      <c r="RU834" s="16"/>
      <c r="RV834" s="16"/>
      <c r="RW834" s="16"/>
      <c r="RX834" s="16"/>
      <c r="RY834" s="16"/>
      <c r="RZ834" s="16"/>
      <c r="SA834" s="16"/>
      <c r="SB834" s="16"/>
      <c r="SC834" s="16"/>
      <c r="SD834" s="16"/>
      <c r="SE834" s="16"/>
      <c r="SF834" s="16"/>
      <c r="SG834" s="16"/>
      <c r="SH834" s="16"/>
      <c r="SI834" s="16"/>
      <c r="SJ834" s="16"/>
      <c r="SK834" s="16"/>
      <c r="SL834" s="16"/>
      <c r="SM834" s="16"/>
      <c r="SN834" s="16"/>
      <c r="SO834" s="16"/>
      <c r="SP834" s="16"/>
      <c r="SQ834" s="16"/>
      <c r="SR834" s="16"/>
      <c r="SS834" s="16"/>
      <c r="ST834" s="16"/>
      <c r="SU834" s="16"/>
      <c r="SV834" s="16"/>
      <c r="SW834" s="16"/>
      <c r="SX834" s="16"/>
      <c r="SY834" s="16"/>
      <c r="SZ834" s="16"/>
      <c r="TA834" s="16"/>
      <c r="TB834" s="16"/>
      <c r="TC834" s="16"/>
      <c r="TD834" s="16"/>
      <c r="TE834" s="16"/>
      <c r="TF834" s="16"/>
      <c r="TG834" s="16"/>
      <c r="TH834" s="16"/>
      <c r="TI834" s="16"/>
      <c r="TJ834" s="16"/>
      <c r="TK834" s="16"/>
      <c r="TL834" s="16"/>
      <c r="TM834" s="16"/>
      <c r="TN834" s="16"/>
      <c r="TO834" s="16"/>
      <c r="TP834" s="16"/>
      <c r="TQ834" s="16"/>
      <c r="TR834" s="16"/>
      <c r="TS834" s="16"/>
      <c r="TT834" s="16"/>
      <c r="TU834" s="16"/>
      <c r="TV834" s="16"/>
      <c r="TW834" s="16"/>
      <c r="TX834" s="16"/>
      <c r="TY834" s="16"/>
      <c r="TZ834" s="16"/>
      <c r="UA834" s="16"/>
      <c r="UB834" s="16"/>
      <c r="UC834" s="16"/>
      <c r="UD834" s="16"/>
      <c r="UE834" s="16"/>
      <c r="UF834" s="16"/>
      <c r="UG834" s="16"/>
      <c r="UH834" s="16"/>
      <c r="UI834" s="16"/>
      <c r="UJ834" s="16"/>
      <c r="UK834" s="16"/>
      <c r="UL834" s="16"/>
      <c r="UM834" s="16"/>
      <c r="UN834" s="16"/>
      <c r="UO834" s="16"/>
      <c r="UP834" s="16"/>
      <c r="UQ834" s="16"/>
      <c r="UR834" s="16"/>
      <c r="US834" s="16"/>
      <c r="UT834" s="16"/>
      <c r="UU834" s="16"/>
      <c r="UV834" s="16"/>
      <c r="UW834" s="16"/>
      <c r="UX834" s="16"/>
      <c r="UY834" s="16"/>
      <c r="UZ834" s="16"/>
      <c r="VA834" s="16"/>
      <c r="VB834" s="16"/>
      <c r="VC834" s="16"/>
      <c r="VD834" s="16"/>
      <c r="VE834" s="16"/>
      <c r="VF834" s="16"/>
      <c r="VG834" s="16"/>
      <c r="VH834" s="16"/>
      <c r="VI834" s="16"/>
      <c r="VJ834" s="16"/>
      <c r="VK834" s="16"/>
      <c r="VL834" s="16"/>
      <c r="VM834" s="16"/>
      <c r="VN834" s="16"/>
      <c r="VO834" s="16"/>
      <c r="VP834" s="16"/>
      <c r="VQ834" s="16"/>
      <c r="VR834" s="16"/>
      <c r="VS834" s="16"/>
      <c r="VT834" s="16"/>
      <c r="VU834" s="16"/>
      <c r="VV834" s="16"/>
      <c r="VW834" s="16"/>
      <c r="VX834" s="16"/>
      <c r="VY834" s="16"/>
      <c r="VZ834" s="16"/>
      <c r="WA834" s="16"/>
      <c r="WB834" s="16"/>
      <c r="WC834" s="16"/>
      <c r="WD834" s="16"/>
      <c r="WE834" s="16"/>
      <c r="WF834" s="16"/>
      <c r="WG834" s="16"/>
      <c r="WH834" s="16"/>
      <c r="WI834" s="16"/>
      <c r="WJ834" s="16"/>
      <c r="WK834" s="16"/>
      <c r="WL834" s="16"/>
      <c r="WM834" s="16"/>
      <c r="WN834" s="16"/>
      <c r="WO834" s="16"/>
      <c r="WP834" s="16"/>
      <c r="WQ834" s="16"/>
      <c r="WR834" s="16"/>
      <c r="WS834" s="16"/>
      <c r="WT834" s="16"/>
      <c r="WU834" s="16"/>
      <c r="WV834" s="16"/>
      <c r="WW834" s="16"/>
      <c r="WX834" s="16"/>
      <c r="WY834" s="16"/>
      <c r="WZ834" s="16"/>
      <c r="XA834" s="16"/>
      <c r="XB834" s="16"/>
      <c r="XC834" s="16"/>
      <c r="XD834" s="16"/>
      <c r="XE834" s="16"/>
      <c r="XF834" s="16"/>
      <c r="XG834" s="16"/>
      <c r="XH834" s="16"/>
      <c r="XI834" s="16"/>
      <c r="XJ834" s="16"/>
      <c r="XK834" s="16"/>
      <c r="XL834" s="16"/>
      <c r="XM834" s="16"/>
      <c r="XN834" s="16"/>
      <c r="XO834" s="16"/>
      <c r="XP834" s="16"/>
      <c r="XQ834" s="16"/>
      <c r="XR834" s="16"/>
      <c r="XS834" s="16"/>
      <c r="XT834" s="16"/>
      <c r="XU834" s="16"/>
      <c r="XV834" s="16"/>
      <c r="XW834" s="16"/>
      <c r="XX834" s="16"/>
      <c r="XY834" s="16"/>
      <c r="XZ834" s="16"/>
      <c r="YA834" s="16"/>
      <c r="YB834" s="16"/>
      <c r="YC834" s="16"/>
      <c r="YD834" s="16"/>
      <c r="YE834" s="16"/>
      <c r="YF834" s="16"/>
      <c r="YG834" s="16"/>
      <c r="YH834" s="16"/>
      <c r="YI834" s="16"/>
      <c r="YJ834" s="16"/>
      <c r="YK834" s="16"/>
      <c r="YL834" s="16"/>
      <c r="YM834" s="16"/>
      <c r="YN834" s="16"/>
      <c r="YO834" s="16"/>
      <c r="YP834" s="16"/>
      <c r="YQ834" s="16"/>
      <c r="YR834" s="16"/>
      <c r="YS834" s="16"/>
      <c r="YT834" s="16"/>
      <c r="YU834" s="16"/>
      <c r="YV834" s="16"/>
      <c r="YW834" s="16"/>
      <c r="YX834" s="16"/>
      <c r="YY834" s="16"/>
      <c r="YZ834" s="16"/>
      <c r="ZA834" s="16"/>
      <c r="ZB834" s="16"/>
      <c r="ZC834" s="16"/>
      <c r="ZD834" s="16"/>
      <c r="ZE834" s="16"/>
      <c r="ZF834" s="16"/>
      <c r="ZG834" s="16"/>
      <c r="ZH834" s="16"/>
      <c r="ZI834" s="16"/>
      <c r="ZJ834" s="16"/>
      <c r="ZK834" s="16"/>
      <c r="ZL834" s="16"/>
      <c r="ZM834" s="16"/>
      <c r="ZN834" s="16"/>
      <c r="ZO834" s="16"/>
      <c r="ZP834" s="16"/>
      <c r="ZQ834" s="16"/>
      <c r="ZR834" s="16"/>
      <c r="ZS834" s="16"/>
      <c r="ZT834" s="16"/>
      <c r="ZU834" s="16"/>
      <c r="ZV834" s="16"/>
      <c r="ZW834" s="16"/>
      <c r="ZX834" s="16"/>
      <c r="ZY834" s="16"/>
      <c r="ZZ834" s="16"/>
      <c r="AAA834" s="16"/>
      <c r="AAB834" s="16"/>
      <c r="AAC834" s="16"/>
      <c r="AAD834" s="16"/>
      <c r="AAE834" s="16"/>
      <c r="AAF834" s="16"/>
      <c r="AAG834" s="16"/>
      <c r="AAH834" s="16"/>
      <c r="AAI834" s="16"/>
      <c r="AAJ834" s="16"/>
      <c r="AAK834" s="16"/>
      <c r="AAL834" s="16"/>
      <c r="AAM834" s="16"/>
      <c r="AAN834" s="16"/>
      <c r="AAO834" s="16"/>
      <c r="AAP834" s="16"/>
      <c r="AAQ834" s="16"/>
      <c r="AAR834" s="16"/>
      <c r="AAS834" s="16"/>
      <c r="AAT834" s="16"/>
      <c r="AAU834" s="16"/>
      <c r="AAV834" s="16"/>
      <c r="AAW834" s="16"/>
      <c r="AAX834" s="16"/>
      <c r="AAY834" s="16"/>
      <c r="AAZ834" s="16"/>
      <c r="ABA834" s="16"/>
      <c r="ABB834" s="16"/>
      <c r="ABC834" s="16"/>
      <c r="ABD834" s="16"/>
      <c r="ABE834" s="16"/>
      <c r="ABF834" s="16"/>
      <c r="ABG834" s="16"/>
      <c r="ABH834" s="16"/>
      <c r="ABI834" s="16"/>
      <c r="ABJ834" s="16"/>
      <c r="ABK834" s="16"/>
      <c r="ABL834" s="16"/>
      <c r="ABM834" s="16"/>
      <c r="ABN834" s="16"/>
      <c r="ABO834" s="16"/>
      <c r="ABP834" s="16"/>
      <c r="ABQ834" s="16"/>
      <c r="ABR834" s="16"/>
      <c r="ABS834" s="16"/>
      <c r="ABT834" s="16"/>
      <c r="ABU834" s="16"/>
      <c r="ABV834" s="16"/>
      <c r="ABW834" s="16"/>
      <c r="ABX834" s="16"/>
      <c r="ABY834" s="16"/>
      <c r="ABZ834" s="16"/>
      <c r="ACA834" s="16"/>
      <c r="ACB834" s="16"/>
      <c r="ACC834" s="16"/>
      <c r="ACD834" s="16"/>
      <c r="ACE834" s="16"/>
      <c r="ACF834" s="16"/>
      <c r="ACG834" s="16"/>
      <c r="ACH834" s="16"/>
      <c r="ACI834" s="16"/>
      <c r="ACJ834" s="16"/>
      <c r="ACK834" s="16"/>
      <c r="ACL834" s="16"/>
      <c r="ACM834" s="16"/>
      <c r="ACN834" s="16"/>
      <c r="ACO834" s="16"/>
      <c r="ACP834" s="16"/>
      <c r="ACQ834" s="16"/>
      <c r="ACR834" s="16"/>
      <c r="ACS834" s="16"/>
      <c r="ACT834" s="16"/>
      <c r="ACU834" s="16"/>
      <c r="ACV834" s="16"/>
      <c r="ACW834" s="16"/>
      <c r="ACX834" s="16"/>
      <c r="ACY834" s="16"/>
      <c r="ACZ834" s="16"/>
      <c r="ADA834" s="16"/>
      <c r="ADB834" s="16"/>
      <c r="ADC834" s="16"/>
      <c r="ADD834" s="16"/>
      <c r="ADE834" s="16"/>
      <c r="ADF834" s="16"/>
      <c r="ADG834" s="16"/>
      <c r="ADH834" s="16"/>
      <c r="ADI834" s="16"/>
      <c r="ADJ834" s="16"/>
      <c r="ADK834" s="16"/>
      <c r="ADL834" s="16"/>
      <c r="ADM834" s="16"/>
      <c r="ADN834" s="16"/>
      <c r="ADO834" s="16"/>
      <c r="ADP834" s="16"/>
      <c r="ADQ834" s="16"/>
      <c r="ADR834" s="16"/>
      <c r="ADS834" s="16"/>
      <c r="ADT834" s="16"/>
      <c r="ADU834" s="16"/>
      <c r="ADV834" s="16"/>
      <c r="ADW834" s="16"/>
      <c r="ADX834" s="16"/>
      <c r="ADY834" s="16"/>
      <c r="ADZ834" s="16"/>
      <c r="AEA834" s="16"/>
      <c r="AEB834" s="16"/>
      <c r="AEC834" s="16"/>
      <c r="AED834" s="16"/>
      <c r="AEE834" s="16"/>
      <c r="AEF834" s="16"/>
      <c r="AEG834" s="16"/>
      <c r="AEH834" s="16"/>
      <c r="AEI834" s="16"/>
      <c r="AEJ834" s="16"/>
      <c r="AEK834" s="16"/>
      <c r="AEL834" s="16"/>
      <c r="AEM834" s="16"/>
      <c r="AEN834" s="16"/>
      <c r="AEO834" s="16"/>
      <c r="AEP834" s="16"/>
      <c r="AEQ834" s="16"/>
      <c r="AER834" s="16"/>
      <c r="AES834" s="16"/>
      <c r="AET834" s="16"/>
      <c r="AEU834" s="16"/>
      <c r="AEV834" s="16"/>
      <c r="AEW834" s="16"/>
      <c r="AEX834" s="16"/>
      <c r="AEY834" s="16"/>
      <c r="AEZ834" s="16"/>
      <c r="AFA834" s="16"/>
      <c r="AFB834" s="16"/>
      <c r="AFC834" s="16"/>
      <c r="AFD834" s="16"/>
      <c r="AFE834" s="16"/>
      <c r="AFF834" s="16"/>
      <c r="AFG834" s="16"/>
      <c r="AFH834" s="16"/>
      <c r="AFI834" s="16"/>
      <c r="AFJ834" s="16"/>
      <c r="AFK834" s="16"/>
      <c r="AFL834" s="16"/>
      <c r="AFM834" s="16"/>
      <c r="AFN834" s="16"/>
      <c r="AFO834" s="16"/>
      <c r="AFP834" s="16"/>
      <c r="AFQ834" s="16"/>
      <c r="AFR834" s="16"/>
      <c r="AFS834" s="16"/>
      <c r="AFT834" s="16"/>
      <c r="AFU834" s="16"/>
      <c r="AFV834" s="16"/>
      <c r="AFW834" s="16"/>
      <c r="AFX834" s="16"/>
      <c r="AFY834" s="16"/>
      <c r="AFZ834" s="16"/>
      <c r="AGA834" s="16"/>
      <c r="AGB834" s="16"/>
      <c r="AGC834" s="16"/>
      <c r="AGD834" s="16"/>
      <c r="AGE834" s="16"/>
      <c r="AGF834" s="16"/>
      <c r="AGG834" s="16"/>
      <c r="AGH834" s="16"/>
      <c r="AGI834" s="16"/>
      <c r="AGJ834" s="16"/>
    </row>
    <row r="835" spans="1:868" hidden="1">
      <c r="A835" s="152" t="s">
        <v>121</v>
      </c>
      <c r="B835" s="34" t="s">
        <v>346</v>
      </c>
      <c r="C835" s="40" t="s">
        <v>139</v>
      </c>
      <c r="D835" s="34" t="s">
        <v>95</v>
      </c>
      <c r="E835" s="260">
        <v>0.12292818474177457</v>
      </c>
      <c r="F835" s="235">
        <v>1</v>
      </c>
      <c r="G835" s="40"/>
      <c r="H835" s="29">
        <v>2</v>
      </c>
      <c r="I835" s="9">
        <v>2</v>
      </c>
      <c r="J835" s="9">
        <v>2</v>
      </c>
      <c r="K835" s="9">
        <v>2</v>
      </c>
      <c r="L835" s="9">
        <v>1</v>
      </c>
      <c r="M835" s="9">
        <v>2</v>
      </c>
      <c r="N835" s="186">
        <f t="shared" si="63"/>
        <v>0.38795788889711302</v>
      </c>
      <c r="O835" s="160">
        <f t="shared" si="64"/>
        <v>0.38795788889711302</v>
      </c>
      <c r="P835" s="63"/>
    </row>
    <row r="836" spans="1:868" hidden="1">
      <c r="A836" s="152" t="s">
        <v>121</v>
      </c>
      <c r="B836" s="34" t="s">
        <v>346</v>
      </c>
      <c r="C836" s="40" t="s">
        <v>139</v>
      </c>
      <c r="D836" s="34" t="s">
        <v>99</v>
      </c>
      <c r="E836" s="260">
        <v>0.72436500470366871</v>
      </c>
      <c r="F836" s="235">
        <v>1</v>
      </c>
      <c r="G836" s="40"/>
      <c r="H836" s="29">
        <v>2</v>
      </c>
      <c r="I836" s="9">
        <v>2</v>
      </c>
      <c r="J836" s="9">
        <v>2</v>
      </c>
      <c r="K836" s="9">
        <v>2</v>
      </c>
      <c r="L836" s="9">
        <v>1</v>
      </c>
      <c r="M836" s="9">
        <v>2</v>
      </c>
      <c r="N836" s="186">
        <f t="shared" si="63"/>
        <v>0.38795788889711302</v>
      </c>
      <c r="O836" s="160">
        <f t="shared" si="64"/>
        <v>0.38795788889711302</v>
      </c>
      <c r="P836" s="63"/>
    </row>
    <row r="837" spans="1:868" hidden="1">
      <c r="A837" s="152" t="s">
        <v>121</v>
      </c>
      <c r="B837" s="34" t="s">
        <v>348</v>
      </c>
      <c r="C837" s="40" t="s">
        <v>139</v>
      </c>
      <c r="D837" s="34" t="s">
        <v>85</v>
      </c>
      <c r="E837" s="260">
        <v>0</v>
      </c>
      <c r="F837" s="235">
        <v>1</v>
      </c>
      <c r="G837" s="40"/>
      <c r="H837" s="29"/>
      <c r="I837" s="9"/>
      <c r="J837" s="9"/>
      <c r="K837" s="9"/>
      <c r="L837" s="9"/>
      <c r="M837" s="9"/>
      <c r="N837" s="186" t="str">
        <f t="shared" si="63"/>
        <v/>
      </c>
      <c r="O837" s="160" t="str">
        <f t="shared" si="64"/>
        <v/>
      </c>
      <c r="P837" s="63"/>
    </row>
    <row r="838" spans="1:868" hidden="1">
      <c r="A838" s="152" t="s">
        <v>121</v>
      </c>
      <c r="B838" s="34" t="s">
        <v>348</v>
      </c>
      <c r="C838" s="40" t="s">
        <v>139</v>
      </c>
      <c r="D838" s="34" t="s">
        <v>86</v>
      </c>
      <c r="E838" s="260">
        <v>0</v>
      </c>
      <c r="F838" s="235">
        <v>1</v>
      </c>
      <c r="G838" s="40"/>
      <c r="H838" s="29"/>
      <c r="I838" s="9"/>
      <c r="J838" s="9"/>
      <c r="K838" s="9"/>
      <c r="L838" s="9"/>
      <c r="M838" s="9"/>
      <c r="N838" s="186" t="str">
        <f t="shared" si="63"/>
        <v/>
      </c>
      <c r="O838" s="160" t="str">
        <f t="shared" si="64"/>
        <v/>
      </c>
      <c r="P838" s="63"/>
    </row>
    <row r="839" spans="1:868" hidden="1">
      <c r="A839" s="152" t="s">
        <v>121</v>
      </c>
      <c r="B839" s="34" t="s">
        <v>348</v>
      </c>
      <c r="C839" s="40" t="s">
        <v>139</v>
      </c>
      <c r="D839" s="34" t="s">
        <v>87</v>
      </c>
      <c r="E839" s="260">
        <v>0.16934867262931416</v>
      </c>
      <c r="F839" s="235">
        <v>1</v>
      </c>
      <c r="G839" s="40"/>
      <c r="H839" s="29">
        <v>2</v>
      </c>
      <c r="I839" s="9">
        <v>2</v>
      </c>
      <c r="J839" s="9">
        <v>2</v>
      </c>
      <c r="K839" s="9">
        <v>2</v>
      </c>
      <c r="L839" s="9">
        <v>1</v>
      </c>
      <c r="M839" s="9">
        <v>2</v>
      </c>
      <c r="N839" s="186">
        <f t="shared" si="63"/>
        <v>0.38795788889711302</v>
      </c>
      <c r="O839" s="160">
        <f t="shared" si="64"/>
        <v>0.38795788889711302</v>
      </c>
      <c r="P839" s="63"/>
    </row>
    <row r="840" spans="1:868" hidden="1">
      <c r="A840" s="152" t="s">
        <v>121</v>
      </c>
      <c r="B840" s="34" t="s">
        <v>348</v>
      </c>
      <c r="C840" s="40" t="s">
        <v>139</v>
      </c>
      <c r="D840" s="34" t="s">
        <v>88</v>
      </c>
      <c r="E840" s="260">
        <v>0</v>
      </c>
      <c r="F840" s="235">
        <v>1</v>
      </c>
      <c r="G840" s="40"/>
      <c r="H840" s="29"/>
      <c r="I840" s="9"/>
      <c r="J840" s="9"/>
      <c r="K840" s="9"/>
      <c r="L840" s="9"/>
      <c r="M840" s="9"/>
      <c r="N840" s="186" t="str">
        <f t="shared" si="63"/>
        <v/>
      </c>
      <c r="O840" s="160" t="str">
        <f t="shared" si="64"/>
        <v/>
      </c>
      <c r="P840" s="63"/>
    </row>
    <row r="841" spans="1:868" hidden="1">
      <c r="A841" s="152" t="s">
        <v>121</v>
      </c>
      <c r="B841" s="34" t="s">
        <v>348</v>
      </c>
      <c r="C841" s="40" t="s">
        <v>139</v>
      </c>
      <c r="D841" s="34" t="s">
        <v>89</v>
      </c>
      <c r="E841" s="260">
        <v>0</v>
      </c>
      <c r="F841" s="235">
        <v>1</v>
      </c>
      <c r="G841" s="40"/>
      <c r="H841" s="29"/>
      <c r="I841" s="9"/>
      <c r="J841" s="9"/>
      <c r="K841" s="9"/>
      <c r="L841" s="9"/>
      <c r="M841" s="9"/>
      <c r="N841" s="186" t="str">
        <f t="shared" si="63"/>
        <v/>
      </c>
      <c r="O841" s="160" t="str">
        <f t="shared" si="64"/>
        <v/>
      </c>
      <c r="P841" s="63"/>
    </row>
    <row r="842" spans="1:868" hidden="1">
      <c r="A842" s="152" t="s">
        <v>121</v>
      </c>
      <c r="B842" s="34" t="s">
        <v>348</v>
      </c>
      <c r="C842" s="40" t="s">
        <v>139</v>
      </c>
      <c r="D842" s="34" t="s">
        <v>90</v>
      </c>
      <c r="E842" s="260">
        <v>0</v>
      </c>
      <c r="F842" s="235">
        <v>1</v>
      </c>
      <c r="G842" s="40"/>
      <c r="H842" s="29"/>
      <c r="I842" s="9"/>
      <c r="J842" s="9"/>
      <c r="K842" s="9"/>
      <c r="L842" s="9"/>
      <c r="M842" s="9"/>
      <c r="N842" s="186" t="str">
        <f t="shared" si="63"/>
        <v/>
      </c>
      <c r="O842" s="160" t="str">
        <f t="shared" si="64"/>
        <v/>
      </c>
      <c r="P842" s="63"/>
    </row>
    <row r="843" spans="1:868" s="211" customFormat="1" ht="15.75" hidden="1" thickBot="1">
      <c r="A843" s="152" t="s">
        <v>121</v>
      </c>
      <c r="B843" s="34" t="s">
        <v>348</v>
      </c>
      <c r="C843" s="40" t="s">
        <v>139</v>
      </c>
      <c r="D843" s="34" t="s">
        <v>91</v>
      </c>
      <c r="E843" s="260">
        <v>0.17788403171430972</v>
      </c>
      <c r="F843" s="235">
        <v>1</v>
      </c>
      <c r="G843" s="40"/>
      <c r="H843" s="29">
        <v>2</v>
      </c>
      <c r="I843" s="9">
        <v>2</v>
      </c>
      <c r="J843" s="9">
        <v>2</v>
      </c>
      <c r="K843" s="9">
        <v>2</v>
      </c>
      <c r="L843" s="9">
        <v>1</v>
      </c>
      <c r="M843" s="9">
        <v>2</v>
      </c>
      <c r="N843" s="186">
        <f t="shared" si="63"/>
        <v>0.38795788889711302</v>
      </c>
      <c r="O843" s="160">
        <f t="shared" si="64"/>
        <v>0.38795788889711302</v>
      </c>
      <c r="P843" s="63"/>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c r="CX843" s="16"/>
      <c r="CY843" s="16"/>
      <c r="CZ843" s="16"/>
      <c r="DA843" s="16"/>
      <c r="DB843" s="16"/>
      <c r="DC843" s="16"/>
      <c r="DD843" s="16"/>
      <c r="DE843" s="16"/>
      <c r="DF843" s="16"/>
      <c r="DG843" s="16"/>
      <c r="DH843" s="16"/>
      <c r="DI843" s="16"/>
      <c r="DJ843" s="16"/>
      <c r="DK843" s="16"/>
      <c r="DL843" s="16"/>
      <c r="DM843" s="16"/>
      <c r="DN843" s="16"/>
      <c r="DO843" s="16"/>
      <c r="DP843" s="16"/>
      <c r="DQ843" s="16"/>
      <c r="DR843" s="16"/>
      <c r="DS843" s="16"/>
      <c r="DT843" s="16"/>
      <c r="DU843" s="16"/>
      <c r="DV843" s="16"/>
      <c r="DW843" s="16"/>
      <c r="DX843" s="16"/>
      <c r="DY843" s="16"/>
      <c r="DZ843" s="16"/>
      <c r="EA843" s="16"/>
      <c r="EB843" s="16"/>
      <c r="EC843" s="16"/>
      <c r="ED843" s="16"/>
      <c r="EE843" s="16"/>
      <c r="EF843" s="16"/>
      <c r="EG843" s="16"/>
      <c r="EH843" s="16"/>
      <c r="EI843" s="16"/>
      <c r="EJ843" s="16"/>
      <c r="EK843" s="16"/>
      <c r="EL843" s="16"/>
      <c r="EM843" s="16"/>
      <c r="EN843" s="16"/>
      <c r="EO843" s="16"/>
      <c r="EP843" s="16"/>
      <c r="EQ843" s="16"/>
      <c r="ER843" s="16"/>
      <c r="ES843" s="16"/>
      <c r="ET843" s="16"/>
      <c r="EU843" s="16"/>
      <c r="EV843" s="16"/>
      <c r="EW843" s="16"/>
      <c r="EX843" s="16"/>
      <c r="EY843" s="16"/>
      <c r="EZ843" s="16"/>
      <c r="FA843" s="16"/>
      <c r="FB843" s="16"/>
      <c r="FC843" s="16"/>
      <c r="FD843" s="16"/>
      <c r="FE843" s="16"/>
      <c r="FF843" s="16"/>
      <c r="FG843" s="16"/>
      <c r="FH843" s="16"/>
      <c r="FI843" s="16"/>
      <c r="FJ843" s="16"/>
      <c r="FK843" s="16"/>
      <c r="FL843" s="16"/>
      <c r="FM843" s="16"/>
      <c r="FN843" s="16"/>
      <c r="FO843" s="16"/>
      <c r="FP843" s="16"/>
      <c r="FQ843" s="16"/>
      <c r="FR843" s="16"/>
      <c r="FS843" s="16"/>
      <c r="FT843" s="16"/>
      <c r="FU843" s="16"/>
      <c r="FV843" s="16"/>
      <c r="FW843" s="16"/>
      <c r="FX843" s="16"/>
      <c r="FY843" s="16"/>
      <c r="FZ843" s="16"/>
      <c r="GA843" s="16"/>
      <c r="GB843" s="16"/>
      <c r="GC843" s="16"/>
      <c r="GD843" s="16"/>
      <c r="GE843" s="16"/>
      <c r="GF843" s="16"/>
      <c r="GG843" s="16"/>
      <c r="GH843" s="16"/>
      <c r="GI843" s="16"/>
      <c r="GJ843" s="16"/>
      <c r="GK843" s="16"/>
      <c r="GL843" s="16"/>
      <c r="GM843" s="16"/>
      <c r="GN843" s="16"/>
      <c r="GO843" s="16"/>
      <c r="GP843" s="16"/>
      <c r="GQ843" s="16"/>
      <c r="GR843" s="16"/>
      <c r="GS843" s="16"/>
      <c r="GT843" s="16"/>
      <c r="GU843" s="16"/>
      <c r="GV843" s="16"/>
      <c r="GW843" s="16"/>
      <c r="GX843" s="16"/>
      <c r="GY843" s="16"/>
      <c r="GZ843" s="16"/>
      <c r="HA843" s="16"/>
      <c r="HB843" s="16"/>
      <c r="HC843" s="16"/>
      <c r="HD843" s="16"/>
      <c r="HE843" s="16"/>
      <c r="HF843" s="16"/>
      <c r="HG843" s="16"/>
      <c r="HH843" s="16"/>
      <c r="HI843" s="16"/>
      <c r="HJ843" s="16"/>
      <c r="HK843" s="16"/>
      <c r="HL843" s="16"/>
      <c r="HM843" s="16"/>
      <c r="HN843" s="16"/>
      <c r="HO843" s="16"/>
      <c r="HP843" s="16"/>
      <c r="HQ843" s="16"/>
      <c r="HR843" s="16"/>
      <c r="HS843" s="16"/>
      <c r="HT843" s="16"/>
      <c r="HU843" s="16"/>
      <c r="HV843" s="16"/>
      <c r="HW843" s="16"/>
      <c r="HX843" s="16"/>
      <c r="HY843" s="16"/>
      <c r="HZ843" s="16"/>
      <c r="IA843" s="16"/>
      <c r="IB843" s="16"/>
      <c r="IC843" s="16"/>
      <c r="ID843" s="16"/>
      <c r="IE843" s="16"/>
      <c r="IF843" s="16"/>
      <c r="IG843" s="16"/>
      <c r="IH843" s="16"/>
      <c r="II843" s="16"/>
      <c r="IJ843" s="16"/>
      <c r="IK843" s="16"/>
      <c r="IL843" s="16"/>
      <c r="IM843" s="16"/>
      <c r="IN843" s="16"/>
      <c r="IO843" s="16"/>
      <c r="IP843" s="16"/>
      <c r="IQ843" s="16"/>
      <c r="IR843" s="16"/>
      <c r="IS843" s="16"/>
      <c r="IT843" s="16"/>
      <c r="IU843" s="16"/>
      <c r="IV843" s="16"/>
      <c r="IW843" s="16"/>
      <c r="IX843" s="16"/>
      <c r="IY843" s="16"/>
      <c r="IZ843" s="16"/>
      <c r="JA843" s="16"/>
      <c r="JB843" s="16"/>
      <c r="JC843" s="16"/>
      <c r="JD843" s="16"/>
      <c r="JE843" s="16"/>
      <c r="JF843" s="16"/>
      <c r="JG843" s="16"/>
      <c r="JH843" s="16"/>
      <c r="JI843" s="16"/>
      <c r="JJ843" s="16"/>
      <c r="JK843" s="16"/>
      <c r="JL843" s="16"/>
      <c r="JM843" s="16"/>
      <c r="JN843" s="16"/>
      <c r="JO843" s="16"/>
      <c r="JP843" s="16"/>
      <c r="JQ843" s="16"/>
      <c r="JR843" s="16"/>
      <c r="JS843" s="16"/>
      <c r="JT843" s="16"/>
      <c r="JU843" s="16"/>
      <c r="JV843" s="16"/>
      <c r="JW843" s="16"/>
      <c r="JX843" s="16"/>
      <c r="JY843" s="16"/>
      <c r="JZ843" s="16"/>
      <c r="KA843" s="16"/>
      <c r="KB843" s="16"/>
      <c r="KC843" s="16"/>
      <c r="KD843" s="16"/>
      <c r="KE843" s="16"/>
      <c r="KF843" s="16"/>
      <c r="KG843" s="16"/>
      <c r="KH843" s="16"/>
      <c r="KI843" s="16"/>
      <c r="KJ843" s="16"/>
      <c r="KK843" s="16"/>
      <c r="KL843" s="16"/>
      <c r="KM843" s="16"/>
      <c r="KN843" s="16"/>
      <c r="KO843" s="16"/>
      <c r="KP843" s="16"/>
      <c r="KQ843" s="16"/>
      <c r="KR843" s="16"/>
      <c r="KS843" s="16"/>
      <c r="KT843" s="16"/>
      <c r="KU843" s="16"/>
      <c r="KV843" s="16"/>
      <c r="KW843" s="16"/>
      <c r="KX843" s="16"/>
      <c r="KY843" s="16"/>
      <c r="KZ843" s="16"/>
      <c r="LA843" s="16"/>
      <c r="LB843" s="16"/>
      <c r="LC843" s="16"/>
      <c r="LD843" s="16"/>
      <c r="LE843" s="16"/>
      <c r="LF843" s="16"/>
      <c r="LG843" s="16"/>
      <c r="LH843" s="16"/>
      <c r="LI843" s="16"/>
      <c r="LJ843" s="16"/>
      <c r="LK843" s="16"/>
      <c r="LL843" s="16"/>
      <c r="LM843" s="16"/>
      <c r="LN843" s="16"/>
      <c r="LO843" s="16"/>
      <c r="LP843" s="16"/>
      <c r="LQ843" s="16"/>
      <c r="LR843" s="16"/>
      <c r="LS843" s="16"/>
      <c r="LT843" s="16"/>
      <c r="LU843" s="16"/>
      <c r="LV843" s="16"/>
      <c r="LW843" s="16"/>
      <c r="LX843" s="16"/>
      <c r="LY843" s="16"/>
      <c r="LZ843" s="16"/>
      <c r="MA843" s="16"/>
      <c r="MB843" s="16"/>
      <c r="MC843" s="16"/>
      <c r="MD843" s="16"/>
      <c r="ME843" s="16"/>
      <c r="MF843" s="16"/>
      <c r="MG843" s="16"/>
      <c r="MH843" s="16"/>
      <c r="MI843" s="16"/>
      <c r="MJ843" s="16"/>
      <c r="MK843" s="16"/>
      <c r="ML843" s="16"/>
      <c r="MM843" s="16"/>
      <c r="MN843" s="16"/>
      <c r="MO843" s="16"/>
      <c r="MP843" s="16"/>
      <c r="MQ843" s="16"/>
      <c r="MR843" s="16"/>
      <c r="MS843" s="16"/>
      <c r="MT843" s="16"/>
      <c r="MU843" s="16"/>
      <c r="MV843" s="16"/>
      <c r="MW843" s="16"/>
      <c r="MX843" s="16"/>
      <c r="MY843" s="16"/>
      <c r="MZ843" s="16"/>
      <c r="NA843" s="16"/>
      <c r="NB843" s="16"/>
      <c r="NC843" s="16"/>
      <c r="ND843" s="16"/>
      <c r="NE843" s="16"/>
      <c r="NF843" s="16"/>
      <c r="NG843" s="16"/>
      <c r="NH843" s="16"/>
      <c r="NI843" s="16"/>
      <c r="NJ843" s="16"/>
      <c r="NK843" s="16"/>
      <c r="NL843" s="16"/>
      <c r="NM843" s="16"/>
      <c r="NN843" s="16"/>
      <c r="NO843" s="16"/>
      <c r="NP843" s="16"/>
      <c r="NQ843" s="16"/>
      <c r="NR843" s="16"/>
      <c r="NS843" s="16"/>
      <c r="NT843" s="16"/>
      <c r="NU843" s="16"/>
      <c r="NV843" s="16"/>
      <c r="NW843" s="16"/>
      <c r="NX843" s="16"/>
      <c r="NY843" s="16"/>
      <c r="NZ843" s="16"/>
      <c r="OA843" s="16"/>
      <c r="OB843" s="16"/>
      <c r="OC843" s="16"/>
      <c r="OD843" s="16"/>
      <c r="OE843" s="16"/>
      <c r="OF843" s="16"/>
      <c r="OG843" s="16"/>
      <c r="OH843" s="16"/>
      <c r="OI843" s="16"/>
      <c r="OJ843" s="16"/>
      <c r="OK843" s="16"/>
      <c r="OL843" s="16"/>
      <c r="OM843" s="16"/>
      <c r="ON843" s="16"/>
      <c r="OO843" s="16"/>
      <c r="OP843" s="16"/>
      <c r="OQ843" s="16"/>
      <c r="OR843" s="16"/>
      <c r="OS843" s="16"/>
      <c r="OT843" s="16"/>
      <c r="OU843" s="16"/>
      <c r="OV843" s="16"/>
      <c r="OW843" s="16"/>
      <c r="OX843" s="16"/>
      <c r="OY843" s="16"/>
      <c r="OZ843" s="16"/>
      <c r="PA843" s="16"/>
      <c r="PB843" s="16"/>
      <c r="PC843" s="16"/>
      <c r="PD843" s="16"/>
      <c r="PE843" s="16"/>
      <c r="PF843" s="16"/>
      <c r="PG843" s="16"/>
      <c r="PH843" s="16"/>
      <c r="PI843" s="16"/>
      <c r="PJ843" s="16"/>
      <c r="PK843" s="16"/>
      <c r="PL843" s="16"/>
      <c r="PM843" s="16"/>
      <c r="PN843" s="16"/>
      <c r="PO843" s="16"/>
      <c r="PP843" s="16"/>
      <c r="PQ843" s="16"/>
      <c r="PR843" s="16"/>
      <c r="PS843" s="16"/>
      <c r="PT843" s="16"/>
      <c r="PU843" s="16"/>
      <c r="PV843" s="16"/>
      <c r="PW843" s="16"/>
      <c r="PX843" s="16"/>
      <c r="PY843" s="16"/>
      <c r="PZ843" s="16"/>
      <c r="QA843" s="16"/>
      <c r="QB843" s="16"/>
      <c r="QC843" s="16"/>
      <c r="QD843" s="16"/>
      <c r="QE843" s="16"/>
      <c r="QF843" s="16"/>
      <c r="QG843" s="16"/>
      <c r="QH843" s="16"/>
      <c r="QI843" s="16"/>
      <c r="QJ843" s="16"/>
      <c r="QK843" s="16"/>
      <c r="QL843" s="16"/>
      <c r="QM843" s="16"/>
      <c r="QN843" s="16"/>
      <c r="QO843" s="16"/>
      <c r="QP843" s="16"/>
      <c r="QQ843" s="16"/>
      <c r="QR843" s="16"/>
      <c r="QS843" s="16"/>
      <c r="QT843" s="16"/>
      <c r="QU843" s="16"/>
      <c r="QV843" s="16"/>
      <c r="QW843" s="16"/>
      <c r="QX843" s="16"/>
      <c r="QY843" s="16"/>
      <c r="QZ843" s="16"/>
      <c r="RA843" s="16"/>
      <c r="RB843" s="16"/>
      <c r="RC843" s="16"/>
      <c r="RD843" s="16"/>
      <c r="RE843" s="16"/>
      <c r="RF843" s="16"/>
      <c r="RG843" s="16"/>
      <c r="RH843" s="16"/>
      <c r="RI843" s="16"/>
      <c r="RJ843" s="16"/>
      <c r="RK843" s="16"/>
      <c r="RL843" s="16"/>
      <c r="RM843" s="16"/>
      <c r="RN843" s="16"/>
      <c r="RO843" s="16"/>
      <c r="RP843" s="16"/>
      <c r="RQ843" s="16"/>
      <c r="RR843" s="16"/>
      <c r="RS843" s="16"/>
      <c r="RT843" s="16"/>
      <c r="RU843" s="16"/>
      <c r="RV843" s="16"/>
      <c r="RW843" s="16"/>
      <c r="RX843" s="16"/>
      <c r="RY843" s="16"/>
      <c r="RZ843" s="16"/>
      <c r="SA843" s="16"/>
      <c r="SB843" s="16"/>
      <c r="SC843" s="16"/>
      <c r="SD843" s="16"/>
      <c r="SE843" s="16"/>
      <c r="SF843" s="16"/>
      <c r="SG843" s="16"/>
      <c r="SH843" s="16"/>
      <c r="SI843" s="16"/>
      <c r="SJ843" s="16"/>
      <c r="SK843" s="16"/>
      <c r="SL843" s="16"/>
      <c r="SM843" s="16"/>
      <c r="SN843" s="16"/>
      <c r="SO843" s="16"/>
      <c r="SP843" s="16"/>
      <c r="SQ843" s="16"/>
      <c r="SR843" s="16"/>
      <c r="SS843" s="16"/>
      <c r="ST843" s="16"/>
      <c r="SU843" s="16"/>
      <c r="SV843" s="16"/>
      <c r="SW843" s="16"/>
      <c r="SX843" s="16"/>
      <c r="SY843" s="16"/>
      <c r="SZ843" s="16"/>
      <c r="TA843" s="16"/>
      <c r="TB843" s="16"/>
      <c r="TC843" s="16"/>
      <c r="TD843" s="16"/>
      <c r="TE843" s="16"/>
      <c r="TF843" s="16"/>
      <c r="TG843" s="16"/>
      <c r="TH843" s="16"/>
      <c r="TI843" s="16"/>
      <c r="TJ843" s="16"/>
      <c r="TK843" s="16"/>
      <c r="TL843" s="16"/>
      <c r="TM843" s="16"/>
      <c r="TN843" s="16"/>
      <c r="TO843" s="16"/>
      <c r="TP843" s="16"/>
      <c r="TQ843" s="16"/>
      <c r="TR843" s="16"/>
      <c r="TS843" s="16"/>
      <c r="TT843" s="16"/>
      <c r="TU843" s="16"/>
      <c r="TV843" s="16"/>
      <c r="TW843" s="16"/>
      <c r="TX843" s="16"/>
      <c r="TY843" s="16"/>
      <c r="TZ843" s="16"/>
      <c r="UA843" s="16"/>
      <c r="UB843" s="16"/>
      <c r="UC843" s="16"/>
      <c r="UD843" s="16"/>
      <c r="UE843" s="16"/>
      <c r="UF843" s="16"/>
      <c r="UG843" s="16"/>
      <c r="UH843" s="16"/>
      <c r="UI843" s="16"/>
      <c r="UJ843" s="16"/>
      <c r="UK843" s="16"/>
      <c r="UL843" s="16"/>
      <c r="UM843" s="16"/>
      <c r="UN843" s="16"/>
      <c r="UO843" s="16"/>
      <c r="UP843" s="16"/>
      <c r="UQ843" s="16"/>
      <c r="UR843" s="16"/>
      <c r="US843" s="16"/>
      <c r="UT843" s="16"/>
      <c r="UU843" s="16"/>
      <c r="UV843" s="16"/>
      <c r="UW843" s="16"/>
      <c r="UX843" s="16"/>
      <c r="UY843" s="16"/>
      <c r="UZ843" s="16"/>
      <c r="VA843" s="16"/>
      <c r="VB843" s="16"/>
      <c r="VC843" s="16"/>
      <c r="VD843" s="16"/>
      <c r="VE843" s="16"/>
      <c r="VF843" s="16"/>
      <c r="VG843" s="16"/>
      <c r="VH843" s="16"/>
      <c r="VI843" s="16"/>
      <c r="VJ843" s="16"/>
      <c r="VK843" s="16"/>
      <c r="VL843" s="16"/>
      <c r="VM843" s="16"/>
      <c r="VN843" s="16"/>
      <c r="VO843" s="16"/>
      <c r="VP843" s="16"/>
      <c r="VQ843" s="16"/>
      <c r="VR843" s="16"/>
      <c r="VS843" s="16"/>
      <c r="VT843" s="16"/>
      <c r="VU843" s="16"/>
      <c r="VV843" s="16"/>
      <c r="VW843" s="16"/>
      <c r="VX843" s="16"/>
      <c r="VY843" s="16"/>
      <c r="VZ843" s="16"/>
      <c r="WA843" s="16"/>
      <c r="WB843" s="16"/>
      <c r="WC843" s="16"/>
      <c r="WD843" s="16"/>
      <c r="WE843" s="16"/>
      <c r="WF843" s="16"/>
      <c r="WG843" s="16"/>
      <c r="WH843" s="16"/>
      <c r="WI843" s="16"/>
      <c r="WJ843" s="16"/>
      <c r="WK843" s="16"/>
      <c r="WL843" s="16"/>
      <c r="WM843" s="16"/>
      <c r="WN843" s="16"/>
      <c r="WO843" s="16"/>
      <c r="WP843" s="16"/>
      <c r="WQ843" s="16"/>
      <c r="WR843" s="16"/>
      <c r="WS843" s="16"/>
      <c r="WT843" s="16"/>
      <c r="WU843" s="16"/>
      <c r="WV843" s="16"/>
      <c r="WW843" s="16"/>
      <c r="WX843" s="16"/>
      <c r="WY843" s="16"/>
      <c r="WZ843" s="16"/>
      <c r="XA843" s="16"/>
      <c r="XB843" s="16"/>
      <c r="XC843" s="16"/>
      <c r="XD843" s="16"/>
      <c r="XE843" s="16"/>
      <c r="XF843" s="16"/>
      <c r="XG843" s="16"/>
      <c r="XH843" s="16"/>
      <c r="XI843" s="16"/>
      <c r="XJ843" s="16"/>
      <c r="XK843" s="16"/>
      <c r="XL843" s="16"/>
      <c r="XM843" s="16"/>
      <c r="XN843" s="16"/>
      <c r="XO843" s="16"/>
      <c r="XP843" s="16"/>
      <c r="XQ843" s="16"/>
      <c r="XR843" s="16"/>
      <c r="XS843" s="16"/>
      <c r="XT843" s="16"/>
      <c r="XU843" s="16"/>
      <c r="XV843" s="16"/>
      <c r="XW843" s="16"/>
      <c r="XX843" s="16"/>
      <c r="XY843" s="16"/>
      <c r="XZ843" s="16"/>
      <c r="YA843" s="16"/>
      <c r="YB843" s="16"/>
      <c r="YC843" s="16"/>
      <c r="YD843" s="16"/>
      <c r="YE843" s="16"/>
      <c r="YF843" s="16"/>
      <c r="YG843" s="16"/>
      <c r="YH843" s="16"/>
      <c r="YI843" s="16"/>
      <c r="YJ843" s="16"/>
      <c r="YK843" s="16"/>
      <c r="YL843" s="16"/>
      <c r="YM843" s="16"/>
      <c r="YN843" s="16"/>
      <c r="YO843" s="16"/>
      <c r="YP843" s="16"/>
      <c r="YQ843" s="16"/>
      <c r="YR843" s="16"/>
      <c r="YS843" s="16"/>
      <c r="YT843" s="16"/>
      <c r="YU843" s="16"/>
      <c r="YV843" s="16"/>
      <c r="YW843" s="16"/>
      <c r="YX843" s="16"/>
      <c r="YY843" s="16"/>
      <c r="YZ843" s="16"/>
      <c r="ZA843" s="16"/>
      <c r="ZB843" s="16"/>
      <c r="ZC843" s="16"/>
      <c r="ZD843" s="16"/>
      <c r="ZE843" s="16"/>
      <c r="ZF843" s="16"/>
      <c r="ZG843" s="16"/>
      <c r="ZH843" s="16"/>
      <c r="ZI843" s="16"/>
      <c r="ZJ843" s="16"/>
      <c r="ZK843" s="16"/>
      <c r="ZL843" s="16"/>
      <c r="ZM843" s="16"/>
      <c r="ZN843" s="16"/>
      <c r="ZO843" s="16"/>
      <c r="ZP843" s="16"/>
      <c r="ZQ843" s="16"/>
      <c r="ZR843" s="16"/>
      <c r="ZS843" s="16"/>
      <c r="ZT843" s="16"/>
      <c r="ZU843" s="16"/>
      <c r="ZV843" s="16"/>
      <c r="ZW843" s="16"/>
      <c r="ZX843" s="16"/>
      <c r="ZY843" s="16"/>
      <c r="ZZ843" s="16"/>
      <c r="AAA843" s="16"/>
      <c r="AAB843" s="16"/>
      <c r="AAC843" s="16"/>
      <c r="AAD843" s="16"/>
      <c r="AAE843" s="16"/>
      <c r="AAF843" s="16"/>
      <c r="AAG843" s="16"/>
      <c r="AAH843" s="16"/>
      <c r="AAI843" s="16"/>
      <c r="AAJ843" s="16"/>
      <c r="AAK843" s="16"/>
      <c r="AAL843" s="16"/>
      <c r="AAM843" s="16"/>
      <c r="AAN843" s="16"/>
      <c r="AAO843" s="16"/>
      <c r="AAP843" s="16"/>
      <c r="AAQ843" s="16"/>
      <c r="AAR843" s="16"/>
      <c r="AAS843" s="16"/>
      <c r="AAT843" s="16"/>
      <c r="AAU843" s="16"/>
      <c r="AAV843" s="16"/>
      <c r="AAW843" s="16"/>
      <c r="AAX843" s="16"/>
      <c r="AAY843" s="16"/>
      <c r="AAZ843" s="16"/>
      <c r="ABA843" s="16"/>
      <c r="ABB843" s="16"/>
      <c r="ABC843" s="16"/>
      <c r="ABD843" s="16"/>
      <c r="ABE843" s="16"/>
      <c r="ABF843" s="16"/>
      <c r="ABG843" s="16"/>
      <c r="ABH843" s="16"/>
      <c r="ABI843" s="16"/>
      <c r="ABJ843" s="16"/>
      <c r="ABK843" s="16"/>
      <c r="ABL843" s="16"/>
      <c r="ABM843" s="16"/>
      <c r="ABN843" s="16"/>
      <c r="ABO843" s="16"/>
      <c r="ABP843" s="16"/>
      <c r="ABQ843" s="16"/>
      <c r="ABR843" s="16"/>
      <c r="ABS843" s="16"/>
      <c r="ABT843" s="16"/>
      <c r="ABU843" s="16"/>
      <c r="ABV843" s="16"/>
      <c r="ABW843" s="16"/>
      <c r="ABX843" s="16"/>
      <c r="ABY843" s="16"/>
      <c r="ABZ843" s="16"/>
      <c r="ACA843" s="16"/>
      <c r="ACB843" s="16"/>
      <c r="ACC843" s="16"/>
      <c r="ACD843" s="16"/>
      <c r="ACE843" s="16"/>
      <c r="ACF843" s="16"/>
      <c r="ACG843" s="16"/>
      <c r="ACH843" s="16"/>
      <c r="ACI843" s="16"/>
      <c r="ACJ843" s="16"/>
      <c r="ACK843" s="16"/>
      <c r="ACL843" s="16"/>
      <c r="ACM843" s="16"/>
      <c r="ACN843" s="16"/>
      <c r="ACO843" s="16"/>
      <c r="ACP843" s="16"/>
      <c r="ACQ843" s="16"/>
      <c r="ACR843" s="16"/>
      <c r="ACS843" s="16"/>
      <c r="ACT843" s="16"/>
      <c r="ACU843" s="16"/>
      <c r="ACV843" s="16"/>
      <c r="ACW843" s="16"/>
      <c r="ACX843" s="16"/>
      <c r="ACY843" s="16"/>
      <c r="ACZ843" s="16"/>
      <c r="ADA843" s="16"/>
      <c r="ADB843" s="16"/>
      <c r="ADC843" s="16"/>
      <c r="ADD843" s="16"/>
      <c r="ADE843" s="16"/>
      <c r="ADF843" s="16"/>
      <c r="ADG843" s="16"/>
      <c r="ADH843" s="16"/>
      <c r="ADI843" s="16"/>
      <c r="ADJ843" s="16"/>
      <c r="ADK843" s="16"/>
      <c r="ADL843" s="16"/>
      <c r="ADM843" s="16"/>
      <c r="ADN843" s="16"/>
      <c r="ADO843" s="16"/>
      <c r="ADP843" s="16"/>
      <c r="ADQ843" s="16"/>
      <c r="ADR843" s="16"/>
      <c r="ADS843" s="16"/>
      <c r="ADT843" s="16"/>
      <c r="ADU843" s="16"/>
      <c r="ADV843" s="16"/>
      <c r="ADW843" s="16"/>
      <c r="ADX843" s="16"/>
      <c r="ADY843" s="16"/>
      <c r="ADZ843" s="16"/>
      <c r="AEA843" s="16"/>
      <c r="AEB843" s="16"/>
      <c r="AEC843" s="16"/>
      <c r="AED843" s="16"/>
      <c r="AEE843" s="16"/>
      <c r="AEF843" s="16"/>
      <c r="AEG843" s="16"/>
      <c r="AEH843" s="16"/>
      <c r="AEI843" s="16"/>
      <c r="AEJ843" s="16"/>
      <c r="AEK843" s="16"/>
      <c r="AEL843" s="16"/>
      <c r="AEM843" s="16"/>
      <c r="AEN843" s="16"/>
      <c r="AEO843" s="16"/>
      <c r="AEP843" s="16"/>
      <c r="AEQ843" s="16"/>
      <c r="AER843" s="16"/>
      <c r="AES843" s="16"/>
      <c r="AET843" s="16"/>
      <c r="AEU843" s="16"/>
      <c r="AEV843" s="16"/>
      <c r="AEW843" s="16"/>
      <c r="AEX843" s="16"/>
      <c r="AEY843" s="16"/>
      <c r="AEZ843" s="16"/>
      <c r="AFA843" s="16"/>
      <c r="AFB843" s="16"/>
      <c r="AFC843" s="16"/>
      <c r="AFD843" s="16"/>
      <c r="AFE843" s="16"/>
      <c r="AFF843" s="16"/>
      <c r="AFG843" s="16"/>
      <c r="AFH843" s="16"/>
      <c r="AFI843" s="16"/>
      <c r="AFJ843" s="16"/>
      <c r="AFK843" s="16"/>
      <c r="AFL843" s="16"/>
      <c r="AFM843" s="16"/>
      <c r="AFN843" s="16"/>
      <c r="AFO843" s="16"/>
      <c r="AFP843" s="16"/>
      <c r="AFQ843" s="16"/>
      <c r="AFR843" s="16"/>
      <c r="AFS843" s="16"/>
      <c r="AFT843" s="16"/>
      <c r="AFU843" s="16"/>
      <c r="AFV843" s="16"/>
      <c r="AFW843" s="16"/>
      <c r="AFX843" s="16"/>
      <c r="AFY843" s="16"/>
      <c r="AFZ843" s="16"/>
      <c r="AGA843" s="16"/>
      <c r="AGB843" s="16"/>
      <c r="AGC843" s="16"/>
      <c r="AGD843" s="16"/>
      <c r="AGE843" s="16"/>
      <c r="AGF843" s="16"/>
      <c r="AGG843" s="16"/>
      <c r="AGH843" s="16"/>
      <c r="AGI843" s="16"/>
      <c r="AGJ843" s="16"/>
    </row>
    <row r="844" spans="1:868" s="852" customFormat="1" hidden="1">
      <c r="A844" s="152" t="s">
        <v>121</v>
      </c>
      <c r="B844" s="34" t="s">
        <v>348</v>
      </c>
      <c r="C844" s="40" t="s">
        <v>139</v>
      </c>
      <c r="D844" s="34" t="s">
        <v>95</v>
      </c>
      <c r="E844" s="260">
        <v>0.13697999666323399</v>
      </c>
      <c r="F844" s="235">
        <v>1</v>
      </c>
      <c r="G844" s="40"/>
      <c r="H844" s="29">
        <v>2</v>
      </c>
      <c r="I844" s="9">
        <v>2</v>
      </c>
      <c r="J844" s="9">
        <v>2</v>
      </c>
      <c r="K844" s="9">
        <v>2</v>
      </c>
      <c r="L844" s="9">
        <v>1</v>
      </c>
      <c r="M844" s="9">
        <v>2</v>
      </c>
      <c r="N844" s="186">
        <f t="shared" si="63"/>
        <v>0.38795788889711302</v>
      </c>
      <c r="O844" s="160">
        <f t="shared" si="64"/>
        <v>0.38795788889711302</v>
      </c>
      <c r="P844" s="63"/>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c r="CX844" s="16"/>
      <c r="CY844" s="16"/>
      <c r="CZ844" s="16"/>
      <c r="DA844" s="16"/>
      <c r="DB844" s="16"/>
      <c r="DC844" s="16"/>
      <c r="DD844" s="16"/>
      <c r="DE844" s="16"/>
      <c r="DF844" s="16"/>
      <c r="DG844" s="16"/>
      <c r="DH844" s="16"/>
      <c r="DI844" s="16"/>
      <c r="DJ844" s="16"/>
      <c r="DK844" s="16"/>
      <c r="DL844" s="16"/>
      <c r="DM844" s="16"/>
      <c r="DN844" s="16"/>
      <c r="DO844" s="16"/>
      <c r="DP844" s="16"/>
      <c r="DQ844" s="16"/>
      <c r="DR844" s="16"/>
      <c r="DS844" s="16"/>
      <c r="DT844" s="16"/>
      <c r="DU844" s="16"/>
      <c r="DV844" s="16"/>
      <c r="DW844" s="16"/>
      <c r="DX844" s="16"/>
      <c r="DY844" s="16"/>
      <c r="DZ844" s="16"/>
      <c r="EA844" s="16"/>
      <c r="EB844" s="16"/>
      <c r="EC844" s="16"/>
      <c r="ED844" s="16"/>
      <c r="EE844" s="16"/>
      <c r="EF844" s="16"/>
      <c r="EG844" s="16"/>
      <c r="EH844" s="16"/>
      <c r="EI844" s="16"/>
      <c r="EJ844" s="16"/>
      <c r="EK844" s="16"/>
      <c r="EL844" s="16"/>
      <c r="EM844" s="16"/>
      <c r="EN844" s="16"/>
      <c r="EO844" s="16"/>
      <c r="EP844" s="16"/>
      <c r="EQ844" s="16"/>
      <c r="ER844" s="16"/>
      <c r="ES844" s="16"/>
      <c r="ET844" s="16"/>
      <c r="EU844" s="16"/>
      <c r="EV844" s="16"/>
      <c r="EW844" s="16"/>
      <c r="EX844" s="16"/>
      <c r="EY844" s="16"/>
      <c r="EZ844" s="16"/>
      <c r="FA844" s="16"/>
      <c r="FB844" s="16"/>
      <c r="FC844" s="16"/>
      <c r="FD844" s="16"/>
      <c r="FE844" s="16"/>
      <c r="FF844" s="16"/>
      <c r="FG844" s="16"/>
      <c r="FH844" s="16"/>
      <c r="FI844" s="16"/>
      <c r="FJ844" s="16"/>
      <c r="FK844" s="16"/>
      <c r="FL844" s="16"/>
      <c r="FM844" s="16"/>
      <c r="FN844" s="16"/>
      <c r="FO844" s="16"/>
      <c r="FP844" s="16"/>
      <c r="FQ844" s="16"/>
      <c r="FR844" s="16"/>
      <c r="FS844" s="16"/>
      <c r="FT844" s="16"/>
      <c r="FU844" s="16"/>
      <c r="FV844" s="16"/>
      <c r="FW844" s="16"/>
      <c r="FX844" s="16"/>
      <c r="FY844" s="16"/>
      <c r="FZ844" s="16"/>
      <c r="GA844" s="16"/>
      <c r="GB844" s="16"/>
      <c r="GC844" s="16"/>
      <c r="GD844" s="16"/>
      <c r="GE844" s="16"/>
      <c r="GF844" s="16"/>
      <c r="GG844" s="16"/>
      <c r="GH844" s="16"/>
      <c r="GI844" s="16"/>
      <c r="GJ844" s="16"/>
      <c r="GK844" s="16"/>
      <c r="GL844" s="16"/>
      <c r="GM844" s="16"/>
      <c r="GN844" s="16"/>
      <c r="GO844" s="16"/>
      <c r="GP844" s="16"/>
      <c r="GQ844" s="16"/>
      <c r="GR844" s="16"/>
      <c r="GS844" s="16"/>
      <c r="GT844" s="16"/>
      <c r="GU844" s="16"/>
      <c r="GV844" s="16"/>
      <c r="GW844" s="16"/>
      <c r="GX844" s="16"/>
      <c r="GY844" s="16"/>
      <c r="GZ844" s="16"/>
      <c r="HA844" s="16"/>
      <c r="HB844" s="16"/>
      <c r="HC844" s="16"/>
      <c r="HD844" s="16"/>
      <c r="HE844" s="16"/>
      <c r="HF844" s="16"/>
      <c r="HG844" s="16"/>
      <c r="HH844" s="16"/>
      <c r="HI844" s="16"/>
      <c r="HJ844" s="16"/>
      <c r="HK844" s="16"/>
      <c r="HL844" s="16"/>
      <c r="HM844" s="16"/>
      <c r="HN844" s="16"/>
      <c r="HO844" s="16"/>
      <c r="HP844" s="16"/>
      <c r="HQ844" s="16"/>
      <c r="HR844" s="16"/>
      <c r="HS844" s="16"/>
      <c r="HT844" s="16"/>
      <c r="HU844" s="16"/>
      <c r="HV844" s="16"/>
      <c r="HW844" s="16"/>
      <c r="HX844" s="16"/>
      <c r="HY844" s="16"/>
      <c r="HZ844" s="16"/>
      <c r="IA844" s="16"/>
      <c r="IB844" s="16"/>
      <c r="IC844" s="16"/>
      <c r="ID844" s="16"/>
      <c r="IE844" s="16"/>
      <c r="IF844" s="16"/>
      <c r="IG844" s="16"/>
      <c r="IH844" s="16"/>
      <c r="II844" s="16"/>
      <c r="IJ844" s="16"/>
      <c r="IK844" s="16"/>
      <c r="IL844" s="16"/>
      <c r="IM844" s="16"/>
      <c r="IN844" s="16"/>
      <c r="IO844" s="16"/>
      <c r="IP844" s="16"/>
      <c r="IQ844" s="16"/>
      <c r="IR844" s="16"/>
      <c r="IS844" s="16"/>
      <c r="IT844" s="16"/>
      <c r="IU844" s="16"/>
      <c r="IV844" s="16"/>
      <c r="IW844" s="16"/>
      <c r="IX844" s="16"/>
      <c r="IY844" s="16"/>
      <c r="IZ844" s="16"/>
      <c r="JA844" s="16"/>
      <c r="JB844" s="16"/>
      <c r="JC844" s="16"/>
      <c r="JD844" s="16"/>
      <c r="JE844" s="16"/>
      <c r="JF844" s="16"/>
      <c r="JG844" s="16"/>
      <c r="JH844" s="16"/>
      <c r="JI844" s="16"/>
      <c r="JJ844" s="16"/>
      <c r="JK844" s="16"/>
      <c r="JL844" s="16"/>
      <c r="JM844" s="16"/>
      <c r="JN844" s="16"/>
      <c r="JO844" s="16"/>
      <c r="JP844" s="16"/>
      <c r="JQ844" s="16"/>
      <c r="JR844" s="16"/>
      <c r="JS844" s="16"/>
      <c r="JT844" s="16"/>
      <c r="JU844" s="16"/>
      <c r="JV844" s="16"/>
      <c r="JW844" s="16"/>
      <c r="JX844" s="16"/>
      <c r="JY844" s="16"/>
      <c r="JZ844" s="16"/>
      <c r="KA844" s="16"/>
      <c r="KB844" s="16"/>
      <c r="KC844" s="16"/>
      <c r="KD844" s="16"/>
      <c r="KE844" s="16"/>
      <c r="KF844" s="16"/>
      <c r="KG844" s="16"/>
      <c r="KH844" s="16"/>
      <c r="KI844" s="16"/>
      <c r="KJ844" s="16"/>
      <c r="KK844" s="16"/>
      <c r="KL844" s="16"/>
      <c r="KM844" s="16"/>
      <c r="KN844" s="16"/>
      <c r="KO844" s="16"/>
      <c r="KP844" s="16"/>
      <c r="KQ844" s="16"/>
      <c r="KR844" s="16"/>
      <c r="KS844" s="16"/>
      <c r="KT844" s="16"/>
      <c r="KU844" s="16"/>
      <c r="KV844" s="16"/>
      <c r="KW844" s="16"/>
      <c r="KX844" s="16"/>
      <c r="KY844" s="16"/>
      <c r="KZ844" s="16"/>
      <c r="LA844" s="16"/>
      <c r="LB844" s="16"/>
      <c r="LC844" s="16"/>
      <c r="LD844" s="16"/>
      <c r="LE844" s="16"/>
      <c r="LF844" s="16"/>
      <c r="LG844" s="16"/>
      <c r="LH844" s="16"/>
      <c r="LI844" s="16"/>
      <c r="LJ844" s="16"/>
      <c r="LK844" s="16"/>
      <c r="LL844" s="16"/>
      <c r="LM844" s="16"/>
      <c r="LN844" s="16"/>
      <c r="LO844" s="16"/>
      <c r="LP844" s="16"/>
      <c r="LQ844" s="16"/>
      <c r="LR844" s="16"/>
      <c r="LS844" s="16"/>
      <c r="LT844" s="16"/>
      <c r="LU844" s="16"/>
      <c r="LV844" s="16"/>
      <c r="LW844" s="16"/>
      <c r="LX844" s="16"/>
      <c r="LY844" s="16"/>
      <c r="LZ844" s="16"/>
      <c r="MA844" s="16"/>
      <c r="MB844" s="16"/>
      <c r="MC844" s="16"/>
      <c r="MD844" s="16"/>
      <c r="ME844" s="16"/>
      <c r="MF844" s="16"/>
      <c r="MG844" s="16"/>
      <c r="MH844" s="16"/>
      <c r="MI844" s="16"/>
      <c r="MJ844" s="16"/>
      <c r="MK844" s="16"/>
      <c r="ML844" s="16"/>
      <c r="MM844" s="16"/>
      <c r="MN844" s="16"/>
      <c r="MO844" s="16"/>
      <c r="MP844" s="16"/>
      <c r="MQ844" s="16"/>
      <c r="MR844" s="16"/>
      <c r="MS844" s="16"/>
      <c r="MT844" s="16"/>
      <c r="MU844" s="16"/>
      <c r="MV844" s="16"/>
      <c r="MW844" s="16"/>
      <c r="MX844" s="16"/>
      <c r="MY844" s="16"/>
      <c r="MZ844" s="16"/>
      <c r="NA844" s="16"/>
      <c r="NB844" s="16"/>
      <c r="NC844" s="16"/>
      <c r="ND844" s="16"/>
      <c r="NE844" s="16"/>
      <c r="NF844" s="16"/>
      <c r="NG844" s="16"/>
      <c r="NH844" s="16"/>
      <c r="NI844" s="16"/>
      <c r="NJ844" s="16"/>
      <c r="NK844" s="16"/>
      <c r="NL844" s="16"/>
      <c r="NM844" s="16"/>
      <c r="NN844" s="16"/>
      <c r="NO844" s="16"/>
      <c r="NP844" s="16"/>
      <c r="NQ844" s="16"/>
      <c r="NR844" s="16"/>
      <c r="NS844" s="16"/>
      <c r="NT844" s="16"/>
      <c r="NU844" s="16"/>
      <c r="NV844" s="16"/>
      <c r="NW844" s="16"/>
      <c r="NX844" s="16"/>
      <c r="NY844" s="16"/>
      <c r="NZ844" s="16"/>
      <c r="OA844" s="16"/>
      <c r="OB844" s="16"/>
      <c r="OC844" s="16"/>
      <c r="OD844" s="16"/>
      <c r="OE844" s="16"/>
      <c r="OF844" s="16"/>
      <c r="OG844" s="16"/>
      <c r="OH844" s="16"/>
      <c r="OI844" s="16"/>
      <c r="OJ844" s="16"/>
      <c r="OK844" s="16"/>
      <c r="OL844" s="16"/>
      <c r="OM844" s="16"/>
      <c r="ON844" s="16"/>
      <c r="OO844" s="16"/>
      <c r="OP844" s="16"/>
      <c r="OQ844" s="16"/>
      <c r="OR844" s="16"/>
      <c r="OS844" s="16"/>
      <c r="OT844" s="16"/>
      <c r="OU844" s="16"/>
      <c r="OV844" s="16"/>
      <c r="OW844" s="16"/>
      <c r="OX844" s="16"/>
      <c r="OY844" s="16"/>
      <c r="OZ844" s="16"/>
      <c r="PA844" s="16"/>
      <c r="PB844" s="16"/>
      <c r="PC844" s="16"/>
      <c r="PD844" s="16"/>
      <c r="PE844" s="16"/>
      <c r="PF844" s="16"/>
      <c r="PG844" s="16"/>
      <c r="PH844" s="16"/>
      <c r="PI844" s="16"/>
      <c r="PJ844" s="16"/>
      <c r="PK844" s="16"/>
      <c r="PL844" s="16"/>
      <c r="PM844" s="16"/>
      <c r="PN844" s="16"/>
      <c r="PO844" s="16"/>
      <c r="PP844" s="16"/>
      <c r="PQ844" s="16"/>
      <c r="PR844" s="16"/>
      <c r="PS844" s="16"/>
      <c r="PT844" s="16"/>
      <c r="PU844" s="16"/>
      <c r="PV844" s="16"/>
      <c r="PW844" s="16"/>
      <c r="PX844" s="16"/>
      <c r="PY844" s="16"/>
      <c r="PZ844" s="16"/>
      <c r="QA844" s="16"/>
      <c r="QB844" s="16"/>
      <c r="QC844" s="16"/>
      <c r="QD844" s="16"/>
      <c r="QE844" s="16"/>
      <c r="QF844" s="16"/>
      <c r="QG844" s="16"/>
      <c r="QH844" s="16"/>
      <c r="QI844" s="16"/>
      <c r="QJ844" s="16"/>
      <c r="QK844" s="16"/>
      <c r="QL844" s="16"/>
      <c r="QM844" s="16"/>
      <c r="QN844" s="16"/>
      <c r="QO844" s="16"/>
      <c r="QP844" s="16"/>
      <c r="QQ844" s="16"/>
      <c r="QR844" s="16"/>
      <c r="QS844" s="16"/>
      <c r="QT844" s="16"/>
      <c r="QU844" s="16"/>
      <c r="QV844" s="16"/>
      <c r="QW844" s="16"/>
      <c r="QX844" s="16"/>
      <c r="QY844" s="16"/>
      <c r="QZ844" s="16"/>
      <c r="RA844" s="16"/>
      <c r="RB844" s="16"/>
      <c r="RC844" s="16"/>
      <c r="RD844" s="16"/>
      <c r="RE844" s="16"/>
      <c r="RF844" s="16"/>
      <c r="RG844" s="16"/>
      <c r="RH844" s="16"/>
      <c r="RI844" s="16"/>
      <c r="RJ844" s="16"/>
      <c r="RK844" s="16"/>
      <c r="RL844" s="16"/>
      <c r="RM844" s="16"/>
      <c r="RN844" s="16"/>
      <c r="RO844" s="16"/>
      <c r="RP844" s="16"/>
      <c r="RQ844" s="16"/>
      <c r="RR844" s="16"/>
      <c r="RS844" s="16"/>
      <c r="RT844" s="16"/>
      <c r="RU844" s="16"/>
      <c r="RV844" s="16"/>
      <c r="RW844" s="16"/>
      <c r="RX844" s="16"/>
      <c r="RY844" s="16"/>
      <c r="RZ844" s="16"/>
      <c r="SA844" s="16"/>
      <c r="SB844" s="16"/>
      <c r="SC844" s="16"/>
      <c r="SD844" s="16"/>
      <c r="SE844" s="16"/>
      <c r="SF844" s="16"/>
      <c r="SG844" s="16"/>
      <c r="SH844" s="16"/>
      <c r="SI844" s="16"/>
      <c r="SJ844" s="16"/>
      <c r="SK844" s="16"/>
      <c r="SL844" s="16"/>
      <c r="SM844" s="16"/>
      <c r="SN844" s="16"/>
      <c r="SO844" s="16"/>
      <c r="SP844" s="16"/>
      <c r="SQ844" s="16"/>
      <c r="SR844" s="16"/>
      <c r="SS844" s="16"/>
      <c r="ST844" s="16"/>
      <c r="SU844" s="16"/>
      <c r="SV844" s="16"/>
      <c r="SW844" s="16"/>
      <c r="SX844" s="16"/>
      <c r="SY844" s="16"/>
      <c r="SZ844" s="16"/>
      <c r="TA844" s="16"/>
      <c r="TB844" s="16"/>
      <c r="TC844" s="16"/>
      <c r="TD844" s="16"/>
      <c r="TE844" s="16"/>
      <c r="TF844" s="16"/>
      <c r="TG844" s="16"/>
      <c r="TH844" s="16"/>
      <c r="TI844" s="16"/>
      <c r="TJ844" s="16"/>
      <c r="TK844" s="16"/>
      <c r="TL844" s="16"/>
      <c r="TM844" s="16"/>
      <c r="TN844" s="16"/>
      <c r="TO844" s="16"/>
      <c r="TP844" s="16"/>
      <c r="TQ844" s="16"/>
      <c r="TR844" s="16"/>
      <c r="TS844" s="16"/>
      <c r="TT844" s="16"/>
      <c r="TU844" s="16"/>
      <c r="TV844" s="16"/>
      <c r="TW844" s="16"/>
      <c r="TX844" s="16"/>
      <c r="TY844" s="16"/>
      <c r="TZ844" s="16"/>
      <c r="UA844" s="16"/>
      <c r="UB844" s="16"/>
      <c r="UC844" s="16"/>
      <c r="UD844" s="16"/>
      <c r="UE844" s="16"/>
      <c r="UF844" s="16"/>
      <c r="UG844" s="16"/>
      <c r="UH844" s="16"/>
      <c r="UI844" s="16"/>
      <c r="UJ844" s="16"/>
      <c r="UK844" s="16"/>
      <c r="UL844" s="16"/>
      <c r="UM844" s="16"/>
      <c r="UN844" s="16"/>
      <c r="UO844" s="16"/>
      <c r="UP844" s="16"/>
      <c r="UQ844" s="16"/>
      <c r="UR844" s="16"/>
      <c r="US844" s="16"/>
      <c r="UT844" s="16"/>
      <c r="UU844" s="16"/>
      <c r="UV844" s="16"/>
      <c r="UW844" s="16"/>
      <c r="UX844" s="16"/>
      <c r="UY844" s="16"/>
      <c r="UZ844" s="16"/>
      <c r="VA844" s="16"/>
      <c r="VB844" s="16"/>
      <c r="VC844" s="16"/>
      <c r="VD844" s="16"/>
      <c r="VE844" s="16"/>
      <c r="VF844" s="16"/>
      <c r="VG844" s="16"/>
      <c r="VH844" s="16"/>
      <c r="VI844" s="16"/>
      <c r="VJ844" s="16"/>
      <c r="VK844" s="16"/>
      <c r="VL844" s="16"/>
      <c r="VM844" s="16"/>
      <c r="VN844" s="16"/>
      <c r="VO844" s="16"/>
      <c r="VP844" s="16"/>
      <c r="VQ844" s="16"/>
      <c r="VR844" s="16"/>
      <c r="VS844" s="16"/>
      <c r="VT844" s="16"/>
      <c r="VU844" s="16"/>
      <c r="VV844" s="16"/>
      <c r="VW844" s="16"/>
      <c r="VX844" s="16"/>
      <c r="VY844" s="16"/>
      <c r="VZ844" s="16"/>
      <c r="WA844" s="16"/>
      <c r="WB844" s="16"/>
      <c r="WC844" s="16"/>
      <c r="WD844" s="16"/>
      <c r="WE844" s="16"/>
      <c r="WF844" s="16"/>
      <c r="WG844" s="16"/>
      <c r="WH844" s="16"/>
      <c r="WI844" s="16"/>
      <c r="WJ844" s="16"/>
      <c r="WK844" s="16"/>
      <c r="WL844" s="16"/>
      <c r="WM844" s="16"/>
      <c r="WN844" s="16"/>
      <c r="WO844" s="16"/>
      <c r="WP844" s="16"/>
      <c r="WQ844" s="16"/>
      <c r="WR844" s="16"/>
      <c r="WS844" s="16"/>
      <c r="WT844" s="16"/>
      <c r="WU844" s="16"/>
      <c r="WV844" s="16"/>
      <c r="WW844" s="16"/>
      <c r="WX844" s="16"/>
      <c r="WY844" s="16"/>
      <c r="WZ844" s="16"/>
      <c r="XA844" s="16"/>
      <c r="XB844" s="16"/>
      <c r="XC844" s="16"/>
      <c r="XD844" s="16"/>
      <c r="XE844" s="16"/>
      <c r="XF844" s="16"/>
      <c r="XG844" s="16"/>
      <c r="XH844" s="16"/>
      <c r="XI844" s="16"/>
      <c r="XJ844" s="16"/>
      <c r="XK844" s="16"/>
      <c r="XL844" s="16"/>
      <c r="XM844" s="16"/>
      <c r="XN844" s="16"/>
      <c r="XO844" s="16"/>
      <c r="XP844" s="16"/>
      <c r="XQ844" s="16"/>
      <c r="XR844" s="16"/>
      <c r="XS844" s="16"/>
      <c r="XT844" s="16"/>
      <c r="XU844" s="16"/>
      <c r="XV844" s="16"/>
      <c r="XW844" s="16"/>
      <c r="XX844" s="16"/>
      <c r="XY844" s="16"/>
      <c r="XZ844" s="16"/>
      <c r="YA844" s="16"/>
      <c r="YB844" s="16"/>
      <c r="YC844" s="16"/>
      <c r="YD844" s="16"/>
      <c r="YE844" s="16"/>
      <c r="YF844" s="16"/>
      <c r="YG844" s="16"/>
      <c r="YH844" s="16"/>
      <c r="YI844" s="16"/>
      <c r="YJ844" s="16"/>
      <c r="YK844" s="16"/>
      <c r="YL844" s="16"/>
      <c r="YM844" s="16"/>
      <c r="YN844" s="16"/>
      <c r="YO844" s="16"/>
      <c r="YP844" s="16"/>
      <c r="YQ844" s="16"/>
      <c r="YR844" s="16"/>
      <c r="YS844" s="16"/>
      <c r="YT844" s="16"/>
      <c r="YU844" s="16"/>
      <c r="YV844" s="16"/>
      <c r="YW844" s="16"/>
      <c r="YX844" s="16"/>
      <c r="YY844" s="16"/>
      <c r="YZ844" s="16"/>
      <c r="ZA844" s="16"/>
      <c r="ZB844" s="16"/>
      <c r="ZC844" s="16"/>
      <c r="ZD844" s="16"/>
      <c r="ZE844" s="16"/>
      <c r="ZF844" s="16"/>
      <c r="ZG844" s="16"/>
      <c r="ZH844" s="16"/>
      <c r="ZI844" s="16"/>
      <c r="ZJ844" s="16"/>
      <c r="ZK844" s="16"/>
      <c r="ZL844" s="16"/>
      <c r="ZM844" s="16"/>
      <c r="ZN844" s="16"/>
      <c r="ZO844" s="16"/>
      <c r="ZP844" s="16"/>
      <c r="ZQ844" s="16"/>
      <c r="ZR844" s="16"/>
      <c r="ZS844" s="16"/>
      <c r="ZT844" s="16"/>
      <c r="ZU844" s="16"/>
      <c r="ZV844" s="16"/>
      <c r="ZW844" s="16"/>
      <c r="ZX844" s="16"/>
      <c r="ZY844" s="16"/>
      <c r="ZZ844" s="16"/>
      <c r="AAA844" s="16"/>
      <c r="AAB844" s="16"/>
      <c r="AAC844" s="16"/>
      <c r="AAD844" s="16"/>
      <c r="AAE844" s="16"/>
      <c r="AAF844" s="16"/>
      <c r="AAG844" s="16"/>
      <c r="AAH844" s="16"/>
      <c r="AAI844" s="16"/>
      <c r="AAJ844" s="16"/>
      <c r="AAK844" s="16"/>
      <c r="AAL844" s="16"/>
      <c r="AAM844" s="16"/>
      <c r="AAN844" s="16"/>
      <c r="AAO844" s="16"/>
      <c r="AAP844" s="16"/>
      <c r="AAQ844" s="16"/>
      <c r="AAR844" s="16"/>
      <c r="AAS844" s="16"/>
      <c r="AAT844" s="16"/>
      <c r="AAU844" s="16"/>
      <c r="AAV844" s="16"/>
      <c r="AAW844" s="16"/>
      <c r="AAX844" s="16"/>
      <c r="AAY844" s="16"/>
      <c r="AAZ844" s="16"/>
      <c r="ABA844" s="16"/>
      <c r="ABB844" s="16"/>
      <c r="ABC844" s="16"/>
      <c r="ABD844" s="16"/>
      <c r="ABE844" s="16"/>
      <c r="ABF844" s="16"/>
      <c r="ABG844" s="16"/>
      <c r="ABH844" s="16"/>
      <c r="ABI844" s="16"/>
      <c r="ABJ844" s="16"/>
      <c r="ABK844" s="16"/>
      <c r="ABL844" s="16"/>
      <c r="ABM844" s="16"/>
      <c r="ABN844" s="16"/>
      <c r="ABO844" s="16"/>
      <c r="ABP844" s="16"/>
      <c r="ABQ844" s="16"/>
      <c r="ABR844" s="16"/>
      <c r="ABS844" s="16"/>
      <c r="ABT844" s="16"/>
      <c r="ABU844" s="16"/>
      <c r="ABV844" s="16"/>
      <c r="ABW844" s="16"/>
      <c r="ABX844" s="16"/>
      <c r="ABY844" s="16"/>
      <c r="ABZ844" s="16"/>
      <c r="ACA844" s="16"/>
      <c r="ACB844" s="16"/>
      <c r="ACC844" s="16"/>
      <c r="ACD844" s="16"/>
      <c r="ACE844" s="16"/>
      <c r="ACF844" s="16"/>
      <c r="ACG844" s="16"/>
      <c r="ACH844" s="16"/>
      <c r="ACI844" s="16"/>
      <c r="ACJ844" s="16"/>
      <c r="ACK844" s="16"/>
      <c r="ACL844" s="16"/>
      <c r="ACM844" s="16"/>
      <c r="ACN844" s="16"/>
      <c r="ACO844" s="16"/>
      <c r="ACP844" s="16"/>
      <c r="ACQ844" s="16"/>
      <c r="ACR844" s="16"/>
      <c r="ACS844" s="16"/>
      <c r="ACT844" s="16"/>
      <c r="ACU844" s="16"/>
      <c r="ACV844" s="16"/>
      <c r="ACW844" s="16"/>
      <c r="ACX844" s="16"/>
      <c r="ACY844" s="16"/>
      <c r="ACZ844" s="16"/>
      <c r="ADA844" s="16"/>
      <c r="ADB844" s="16"/>
      <c r="ADC844" s="16"/>
      <c r="ADD844" s="16"/>
      <c r="ADE844" s="16"/>
      <c r="ADF844" s="16"/>
      <c r="ADG844" s="16"/>
      <c r="ADH844" s="16"/>
      <c r="ADI844" s="16"/>
      <c r="ADJ844" s="16"/>
      <c r="ADK844" s="16"/>
      <c r="ADL844" s="16"/>
      <c r="ADM844" s="16"/>
      <c r="ADN844" s="16"/>
      <c r="ADO844" s="16"/>
      <c r="ADP844" s="16"/>
      <c r="ADQ844" s="16"/>
      <c r="ADR844" s="16"/>
      <c r="ADS844" s="16"/>
      <c r="ADT844" s="16"/>
      <c r="ADU844" s="16"/>
      <c r="ADV844" s="16"/>
      <c r="ADW844" s="16"/>
      <c r="ADX844" s="16"/>
      <c r="ADY844" s="16"/>
      <c r="ADZ844" s="16"/>
      <c r="AEA844" s="16"/>
      <c r="AEB844" s="16"/>
      <c r="AEC844" s="16"/>
      <c r="AED844" s="16"/>
      <c r="AEE844" s="16"/>
      <c r="AEF844" s="16"/>
      <c r="AEG844" s="16"/>
      <c r="AEH844" s="16"/>
      <c r="AEI844" s="16"/>
      <c r="AEJ844" s="16"/>
      <c r="AEK844" s="16"/>
      <c r="AEL844" s="16"/>
      <c r="AEM844" s="16"/>
      <c r="AEN844" s="16"/>
      <c r="AEO844" s="16"/>
      <c r="AEP844" s="16"/>
      <c r="AEQ844" s="16"/>
      <c r="AER844" s="16"/>
      <c r="AES844" s="16"/>
      <c r="AET844" s="16"/>
      <c r="AEU844" s="16"/>
      <c r="AEV844" s="16"/>
      <c r="AEW844" s="16"/>
      <c r="AEX844" s="16"/>
      <c r="AEY844" s="16"/>
      <c r="AEZ844" s="16"/>
      <c r="AFA844" s="16"/>
      <c r="AFB844" s="16"/>
      <c r="AFC844" s="16"/>
      <c r="AFD844" s="16"/>
      <c r="AFE844" s="16"/>
      <c r="AFF844" s="16"/>
      <c r="AFG844" s="16"/>
      <c r="AFH844" s="16"/>
      <c r="AFI844" s="16"/>
      <c r="AFJ844" s="16"/>
      <c r="AFK844" s="16"/>
      <c r="AFL844" s="16"/>
      <c r="AFM844" s="16"/>
      <c r="AFN844" s="16"/>
      <c r="AFO844" s="16"/>
      <c r="AFP844" s="16"/>
      <c r="AFQ844" s="16"/>
      <c r="AFR844" s="16"/>
      <c r="AFS844" s="16"/>
      <c r="AFT844" s="16"/>
      <c r="AFU844" s="16"/>
      <c r="AFV844" s="16"/>
      <c r="AFW844" s="16"/>
      <c r="AFX844" s="16"/>
      <c r="AFY844" s="16"/>
      <c r="AFZ844" s="16"/>
      <c r="AGA844" s="16"/>
      <c r="AGB844" s="16"/>
      <c r="AGC844" s="16"/>
      <c r="AGD844" s="16"/>
      <c r="AGE844" s="16"/>
      <c r="AGF844" s="16"/>
      <c r="AGG844" s="16"/>
      <c r="AGH844" s="16"/>
      <c r="AGI844" s="16"/>
      <c r="AGJ844" s="16"/>
    </row>
    <row r="845" spans="1:868" hidden="1">
      <c r="A845" s="152" t="s">
        <v>121</v>
      </c>
      <c r="B845" s="34" t="s">
        <v>348</v>
      </c>
      <c r="C845" s="40" t="s">
        <v>139</v>
      </c>
      <c r="D845" s="34" t="s">
        <v>99</v>
      </c>
      <c r="E845" s="260">
        <v>0</v>
      </c>
      <c r="F845" s="235">
        <v>1</v>
      </c>
      <c r="G845" s="40"/>
      <c r="H845" s="29"/>
      <c r="I845" s="9"/>
      <c r="J845" s="9"/>
      <c r="K845" s="9"/>
      <c r="L845" s="9"/>
      <c r="M845" s="9"/>
      <c r="N845" s="186" t="str">
        <f t="shared" si="63"/>
        <v/>
      </c>
      <c r="O845" s="160" t="str">
        <f t="shared" si="64"/>
        <v/>
      </c>
      <c r="P845" s="63"/>
    </row>
    <row r="846" spans="1:868" hidden="1">
      <c r="A846" s="152" t="s">
        <v>121</v>
      </c>
      <c r="B846" s="34" t="s">
        <v>238</v>
      </c>
      <c r="C846" s="40" t="s">
        <v>139</v>
      </c>
      <c r="D846" s="34" t="s">
        <v>85</v>
      </c>
      <c r="E846" s="260">
        <v>0</v>
      </c>
      <c r="F846" s="235">
        <v>1</v>
      </c>
      <c r="G846" s="40"/>
      <c r="H846" s="29"/>
      <c r="I846" s="9"/>
      <c r="J846" s="9"/>
      <c r="K846" s="9"/>
      <c r="L846" s="9"/>
      <c r="M846" s="9"/>
      <c r="N846" s="186" t="str">
        <f t="shared" si="63"/>
        <v/>
      </c>
      <c r="O846" s="160" t="str">
        <f t="shared" si="64"/>
        <v/>
      </c>
      <c r="P846" s="63"/>
    </row>
    <row r="847" spans="1:868" hidden="1">
      <c r="A847" s="152" t="s">
        <v>121</v>
      </c>
      <c r="B847" s="34" t="s">
        <v>238</v>
      </c>
      <c r="C847" s="40" t="s">
        <v>139</v>
      </c>
      <c r="D847" s="34" t="s">
        <v>86</v>
      </c>
      <c r="E847" s="260">
        <v>0</v>
      </c>
      <c r="F847" s="235">
        <v>1</v>
      </c>
      <c r="G847" s="40"/>
      <c r="H847" s="29"/>
      <c r="I847" s="9"/>
      <c r="J847" s="9"/>
      <c r="K847" s="9"/>
      <c r="L847" s="9"/>
      <c r="M847" s="9"/>
      <c r="N847" s="186" t="str">
        <f t="shared" si="63"/>
        <v/>
      </c>
      <c r="O847" s="160" t="str">
        <f t="shared" si="64"/>
        <v/>
      </c>
      <c r="P847" s="63"/>
    </row>
    <row r="848" spans="1:868" hidden="1">
      <c r="A848" s="152" t="s">
        <v>121</v>
      </c>
      <c r="B848" s="34" t="s">
        <v>238</v>
      </c>
      <c r="C848" s="40" t="s">
        <v>139</v>
      </c>
      <c r="D848" s="34" t="s">
        <v>87</v>
      </c>
      <c r="E848" s="260">
        <v>0.13862266398762429</v>
      </c>
      <c r="F848" s="235">
        <v>1</v>
      </c>
      <c r="G848" s="40"/>
      <c r="H848" s="29">
        <v>2</v>
      </c>
      <c r="I848" s="9">
        <v>2</v>
      </c>
      <c r="J848" s="9">
        <v>2</v>
      </c>
      <c r="K848" s="9">
        <v>2</v>
      </c>
      <c r="L848" s="9">
        <v>1</v>
      </c>
      <c r="M848" s="9">
        <v>2</v>
      </c>
      <c r="N848" s="186">
        <f t="shared" si="63"/>
        <v>0.38795788889711302</v>
      </c>
      <c r="O848" s="160">
        <f t="shared" si="64"/>
        <v>0.38795788889711302</v>
      </c>
      <c r="P848" s="63"/>
    </row>
    <row r="849" spans="1:868" hidden="1">
      <c r="A849" s="152" t="s">
        <v>121</v>
      </c>
      <c r="B849" s="34" t="s">
        <v>238</v>
      </c>
      <c r="C849" s="40" t="s">
        <v>139</v>
      </c>
      <c r="D849" s="34" t="s">
        <v>88</v>
      </c>
      <c r="E849" s="260">
        <v>0</v>
      </c>
      <c r="F849" s="235">
        <v>1</v>
      </c>
      <c r="G849" s="40"/>
      <c r="H849" s="29"/>
      <c r="I849" s="9"/>
      <c r="J849" s="9"/>
      <c r="K849" s="9"/>
      <c r="L849" s="9"/>
      <c r="M849" s="9"/>
      <c r="N849" s="186" t="str">
        <f t="shared" si="63"/>
        <v/>
      </c>
      <c r="O849" s="160" t="str">
        <f t="shared" si="64"/>
        <v/>
      </c>
      <c r="P849" s="63"/>
    </row>
    <row r="850" spans="1:868" hidden="1">
      <c r="A850" s="152" t="s">
        <v>121</v>
      </c>
      <c r="B850" s="34" t="s">
        <v>238</v>
      </c>
      <c r="C850" s="40" t="s">
        <v>139</v>
      </c>
      <c r="D850" s="34" t="s">
        <v>89</v>
      </c>
      <c r="E850" s="260">
        <v>0</v>
      </c>
      <c r="F850" s="235">
        <v>1</v>
      </c>
      <c r="G850" s="40"/>
      <c r="H850" s="29"/>
      <c r="I850" s="9"/>
      <c r="J850" s="9"/>
      <c r="K850" s="9"/>
      <c r="L850" s="9"/>
      <c r="M850" s="9"/>
      <c r="N850" s="186" t="str">
        <f t="shared" si="63"/>
        <v/>
      </c>
      <c r="O850" s="160" t="str">
        <f t="shared" si="64"/>
        <v/>
      </c>
      <c r="P850" s="63"/>
    </row>
    <row r="851" spans="1:868" hidden="1">
      <c r="A851" s="152" t="s">
        <v>121</v>
      </c>
      <c r="B851" s="34" t="s">
        <v>238</v>
      </c>
      <c r="C851" s="40" t="s">
        <v>139</v>
      </c>
      <c r="D851" s="34" t="s">
        <v>90</v>
      </c>
      <c r="E851" s="260">
        <v>0</v>
      </c>
      <c r="F851" s="235">
        <v>1</v>
      </c>
      <c r="G851" s="40"/>
      <c r="H851" s="29"/>
      <c r="I851" s="9"/>
      <c r="J851" s="9"/>
      <c r="K851" s="9"/>
      <c r="L851" s="9"/>
      <c r="M851" s="9"/>
      <c r="N851" s="186" t="str">
        <f t="shared" si="63"/>
        <v/>
      </c>
      <c r="O851" s="160" t="str">
        <f t="shared" si="64"/>
        <v/>
      </c>
      <c r="P851" s="63"/>
    </row>
    <row r="852" spans="1:868" hidden="1">
      <c r="A852" s="152" t="s">
        <v>400</v>
      </c>
      <c r="B852" s="34" t="s">
        <v>287</v>
      </c>
      <c r="C852" s="40" t="s">
        <v>139</v>
      </c>
      <c r="D852" s="34" t="s">
        <v>139</v>
      </c>
      <c r="E852" s="260">
        <v>0</v>
      </c>
      <c r="F852" s="235">
        <v>2</v>
      </c>
      <c r="G852" s="40" t="s">
        <v>157</v>
      </c>
      <c r="H852" s="29"/>
      <c r="I852" s="9"/>
      <c r="J852" s="9"/>
      <c r="K852" s="9"/>
      <c r="L852" s="9"/>
      <c r="M852" s="9"/>
      <c r="N852" s="186" t="str">
        <f t="shared" si="63"/>
        <v/>
      </c>
      <c r="O852" s="160" t="str">
        <f t="shared" si="64"/>
        <v/>
      </c>
      <c r="P852" s="63"/>
    </row>
    <row r="853" spans="1:868" s="211" customFormat="1" ht="15.75" hidden="1" thickBot="1">
      <c r="A853" s="152" t="s">
        <v>402</v>
      </c>
      <c r="B853" s="34" t="s">
        <v>289</v>
      </c>
      <c r="C853" s="40" t="s">
        <v>139</v>
      </c>
      <c r="D853" s="34" t="s">
        <v>139</v>
      </c>
      <c r="E853" s="260">
        <v>0</v>
      </c>
      <c r="F853" s="235">
        <v>2</v>
      </c>
      <c r="G853" s="40" t="s">
        <v>419</v>
      </c>
      <c r="H853" s="29"/>
      <c r="I853" s="9"/>
      <c r="J853" s="9"/>
      <c r="K853" s="9"/>
      <c r="L853" s="9"/>
      <c r="M853" s="9"/>
      <c r="N853" s="186" t="str">
        <f t="shared" si="63"/>
        <v/>
      </c>
      <c r="O853" s="160" t="str">
        <f t="shared" si="64"/>
        <v/>
      </c>
      <c r="P853" s="63" t="s">
        <v>421</v>
      </c>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c r="CX853" s="16"/>
      <c r="CY853" s="16"/>
      <c r="CZ853" s="16"/>
      <c r="DA853" s="16"/>
      <c r="DB853" s="16"/>
      <c r="DC853" s="16"/>
      <c r="DD853" s="16"/>
      <c r="DE853" s="16"/>
      <c r="DF853" s="16"/>
      <c r="DG853" s="16"/>
      <c r="DH853" s="16"/>
      <c r="DI853" s="16"/>
      <c r="DJ853" s="16"/>
      <c r="DK853" s="16"/>
      <c r="DL853" s="16"/>
      <c r="DM853" s="16"/>
      <c r="DN853" s="16"/>
      <c r="DO853" s="16"/>
      <c r="DP853" s="16"/>
      <c r="DQ853" s="16"/>
      <c r="DR853" s="16"/>
      <c r="DS853" s="16"/>
      <c r="DT853" s="16"/>
      <c r="DU853" s="16"/>
      <c r="DV853" s="16"/>
      <c r="DW853" s="16"/>
      <c r="DX853" s="16"/>
      <c r="DY853" s="16"/>
      <c r="DZ853" s="16"/>
      <c r="EA853" s="16"/>
      <c r="EB853" s="16"/>
      <c r="EC853" s="16"/>
      <c r="ED853" s="16"/>
      <c r="EE853" s="16"/>
      <c r="EF853" s="16"/>
      <c r="EG853" s="16"/>
      <c r="EH853" s="16"/>
      <c r="EI853" s="16"/>
      <c r="EJ853" s="16"/>
      <c r="EK853" s="16"/>
      <c r="EL853" s="16"/>
      <c r="EM853" s="16"/>
      <c r="EN853" s="16"/>
      <c r="EO853" s="16"/>
      <c r="EP853" s="16"/>
      <c r="EQ853" s="16"/>
      <c r="ER853" s="16"/>
      <c r="ES853" s="16"/>
      <c r="ET853" s="16"/>
      <c r="EU853" s="16"/>
      <c r="EV853" s="16"/>
      <c r="EW853" s="16"/>
      <c r="EX853" s="16"/>
      <c r="EY853" s="16"/>
      <c r="EZ853" s="16"/>
      <c r="FA853" s="16"/>
      <c r="FB853" s="16"/>
      <c r="FC853" s="16"/>
      <c r="FD853" s="16"/>
      <c r="FE853" s="16"/>
      <c r="FF853" s="16"/>
      <c r="FG853" s="16"/>
      <c r="FH853" s="16"/>
      <c r="FI853" s="16"/>
      <c r="FJ853" s="16"/>
      <c r="FK853" s="16"/>
      <c r="FL853" s="16"/>
      <c r="FM853" s="16"/>
      <c r="FN853" s="16"/>
      <c r="FO853" s="16"/>
      <c r="FP853" s="16"/>
      <c r="FQ853" s="16"/>
      <c r="FR853" s="16"/>
      <c r="FS853" s="16"/>
      <c r="FT853" s="16"/>
      <c r="FU853" s="16"/>
      <c r="FV853" s="16"/>
      <c r="FW853" s="16"/>
      <c r="FX853" s="16"/>
      <c r="FY853" s="16"/>
      <c r="FZ853" s="16"/>
      <c r="GA853" s="16"/>
      <c r="GB853" s="16"/>
      <c r="GC853" s="16"/>
      <c r="GD853" s="16"/>
      <c r="GE853" s="16"/>
      <c r="GF853" s="16"/>
      <c r="GG853" s="16"/>
      <c r="GH853" s="16"/>
      <c r="GI853" s="16"/>
      <c r="GJ853" s="16"/>
      <c r="GK853" s="16"/>
      <c r="GL853" s="16"/>
      <c r="GM853" s="16"/>
      <c r="GN853" s="16"/>
      <c r="GO853" s="16"/>
      <c r="GP853" s="16"/>
      <c r="GQ853" s="16"/>
      <c r="GR853" s="16"/>
      <c r="GS853" s="16"/>
      <c r="GT853" s="16"/>
      <c r="GU853" s="16"/>
      <c r="GV853" s="16"/>
      <c r="GW853" s="16"/>
      <c r="GX853" s="16"/>
      <c r="GY853" s="16"/>
      <c r="GZ853" s="16"/>
      <c r="HA853" s="16"/>
      <c r="HB853" s="16"/>
      <c r="HC853" s="16"/>
      <c r="HD853" s="16"/>
      <c r="HE853" s="16"/>
      <c r="HF853" s="16"/>
      <c r="HG853" s="16"/>
      <c r="HH853" s="16"/>
      <c r="HI853" s="16"/>
      <c r="HJ853" s="16"/>
      <c r="HK853" s="16"/>
      <c r="HL853" s="16"/>
      <c r="HM853" s="16"/>
      <c r="HN853" s="16"/>
      <c r="HO853" s="16"/>
      <c r="HP853" s="16"/>
      <c r="HQ853" s="16"/>
      <c r="HR853" s="16"/>
      <c r="HS853" s="16"/>
      <c r="HT853" s="16"/>
      <c r="HU853" s="16"/>
      <c r="HV853" s="16"/>
      <c r="HW853" s="16"/>
      <c r="HX853" s="16"/>
      <c r="HY853" s="16"/>
      <c r="HZ853" s="16"/>
      <c r="IA853" s="16"/>
      <c r="IB853" s="16"/>
      <c r="IC853" s="16"/>
      <c r="ID853" s="16"/>
      <c r="IE853" s="16"/>
      <c r="IF853" s="16"/>
      <c r="IG853" s="16"/>
      <c r="IH853" s="16"/>
      <c r="II853" s="16"/>
      <c r="IJ853" s="16"/>
      <c r="IK853" s="16"/>
      <c r="IL853" s="16"/>
      <c r="IM853" s="16"/>
      <c r="IN853" s="16"/>
      <c r="IO853" s="16"/>
      <c r="IP853" s="16"/>
      <c r="IQ853" s="16"/>
      <c r="IR853" s="16"/>
      <c r="IS853" s="16"/>
      <c r="IT853" s="16"/>
      <c r="IU853" s="16"/>
      <c r="IV853" s="16"/>
      <c r="IW853" s="16"/>
      <c r="IX853" s="16"/>
      <c r="IY853" s="16"/>
      <c r="IZ853" s="16"/>
      <c r="JA853" s="16"/>
      <c r="JB853" s="16"/>
      <c r="JC853" s="16"/>
      <c r="JD853" s="16"/>
      <c r="JE853" s="16"/>
      <c r="JF853" s="16"/>
      <c r="JG853" s="16"/>
      <c r="JH853" s="16"/>
      <c r="JI853" s="16"/>
      <c r="JJ853" s="16"/>
      <c r="JK853" s="16"/>
      <c r="JL853" s="16"/>
      <c r="JM853" s="16"/>
      <c r="JN853" s="16"/>
      <c r="JO853" s="16"/>
      <c r="JP853" s="16"/>
      <c r="JQ853" s="16"/>
      <c r="JR853" s="16"/>
      <c r="JS853" s="16"/>
      <c r="JT853" s="16"/>
      <c r="JU853" s="16"/>
      <c r="JV853" s="16"/>
      <c r="JW853" s="16"/>
      <c r="JX853" s="16"/>
      <c r="JY853" s="16"/>
      <c r="JZ853" s="16"/>
      <c r="KA853" s="16"/>
      <c r="KB853" s="16"/>
      <c r="KC853" s="16"/>
      <c r="KD853" s="16"/>
      <c r="KE853" s="16"/>
      <c r="KF853" s="16"/>
      <c r="KG853" s="16"/>
      <c r="KH853" s="16"/>
      <c r="KI853" s="16"/>
      <c r="KJ853" s="16"/>
      <c r="KK853" s="16"/>
      <c r="KL853" s="16"/>
      <c r="KM853" s="16"/>
      <c r="KN853" s="16"/>
      <c r="KO853" s="16"/>
      <c r="KP853" s="16"/>
      <c r="KQ853" s="16"/>
      <c r="KR853" s="16"/>
      <c r="KS853" s="16"/>
      <c r="KT853" s="16"/>
      <c r="KU853" s="16"/>
      <c r="KV853" s="16"/>
      <c r="KW853" s="16"/>
      <c r="KX853" s="16"/>
      <c r="KY853" s="16"/>
      <c r="KZ853" s="16"/>
      <c r="LA853" s="16"/>
      <c r="LB853" s="16"/>
      <c r="LC853" s="16"/>
      <c r="LD853" s="16"/>
      <c r="LE853" s="16"/>
      <c r="LF853" s="16"/>
      <c r="LG853" s="16"/>
      <c r="LH853" s="16"/>
      <c r="LI853" s="16"/>
      <c r="LJ853" s="16"/>
      <c r="LK853" s="16"/>
      <c r="LL853" s="16"/>
      <c r="LM853" s="16"/>
      <c r="LN853" s="16"/>
      <c r="LO853" s="16"/>
      <c r="LP853" s="16"/>
      <c r="LQ853" s="16"/>
      <c r="LR853" s="16"/>
      <c r="LS853" s="16"/>
      <c r="LT853" s="16"/>
      <c r="LU853" s="16"/>
      <c r="LV853" s="16"/>
      <c r="LW853" s="16"/>
      <c r="LX853" s="16"/>
      <c r="LY853" s="16"/>
      <c r="LZ853" s="16"/>
      <c r="MA853" s="16"/>
      <c r="MB853" s="16"/>
      <c r="MC853" s="16"/>
      <c r="MD853" s="16"/>
      <c r="ME853" s="16"/>
      <c r="MF853" s="16"/>
      <c r="MG853" s="16"/>
      <c r="MH853" s="16"/>
      <c r="MI853" s="16"/>
      <c r="MJ853" s="16"/>
      <c r="MK853" s="16"/>
      <c r="ML853" s="16"/>
      <c r="MM853" s="16"/>
      <c r="MN853" s="16"/>
      <c r="MO853" s="16"/>
      <c r="MP853" s="16"/>
      <c r="MQ853" s="16"/>
      <c r="MR853" s="16"/>
      <c r="MS853" s="16"/>
      <c r="MT853" s="16"/>
      <c r="MU853" s="16"/>
      <c r="MV853" s="16"/>
      <c r="MW853" s="16"/>
      <c r="MX853" s="16"/>
      <c r="MY853" s="16"/>
      <c r="MZ853" s="16"/>
      <c r="NA853" s="16"/>
      <c r="NB853" s="16"/>
      <c r="NC853" s="16"/>
      <c r="ND853" s="16"/>
      <c r="NE853" s="16"/>
      <c r="NF853" s="16"/>
      <c r="NG853" s="16"/>
      <c r="NH853" s="16"/>
      <c r="NI853" s="16"/>
      <c r="NJ853" s="16"/>
      <c r="NK853" s="16"/>
      <c r="NL853" s="16"/>
      <c r="NM853" s="16"/>
      <c r="NN853" s="16"/>
      <c r="NO853" s="16"/>
      <c r="NP853" s="16"/>
      <c r="NQ853" s="16"/>
      <c r="NR853" s="16"/>
      <c r="NS853" s="16"/>
      <c r="NT853" s="16"/>
      <c r="NU853" s="16"/>
      <c r="NV853" s="16"/>
      <c r="NW853" s="16"/>
      <c r="NX853" s="16"/>
      <c r="NY853" s="16"/>
      <c r="NZ853" s="16"/>
      <c r="OA853" s="16"/>
      <c r="OB853" s="16"/>
      <c r="OC853" s="16"/>
      <c r="OD853" s="16"/>
      <c r="OE853" s="16"/>
      <c r="OF853" s="16"/>
      <c r="OG853" s="16"/>
      <c r="OH853" s="16"/>
      <c r="OI853" s="16"/>
      <c r="OJ853" s="16"/>
      <c r="OK853" s="16"/>
      <c r="OL853" s="16"/>
      <c r="OM853" s="16"/>
      <c r="ON853" s="16"/>
      <c r="OO853" s="16"/>
      <c r="OP853" s="16"/>
      <c r="OQ853" s="16"/>
      <c r="OR853" s="16"/>
      <c r="OS853" s="16"/>
      <c r="OT853" s="16"/>
      <c r="OU853" s="16"/>
      <c r="OV853" s="16"/>
      <c r="OW853" s="16"/>
      <c r="OX853" s="16"/>
      <c r="OY853" s="16"/>
      <c r="OZ853" s="16"/>
      <c r="PA853" s="16"/>
      <c r="PB853" s="16"/>
      <c r="PC853" s="16"/>
      <c r="PD853" s="16"/>
      <c r="PE853" s="16"/>
      <c r="PF853" s="16"/>
      <c r="PG853" s="16"/>
      <c r="PH853" s="16"/>
      <c r="PI853" s="16"/>
      <c r="PJ853" s="16"/>
      <c r="PK853" s="16"/>
      <c r="PL853" s="16"/>
      <c r="PM853" s="16"/>
      <c r="PN853" s="16"/>
      <c r="PO853" s="16"/>
      <c r="PP853" s="16"/>
      <c r="PQ853" s="16"/>
      <c r="PR853" s="16"/>
      <c r="PS853" s="16"/>
      <c r="PT853" s="16"/>
      <c r="PU853" s="16"/>
      <c r="PV853" s="16"/>
      <c r="PW853" s="16"/>
      <c r="PX853" s="16"/>
      <c r="PY853" s="16"/>
      <c r="PZ853" s="16"/>
      <c r="QA853" s="16"/>
      <c r="QB853" s="16"/>
      <c r="QC853" s="16"/>
      <c r="QD853" s="16"/>
      <c r="QE853" s="16"/>
      <c r="QF853" s="16"/>
      <c r="QG853" s="16"/>
      <c r="QH853" s="16"/>
      <c r="QI853" s="16"/>
      <c r="QJ853" s="16"/>
      <c r="QK853" s="16"/>
      <c r="QL853" s="16"/>
      <c r="QM853" s="16"/>
      <c r="QN853" s="16"/>
      <c r="QO853" s="16"/>
      <c r="QP853" s="16"/>
      <c r="QQ853" s="16"/>
      <c r="QR853" s="16"/>
      <c r="QS853" s="16"/>
      <c r="QT853" s="16"/>
      <c r="QU853" s="16"/>
      <c r="QV853" s="16"/>
      <c r="QW853" s="16"/>
      <c r="QX853" s="16"/>
      <c r="QY853" s="16"/>
      <c r="QZ853" s="16"/>
      <c r="RA853" s="16"/>
      <c r="RB853" s="16"/>
      <c r="RC853" s="16"/>
      <c r="RD853" s="16"/>
      <c r="RE853" s="16"/>
      <c r="RF853" s="16"/>
      <c r="RG853" s="16"/>
      <c r="RH853" s="16"/>
      <c r="RI853" s="16"/>
      <c r="RJ853" s="16"/>
      <c r="RK853" s="16"/>
      <c r="RL853" s="16"/>
      <c r="RM853" s="16"/>
      <c r="RN853" s="16"/>
      <c r="RO853" s="16"/>
      <c r="RP853" s="16"/>
      <c r="RQ853" s="16"/>
      <c r="RR853" s="16"/>
      <c r="RS853" s="16"/>
      <c r="RT853" s="16"/>
      <c r="RU853" s="16"/>
      <c r="RV853" s="16"/>
      <c r="RW853" s="16"/>
      <c r="RX853" s="16"/>
      <c r="RY853" s="16"/>
      <c r="RZ853" s="16"/>
      <c r="SA853" s="16"/>
      <c r="SB853" s="16"/>
      <c r="SC853" s="16"/>
      <c r="SD853" s="16"/>
      <c r="SE853" s="16"/>
      <c r="SF853" s="16"/>
      <c r="SG853" s="16"/>
      <c r="SH853" s="16"/>
      <c r="SI853" s="16"/>
      <c r="SJ853" s="16"/>
      <c r="SK853" s="16"/>
      <c r="SL853" s="16"/>
      <c r="SM853" s="16"/>
      <c r="SN853" s="16"/>
      <c r="SO853" s="16"/>
      <c r="SP853" s="16"/>
      <c r="SQ853" s="16"/>
      <c r="SR853" s="16"/>
      <c r="SS853" s="16"/>
      <c r="ST853" s="16"/>
      <c r="SU853" s="16"/>
      <c r="SV853" s="16"/>
      <c r="SW853" s="16"/>
      <c r="SX853" s="16"/>
      <c r="SY853" s="16"/>
      <c r="SZ853" s="16"/>
      <c r="TA853" s="16"/>
      <c r="TB853" s="16"/>
      <c r="TC853" s="16"/>
      <c r="TD853" s="16"/>
      <c r="TE853" s="16"/>
      <c r="TF853" s="16"/>
      <c r="TG853" s="16"/>
      <c r="TH853" s="16"/>
      <c r="TI853" s="16"/>
      <c r="TJ853" s="16"/>
      <c r="TK853" s="16"/>
      <c r="TL853" s="16"/>
      <c r="TM853" s="16"/>
      <c r="TN853" s="16"/>
      <c r="TO853" s="16"/>
      <c r="TP853" s="16"/>
      <c r="TQ853" s="16"/>
      <c r="TR853" s="16"/>
      <c r="TS853" s="16"/>
      <c r="TT853" s="16"/>
      <c r="TU853" s="16"/>
      <c r="TV853" s="16"/>
      <c r="TW853" s="16"/>
      <c r="TX853" s="16"/>
      <c r="TY853" s="16"/>
      <c r="TZ853" s="16"/>
      <c r="UA853" s="16"/>
      <c r="UB853" s="16"/>
      <c r="UC853" s="16"/>
      <c r="UD853" s="16"/>
      <c r="UE853" s="16"/>
      <c r="UF853" s="16"/>
      <c r="UG853" s="16"/>
      <c r="UH853" s="16"/>
      <c r="UI853" s="16"/>
      <c r="UJ853" s="16"/>
      <c r="UK853" s="16"/>
      <c r="UL853" s="16"/>
      <c r="UM853" s="16"/>
      <c r="UN853" s="16"/>
      <c r="UO853" s="16"/>
      <c r="UP853" s="16"/>
      <c r="UQ853" s="16"/>
      <c r="UR853" s="16"/>
      <c r="US853" s="16"/>
      <c r="UT853" s="16"/>
      <c r="UU853" s="16"/>
      <c r="UV853" s="16"/>
      <c r="UW853" s="16"/>
      <c r="UX853" s="16"/>
      <c r="UY853" s="16"/>
      <c r="UZ853" s="16"/>
      <c r="VA853" s="16"/>
      <c r="VB853" s="16"/>
      <c r="VC853" s="16"/>
      <c r="VD853" s="16"/>
      <c r="VE853" s="16"/>
      <c r="VF853" s="16"/>
      <c r="VG853" s="16"/>
      <c r="VH853" s="16"/>
      <c r="VI853" s="16"/>
      <c r="VJ853" s="16"/>
      <c r="VK853" s="16"/>
      <c r="VL853" s="16"/>
      <c r="VM853" s="16"/>
      <c r="VN853" s="16"/>
      <c r="VO853" s="16"/>
      <c r="VP853" s="16"/>
      <c r="VQ853" s="16"/>
      <c r="VR853" s="16"/>
      <c r="VS853" s="16"/>
      <c r="VT853" s="16"/>
      <c r="VU853" s="16"/>
      <c r="VV853" s="16"/>
      <c r="VW853" s="16"/>
      <c r="VX853" s="16"/>
      <c r="VY853" s="16"/>
      <c r="VZ853" s="16"/>
      <c r="WA853" s="16"/>
      <c r="WB853" s="16"/>
      <c r="WC853" s="16"/>
      <c r="WD853" s="16"/>
      <c r="WE853" s="16"/>
      <c r="WF853" s="16"/>
      <c r="WG853" s="16"/>
      <c r="WH853" s="16"/>
      <c r="WI853" s="16"/>
      <c r="WJ853" s="16"/>
      <c r="WK853" s="16"/>
      <c r="WL853" s="16"/>
      <c r="WM853" s="16"/>
      <c r="WN853" s="16"/>
      <c r="WO853" s="16"/>
      <c r="WP853" s="16"/>
      <c r="WQ853" s="16"/>
      <c r="WR853" s="16"/>
      <c r="WS853" s="16"/>
      <c r="WT853" s="16"/>
      <c r="WU853" s="16"/>
      <c r="WV853" s="16"/>
      <c r="WW853" s="16"/>
      <c r="WX853" s="16"/>
      <c r="WY853" s="16"/>
      <c r="WZ853" s="16"/>
      <c r="XA853" s="16"/>
      <c r="XB853" s="16"/>
      <c r="XC853" s="16"/>
      <c r="XD853" s="16"/>
      <c r="XE853" s="16"/>
      <c r="XF853" s="16"/>
      <c r="XG853" s="16"/>
      <c r="XH853" s="16"/>
      <c r="XI853" s="16"/>
      <c r="XJ853" s="16"/>
      <c r="XK853" s="16"/>
      <c r="XL853" s="16"/>
      <c r="XM853" s="16"/>
      <c r="XN853" s="16"/>
      <c r="XO853" s="16"/>
      <c r="XP853" s="16"/>
      <c r="XQ853" s="16"/>
      <c r="XR853" s="16"/>
      <c r="XS853" s="16"/>
      <c r="XT853" s="16"/>
      <c r="XU853" s="16"/>
      <c r="XV853" s="16"/>
      <c r="XW853" s="16"/>
      <c r="XX853" s="16"/>
      <c r="XY853" s="16"/>
      <c r="XZ853" s="16"/>
      <c r="YA853" s="16"/>
      <c r="YB853" s="16"/>
      <c r="YC853" s="16"/>
      <c r="YD853" s="16"/>
      <c r="YE853" s="16"/>
      <c r="YF853" s="16"/>
      <c r="YG853" s="16"/>
      <c r="YH853" s="16"/>
      <c r="YI853" s="16"/>
      <c r="YJ853" s="16"/>
      <c r="YK853" s="16"/>
      <c r="YL853" s="16"/>
      <c r="YM853" s="16"/>
      <c r="YN853" s="16"/>
      <c r="YO853" s="16"/>
      <c r="YP853" s="16"/>
      <c r="YQ853" s="16"/>
      <c r="YR853" s="16"/>
      <c r="YS853" s="16"/>
      <c r="YT853" s="16"/>
      <c r="YU853" s="16"/>
      <c r="YV853" s="16"/>
      <c r="YW853" s="16"/>
      <c r="YX853" s="16"/>
      <c r="YY853" s="16"/>
      <c r="YZ853" s="16"/>
      <c r="ZA853" s="16"/>
      <c r="ZB853" s="16"/>
      <c r="ZC853" s="16"/>
      <c r="ZD853" s="16"/>
      <c r="ZE853" s="16"/>
      <c r="ZF853" s="16"/>
      <c r="ZG853" s="16"/>
      <c r="ZH853" s="16"/>
      <c r="ZI853" s="16"/>
      <c r="ZJ853" s="16"/>
      <c r="ZK853" s="16"/>
      <c r="ZL853" s="16"/>
      <c r="ZM853" s="16"/>
      <c r="ZN853" s="16"/>
      <c r="ZO853" s="16"/>
      <c r="ZP853" s="16"/>
      <c r="ZQ853" s="16"/>
      <c r="ZR853" s="16"/>
      <c r="ZS853" s="16"/>
      <c r="ZT853" s="16"/>
      <c r="ZU853" s="16"/>
      <c r="ZV853" s="16"/>
      <c r="ZW853" s="16"/>
      <c r="ZX853" s="16"/>
      <c r="ZY853" s="16"/>
      <c r="ZZ853" s="16"/>
      <c r="AAA853" s="16"/>
      <c r="AAB853" s="16"/>
      <c r="AAC853" s="16"/>
      <c r="AAD853" s="16"/>
      <c r="AAE853" s="16"/>
      <c r="AAF853" s="16"/>
      <c r="AAG853" s="16"/>
      <c r="AAH853" s="16"/>
      <c r="AAI853" s="16"/>
      <c r="AAJ853" s="16"/>
      <c r="AAK853" s="16"/>
      <c r="AAL853" s="16"/>
      <c r="AAM853" s="16"/>
      <c r="AAN853" s="16"/>
      <c r="AAO853" s="16"/>
      <c r="AAP853" s="16"/>
      <c r="AAQ853" s="16"/>
      <c r="AAR853" s="16"/>
      <c r="AAS853" s="16"/>
      <c r="AAT853" s="16"/>
      <c r="AAU853" s="16"/>
      <c r="AAV853" s="16"/>
      <c r="AAW853" s="16"/>
      <c r="AAX853" s="16"/>
      <c r="AAY853" s="16"/>
      <c r="AAZ853" s="16"/>
      <c r="ABA853" s="16"/>
      <c r="ABB853" s="16"/>
      <c r="ABC853" s="16"/>
      <c r="ABD853" s="16"/>
      <c r="ABE853" s="16"/>
      <c r="ABF853" s="16"/>
      <c r="ABG853" s="16"/>
      <c r="ABH853" s="16"/>
      <c r="ABI853" s="16"/>
      <c r="ABJ853" s="16"/>
      <c r="ABK853" s="16"/>
      <c r="ABL853" s="16"/>
      <c r="ABM853" s="16"/>
      <c r="ABN853" s="16"/>
      <c r="ABO853" s="16"/>
      <c r="ABP853" s="16"/>
      <c r="ABQ853" s="16"/>
      <c r="ABR853" s="16"/>
      <c r="ABS853" s="16"/>
      <c r="ABT853" s="16"/>
      <c r="ABU853" s="16"/>
      <c r="ABV853" s="16"/>
      <c r="ABW853" s="16"/>
      <c r="ABX853" s="16"/>
      <c r="ABY853" s="16"/>
      <c r="ABZ853" s="16"/>
      <c r="ACA853" s="16"/>
      <c r="ACB853" s="16"/>
      <c r="ACC853" s="16"/>
      <c r="ACD853" s="16"/>
      <c r="ACE853" s="16"/>
      <c r="ACF853" s="16"/>
      <c r="ACG853" s="16"/>
      <c r="ACH853" s="16"/>
      <c r="ACI853" s="16"/>
      <c r="ACJ853" s="16"/>
      <c r="ACK853" s="16"/>
      <c r="ACL853" s="16"/>
      <c r="ACM853" s="16"/>
      <c r="ACN853" s="16"/>
      <c r="ACO853" s="16"/>
      <c r="ACP853" s="16"/>
      <c r="ACQ853" s="16"/>
      <c r="ACR853" s="16"/>
      <c r="ACS853" s="16"/>
      <c r="ACT853" s="16"/>
      <c r="ACU853" s="16"/>
      <c r="ACV853" s="16"/>
      <c r="ACW853" s="16"/>
      <c r="ACX853" s="16"/>
      <c r="ACY853" s="16"/>
      <c r="ACZ853" s="16"/>
      <c r="ADA853" s="16"/>
      <c r="ADB853" s="16"/>
      <c r="ADC853" s="16"/>
      <c r="ADD853" s="16"/>
      <c r="ADE853" s="16"/>
      <c r="ADF853" s="16"/>
      <c r="ADG853" s="16"/>
      <c r="ADH853" s="16"/>
      <c r="ADI853" s="16"/>
      <c r="ADJ853" s="16"/>
      <c r="ADK853" s="16"/>
      <c r="ADL853" s="16"/>
      <c r="ADM853" s="16"/>
      <c r="ADN853" s="16"/>
      <c r="ADO853" s="16"/>
      <c r="ADP853" s="16"/>
      <c r="ADQ853" s="16"/>
      <c r="ADR853" s="16"/>
      <c r="ADS853" s="16"/>
      <c r="ADT853" s="16"/>
      <c r="ADU853" s="16"/>
      <c r="ADV853" s="16"/>
      <c r="ADW853" s="16"/>
      <c r="ADX853" s="16"/>
      <c r="ADY853" s="16"/>
      <c r="ADZ853" s="16"/>
      <c r="AEA853" s="16"/>
      <c r="AEB853" s="16"/>
      <c r="AEC853" s="16"/>
      <c r="AED853" s="16"/>
      <c r="AEE853" s="16"/>
      <c r="AEF853" s="16"/>
      <c r="AEG853" s="16"/>
      <c r="AEH853" s="16"/>
      <c r="AEI853" s="16"/>
      <c r="AEJ853" s="16"/>
      <c r="AEK853" s="16"/>
      <c r="AEL853" s="16"/>
      <c r="AEM853" s="16"/>
      <c r="AEN853" s="16"/>
      <c r="AEO853" s="16"/>
      <c r="AEP853" s="16"/>
      <c r="AEQ853" s="16"/>
      <c r="AER853" s="16"/>
      <c r="AES853" s="16"/>
      <c r="AET853" s="16"/>
      <c r="AEU853" s="16"/>
      <c r="AEV853" s="16"/>
      <c r="AEW853" s="16"/>
      <c r="AEX853" s="16"/>
      <c r="AEY853" s="16"/>
      <c r="AEZ853" s="16"/>
      <c r="AFA853" s="16"/>
      <c r="AFB853" s="16"/>
      <c r="AFC853" s="16"/>
      <c r="AFD853" s="16"/>
      <c r="AFE853" s="16"/>
      <c r="AFF853" s="16"/>
      <c r="AFG853" s="16"/>
      <c r="AFH853" s="16"/>
      <c r="AFI853" s="16"/>
      <c r="AFJ853" s="16"/>
      <c r="AFK853" s="16"/>
      <c r="AFL853" s="16"/>
      <c r="AFM853" s="16"/>
      <c r="AFN853" s="16"/>
      <c r="AFO853" s="16"/>
      <c r="AFP853" s="16"/>
      <c r="AFQ853" s="16"/>
      <c r="AFR853" s="16"/>
      <c r="AFS853" s="16"/>
      <c r="AFT853" s="16"/>
      <c r="AFU853" s="16"/>
      <c r="AFV853" s="16"/>
      <c r="AFW853" s="16"/>
      <c r="AFX853" s="16"/>
      <c r="AFY853" s="16"/>
      <c r="AFZ853" s="16"/>
      <c r="AGA853" s="16"/>
      <c r="AGB853" s="16"/>
      <c r="AGC853" s="16"/>
      <c r="AGD853" s="16"/>
      <c r="AGE853" s="16"/>
      <c r="AGF853" s="16"/>
      <c r="AGG853" s="16"/>
      <c r="AGH853" s="16"/>
      <c r="AGI853" s="16"/>
      <c r="AGJ853" s="16"/>
    </row>
    <row r="854" spans="1:868" s="852" customFormat="1" hidden="1">
      <c r="A854" s="152" t="s">
        <v>121</v>
      </c>
      <c r="B854" s="34" t="s">
        <v>238</v>
      </c>
      <c r="C854" s="40" t="s">
        <v>139</v>
      </c>
      <c r="D854" s="34" t="s">
        <v>91</v>
      </c>
      <c r="E854" s="260">
        <v>0.14560939849272989</v>
      </c>
      <c r="F854" s="235">
        <v>1</v>
      </c>
      <c r="G854" s="40"/>
      <c r="H854" s="29">
        <v>2</v>
      </c>
      <c r="I854" s="9">
        <v>2</v>
      </c>
      <c r="J854" s="9">
        <v>2</v>
      </c>
      <c r="K854" s="9">
        <v>2</v>
      </c>
      <c r="L854" s="9">
        <v>1</v>
      </c>
      <c r="M854" s="9">
        <v>2</v>
      </c>
      <c r="N854" s="186">
        <f t="shared" si="63"/>
        <v>0.38795788889711302</v>
      </c>
      <c r="O854" s="160">
        <f t="shared" si="64"/>
        <v>0.38795788889711302</v>
      </c>
      <c r="P854" s="63"/>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c r="CX854" s="16"/>
      <c r="CY854" s="16"/>
      <c r="CZ854" s="16"/>
      <c r="DA854" s="16"/>
      <c r="DB854" s="16"/>
      <c r="DC854" s="16"/>
      <c r="DD854" s="16"/>
      <c r="DE854" s="16"/>
      <c r="DF854" s="16"/>
      <c r="DG854" s="16"/>
      <c r="DH854" s="16"/>
      <c r="DI854" s="16"/>
      <c r="DJ854" s="16"/>
      <c r="DK854" s="16"/>
      <c r="DL854" s="16"/>
      <c r="DM854" s="16"/>
      <c r="DN854" s="16"/>
      <c r="DO854" s="16"/>
      <c r="DP854" s="16"/>
      <c r="DQ854" s="16"/>
      <c r="DR854" s="16"/>
      <c r="DS854" s="16"/>
      <c r="DT854" s="16"/>
      <c r="DU854" s="16"/>
      <c r="DV854" s="16"/>
      <c r="DW854" s="16"/>
      <c r="DX854" s="16"/>
      <c r="DY854" s="16"/>
      <c r="DZ854" s="16"/>
      <c r="EA854" s="16"/>
      <c r="EB854" s="16"/>
      <c r="EC854" s="16"/>
      <c r="ED854" s="16"/>
      <c r="EE854" s="16"/>
      <c r="EF854" s="16"/>
      <c r="EG854" s="16"/>
      <c r="EH854" s="16"/>
      <c r="EI854" s="16"/>
      <c r="EJ854" s="16"/>
      <c r="EK854" s="16"/>
      <c r="EL854" s="16"/>
      <c r="EM854" s="16"/>
      <c r="EN854" s="16"/>
      <c r="EO854" s="16"/>
      <c r="EP854" s="16"/>
      <c r="EQ854" s="16"/>
      <c r="ER854" s="16"/>
      <c r="ES854" s="16"/>
      <c r="ET854" s="16"/>
      <c r="EU854" s="16"/>
      <c r="EV854" s="16"/>
      <c r="EW854" s="16"/>
      <c r="EX854" s="16"/>
      <c r="EY854" s="16"/>
      <c r="EZ854" s="16"/>
      <c r="FA854" s="16"/>
      <c r="FB854" s="16"/>
      <c r="FC854" s="16"/>
      <c r="FD854" s="16"/>
      <c r="FE854" s="16"/>
      <c r="FF854" s="16"/>
      <c r="FG854" s="16"/>
      <c r="FH854" s="16"/>
      <c r="FI854" s="16"/>
      <c r="FJ854" s="16"/>
      <c r="FK854" s="16"/>
      <c r="FL854" s="16"/>
      <c r="FM854" s="16"/>
      <c r="FN854" s="16"/>
      <c r="FO854" s="16"/>
      <c r="FP854" s="16"/>
      <c r="FQ854" s="16"/>
      <c r="FR854" s="16"/>
      <c r="FS854" s="16"/>
      <c r="FT854" s="16"/>
      <c r="FU854" s="16"/>
      <c r="FV854" s="16"/>
      <c r="FW854" s="16"/>
      <c r="FX854" s="16"/>
      <c r="FY854" s="16"/>
      <c r="FZ854" s="16"/>
      <c r="GA854" s="16"/>
      <c r="GB854" s="16"/>
      <c r="GC854" s="16"/>
      <c r="GD854" s="16"/>
      <c r="GE854" s="16"/>
      <c r="GF854" s="16"/>
      <c r="GG854" s="16"/>
      <c r="GH854" s="16"/>
      <c r="GI854" s="16"/>
      <c r="GJ854" s="16"/>
      <c r="GK854" s="16"/>
      <c r="GL854" s="16"/>
      <c r="GM854" s="16"/>
      <c r="GN854" s="16"/>
      <c r="GO854" s="16"/>
      <c r="GP854" s="16"/>
      <c r="GQ854" s="16"/>
      <c r="GR854" s="16"/>
      <c r="GS854" s="16"/>
      <c r="GT854" s="16"/>
      <c r="GU854" s="16"/>
      <c r="GV854" s="16"/>
      <c r="GW854" s="16"/>
      <c r="GX854" s="16"/>
      <c r="GY854" s="16"/>
      <c r="GZ854" s="16"/>
      <c r="HA854" s="16"/>
      <c r="HB854" s="16"/>
      <c r="HC854" s="16"/>
      <c r="HD854" s="16"/>
      <c r="HE854" s="16"/>
      <c r="HF854" s="16"/>
      <c r="HG854" s="16"/>
      <c r="HH854" s="16"/>
      <c r="HI854" s="16"/>
      <c r="HJ854" s="16"/>
      <c r="HK854" s="16"/>
      <c r="HL854" s="16"/>
      <c r="HM854" s="16"/>
      <c r="HN854" s="16"/>
      <c r="HO854" s="16"/>
      <c r="HP854" s="16"/>
      <c r="HQ854" s="16"/>
      <c r="HR854" s="16"/>
      <c r="HS854" s="16"/>
      <c r="HT854" s="16"/>
      <c r="HU854" s="16"/>
      <c r="HV854" s="16"/>
      <c r="HW854" s="16"/>
      <c r="HX854" s="16"/>
      <c r="HY854" s="16"/>
      <c r="HZ854" s="16"/>
      <c r="IA854" s="16"/>
      <c r="IB854" s="16"/>
      <c r="IC854" s="16"/>
      <c r="ID854" s="16"/>
      <c r="IE854" s="16"/>
      <c r="IF854" s="16"/>
      <c r="IG854" s="16"/>
      <c r="IH854" s="16"/>
      <c r="II854" s="16"/>
      <c r="IJ854" s="16"/>
      <c r="IK854" s="16"/>
      <c r="IL854" s="16"/>
      <c r="IM854" s="16"/>
      <c r="IN854" s="16"/>
      <c r="IO854" s="16"/>
      <c r="IP854" s="16"/>
      <c r="IQ854" s="16"/>
      <c r="IR854" s="16"/>
      <c r="IS854" s="16"/>
      <c r="IT854" s="16"/>
      <c r="IU854" s="16"/>
      <c r="IV854" s="16"/>
      <c r="IW854" s="16"/>
      <c r="IX854" s="16"/>
      <c r="IY854" s="16"/>
      <c r="IZ854" s="16"/>
      <c r="JA854" s="16"/>
      <c r="JB854" s="16"/>
      <c r="JC854" s="16"/>
      <c r="JD854" s="16"/>
      <c r="JE854" s="16"/>
      <c r="JF854" s="16"/>
      <c r="JG854" s="16"/>
      <c r="JH854" s="16"/>
      <c r="JI854" s="16"/>
      <c r="JJ854" s="16"/>
      <c r="JK854" s="16"/>
      <c r="JL854" s="16"/>
      <c r="JM854" s="16"/>
      <c r="JN854" s="16"/>
      <c r="JO854" s="16"/>
      <c r="JP854" s="16"/>
      <c r="JQ854" s="16"/>
      <c r="JR854" s="16"/>
      <c r="JS854" s="16"/>
      <c r="JT854" s="16"/>
      <c r="JU854" s="16"/>
      <c r="JV854" s="16"/>
      <c r="JW854" s="16"/>
      <c r="JX854" s="16"/>
      <c r="JY854" s="16"/>
      <c r="JZ854" s="16"/>
      <c r="KA854" s="16"/>
      <c r="KB854" s="16"/>
      <c r="KC854" s="16"/>
      <c r="KD854" s="16"/>
      <c r="KE854" s="16"/>
      <c r="KF854" s="16"/>
      <c r="KG854" s="16"/>
      <c r="KH854" s="16"/>
      <c r="KI854" s="16"/>
      <c r="KJ854" s="16"/>
      <c r="KK854" s="16"/>
      <c r="KL854" s="16"/>
      <c r="KM854" s="16"/>
      <c r="KN854" s="16"/>
      <c r="KO854" s="16"/>
      <c r="KP854" s="16"/>
      <c r="KQ854" s="16"/>
      <c r="KR854" s="16"/>
      <c r="KS854" s="16"/>
      <c r="KT854" s="16"/>
      <c r="KU854" s="16"/>
      <c r="KV854" s="16"/>
      <c r="KW854" s="16"/>
      <c r="KX854" s="16"/>
      <c r="KY854" s="16"/>
      <c r="KZ854" s="16"/>
      <c r="LA854" s="16"/>
      <c r="LB854" s="16"/>
      <c r="LC854" s="16"/>
      <c r="LD854" s="16"/>
      <c r="LE854" s="16"/>
      <c r="LF854" s="16"/>
      <c r="LG854" s="16"/>
      <c r="LH854" s="16"/>
      <c r="LI854" s="16"/>
      <c r="LJ854" s="16"/>
      <c r="LK854" s="16"/>
      <c r="LL854" s="16"/>
      <c r="LM854" s="16"/>
      <c r="LN854" s="16"/>
      <c r="LO854" s="16"/>
      <c r="LP854" s="16"/>
      <c r="LQ854" s="16"/>
      <c r="LR854" s="16"/>
      <c r="LS854" s="16"/>
      <c r="LT854" s="16"/>
      <c r="LU854" s="16"/>
      <c r="LV854" s="16"/>
      <c r="LW854" s="16"/>
      <c r="LX854" s="16"/>
      <c r="LY854" s="16"/>
      <c r="LZ854" s="16"/>
      <c r="MA854" s="16"/>
      <c r="MB854" s="16"/>
      <c r="MC854" s="16"/>
      <c r="MD854" s="16"/>
      <c r="ME854" s="16"/>
      <c r="MF854" s="16"/>
      <c r="MG854" s="16"/>
      <c r="MH854" s="16"/>
      <c r="MI854" s="16"/>
      <c r="MJ854" s="16"/>
      <c r="MK854" s="16"/>
      <c r="ML854" s="16"/>
      <c r="MM854" s="16"/>
      <c r="MN854" s="16"/>
      <c r="MO854" s="16"/>
      <c r="MP854" s="16"/>
      <c r="MQ854" s="16"/>
      <c r="MR854" s="16"/>
      <c r="MS854" s="16"/>
      <c r="MT854" s="16"/>
      <c r="MU854" s="16"/>
      <c r="MV854" s="16"/>
      <c r="MW854" s="16"/>
      <c r="MX854" s="16"/>
      <c r="MY854" s="16"/>
      <c r="MZ854" s="16"/>
      <c r="NA854" s="16"/>
      <c r="NB854" s="16"/>
      <c r="NC854" s="16"/>
      <c r="ND854" s="16"/>
      <c r="NE854" s="16"/>
      <c r="NF854" s="16"/>
      <c r="NG854" s="16"/>
      <c r="NH854" s="16"/>
      <c r="NI854" s="16"/>
      <c r="NJ854" s="16"/>
      <c r="NK854" s="16"/>
      <c r="NL854" s="16"/>
      <c r="NM854" s="16"/>
      <c r="NN854" s="16"/>
      <c r="NO854" s="16"/>
      <c r="NP854" s="16"/>
      <c r="NQ854" s="16"/>
      <c r="NR854" s="16"/>
      <c r="NS854" s="16"/>
      <c r="NT854" s="16"/>
      <c r="NU854" s="16"/>
      <c r="NV854" s="16"/>
      <c r="NW854" s="16"/>
      <c r="NX854" s="16"/>
      <c r="NY854" s="16"/>
      <c r="NZ854" s="16"/>
      <c r="OA854" s="16"/>
      <c r="OB854" s="16"/>
      <c r="OC854" s="16"/>
      <c r="OD854" s="16"/>
      <c r="OE854" s="16"/>
      <c r="OF854" s="16"/>
      <c r="OG854" s="16"/>
      <c r="OH854" s="16"/>
      <c r="OI854" s="16"/>
      <c r="OJ854" s="16"/>
      <c r="OK854" s="16"/>
      <c r="OL854" s="16"/>
      <c r="OM854" s="16"/>
      <c r="ON854" s="16"/>
      <c r="OO854" s="16"/>
      <c r="OP854" s="16"/>
      <c r="OQ854" s="16"/>
      <c r="OR854" s="16"/>
      <c r="OS854" s="16"/>
      <c r="OT854" s="16"/>
      <c r="OU854" s="16"/>
      <c r="OV854" s="16"/>
      <c r="OW854" s="16"/>
      <c r="OX854" s="16"/>
      <c r="OY854" s="16"/>
      <c r="OZ854" s="16"/>
      <c r="PA854" s="16"/>
      <c r="PB854" s="16"/>
      <c r="PC854" s="16"/>
      <c r="PD854" s="16"/>
      <c r="PE854" s="16"/>
      <c r="PF854" s="16"/>
      <c r="PG854" s="16"/>
      <c r="PH854" s="16"/>
      <c r="PI854" s="16"/>
      <c r="PJ854" s="16"/>
      <c r="PK854" s="16"/>
      <c r="PL854" s="16"/>
      <c r="PM854" s="16"/>
      <c r="PN854" s="16"/>
      <c r="PO854" s="16"/>
      <c r="PP854" s="16"/>
      <c r="PQ854" s="16"/>
      <c r="PR854" s="16"/>
      <c r="PS854" s="16"/>
      <c r="PT854" s="16"/>
      <c r="PU854" s="16"/>
      <c r="PV854" s="16"/>
      <c r="PW854" s="16"/>
      <c r="PX854" s="16"/>
      <c r="PY854" s="16"/>
      <c r="PZ854" s="16"/>
      <c r="QA854" s="16"/>
      <c r="QB854" s="16"/>
      <c r="QC854" s="16"/>
      <c r="QD854" s="16"/>
      <c r="QE854" s="16"/>
      <c r="QF854" s="16"/>
      <c r="QG854" s="16"/>
      <c r="QH854" s="16"/>
      <c r="QI854" s="16"/>
      <c r="QJ854" s="16"/>
      <c r="QK854" s="16"/>
      <c r="QL854" s="16"/>
      <c r="QM854" s="16"/>
      <c r="QN854" s="16"/>
      <c r="QO854" s="16"/>
      <c r="QP854" s="16"/>
      <c r="QQ854" s="16"/>
      <c r="QR854" s="16"/>
      <c r="QS854" s="16"/>
      <c r="QT854" s="16"/>
      <c r="QU854" s="16"/>
      <c r="QV854" s="16"/>
      <c r="QW854" s="16"/>
      <c r="QX854" s="16"/>
      <c r="QY854" s="16"/>
      <c r="QZ854" s="16"/>
      <c r="RA854" s="16"/>
      <c r="RB854" s="16"/>
      <c r="RC854" s="16"/>
      <c r="RD854" s="16"/>
      <c r="RE854" s="16"/>
      <c r="RF854" s="16"/>
      <c r="RG854" s="16"/>
      <c r="RH854" s="16"/>
      <c r="RI854" s="16"/>
      <c r="RJ854" s="16"/>
      <c r="RK854" s="16"/>
      <c r="RL854" s="16"/>
      <c r="RM854" s="16"/>
      <c r="RN854" s="16"/>
      <c r="RO854" s="16"/>
      <c r="RP854" s="16"/>
      <c r="RQ854" s="16"/>
      <c r="RR854" s="16"/>
      <c r="RS854" s="16"/>
      <c r="RT854" s="16"/>
      <c r="RU854" s="16"/>
      <c r="RV854" s="16"/>
      <c r="RW854" s="16"/>
      <c r="RX854" s="16"/>
      <c r="RY854" s="16"/>
      <c r="RZ854" s="16"/>
      <c r="SA854" s="16"/>
      <c r="SB854" s="16"/>
      <c r="SC854" s="16"/>
      <c r="SD854" s="16"/>
      <c r="SE854" s="16"/>
      <c r="SF854" s="16"/>
      <c r="SG854" s="16"/>
      <c r="SH854" s="16"/>
      <c r="SI854" s="16"/>
      <c r="SJ854" s="16"/>
      <c r="SK854" s="16"/>
      <c r="SL854" s="16"/>
      <c r="SM854" s="16"/>
      <c r="SN854" s="16"/>
      <c r="SO854" s="16"/>
      <c r="SP854" s="16"/>
      <c r="SQ854" s="16"/>
      <c r="SR854" s="16"/>
      <c r="SS854" s="16"/>
      <c r="ST854" s="16"/>
      <c r="SU854" s="16"/>
      <c r="SV854" s="16"/>
      <c r="SW854" s="16"/>
      <c r="SX854" s="16"/>
      <c r="SY854" s="16"/>
      <c r="SZ854" s="16"/>
      <c r="TA854" s="16"/>
      <c r="TB854" s="16"/>
      <c r="TC854" s="16"/>
      <c r="TD854" s="16"/>
      <c r="TE854" s="16"/>
      <c r="TF854" s="16"/>
      <c r="TG854" s="16"/>
      <c r="TH854" s="16"/>
      <c r="TI854" s="16"/>
      <c r="TJ854" s="16"/>
      <c r="TK854" s="16"/>
      <c r="TL854" s="16"/>
      <c r="TM854" s="16"/>
      <c r="TN854" s="16"/>
      <c r="TO854" s="16"/>
      <c r="TP854" s="16"/>
      <c r="TQ854" s="16"/>
      <c r="TR854" s="16"/>
      <c r="TS854" s="16"/>
      <c r="TT854" s="16"/>
      <c r="TU854" s="16"/>
      <c r="TV854" s="16"/>
      <c r="TW854" s="16"/>
      <c r="TX854" s="16"/>
      <c r="TY854" s="16"/>
      <c r="TZ854" s="16"/>
      <c r="UA854" s="16"/>
      <c r="UB854" s="16"/>
      <c r="UC854" s="16"/>
      <c r="UD854" s="16"/>
      <c r="UE854" s="16"/>
      <c r="UF854" s="16"/>
      <c r="UG854" s="16"/>
      <c r="UH854" s="16"/>
      <c r="UI854" s="16"/>
      <c r="UJ854" s="16"/>
      <c r="UK854" s="16"/>
      <c r="UL854" s="16"/>
      <c r="UM854" s="16"/>
      <c r="UN854" s="16"/>
      <c r="UO854" s="16"/>
      <c r="UP854" s="16"/>
      <c r="UQ854" s="16"/>
      <c r="UR854" s="16"/>
      <c r="US854" s="16"/>
      <c r="UT854" s="16"/>
      <c r="UU854" s="16"/>
      <c r="UV854" s="16"/>
      <c r="UW854" s="16"/>
      <c r="UX854" s="16"/>
      <c r="UY854" s="16"/>
      <c r="UZ854" s="16"/>
      <c r="VA854" s="16"/>
      <c r="VB854" s="16"/>
      <c r="VC854" s="16"/>
      <c r="VD854" s="16"/>
      <c r="VE854" s="16"/>
      <c r="VF854" s="16"/>
      <c r="VG854" s="16"/>
      <c r="VH854" s="16"/>
      <c r="VI854" s="16"/>
      <c r="VJ854" s="16"/>
      <c r="VK854" s="16"/>
      <c r="VL854" s="16"/>
      <c r="VM854" s="16"/>
      <c r="VN854" s="16"/>
      <c r="VO854" s="16"/>
      <c r="VP854" s="16"/>
      <c r="VQ854" s="16"/>
      <c r="VR854" s="16"/>
      <c r="VS854" s="16"/>
      <c r="VT854" s="16"/>
      <c r="VU854" s="16"/>
      <c r="VV854" s="16"/>
      <c r="VW854" s="16"/>
      <c r="VX854" s="16"/>
      <c r="VY854" s="16"/>
      <c r="VZ854" s="16"/>
      <c r="WA854" s="16"/>
      <c r="WB854" s="16"/>
      <c r="WC854" s="16"/>
      <c r="WD854" s="16"/>
      <c r="WE854" s="16"/>
      <c r="WF854" s="16"/>
      <c r="WG854" s="16"/>
      <c r="WH854" s="16"/>
      <c r="WI854" s="16"/>
      <c r="WJ854" s="16"/>
      <c r="WK854" s="16"/>
      <c r="WL854" s="16"/>
      <c r="WM854" s="16"/>
      <c r="WN854" s="16"/>
      <c r="WO854" s="16"/>
      <c r="WP854" s="16"/>
      <c r="WQ854" s="16"/>
      <c r="WR854" s="16"/>
      <c r="WS854" s="16"/>
      <c r="WT854" s="16"/>
      <c r="WU854" s="16"/>
      <c r="WV854" s="16"/>
      <c r="WW854" s="16"/>
      <c r="WX854" s="16"/>
      <c r="WY854" s="16"/>
      <c r="WZ854" s="16"/>
      <c r="XA854" s="16"/>
      <c r="XB854" s="16"/>
      <c r="XC854" s="16"/>
      <c r="XD854" s="16"/>
      <c r="XE854" s="16"/>
      <c r="XF854" s="16"/>
      <c r="XG854" s="16"/>
      <c r="XH854" s="16"/>
      <c r="XI854" s="16"/>
      <c r="XJ854" s="16"/>
      <c r="XK854" s="16"/>
      <c r="XL854" s="16"/>
      <c r="XM854" s="16"/>
      <c r="XN854" s="16"/>
      <c r="XO854" s="16"/>
      <c r="XP854" s="16"/>
      <c r="XQ854" s="16"/>
      <c r="XR854" s="16"/>
      <c r="XS854" s="16"/>
      <c r="XT854" s="16"/>
      <c r="XU854" s="16"/>
      <c r="XV854" s="16"/>
      <c r="XW854" s="16"/>
      <c r="XX854" s="16"/>
      <c r="XY854" s="16"/>
      <c r="XZ854" s="16"/>
      <c r="YA854" s="16"/>
      <c r="YB854" s="16"/>
      <c r="YC854" s="16"/>
      <c r="YD854" s="16"/>
      <c r="YE854" s="16"/>
      <c r="YF854" s="16"/>
      <c r="YG854" s="16"/>
      <c r="YH854" s="16"/>
      <c r="YI854" s="16"/>
      <c r="YJ854" s="16"/>
      <c r="YK854" s="16"/>
      <c r="YL854" s="16"/>
      <c r="YM854" s="16"/>
      <c r="YN854" s="16"/>
      <c r="YO854" s="16"/>
      <c r="YP854" s="16"/>
      <c r="YQ854" s="16"/>
      <c r="YR854" s="16"/>
      <c r="YS854" s="16"/>
      <c r="YT854" s="16"/>
      <c r="YU854" s="16"/>
      <c r="YV854" s="16"/>
      <c r="YW854" s="16"/>
      <c r="YX854" s="16"/>
      <c r="YY854" s="16"/>
      <c r="YZ854" s="16"/>
      <c r="ZA854" s="16"/>
      <c r="ZB854" s="16"/>
      <c r="ZC854" s="16"/>
      <c r="ZD854" s="16"/>
      <c r="ZE854" s="16"/>
      <c r="ZF854" s="16"/>
      <c r="ZG854" s="16"/>
      <c r="ZH854" s="16"/>
      <c r="ZI854" s="16"/>
      <c r="ZJ854" s="16"/>
      <c r="ZK854" s="16"/>
      <c r="ZL854" s="16"/>
      <c r="ZM854" s="16"/>
      <c r="ZN854" s="16"/>
      <c r="ZO854" s="16"/>
      <c r="ZP854" s="16"/>
      <c r="ZQ854" s="16"/>
      <c r="ZR854" s="16"/>
      <c r="ZS854" s="16"/>
      <c r="ZT854" s="16"/>
      <c r="ZU854" s="16"/>
      <c r="ZV854" s="16"/>
      <c r="ZW854" s="16"/>
      <c r="ZX854" s="16"/>
      <c r="ZY854" s="16"/>
      <c r="ZZ854" s="16"/>
      <c r="AAA854" s="16"/>
      <c r="AAB854" s="16"/>
      <c r="AAC854" s="16"/>
      <c r="AAD854" s="16"/>
      <c r="AAE854" s="16"/>
      <c r="AAF854" s="16"/>
      <c r="AAG854" s="16"/>
      <c r="AAH854" s="16"/>
      <c r="AAI854" s="16"/>
      <c r="AAJ854" s="16"/>
      <c r="AAK854" s="16"/>
      <c r="AAL854" s="16"/>
      <c r="AAM854" s="16"/>
      <c r="AAN854" s="16"/>
      <c r="AAO854" s="16"/>
      <c r="AAP854" s="16"/>
      <c r="AAQ854" s="16"/>
      <c r="AAR854" s="16"/>
      <c r="AAS854" s="16"/>
      <c r="AAT854" s="16"/>
      <c r="AAU854" s="16"/>
      <c r="AAV854" s="16"/>
      <c r="AAW854" s="16"/>
      <c r="AAX854" s="16"/>
      <c r="AAY854" s="16"/>
      <c r="AAZ854" s="16"/>
      <c r="ABA854" s="16"/>
      <c r="ABB854" s="16"/>
      <c r="ABC854" s="16"/>
      <c r="ABD854" s="16"/>
      <c r="ABE854" s="16"/>
      <c r="ABF854" s="16"/>
      <c r="ABG854" s="16"/>
      <c r="ABH854" s="16"/>
      <c r="ABI854" s="16"/>
      <c r="ABJ854" s="16"/>
      <c r="ABK854" s="16"/>
      <c r="ABL854" s="16"/>
      <c r="ABM854" s="16"/>
      <c r="ABN854" s="16"/>
      <c r="ABO854" s="16"/>
      <c r="ABP854" s="16"/>
      <c r="ABQ854" s="16"/>
      <c r="ABR854" s="16"/>
      <c r="ABS854" s="16"/>
      <c r="ABT854" s="16"/>
      <c r="ABU854" s="16"/>
      <c r="ABV854" s="16"/>
      <c r="ABW854" s="16"/>
      <c r="ABX854" s="16"/>
      <c r="ABY854" s="16"/>
      <c r="ABZ854" s="16"/>
      <c r="ACA854" s="16"/>
      <c r="ACB854" s="16"/>
      <c r="ACC854" s="16"/>
      <c r="ACD854" s="16"/>
      <c r="ACE854" s="16"/>
      <c r="ACF854" s="16"/>
      <c r="ACG854" s="16"/>
      <c r="ACH854" s="16"/>
      <c r="ACI854" s="16"/>
      <c r="ACJ854" s="16"/>
      <c r="ACK854" s="16"/>
      <c r="ACL854" s="16"/>
      <c r="ACM854" s="16"/>
      <c r="ACN854" s="16"/>
      <c r="ACO854" s="16"/>
      <c r="ACP854" s="16"/>
      <c r="ACQ854" s="16"/>
      <c r="ACR854" s="16"/>
      <c r="ACS854" s="16"/>
      <c r="ACT854" s="16"/>
      <c r="ACU854" s="16"/>
      <c r="ACV854" s="16"/>
      <c r="ACW854" s="16"/>
      <c r="ACX854" s="16"/>
      <c r="ACY854" s="16"/>
      <c r="ACZ854" s="16"/>
      <c r="ADA854" s="16"/>
      <c r="ADB854" s="16"/>
      <c r="ADC854" s="16"/>
      <c r="ADD854" s="16"/>
      <c r="ADE854" s="16"/>
      <c r="ADF854" s="16"/>
      <c r="ADG854" s="16"/>
      <c r="ADH854" s="16"/>
      <c r="ADI854" s="16"/>
      <c r="ADJ854" s="16"/>
      <c r="ADK854" s="16"/>
      <c r="ADL854" s="16"/>
      <c r="ADM854" s="16"/>
      <c r="ADN854" s="16"/>
      <c r="ADO854" s="16"/>
      <c r="ADP854" s="16"/>
      <c r="ADQ854" s="16"/>
      <c r="ADR854" s="16"/>
      <c r="ADS854" s="16"/>
      <c r="ADT854" s="16"/>
      <c r="ADU854" s="16"/>
      <c r="ADV854" s="16"/>
      <c r="ADW854" s="16"/>
      <c r="ADX854" s="16"/>
      <c r="ADY854" s="16"/>
      <c r="ADZ854" s="16"/>
      <c r="AEA854" s="16"/>
      <c r="AEB854" s="16"/>
      <c r="AEC854" s="16"/>
      <c r="AED854" s="16"/>
      <c r="AEE854" s="16"/>
      <c r="AEF854" s="16"/>
      <c r="AEG854" s="16"/>
      <c r="AEH854" s="16"/>
      <c r="AEI854" s="16"/>
      <c r="AEJ854" s="16"/>
      <c r="AEK854" s="16"/>
      <c r="AEL854" s="16"/>
      <c r="AEM854" s="16"/>
      <c r="AEN854" s="16"/>
      <c r="AEO854" s="16"/>
      <c r="AEP854" s="16"/>
      <c r="AEQ854" s="16"/>
      <c r="AER854" s="16"/>
      <c r="AES854" s="16"/>
      <c r="AET854" s="16"/>
      <c r="AEU854" s="16"/>
      <c r="AEV854" s="16"/>
      <c r="AEW854" s="16"/>
      <c r="AEX854" s="16"/>
      <c r="AEY854" s="16"/>
      <c r="AEZ854" s="16"/>
      <c r="AFA854" s="16"/>
      <c r="AFB854" s="16"/>
      <c r="AFC854" s="16"/>
      <c r="AFD854" s="16"/>
      <c r="AFE854" s="16"/>
      <c r="AFF854" s="16"/>
      <c r="AFG854" s="16"/>
      <c r="AFH854" s="16"/>
      <c r="AFI854" s="16"/>
      <c r="AFJ854" s="16"/>
      <c r="AFK854" s="16"/>
      <c r="AFL854" s="16"/>
      <c r="AFM854" s="16"/>
      <c r="AFN854" s="16"/>
      <c r="AFO854" s="16"/>
      <c r="AFP854" s="16"/>
      <c r="AFQ854" s="16"/>
      <c r="AFR854" s="16"/>
      <c r="AFS854" s="16"/>
      <c r="AFT854" s="16"/>
      <c r="AFU854" s="16"/>
      <c r="AFV854" s="16"/>
      <c r="AFW854" s="16"/>
      <c r="AFX854" s="16"/>
      <c r="AFY854" s="16"/>
      <c r="AFZ854" s="16"/>
      <c r="AGA854" s="16"/>
      <c r="AGB854" s="16"/>
      <c r="AGC854" s="16"/>
      <c r="AGD854" s="16"/>
      <c r="AGE854" s="16"/>
      <c r="AGF854" s="16"/>
      <c r="AGG854" s="16"/>
      <c r="AGH854" s="16"/>
      <c r="AGI854" s="16"/>
      <c r="AGJ854" s="16"/>
    </row>
    <row r="855" spans="1:868" hidden="1">
      <c r="A855" s="152" t="s">
        <v>121</v>
      </c>
      <c r="B855" s="34" t="s">
        <v>238</v>
      </c>
      <c r="C855" s="40" t="s">
        <v>139</v>
      </c>
      <c r="D855" s="34" t="s">
        <v>95</v>
      </c>
      <c r="E855" s="260">
        <v>0.11212684313172752</v>
      </c>
      <c r="F855" s="235">
        <v>1</v>
      </c>
      <c r="G855" s="40"/>
      <c r="H855" s="29">
        <v>2</v>
      </c>
      <c r="I855" s="9">
        <v>2</v>
      </c>
      <c r="J855" s="9">
        <v>2</v>
      </c>
      <c r="K855" s="9">
        <v>2</v>
      </c>
      <c r="L855" s="9">
        <v>1</v>
      </c>
      <c r="M855" s="9">
        <v>2</v>
      </c>
      <c r="N855" s="186">
        <f t="shared" si="63"/>
        <v>0.38795788889711302</v>
      </c>
      <c r="O855" s="160">
        <f t="shared" si="64"/>
        <v>0.38795788889711302</v>
      </c>
      <c r="P855" s="63"/>
    </row>
    <row r="856" spans="1:868" hidden="1">
      <c r="A856" s="152" t="s">
        <v>121</v>
      </c>
      <c r="B856" s="34" t="s">
        <v>238</v>
      </c>
      <c r="C856" s="40" t="s">
        <v>139</v>
      </c>
      <c r="D856" s="34" t="s">
        <v>99</v>
      </c>
      <c r="E856" s="260">
        <v>0</v>
      </c>
      <c r="F856" s="235">
        <v>1</v>
      </c>
      <c r="G856" s="40"/>
      <c r="H856" s="29"/>
      <c r="I856" s="9"/>
      <c r="J856" s="9"/>
      <c r="K856" s="9"/>
      <c r="L856" s="9"/>
      <c r="M856" s="9"/>
      <c r="N856" s="186" t="str">
        <f t="shared" si="63"/>
        <v/>
      </c>
      <c r="O856" s="160" t="str">
        <f t="shared" si="64"/>
        <v/>
      </c>
      <c r="P856" s="63"/>
    </row>
    <row r="857" spans="1:868" hidden="1">
      <c r="A857" s="152" t="s">
        <v>121</v>
      </c>
      <c r="B857" s="34" t="s">
        <v>355</v>
      </c>
      <c r="C857" s="40" t="s">
        <v>139</v>
      </c>
      <c r="D857" s="34" t="s">
        <v>85</v>
      </c>
      <c r="E857" s="260">
        <v>0</v>
      </c>
      <c r="F857" s="235">
        <v>1</v>
      </c>
      <c r="G857" s="40"/>
      <c r="H857" s="29"/>
      <c r="I857" s="9"/>
      <c r="J857" s="9"/>
      <c r="K857" s="9"/>
      <c r="L857" s="9"/>
      <c r="M857" s="9"/>
      <c r="N857" s="186" t="str">
        <f t="shared" si="63"/>
        <v/>
      </c>
      <c r="O857" s="160" t="str">
        <f t="shared" si="64"/>
        <v/>
      </c>
      <c r="P857" s="63"/>
    </row>
    <row r="858" spans="1:868" hidden="1">
      <c r="A858" s="152" t="s">
        <v>121</v>
      </c>
      <c r="B858" s="34" t="s">
        <v>355</v>
      </c>
      <c r="C858" s="40" t="s">
        <v>139</v>
      </c>
      <c r="D858" s="34" t="s">
        <v>86</v>
      </c>
      <c r="E858" s="260">
        <v>0</v>
      </c>
      <c r="F858" s="235">
        <v>1</v>
      </c>
      <c r="G858" s="40"/>
      <c r="H858" s="29"/>
      <c r="I858" s="9"/>
      <c r="J858" s="9"/>
      <c r="K858" s="9"/>
      <c r="L858" s="9"/>
      <c r="M858" s="9"/>
      <c r="N858" s="186" t="str">
        <f t="shared" si="63"/>
        <v/>
      </c>
      <c r="O858" s="160" t="str">
        <f t="shared" si="64"/>
        <v/>
      </c>
      <c r="P858" s="63"/>
    </row>
    <row r="859" spans="1:868" s="211" customFormat="1" ht="15.75" hidden="1" thickBot="1">
      <c r="A859" s="152" t="s">
        <v>121</v>
      </c>
      <c r="B859" s="34" t="s">
        <v>355</v>
      </c>
      <c r="C859" s="40" t="s">
        <v>139</v>
      </c>
      <c r="D859" s="34" t="s">
        <v>87</v>
      </c>
      <c r="E859" s="260">
        <v>0.23131990255872262</v>
      </c>
      <c r="F859" s="235">
        <v>1</v>
      </c>
      <c r="G859" s="40"/>
      <c r="H859" s="29">
        <v>3</v>
      </c>
      <c r="I859" s="9">
        <v>3</v>
      </c>
      <c r="J859" s="9">
        <v>2</v>
      </c>
      <c r="K859" s="9">
        <v>2</v>
      </c>
      <c r="L859" s="9">
        <v>1</v>
      </c>
      <c r="M859" s="9">
        <v>2</v>
      </c>
      <c r="N859" s="186">
        <f t="shared" si="63"/>
        <v>0.50042652380814845</v>
      </c>
      <c r="O859" s="160">
        <f t="shared" si="64"/>
        <v>0.50042652380814845</v>
      </c>
      <c r="P859" s="63"/>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6"/>
      <c r="DF859" s="16"/>
      <c r="DG859" s="16"/>
      <c r="DH859" s="16"/>
      <c r="DI859" s="16"/>
      <c r="DJ859" s="16"/>
      <c r="DK859" s="16"/>
      <c r="DL859" s="16"/>
      <c r="DM859" s="16"/>
      <c r="DN859" s="16"/>
      <c r="DO859" s="16"/>
      <c r="DP859" s="16"/>
      <c r="DQ859" s="16"/>
      <c r="DR859" s="16"/>
      <c r="DS859" s="16"/>
      <c r="DT859" s="16"/>
      <c r="DU859" s="16"/>
      <c r="DV859" s="16"/>
      <c r="DW859" s="16"/>
      <c r="DX859" s="16"/>
      <c r="DY859" s="16"/>
      <c r="DZ859" s="16"/>
      <c r="EA859" s="16"/>
      <c r="EB859" s="16"/>
      <c r="EC859" s="16"/>
      <c r="ED859" s="16"/>
      <c r="EE859" s="16"/>
      <c r="EF859" s="16"/>
      <c r="EG859" s="16"/>
      <c r="EH859" s="16"/>
      <c r="EI859" s="16"/>
      <c r="EJ859" s="16"/>
      <c r="EK859" s="16"/>
      <c r="EL859" s="16"/>
      <c r="EM859" s="16"/>
      <c r="EN859" s="16"/>
      <c r="EO859" s="16"/>
      <c r="EP859" s="16"/>
      <c r="EQ859" s="16"/>
      <c r="ER859" s="16"/>
      <c r="ES859" s="16"/>
      <c r="ET859" s="16"/>
      <c r="EU859" s="16"/>
      <c r="EV859" s="16"/>
      <c r="EW859" s="16"/>
      <c r="EX859" s="16"/>
      <c r="EY859" s="16"/>
      <c r="EZ859" s="16"/>
      <c r="FA859" s="16"/>
      <c r="FB859" s="16"/>
      <c r="FC859" s="16"/>
      <c r="FD859" s="16"/>
      <c r="FE859" s="16"/>
      <c r="FF859" s="16"/>
      <c r="FG859" s="16"/>
      <c r="FH859" s="16"/>
      <c r="FI859" s="16"/>
      <c r="FJ859" s="16"/>
      <c r="FK859" s="16"/>
      <c r="FL859" s="16"/>
      <c r="FM859" s="16"/>
      <c r="FN859" s="16"/>
      <c r="FO859" s="16"/>
      <c r="FP859" s="16"/>
      <c r="FQ859" s="16"/>
      <c r="FR859" s="16"/>
      <c r="FS859" s="16"/>
      <c r="FT859" s="16"/>
      <c r="FU859" s="16"/>
      <c r="FV859" s="16"/>
      <c r="FW859" s="16"/>
      <c r="FX859" s="16"/>
      <c r="FY859" s="16"/>
      <c r="FZ859" s="16"/>
      <c r="GA859" s="16"/>
      <c r="GB859" s="16"/>
      <c r="GC859" s="16"/>
      <c r="GD859" s="16"/>
      <c r="GE859" s="16"/>
      <c r="GF859" s="16"/>
      <c r="GG859" s="16"/>
      <c r="GH859" s="16"/>
      <c r="GI859" s="16"/>
      <c r="GJ859" s="16"/>
      <c r="GK859" s="16"/>
      <c r="GL859" s="16"/>
      <c r="GM859" s="16"/>
      <c r="GN859" s="16"/>
      <c r="GO859" s="16"/>
      <c r="GP859" s="16"/>
      <c r="GQ859" s="16"/>
      <c r="GR859" s="16"/>
      <c r="GS859" s="16"/>
      <c r="GT859" s="16"/>
      <c r="GU859" s="16"/>
      <c r="GV859" s="16"/>
      <c r="GW859" s="16"/>
      <c r="GX859" s="16"/>
      <c r="GY859" s="16"/>
      <c r="GZ859" s="16"/>
      <c r="HA859" s="16"/>
      <c r="HB859" s="16"/>
      <c r="HC859" s="16"/>
      <c r="HD859" s="16"/>
      <c r="HE859" s="16"/>
      <c r="HF859" s="16"/>
      <c r="HG859" s="16"/>
      <c r="HH859" s="16"/>
      <c r="HI859" s="16"/>
      <c r="HJ859" s="16"/>
      <c r="HK859" s="16"/>
      <c r="HL859" s="16"/>
      <c r="HM859" s="16"/>
      <c r="HN859" s="16"/>
      <c r="HO859" s="16"/>
      <c r="HP859" s="16"/>
      <c r="HQ859" s="16"/>
      <c r="HR859" s="16"/>
      <c r="HS859" s="16"/>
      <c r="HT859" s="16"/>
      <c r="HU859" s="16"/>
      <c r="HV859" s="16"/>
      <c r="HW859" s="16"/>
      <c r="HX859" s="16"/>
      <c r="HY859" s="16"/>
      <c r="HZ859" s="16"/>
      <c r="IA859" s="16"/>
      <c r="IB859" s="16"/>
      <c r="IC859" s="16"/>
      <c r="ID859" s="16"/>
      <c r="IE859" s="16"/>
      <c r="IF859" s="16"/>
      <c r="IG859" s="16"/>
      <c r="IH859" s="16"/>
      <c r="II859" s="16"/>
      <c r="IJ859" s="16"/>
      <c r="IK859" s="16"/>
      <c r="IL859" s="16"/>
      <c r="IM859" s="16"/>
      <c r="IN859" s="16"/>
      <c r="IO859" s="16"/>
      <c r="IP859" s="16"/>
      <c r="IQ859" s="16"/>
      <c r="IR859" s="16"/>
      <c r="IS859" s="16"/>
      <c r="IT859" s="16"/>
      <c r="IU859" s="16"/>
      <c r="IV859" s="16"/>
      <c r="IW859" s="16"/>
      <c r="IX859" s="16"/>
      <c r="IY859" s="16"/>
      <c r="IZ859" s="16"/>
      <c r="JA859" s="16"/>
      <c r="JB859" s="16"/>
      <c r="JC859" s="16"/>
      <c r="JD859" s="16"/>
      <c r="JE859" s="16"/>
      <c r="JF859" s="16"/>
      <c r="JG859" s="16"/>
      <c r="JH859" s="16"/>
      <c r="JI859" s="16"/>
      <c r="JJ859" s="16"/>
      <c r="JK859" s="16"/>
      <c r="JL859" s="16"/>
      <c r="JM859" s="16"/>
      <c r="JN859" s="16"/>
      <c r="JO859" s="16"/>
      <c r="JP859" s="16"/>
      <c r="JQ859" s="16"/>
      <c r="JR859" s="16"/>
      <c r="JS859" s="16"/>
      <c r="JT859" s="16"/>
      <c r="JU859" s="16"/>
      <c r="JV859" s="16"/>
      <c r="JW859" s="16"/>
      <c r="JX859" s="16"/>
      <c r="JY859" s="16"/>
      <c r="JZ859" s="16"/>
      <c r="KA859" s="16"/>
      <c r="KB859" s="16"/>
      <c r="KC859" s="16"/>
      <c r="KD859" s="16"/>
      <c r="KE859" s="16"/>
      <c r="KF859" s="16"/>
      <c r="KG859" s="16"/>
      <c r="KH859" s="16"/>
      <c r="KI859" s="16"/>
      <c r="KJ859" s="16"/>
      <c r="KK859" s="16"/>
      <c r="KL859" s="16"/>
      <c r="KM859" s="16"/>
      <c r="KN859" s="16"/>
      <c r="KO859" s="16"/>
      <c r="KP859" s="16"/>
      <c r="KQ859" s="16"/>
      <c r="KR859" s="16"/>
      <c r="KS859" s="16"/>
      <c r="KT859" s="16"/>
      <c r="KU859" s="16"/>
      <c r="KV859" s="16"/>
      <c r="KW859" s="16"/>
      <c r="KX859" s="16"/>
      <c r="KY859" s="16"/>
      <c r="KZ859" s="16"/>
      <c r="LA859" s="16"/>
      <c r="LB859" s="16"/>
      <c r="LC859" s="16"/>
      <c r="LD859" s="16"/>
      <c r="LE859" s="16"/>
      <c r="LF859" s="16"/>
      <c r="LG859" s="16"/>
      <c r="LH859" s="16"/>
      <c r="LI859" s="16"/>
      <c r="LJ859" s="16"/>
      <c r="LK859" s="16"/>
      <c r="LL859" s="16"/>
      <c r="LM859" s="16"/>
      <c r="LN859" s="16"/>
      <c r="LO859" s="16"/>
      <c r="LP859" s="16"/>
      <c r="LQ859" s="16"/>
      <c r="LR859" s="16"/>
      <c r="LS859" s="16"/>
      <c r="LT859" s="16"/>
      <c r="LU859" s="16"/>
      <c r="LV859" s="16"/>
      <c r="LW859" s="16"/>
      <c r="LX859" s="16"/>
      <c r="LY859" s="16"/>
      <c r="LZ859" s="16"/>
      <c r="MA859" s="16"/>
      <c r="MB859" s="16"/>
      <c r="MC859" s="16"/>
      <c r="MD859" s="16"/>
      <c r="ME859" s="16"/>
      <c r="MF859" s="16"/>
      <c r="MG859" s="16"/>
      <c r="MH859" s="16"/>
      <c r="MI859" s="16"/>
      <c r="MJ859" s="16"/>
      <c r="MK859" s="16"/>
      <c r="ML859" s="16"/>
      <c r="MM859" s="16"/>
      <c r="MN859" s="16"/>
      <c r="MO859" s="16"/>
      <c r="MP859" s="16"/>
      <c r="MQ859" s="16"/>
      <c r="MR859" s="16"/>
      <c r="MS859" s="16"/>
      <c r="MT859" s="16"/>
      <c r="MU859" s="16"/>
      <c r="MV859" s="16"/>
      <c r="MW859" s="16"/>
      <c r="MX859" s="16"/>
      <c r="MY859" s="16"/>
      <c r="MZ859" s="16"/>
      <c r="NA859" s="16"/>
      <c r="NB859" s="16"/>
      <c r="NC859" s="16"/>
      <c r="ND859" s="16"/>
      <c r="NE859" s="16"/>
      <c r="NF859" s="16"/>
      <c r="NG859" s="16"/>
      <c r="NH859" s="16"/>
      <c r="NI859" s="16"/>
      <c r="NJ859" s="16"/>
      <c r="NK859" s="16"/>
      <c r="NL859" s="16"/>
      <c r="NM859" s="16"/>
      <c r="NN859" s="16"/>
      <c r="NO859" s="16"/>
      <c r="NP859" s="16"/>
      <c r="NQ859" s="16"/>
      <c r="NR859" s="16"/>
      <c r="NS859" s="16"/>
      <c r="NT859" s="16"/>
      <c r="NU859" s="16"/>
      <c r="NV859" s="16"/>
      <c r="NW859" s="16"/>
      <c r="NX859" s="16"/>
      <c r="NY859" s="16"/>
      <c r="NZ859" s="16"/>
      <c r="OA859" s="16"/>
      <c r="OB859" s="16"/>
      <c r="OC859" s="16"/>
      <c r="OD859" s="16"/>
      <c r="OE859" s="16"/>
      <c r="OF859" s="16"/>
      <c r="OG859" s="16"/>
      <c r="OH859" s="16"/>
      <c r="OI859" s="16"/>
      <c r="OJ859" s="16"/>
      <c r="OK859" s="16"/>
      <c r="OL859" s="16"/>
      <c r="OM859" s="16"/>
      <c r="ON859" s="16"/>
      <c r="OO859" s="16"/>
      <c r="OP859" s="16"/>
      <c r="OQ859" s="16"/>
      <c r="OR859" s="16"/>
      <c r="OS859" s="16"/>
      <c r="OT859" s="16"/>
      <c r="OU859" s="16"/>
      <c r="OV859" s="16"/>
      <c r="OW859" s="16"/>
      <c r="OX859" s="16"/>
      <c r="OY859" s="16"/>
      <c r="OZ859" s="16"/>
      <c r="PA859" s="16"/>
      <c r="PB859" s="16"/>
      <c r="PC859" s="16"/>
      <c r="PD859" s="16"/>
      <c r="PE859" s="16"/>
      <c r="PF859" s="16"/>
      <c r="PG859" s="16"/>
      <c r="PH859" s="16"/>
      <c r="PI859" s="16"/>
      <c r="PJ859" s="16"/>
      <c r="PK859" s="16"/>
      <c r="PL859" s="16"/>
      <c r="PM859" s="16"/>
      <c r="PN859" s="16"/>
      <c r="PO859" s="16"/>
      <c r="PP859" s="16"/>
      <c r="PQ859" s="16"/>
      <c r="PR859" s="16"/>
      <c r="PS859" s="16"/>
      <c r="PT859" s="16"/>
      <c r="PU859" s="16"/>
      <c r="PV859" s="16"/>
      <c r="PW859" s="16"/>
      <c r="PX859" s="16"/>
      <c r="PY859" s="16"/>
      <c r="PZ859" s="16"/>
      <c r="QA859" s="16"/>
      <c r="QB859" s="16"/>
      <c r="QC859" s="16"/>
      <c r="QD859" s="16"/>
      <c r="QE859" s="16"/>
      <c r="QF859" s="16"/>
      <c r="QG859" s="16"/>
      <c r="QH859" s="16"/>
      <c r="QI859" s="16"/>
      <c r="QJ859" s="16"/>
      <c r="QK859" s="16"/>
      <c r="QL859" s="16"/>
      <c r="QM859" s="16"/>
      <c r="QN859" s="16"/>
      <c r="QO859" s="16"/>
      <c r="QP859" s="16"/>
      <c r="QQ859" s="16"/>
      <c r="QR859" s="16"/>
      <c r="QS859" s="16"/>
      <c r="QT859" s="16"/>
      <c r="QU859" s="16"/>
      <c r="QV859" s="16"/>
      <c r="QW859" s="16"/>
      <c r="QX859" s="16"/>
      <c r="QY859" s="16"/>
      <c r="QZ859" s="16"/>
      <c r="RA859" s="16"/>
      <c r="RB859" s="16"/>
      <c r="RC859" s="16"/>
      <c r="RD859" s="16"/>
      <c r="RE859" s="16"/>
      <c r="RF859" s="16"/>
      <c r="RG859" s="16"/>
      <c r="RH859" s="16"/>
      <c r="RI859" s="16"/>
      <c r="RJ859" s="16"/>
      <c r="RK859" s="16"/>
      <c r="RL859" s="16"/>
      <c r="RM859" s="16"/>
      <c r="RN859" s="16"/>
      <c r="RO859" s="16"/>
      <c r="RP859" s="16"/>
      <c r="RQ859" s="16"/>
      <c r="RR859" s="16"/>
      <c r="RS859" s="16"/>
      <c r="RT859" s="16"/>
      <c r="RU859" s="16"/>
      <c r="RV859" s="16"/>
      <c r="RW859" s="16"/>
      <c r="RX859" s="16"/>
      <c r="RY859" s="16"/>
      <c r="RZ859" s="16"/>
      <c r="SA859" s="16"/>
      <c r="SB859" s="16"/>
      <c r="SC859" s="16"/>
      <c r="SD859" s="16"/>
      <c r="SE859" s="16"/>
      <c r="SF859" s="16"/>
      <c r="SG859" s="16"/>
      <c r="SH859" s="16"/>
      <c r="SI859" s="16"/>
      <c r="SJ859" s="16"/>
      <c r="SK859" s="16"/>
      <c r="SL859" s="16"/>
      <c r="SM859" s="16"/>
      <c r="SN859" s="16"/>
      <c r="SO859" s="16"/>
      <c r="SP859" s="16"/>
      <c r="SQ859" s="16"/>
      <c r="SR859" s="16"/>
      <c r="SS859" s="16"/>
      <c r="ST859" s="16"/>
      <c r="SU859" s="16"/>
      <c r="SV859" s="16"/>
      <c r="SW859" s="16"/>
      <c r="SX859" s="16"/>
      <c r="SY859" s="16"/>
      <c r="SZ859" s="16"/>
      <c r="TA859" s="16"/>
      <c r="TB859" s="16"/>
      <c r="TC859" s="16"/>
      <c r="TD859" s="16"/>
      <c r="TE859" s="16"/>
      <c r="TF859" s="16"/>
      <c r="TG859" s="16"/>
      <c r="TH859" s="16"/>
      <c r="TI859" s="16"/>
      <c r="TJ859" s="16"/>
      <c r="TK859" s="16"/>
      <c r="TL859" s="16"/>
      <c r="TM859" s="16"/>
      <c r="TN859" s="16"/>
      <c r="TO859" s="16"/>
      <c r="TP859" s="16"/>
      <c r="TQ859" s="16"/>
      <c r="TR859" s="16"/>
      <c r="TS859" s="16"/>
      <c r="TT859" s="16"/>
      <c r="TU859" s="16"/>
      <c r="TV859" s="16"/>
      <c r="TW859" s="16"/>
      <c r="TX859" s="16"/>
      <c r="TY859" s="16"/>
      <c r="TZ859" s="16"/>
      <c r="UA859" s="16"/>
      <c r="UB859" s="16"/>
      <c r="UC859" s="16"/>
      <c r="UD859" s="16"/>
      <c r="UE859" s="16"/>
      <c r="UF859" s="16"/>
      <c r="UG859" s="16"/>
      <c r="UH859" s="16"/>
      <c r="UI859" s="16"/>
      <c r="UJ859" s="16"/>
      <c r="UK859" s="16"/>
      <c r="UL859" s="16"/>
      <c r="UM859" s="16"/>
      <c r="UN859" s="16"/>
      <c r="UO859" s="16"/>
      <c r="UP859" s="16"/>
      <c r="UQ859" s="16"/>
      <c r="UR859" s="16"/>
      <c r="US859" s="16"/>
      <c r="UT859" s="16"/>
      <c r="UU859" s="16"/>
      <c r="UV859" s="16"/>
      <c r="UW859" s="16"/>
      <c r="UX859" s="16"/>
      <c r="UY859" s="16"/>
      <c r="UZ859" s="16"/>
      <c r="VA859" s="16"/>
      <c r="VB859" s="16"/>
      <c r="VC859" s="16"/>
      <c r="VD859" s="16"/>
      <c r="VE859" s="16"/>
      <c r="VF859" s="16"/>
      <c r="VG859" s="16"/>
      <c r="VH859" s="16"/>
      <c r="VI859" s="16"/>
      <c r="VJ859" s="16"/>
      <c r="VK859" s="16"/>
      <c r="VL859" s="16"/>
      <c r="VM859" s="16"/>
      <c r="VN859" s="16"/>
      <c r="VO859" s="16"/>
      <c r="VP859" s="16"/>
      <c r="VQ859" s="16"/>
      <c r="VR859" s="16"/>
      <c r="VS859" s="16"/>
      <c r="VT859" s="16"/>
      <c r="VU859" s="16"/>
      <c r="VV859" s="16"/>
      <c r="VW859" s="16"/>
      <c r="VX859" s="16"/>
      <c r="VY859" s="16"/>
      <c r="VZ859" s="16"/>
      <c r="WA859" s="16"/>
      <c r="WB859" s="16"/>
      <c r="WC859" s="16"/>
      <c r="WD859" s="16"/>
      <c r="WE859" s="16"/>
      <c r="WF859" s="16"/>
      <c r="WG859" s="16"/>
      <c r="WH859" s="16"/>
      <c r="WI859" s="16"/>
      <c r="WJ859" s="16"/>
      <c r="WK859" s="16"/>
      <c r="WL859" s="16"/>
      <c r="WM859" s="16"/>
      <c r="WN859" s="16"/>
      <c r="WO859" s="16"/>
      <c r="WP859" s="16"/>
      <c r="WQ859" s="16"/>
      <c r="WR859" s="16"/>
      <c r="WS859" s="16"/>
      <c r="WT859" s="16"/>
      <c r="WU859" s="16"/>
      <c r="WV859" s="16"/>
      <c r="WW859" s="16"/>
      <c r="WX859" s="16"/>
      <c r="WY859" s="16"/>
      <c r="WZ859" s="16"/>
      <c r="XA859" s="16"/>
      <c r="XB859" s="16"/>
      <c r="XC859" s="16"/>
      <c r="XD859" s="16"/>
      <c r="XE859" s="16"/>
      <c r="XF859" s="16"/>
      <c r="XG859" s="16"/>
      <c r="XH859" s="16"/>
      <c r="XI859" s="16"/>
      <c r="XJ859" s="16"/>
      <c r="XK859" s="16"/>
      <c r="XL859" s="16"/>
      <c r="XM859" s="16"/>
      <c r="XN859" s="16"/>
      <c r="XO859" s="16"/>
      <c r="XP859" s="16"/>
      <c r="XQ859" s="16"/>
      <c r="XR859" s="16"/>
      <c r="XS859" s="16"/>
      <c r="XT859" s="16"/>
      <c r="XU859" s="16"/>
      <c r="XV859" s="16"/>
      <c r="XW859" s="16"/>
      <c r="XX859" s="16"/>
      <c r="XY859" s="16"/>
      <c r="XZ859" s="16"/>
      <c r="YA859" s="16"/>
      <c r="YB859" s="16"/>
      <c r="YC859" s="16"/>
      <c r="YD859" s="16"/>
      <c r="YE859" s="16"/>
      <c r="YF859" s="16"/>
      <c r="YG859" s="16"/>
      <c r="YH859" s="16"/>
      <c r="YI859" s="16"/>
      <c r="YJ859" s="16"/>
      <c r="YK859" s="16"/>
      <c r="YL859" s="16"/>
      <c r="YM859" s="16"/>
      <c r="YN859" s="16"/>
      <c r="YO859" s="16"/>
      <c r="YP859" s="16"/>
      <c r="YQ859" s="16"/>
      <c r="YR859" s="16"/>
      <c r="YS859" s="16"/>
      <c r="YT859" s="16"/>
      <c r="YU859" s="16"/>
      <c r="YV859" s="16"/>
      <c r="YW859" s="16"/>
      <c r="YX859" s="16"/>
      <c r="YY859" s="16"/>
      <c r="YZ859" s="16"/>
      <c r="ZA859" s="16"/>
      <c r="ZB859" s="16"/>
      <c r="ZC859" s="16"/>
      <c r="ZD859" s="16"/>
      <c r="ZE859" s="16"/>
      <c r="ZF859" s="16"/>
      <c r="ZG859" s="16"/>
      <c r="ZH859" s="16"/>
      <c r="ZI859" s="16"/>
      <c r="ZJ859" s="16"/>
      <c r="ZK859" s="16"/>
      <c r="ZL859" s="16"/>
      <c r="ZM859" s="16"/>
      <c r="ZN859" s="16"/>
      <c r="ZO859" s="16"/>
      <c r="ZP859" s="16"/>
      <c r="ZQ859" s="16"/>
      <c r="ZR859" s="16"/>
      <c r="ZS859" s="16"/>
      <c r="ZT859" s="16"/>
      <c r="ZU859" s="16"/>
      <c r="ZV859" s="16"/>
      <c r="ZW859" s="16"/>
      <c r="ZX859" s="16"/>
      <c r="ZY859" s="16"/>
      <c r="ZZ859" s="16"/>
      <c r="AAA859" s="16"/>
      <c r="AAB859" s="16"/>
      <c r="AAC859" s="16"/>
      <c r="AAD859" s="16"/>
      <c r="AAE859" s="16"/>
      <c r="AAF859" s="16"/>
      <c r="AAG859" s="16"/>
      <c r="AAH859" s="16"/>
      <c r="AAI859" s="16"/>
      <c r="AAJ859" s="16"/>
      <c r="AAK859" s="16"/>
      <c r="AAL859" s="16"/>
      <c r="AAM859" s="16"/>
      <c r="AAN859" s="16"/>
      <c r="AAO859" s="16"/>
      <c r="AAP859" s="16"/>
      <c r="AAQ859" s="16"/>
      <c r="AAR859" s="16"/>
      <c r="AAS859" s="16"/>
      <c r="AAT859" s="16"/>
      <c r="AAU859" s="16"/>
      <c r="AAV859" s="16"/>
      <c r="AAW859" s="16"/>
      <c r="AAX859" s="16"/>
      <c r="AAY859" s="16"/>
      <c r="AAZ859" s="16"/>
      <c r="ABA859" s="16"/>
      <c r="ABB859" s="16"/>
      <c r="ABC859" s="16"/>
      <c r="ABD859" s="16"/>
      <c r="ABE859" s="16"/>
      <c r="ABF859" s="16"/>
      <c r="ABG859" s="16"/>
      <c r="ABH859" s="16"/>
      <c r="ABI859" s="16"/>
      <c r="ABJ859" s="16"/>
      <c r="ABK859" s="16"/>
      <c r="ABL859" s="16"/>
      <c r="ABM859" s="16"/>
      <c r="ABN859" s="16"/>
      <c r="ABO859" s="16"/>
      <c r="ABP859" s="16"/>
      <c r="ABQ859" s="16"/>
      <c r="ABR859" s="16"/>
      <c r="ABS859" s="16"/>
      <c r="ABT859" s="16"/>
      <c r="ABU859" s="16"/>
      <c r="ABV859" s="16"/>
      <c r="ABW859" s="16"/>
      <c r="ABX859" s="16"/>
      <c r="ABY859" s="16"/>
      <c r="ABZ859" s="16"/>
      <c r="ACA859" s="16"/>
      <c r="ACB859" s="16"/>
      <c r="ACC859" s="16"/>
      <c r="ACD859" s="16"/>
      <c r="ACE859" s="16"/>
      <c r="ACF859" s="16"/>
      <c r="ACG859" s="16"/>
      <c r="ACH859" s="16"/>
      <c r="ACI859" s="16"/>
      <c r="ACJ859" s="16"/>
      <c r="ACK859" s="16"/>
      <c r="ACL859" s="16"/>
      <c r="ACM859" s="16"/>
      <c r="ACN859" s="16"/>
      <c r="ACO859" s="16"/>
      <c r="ACP859" s="16"/>
      <c r="ACQ859" s="16"/>
      <c r="ACR859" s="16"/>
      <c r="ACS859" s="16"/>
      <c r="ACT859" s="16"/>
      <c r="ACU859" s="16"/>
      <c r="ACV859" s="16"/>
      <c r="ACW859" s="16"/>
      <c r="ACX859" s="16"/>
      <c r="ACY859" s="16"/>
      <c r="ACZ859" s="16"/>
      <c r="ADA859" s="16"/>
      <c r="ADB859" s="16"/>
      <c r="ADC859" s="16"/>
      <c r="ADD859" s="16"/>
      <c r="ADE859" s="16"/>
      <c r="ADF859" s="16"/>
      <c r="ADG859" s="16"/>
      <c r="ADH859" s="16"/>
      <c r="ADI859" s="16"/>
      <c r="ADJ859" s="16"/>
      <c r="ADK859" s="16"/>
      <c r="ADL859" s="16"/>
      <c r="ADM859" s="16"/>
      <c r="ADN859" s="16"/>
      <c r="ADO859" s="16"/>
      <c r="ADP859" s="16"/>
      <c r="ADQ859" s="16"/>
      <c r="ADR859" s="16"/>
      <c r="ADS859" s="16"/>
      <c r="ADT859" s="16"/>
      <c r="ADU859" s="16"/>
      <c r="ADV859" s="16"/>
      <c r="ADW859" s="16"/>
      <c r="ADX859" s="16"/>
      <c r="ADY859" s="16"/>
      <c r="ADZ859" s="16"/>
      <c r="AEA859" s="16"/>
      <c r="AEB859" s="16"/>
      <c r="AEC859" s="16"/>
      <c r="AED859" s="16"/>
      <c r="AEE859" s="16"/>
      <c r="AEF859" s="16"/>
      <c r="AEG859" s="16"/>
      <c r="AEH859" s="16"/>
      <c r="AEI859" s="16"/>
      <c r="AEJ859" s="16"/>
      <c r="AEK859" s="16"/>
      <c r="AEL859" s="16"/>
      <c r="AEM859" s="16"/>
      <c r="AEN859" s="16"/>
      <c r="AEO859" s="16"/>
      <c r="AEP859" s="16"/>
      <c r="AEQ859" s="16"/>
      <c r="AER859" s="16"/>
      <c r="AES859" s="16"/>
      <c r="AET859" s="16"/>
      <c r="AEU859" s="16"/>
      <c r="AEV859" s="16"/>
      <c r="AEW859" s="16"/>
      <c r="AEX859" s="16"/>
      <c r="AEY859" s="16"/>
      <c r="AEZ859" s="16"/>
      <c r="AFA859" s="16"/>
      <c r="AFB859" s="16"/>
      <c r="AFC859" s="16"/>
      <c r="AFD859" s="16"/>
      <c r="AFE859" s="16"/>
      <c r="AFF859" s="16"/>
      <c r="AFG859" s="16"/>
      <c r="AFH859" s="16"/>
      <c r="AFI859" s="16"/>
      <c r="AFJ859" s="16"/>
      <c r="AFK859" s="16"/>
      <c r="AFL859" s="16"/>
      <c r="AFM859" s="16"/>
      <c r="AFN859" s="16"/>
      <c r="AFO859" s="16"/>
      <c r="AFP859" s="16"/>
      <c r="AFQ859" s="16"/>
      <c r="AFR859" s="16"/>
      <c r="AFS859" s="16"/>
      <c r="AFT859" s="16"/>
      <c r="AFU859" s="16"/>
      <c r="AFV859" s="16"/>
      <c r="AFW859" s="16"/>
      <c r="AFX859" s="16"/>
      <c r="AFY859" s="16"/>
      <c r="AFZ859" s="16"/>
      <c r="AGA859" s="16"/>
      <c r="AGB859" s="16"/>
      <c r="AGC859" s="16"/>
      <c r="AGD859" s="16"/>
      <c r="AGE859" s="16"/>
      <c r="AGF859" s="16"/>
      <c r="AGG859" s="16"/>
      <c r="AGH859" s="16"/>
      <c r="AGI859" s="16"/>
      <c r="AGJ859" s="16"/>
    </row>
    <row r="860" spans="1:868" s="852" customFormat="1" hidden="1">
      <c r="A860" s="152" t="s">
        <v>121</v>
      </c>
      <c r="B860" s="34" t="s">
        <v>355</v>
      </c>
      <c r="C860" s="40" t="s">
        <v>139</v>
      </c>
      <c r="D860" s="34" t="s">
        <v>88</v>
      </c>
      <c r="E860" s="260">
        <v>0</v>
      </c>
      <c r="F860" s="235">
        <v>1</v>
      </c>
      <c r="G860" s="40"/>
      <c r="H860" s="29"/>
      <c r="I860" s="9"/>
      <c r="J860" s="9"/>
      <c r="K860" s="9"/>
      <c r="L860" s="9"/>
      <c r="M860" s="9"/>
      <c r="N860" s="186" t="str">
        <f t="shared" si="63"/>
        <v/>
      </c>
      <c r="O860" s="160" t="str">
        <f t="shared" si="64"/>
        <v/>
      </c>
      <c r="P860" s="63"/>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c r="CX860" s="16"/>
      <c r="CY860" s="16"/>
      <c r="CZ860" s="16"/>
      <c r="DA860" s="16"/>
      <c r="DB860" s="16"/>
      <c r="DC860" s="16"/>
      <c r="DD860" s="16"/>
      <c r="DE860" s="16"/>
      <c r="DF860" s="16"/>
      <c r="DG860" s="16"/>
      <c r="DH860" s="16"/>
      <c r="DI860" s="16"/>
      <c r="DJ860" s="16"/>
      <c r="DK860" s="16"/>
      <c r="DL860" s="16"/>
      <c r="DM860" s="16"/>
      <c r="DN860" s="16"/>
      <c r="DO860" s="16"/>
      <c r="DP860" s="16"/>
      <c r="DQ860" s="16"/>
      <c r="DR860" s="16"/>
      <c r="DS860" s="16"/>
      <c r="DT860" s="16"/>
      <c r="DU860" s="16"/>
      <c r="DV860" s="16"/>
      <c r="DW860" s="16"/>
      <c r="DX860" s="16"/>
      <c r="DY860" s="16"/>
      <c r="DZ860" s="16"/>
      <c r="EA860" s="16"/>
      <c r="EB860" s="16"/>
      <c r="EC860" s="16"/>
      <c r="ED860" s="16"/>
      <c r="EE860" s="16"/>
      <c r="EF860" s="16"/>
      <c r="EG860" s="16"/>
      <c r="EH860" s="16"/>
      <c r="EI860" s="16"/>
      <c r="EJ860" s="16"/>
      <c r="EK860" s="16"/>
      <c r="EL860" s="16"/>
      <c r="EM860" s="16"/>
      <c r="EN860" s="16"/>
      <c r="EO860" s="16"/>
      <c r="EP860" s="16"/>
      <c r="EQ860" s="16"/>
      <c r="ER860" s="16"/>
      <c r="ES860" s="16"/>
      <c r="ET860" s="16"/>
      <c r="EU860" s="16"/>
      <c r="EV860" s="16"/>
      <c r="EW860" s="16"/>
      <c r="EX860" s="16"/>
      <c r="EY860" s="16"/>
      <c r="EZ860" s="16"/>
      <c r="FA860" s="16"/>
      <c r="FB860" s="16"/>
      <c r="FC860" s="16"/>
      <c r="FD860" s="16"/>
      <c r="FE860" s="16"/>
      <c r="FF860" s="16"/>
      <c r="FG860" s="16"/>
      <c r="FH860" s="16"/>
      <c r="FI860" s="16"/>
      <c r="FJ860" s="16"/>
      <c r="FK860" s="16"/>
      <c r="FL860" s="16"/>
      <c r="FM860" s="16"/>
      <c r="FN860" s="16"/>
      <c r="FO860" s="16"/>
      <c r="FP860" s="16"/>
      <c r="FQ860" s="16"/>
      <c r="FR860" s="16"/>
      <c r="FS860" s="16"/>
      <c r="FT860" s="16"/>
      <c r="FU860" s="16"/>
      <c r="FV860" s="16"/>
      <c r="FW860" s="16"/>
      <c r="FX860" s="16"/>
      <c r="FY860" s="16"/>
      <c r="FZ860" s="16"/>
      <c r="GA860" s="16"/>
      <c r="GB860" s="16"/>
      <c r="GC860" s="16"/>
      <c r="GD860" s="16"/>
      <c r="GE860" s="16"/>
      <c r="GF860" s="16"/>
      <c r="GG860" s="16"/>
      <c r="GH860" s="16"/>
      <c r="GI860" s="16"/>
      <c r="GJ860" s="16"/>
      <c r="GK860" s="16"/>
      <c r="GL860" s="16"/>
      <c r="GM860" s="16"/>
      <c r="GN860" s="16"/>
      <c r="GO860" s="16"/>
      <c r="GP860" s="16"/>
      <c r="GQ860" s="16"/>
      <c r="GR860" s="16"/>
      <c r="GS860" s="16"/>
      <c r="GT860" s="16"/>
      <c r="GU860" s="16"/>
      <c r="GV860" s="16"/>
      <c r="GW860" s="16"/>
      <c r="GX860" s="16"/>
      <c r="GY860" s="16"/>
      <c r="GZ860" s="16"/>
      <c r="HA860" s="16"/>
      <c r="HB860" s="16"/>
      <c r="HC860" s="16"/>
      <c r="HD860" s="16"/>
      <c r="HE860" s="16"/>
      <c r="HF860" s="16"/>
      <c r="HG860" s="16"/>
      <c r="HH860" s="16"/>
      <c r="HI860" s="16"/>
      <c r="HJ860" s="16"/>
      <c r="HK860" s="16"/>
      <c r="HL860" s="16"/>
      <c r="HM860" s="16"/>
      <c r="HN860" s="16"/>
      <c r="HO860" s="16"/>
      <c r="HP860" s="16"/>
      <c r="HQ860" s="16"/>
      <c r="HR860" s="16"/>
      <c r="HS860" s="16"/>
      <c r="HT860" s="16"/>
      <c r="HU860" s="16"/>
      <c r="HV860" s="16"/>
      <c r="HW860" s="16"/>
      <c r="HX860" s="16"/>
      <c r="HY860" s="16"/>
      <c r="HZ860" s="16"/>
      <c r="IA860" s="16"/>
      <c r="IB860" s="16"/>
      <c r="IC860" s="16"/>
      <c r="ID860" s="16"/>
      <c r="IE860" s="16"/>
      <c r="IF860" s="16"/>
      <c r="IG860" s="16"/>
      <c r="IH860" s="16"/>
      <c r="II860" s="16"/>
      <c r="IJ860" s="16"/>
      <c r="IK860" s="16"/>
      <c r="IL860" s="16"/>
      <c r="IM860" s="16"/>
      <c r="IN860" s="16"/>
      <c r="IO860" s="16"/>
      <c r="IP860" s="16"/>
      <c r="IQ860" s="16"/>
      <c r="IR860" s="16"/>
      <c r="IS860" s="16"/>
      <c r="IT860" s="16"/>
      <c r="IU860" s="16"/>
      <c r="IV860" s="16"/>
      <c r="IW860" s="16"/>
      <c r="IX860" s="16"/>
      <c r="IY860" s="16"/>
      <c r="IZ860" s="16"/>
      <c r="JA860" s="16"/>
      <c r="JB860" s="16"/>
      <c r="JC860" s="16"/>
      <c r="JD860" s="16"/>
      <c r="JE860" s="16"/>
      <c r="JF860" s="16"/>
      <c r="JG860" s="16"/>
      <c r="JH860" s="16"/>
      <c r="JI860" s="16"/>
      <c r="JJ860" s="16"/>
      <c r="JK860" s="16"/>
      <c r="JL860" s="16"/>
      <c r="JM860" s="16"/>
      <c r="JN860" s="16"/>
      <c r="JO860" s="16"/>
      <c r="JP860" s="16"/>
      <c r="JQ860" s="16"/>
      <c r="JR860" s="16"/>
      <c r="JS860" s="16"/>
      <c r="JT860" s="16"/>
      <c r="JU860" s="16"/>
      <c r="JV860" s="16"/>
      <c r="JW860" s="16"/>
      <c r="JX860" s="16"/>
      <c r="JY860" s="16"/>
      <c r="JZ860" s="16"/>
      <c r="KA860" s="16"/>
      <c r="KB860" s="16"/>
      <c r="KC860" s="16"/>
      <c r="KD860" s="16"/>
      <c r="KE860" s="16"/>
      <c r="KF860" s="16"/>
      <c r="KG860" s="16"/>
      <c r="KH860" s="16"/>
      <c r="KI860" s="16"/>
      <c r="KJ860" s="16"/>
      <c r="KK860" s="16"/>
      <c r="KL860" s="16"/>
      <c r="KM860" s="16"/>
      <c r="KN860" s="16"/>
      <c r="KO860" s="16"/>
      <c r="KP860" s="16"/>
      <c r="KQ860" s="16"/>
      <c r="KR860" s="16"/>
      <c r="KS860" s="16"/>
      <c r="KT860" s="16"/>
      <c r="KU860" s="16"/>
      <c r="KV860" s="16"/>
      <c r="KW860" s="16"/>
      <c r="KX860" s="16"/>
      <c r="KY860" s="16"/>
      <c r="KZ860" s="16"/>
      <c r="LA860" s="16"/>
      <c r="LB860" s="16"/>
      <c r="LC860" s="16"/>
      <c r="LD860" s="16"/>
      <c r="LE860" s="16"/>
      <c r="LF860" s="16"/>
      <c r="LG860" s="16"/>
      <c r="LH860" s="16"/>
      <c r="LI860" s="16"/>
      <c r="LJ860" s="16"/>
      <c r="LK860" s="16"/>
      <c r="LL860" s="16"/>
      <c r="LM860" s="16"/>
      <c r="LN860" s="16"/>
      <c r="LO860" s="16"/>
      <c r="LP860" s="16"/>
      <c r="LQ860" s="16"/>
      <c r="LR860" s="16"/>
      <c r="LS860" s="16"/>
      <c r="LT860" s="16"/>
      <c r="LU860" s="16"/>
      <c r="LV860" s="16"/>
      <c r="LW860" s="16"/>
      <c r="LX860" s="16"/>
      <c r="LY860" s="16"/>
      <c r="LZ860" s="16"/>
      <c r="MA860" s="16"/>
      <c r="MB860" s="16"/>
      <c r="MC860" s="16"/>
      <c r="MD860" s="16"/>
      <c r="ME860" s="16"/>
      <c r="MF860" s="16"/>
      <c r="MG860" s="16"/>
      <c r="MH860" s="16"/>
      <c r="MI860" s="16"/>
      <c r="MJ860" s="16"/>
      <c r="MK860" s="16"/>
      <c r="ML860" s="16"/>
      <c r="MM860" s="16"/>
      <c r="MN860" s="16"/>
      <c r="MO860" s="16"/>
      <c r="MP860" s="16"/>
      <c r="MQ860" s="16"/>
      <c r="MR860" s="16"/>
      <c r="MS860" s="16"/>
      <c r="MT860" s="16"/>
      <c r="MU860" s="16"/>
      <c r="MV860" s="16"/>
      <c r="MW860" s="16"/>
      <c r="MX860" s="16"/>
      <c r="MY860" s="16"/>
      <c r="MZ860" s="16"/>
      <c r="NA860" s="16"/>
      <c r="NB860" s="16"/>
      <c r="NC860" s="16"/>
      <c r="ND860" s="16"/>
      <c r="NE860" s="16"/>
      <c r="NF860" s="16"/>
      <c r="NG860" s="16"/>
      <c r="NH860" s="16"/>
      <c r="NI860" s="16"/>
      <c r="NJ860" s="16"/>
      <c r="NK860" s="16"/>
      <c r="NL860" s="16"/>
      <c r="NM860" s="16"/>
      <c r="NN860" s="16"/>
      <c r="NO860" s="16"/>
      <c r="NP860" s="16"/>
      <c r="NQ860" s="16"/>
      <c r="NR860" s="16"/>
      <c r="NS860" s="16"/>
      <c r="NT860" s="16"/>
      <c r="NU860" s="16"/>
      <c r="NV860" s="16"/>
      <c r="NW860" s="16"/>
      <c r="NX860" s="16"/>
      <c r="NY860" s="16"/>
      <c r="NZ860" s="16"/>
      <c r="OA860" s="16"/>
      <c r="OB860" s="16"/>
      <c r="OC860" s="16"/>
      <c r="OD860" s="16"/>
      <c r="OE860" s="16"/>
      <c r="OF860" s="16"/>
      <c r="OG860" s="16"/>
      <c r="OH860" s="16"/>
      <c r="OI860" s="16"/>
      <c r="OJ860" s="16"/>
      <c r="OK860" s="16"/>
      <c r="OL860" s="16"/>
      <c r="OM860" s="16"/>
      <c r="ON860" s="16"/>
      <c r="OO860" s="16"/>
      <c r="OP860" s="16"/>
      <c r="OQ860" s="16"/>
      <c r="OR860" s="16"/>
      <c r="OS860" s="16"/>
      <c r="OT860" s="16"/>
      <c r="OU860" s="16"/>
      <c r="OV860" s="16"/>
      <c r="OW860" s="16"/>
      <c r="OX860" s="16"/>
      <c r="OY860" s="16"/>
      <c r="OZ860" s="16"/>
      <c r="PA860" s="16"/>
      <c r="PB860" s="16"/>
      <c r="PC860" s="16"/>
      <c r="PD860" s="16"/>
      <c r="PE860" s="16"/>
      <c r="PF860" s="16"/>
      <c r="PG860" s="16"/>
      <c r="PH860" s="16"/>
      <c r="PI860" s="16"/>
      <c r="PJ860" s="16"/>
      <c r="PK860" s="16"/>
      <c r="PL860" s="16"/>
      <c r="PM860" s="16"/>
      <c r="PN860" s="16"/>
      <c r="PO860" s="16"/>
      <c r="PP860" s="16"/>
      <c r="PQ860" s="16"/>
      <c r="PR860" s="16"/>
      <c r="PS860" s="16"/>
      <c r="PT860" s="16"/>
      <c r="PU860" s="16"/>
      <c r="PV860" s="16"/>
      <c r="PW860" s="16"/>
      <c r="PX860" s="16"/>
      <c r="PY860" s="16"/>
      <c r="PZ860" s="16"/>
      <c r="QA860" s="16"/>
      <c r="QB860" s="16"/>
      <c r="QC860" s="16"/>
      <c r="QD860" s="16"/>
      <c r="QE860" s="16"/>
      <c r="QF860" s="16"/>
      <c r="QG860" s="16"/>
      <c r="QH860" s="16"/>
      <c r="QI860" s="16"/>
      <c r="QJ860" s="16"/>
      <c r="QK860" s="16"/>
      <c r="QL860" s="16"/>
      <c r="QM860" s="16"/>
      <c r="QN860" s="16"/>
      <c r="QO860" s="16"/>
      <c r="QP860" s="16"/>
      <c r="QQ860" s="16"/>
      <c r="QR860" s="16"/>
      <c r="QS860" s="16"/>
      <c r="QT860" s="16"/>
      <c r="QU860" s="16"/>
      <c r="QV860" s="16"/>
      <c r="QW860" s="16"/>
      <c r="QX860" s="16"/>
      <c r="QY860" s="16"/>
      <c r="QZ860" s="16"/>
      <c r="RA860" s="16"/>
      <c r="RB860" s="16"/>
      <c r="RC860" s="16"/>
      <c r="RD860" s="16"/>
      <c r="RE860" s="16"/>
      <c r="RF860" s="16"/>
      <c r="RG860" s="16"/>
      <c r="RH860" s="16"/>
      <c r="RI860" s="16"/>
      <c r="RJ860" s="16"/>
      <c r="RK860" s="16"/>
      <c r="RL860" s="16"/>
      <c r="RM860" s="16"/>
      <c r="RN860" s="16"/>
      <c r="RO860" s="16"/>
      <c r="RP860" s="16"/>
      <c r="RQ860" s="16"/>
      <c r="RR860" s="16"/>
      <c r="RS860" s="16"/>
      <c r="RT860" s="16"/>
      <c r="RU860" s="16"/>
      <c r="RV860" s="16"/>
      <c r="RW860" s="16"/>
      <c r="RX860" s="16"/>
      <c r="RY860" s="16"/>
      <c r="RZ860" s="16"/>
      <c r="SA860" s="16"/>
      <c r="SB860" s="16"/>
      <c r="SC860" s="16"/>
      <c r="SD860" s="16"/>
      <c r="SE860" s="16"/>
      <c r="SF860" s="16"/>
      <c r="SG860" s="16"/>
      <c r="SH860" s="16"/>
      <c r="SI860" s="16"/>
      <c r="SJ860" s="16"/>
      <c r="SK860" s="16"/>
      <c r="SL860" s="16"/>
      <c r="SM860" s="16"/>
      <c r="SN860" s="16"/>
      <c r="SO860" s="16"/>
      <c r="SP860" s="16"/>
      <c r="SQ860" s="16"/>
      <c r="SR860" s="16"/>
      <c r="SS860" s="16"/>
      <c r="ST860" s="16"/>
      <c r="SU860" s="16"/>
      <c r="SV860" s="16"/>
      <c r="SW860" s="16"/>
      <c r="SX860" s="16"/>
      <c r="SY860" s="16"/>
      <c r="SZ860" s="16"/>
      <c r="TA860" s="16"/>
      <c r="TB860" s="16"/>
      <c r="TC860" s="16"/>
      <c r="TD860" s="16"/>
      <c r="TE860" s="16"/>
      <c r="TF860" s="16"/>
      <c r="TG860" s="16"/>
      <c r="TH860" s="16"/>
      <c r="TI860" s="16"/>
      <c r="TJ860" s="16"/>
      <c r="TK860" s="16"/>
      <c r="TL860" s="16"/>
      <c r="TM860" s="16"/>
      <c r="TN860" s="16"/>
      <c r="TO860" s="16"/>
      <c r="TP860" s="16"/>
      <c r="TQ860" s="16"/>
      <c r="TR860" s="16"/>
      <c r="TS860" s="16"/>
      <c r="TT860" s="16"/>
      <c r="TU860" s="16"/>
      <c r="TV860" s="16"/>
      <c r="TW860" s="16"/>
      <c r="TX860" s="16"/>
      <c r="TY860" s="16"/>
      <c r="TZ860" s="16"/>
      <c r="UA860" s="16"/>
      <c r="UB860" s="16"/>
      <c r="UC860" s="16"/>
      <c r="UD860" s="16"/>
      <c r="UE860" s="16"/>
      <c r="UF860" s="16"/>
      <c r="UG860" s="16"/>
      <c r="UH860" s="16"/>
      <c r="UI860" s="16"/>
      <c r="UJ860" s="16"/>
      <c r="UK860" s="16"/>
      <c r="UL860" s="16"/>
      <c r="UM860" s="16"/>
      <c r="UN860" s="16"/>
      <c r="UO860" s="16"/>
      <c r="UP860" s="16"/>
      <c r="UQ860" s="16"/>
      <c r="UR860" s="16"/>
      <c r="US860" s="16"/>
      <c r="UT860" s="16"/>
      <c r="UU860" s="16"/>
      <c r="UV860" s="16"/>
      <c r="UW860" s="16"/>
      <c r="UX860" s="16"/>
      <c r="UY860" s="16"/>
      <c r="UZ860" s="16"/>
      <c r="VA860" s="16"/>
      <c r="VB860" s="16"/>
      <c r="VC860" s="16"/>
      <c r="VD860" s="16"/>
      <c r="VE860" s="16"/>
      <c r="VF860" s="16"/>
      <c r="VG860" s="16"/>
      <c r="VH860" s="16"/>
      <c r="VI860" s="16"/>
      <c r="VJ860" s="16"/>
      <c r="VK860" s="16"/>
      <c r="VL860" s="16"/>
      <c r="VM860" s="16"/>
      <c r="VN860" s="16"/>
      <c r="VO860" s="16"/>
      <c r="VP860" s="16"/>
      <c r="VQ860" s="16"/>
      <c r="VR860" s="16"/>
      <c r="VS860" s="16"/>
      <c r="VT860" s="16"/>
      <c r="VU860" s="16"/>
      <c r="VV860" s="16"/>
      <c r="VW860" s="16"/>
      <c r="VX860" s="16"/>
      <c r="VY860" s="16"/>
      <c r="VZ860" s="16"/>
      <c r="WA860" s="16"/>
      <c r="WB860" s="16"/>
      <c r="WC860" s="16"/>
      <c r="WD860" s="16"/>
      <c r="WE860" s="16"/>
      <c r="WF860" s="16"/>
      <c r="WG860" s="16"/>
      <c r="WH860" s="16"/>
      <c r="WI860" s="16"/>
      <c r="WJ860" s="16"/>
      <c r="WK860" s="16"/>
      <c r="WL860" s="16"/>
      <c r="WM860" s="16"/>
      <c r="WN860" s="16"/>
      <c r="WO860" s="16"/>
      <c r="WP860" s="16"/>
      <c r="WQ860" s="16"/>
      <c r="WR860" s="16"/>
      <c r="WS860" s="16"/>
      <c r="WT860" s="16"/>
      <c r="WU860" s="16"/>
      <c r="WV860" s="16"/>
      <c r="WW860" s="16"/>
      <c r="WX860" s="16"/>
      <c r="WY860" s="16"/>
      <c r="WZ860" s="16"/>
      <c r="XA860" s="16"/>
      <c r="XB860" s="16"/>
      <c r="XC860" s="16"/>
      <c r="XD860" s="16"/>
      <c r="XE860" s="16"/>
      <c r="XF860" s="16"/>
      <c r="XG860" s="16"/>
      <c r="XH860" s="16"/>
      <c r="XI860" s="16"/>
      <c r="XJ860" s="16"/>
      <c r="XK860" s="16"/>
      <c r="XL860" s="16"/>
      <c r="XM860" s="16"/>
      <c r="XN860" s="16"/>
      <c r="XO860" s="16"/>
      <c r="XP860" s="16"/>
      <c r="XQ860" s="16"/>
      <c r="XR860" s="16"/>
      <c r="XS860" s="16"/>
      <c r="XT860" s="16"/>
      <c r="XU860" s="16"/>
      <c r="XV860" s="16"/>
      <c r="XW860" s="16"/>
      <c r="XX860" s="16"/>
      <c r="XY860" s="16"/>
      <c r="XZ860" s="16"/>
      <c r="YA860" s="16"/>
      <c r="YB860" s="16"/>
      <c r="YC860" s="16"/>
      <c r="YD860" s="16"/>
      <c r="YE860" s="16"/>
      <c r="YF860" s="16"/>
      <c r="YG860" s="16"/>
      <c r="YH860" s="16"/>
      <c r="YI860" s="16"/>
      <c r="YJ860" s="16"/>
      <c r="YK860" s="16"/>
      <c r="YL860" s="16"/>
      <c r="YM860" s="16"/>
      <c r="YN860" s="16"/>
      <c r="YO860" s="16"/>
      <c r="YP860" s="16"/>
      <c r="YQ860" s="16"/>
      <c r="YR860" s="16"/>
      <c r="YS860" s="16"/>
      <c r="YT860" s="16"/>
      <c r="YU860" s="16"/>
      <c r="YV860" s="16"/>
      <c r="YW860" s="16"/>
      <c r="YX860" s="16"/>
      <c r="YY860" s="16"/>
      <c r="YZ860" s="16"/>
      <c r="ZA860" s="16"/>
      <c r="ZB860" s="16"/>
      <c r="ZC860" s="16"/>
      <c r="ZD860" s="16"/>
      <c r="ZE860" s="16"/>
      <c r="ZF860" s="16"/>
      <c r="ZG860" s="16"/>
      <c r="ZH860" s="16"/>
      <c r="ZI860" s="16"/>
      <c r="ZJ860" s="16"/>
      <c r="ZK860" s="16"/>
      <c r="ZL860" s="16"/>
      <c r="ZM860" s="16"/>
      <c r="ZN860" s="16"/>
      <c r="ZO860" s="16"/>
      <c r="ZP860" s="16"/>
      <c r="ZQ860" s="16"/>
      <c r="ZR860" s="16"/>
      <c r="ZS860" s="16"/>
      <c r="ZT860" s="16"/>
      <c r="ZU860" s="16"/>
      <c r="ZV860" s="16"/>
      <c r="ZW860" s="16"/>
      <c r="ZX860" s="16"/>
      <c r="ZY860" s="16"/>
      <c r="ZZ860" s="16"/>
      <c r="AAA860" s="16"/>
      <c r="AAB860" s="16"/>
      <c r="AAC860" s="16"/>
      <c r="AAD860" s="16"/>
      <c r="AAE860" s="16"/>
      <c r="AAF860" s="16"/>
      <c r="AAG860" s="16"/>
      <c r="AAH860" s="16"/>
      <c r="AAI860" s="16"/>
      <c r="AAJ860" s="16"/>
      <c r="AAK860" s="16"/>
      <c r="AAL860" s="16"/>
      <c r="AAM860" s="16"/>
      <c r="AAN860" s="16"/>
      <c r="AAO860" s="16"/>
      <c r="AAP860" s="16"/>
      <c r="AAQ860" s="16"/>
      <c r="AAR860" s="16"/>
      <c r="AAS860" s="16"/>
      <c r="AAT860" s="16"/>
      <c r="AAU860" s="16"/>
      <c r="AAV860" s="16"/>
      <c r="AAW860" s="16"/>
      <c r="AAX860" s="16"/>
      <c r="AAY860" s="16"/>
      <c r="AAZ860" s="16"/>
      <c r="ABA860" s="16"/>
      <c r="ABB860" s="16"/>
      <c r="ABC860" s="16"/>
      <c r="ABD860" s="16"/>
      <c r="ABE860" s="16"/>
      <c r="ABF860" s="16"/>
      <c r="ABG860" s="16"/>
      <c r="ABH860" s="16"/>
      <c r="ABI860" s="16"/>
      <c r="ABJ860" s="16"/>
      <c r="ABK860" s="16"/>
      <c r="ABL860" s="16"/>
      <c r="ABM860" s="16"/>
      <c r="ABN860" s="16"/>
      <c r="ABO860" s="16"/>
      <c r="ABP860" s="16"/>
      <c r="ABQ860" s="16"/>
      <c r="ABR860" s="16"/>
      <c r="ABS860" s="16"/>
      <c r="ABT860" s="16"/>
      <c r="ABU860" s="16"/>
      <c r="ABV860" s="16"/>
      <c r="ABW860" s="16"/>
      <c r="ABX860" s="16"/>
      <c r="ABY860" s="16"/>
      <c r="ABZ860" s="16"/>
      <c r="ACA860" s="16"/>
      <c r="ACB860" s="16"/>
      <c r="ACC860" s="16"/>
      <c r="ACD860" s="16"/>
      <c r="ACE860" s="16"/>
      <c r="ACF860" s="16"/>
      <c r="ACG860" s="16"/>
      <c r="ACH860" s="16"/>
      <c r="ACI860" s="16"/>
      <c r="ACJ860" s="16"/>
      <c r="ACK860" s="16"/>
      <c r="ACL860" s="16"/>
      <c r="ACM860" s="16"/>
      <c r="ACN860" s="16"/>
      <c r="ACO860" s="16"/>
      <c r="ACP860" s="16"/>
      <c r="ACQ860" s="16"/>
      <c r="ACR860" s="16"/>
      <c r="ACS860" s="16"/>
      <c r="ACT860" s="16"/>
      <c r="ACU860" s="16"/>
      <c r="ACV860" s="16"/>
      <c r="ACW860" s="16"/>
      <c r="ACX860" s="16"/>
      <c r="ACY860" s="16"/>
      <c r="ACZ860" s="16"/>
      <c r="ADA860" s="16"/>
      <c r="ADB860" s="16"/>
      <c r="ADC860" s="16"/>
      <c r="ADD860" s="16"/>
      <c r="ADE860" s="16"/>
      <c r="ADF860" s="16"/>
      <c r="ADG860" s="16"/>
      <c r="ADH860" s="16"/>
      <c r="ADI860" s="16"/>
      <c r="ADJ860" s="16"/>
      <c r="ADK860" s="16"/>
      <c r="ADL860" s="16"/>
      <c r="ADM860" s="16"/>
      <c r="ADN860" s="16"/>
      <c r="ADO860" s="16"/>
      <c r="ADP860" s="16"/>
      <c r="ADQ860" s="16"/>
      <c r="ADR860" s="16"/>
      <c r="ADS860" s="16"/>
      <c r="ADT860" s="16"/>
      <c r="ADU860" s="16"/>
      <c r="ADV860" s="16"/>
      <c r="ADW860" s="16"/>
      <c r="ADX860" s="16"/>
      <c r="ADY860" s="16"/>
      <c r="ADZ860" s="16"/>
      <c r="AEA860" s="16"/>
      <c r="AEB860" s="16"/>
      <c r="AEC860" s="16"/>
      <c r="AED860" s="16"/>
      <c r="AEE860" s="16"/>
      <c r="AEF860" s="16"/>
      <c r="AEG860" s="16"/>
      <c r="AEH860" s="16"/>
      <c r="AEI860" s="16"/>
      <c r="AEJ860" s="16"/>
      <c r="AEK860" s="16"/>
      <c r="AEL860" s="16"/>
      <c r="AEM860" s="16"/>
      <c r="AEN860" s="16"/>
      <c r="AEO860" s="16"/>
      <c r="AEP860" s="16"/>
      <c r="AEQ860" s="16"/>
      <c r="AER860" s="16"/>
      <c r="AES860" s="16"/>
      <c r="AET860" s="16"/>
      <c r="AEU860" s="16"/>
      <c r="AEV860" s="16"/>
      <c r="AEW860" s="16"/>
      <c r="AEX860" s="16"/>
      <c r="AEY860" s="16"/>
      <c r="AEZ860" s="16"/>
      <c r="AFA860" s="16"/>
      <c r="AFB860" s="16"/>
      <c r="AFC860" s="16"/>
      <c r="AFD860" s="16"/>
      <c r="AFE860" s="16"/>
      <c r="AFF860" s="16"/>
      <c r="AFG860" s="16"/>
      <c r="AFH860" s="16"/>
      <c r="AFI860" s="16"/>
      <c r="AFJ860" s="16"/>
      <c r="AFK860" s="16"/>
      <c r="AFL860" s="16"/>
      <c r="AFM860" s="16"/>
      <c r="AFN860" s="16"/>
      <c r="AFO860" s="16"/>
      <c r="AFP860" s="16"/>
      <c r="AFQ860" s="16"/>
      <c r="AFR860" s="16"/>
      <c r="AFS860" s="16"/>
      <c r="AFT860" s="16"/>
      <c r="AFU860" s="16"/>
      <c r="AFV860" s="16"/>
      <c r="AFW860" s="16"/>
      <c r="AFX860" s="16"/>
      <c r="AFY860" s="16"/>
      <c r="AFZ860" s="16"/>
      <c r="AGA860" s="16"/>
      <c r="AGB860" s="16"/>
      <c r="AGC860" s="16"/>
      <c r="AGD860" s="16"/>
      <c r="AGE860" s="16"/>
      <c r="AGF860" s="16"/>
      <c r="AGG860" s="16"/>
      <c r="AGH860" s="16"/>
      <c r="AGI860" s="16"/>
      <c r="AGJ860" s="16"/>
    </row>
    <row r="861" spans="1:868" hidden="1">
      <c r="A861" s="152" t="s">
        <v>121</v>
      </c>
      <c r="B861" s="34" t="s">
        <v>355</v>
      </c>
      <c r="C861" s="40" t="s">
        <v>139</v>
      </c>
      <c r="D861" s="34" t="s">
        <v>89</v>
      </c>
      <c r="E861" s="260">
        <v>0</v>
      </c>
      <c r="F861" s="235">
        <v>1</v>
      </c>
      <c r="G861" s="40"/>
      <c r="H861" s="29"/>
      <c r="I861" s="9"/>
      <c r="J861" s="9"/>
      <c r="K861" s="9"/>
      <c r="L861" s="9"/>
      <c r="M861" s="9"/>
      <c r="N861" s="186" t="str">
        <f t="shared" si="63"/>
        <v/>
      </c>
      <c r="O861" s="160" t="str">
        <f t="shared" si="64"/>
        <v/>
      </c>
      <c r="P861" s="63"/>
    </row>
    <row r="862" spans="1:868" hidden="1">
      <c r="A862" s="152" t="s">
        <v>121</v>
      </c>
      <c r="B862" s="34" t="s">
        <v>355</v>
      </c>
      <c r="C862" s="40" t="s">
        <v>139</v>
      </c>
      <c r="D862" s="34" t="s">
        <v>90</v>
      </c>
      <c r="E862" s="260">
        <v>0</v>
      </c>
      <c r="F862" s="235">
        <v>1</v>
      </c>
      <c r="G862" s="40"/>
      <c r="H862" s="29"/>
      <c r="I862" s="9"/>
      <c r="J862" s="9"/>
      <c r="K862" s="9"/>
      <c r="L862" s="9"/>
      <c r="M862" s="9"/>
      <c r="N862" s="186" t="str">
        <f t="shared" si="63"/>
        <v/>
      </c>
      <c r="O862" s="160" t="str">
        <f t="shared" si="64"/>
        <v/>
      </c>
      <c r="P862" s="63"/>
    </row>
    <row r="863" spans="1:868" hidden="1">
      <c r="A863" s="292" t="s">
        <v>422</v>
      </c>
      <c r="B863" s="55" t="s">
        <v>350</v>
      </c>
      <c r="C863" s="265" t="s">
        <v>139</v>
      </c>
      <c r="D863" s="55" t="s">
        <v>139</v>
      </c>
      <c r="E863" s="260" t="s">
        <v>150</v>
      </c>
      <c r="F863" s="235">
        <v>1</v>
      </c>
      <c r="G863" s="265"/>
      <c r="H863" s="29"/>
      <c r="I863" s="9"/>
      <c r="J863" s="9"/>
      <c r="K863" s="9"/>
      <c r="L863" s="9"/>
      <c r="M863" s="9"/>
      <c r="N863" s="186" t="str">
        <f t="shared" si="63"/>
        <v/>
      </c>
      <c r="O863" s="160" t="str">
        <f t="shared" si="64"/>
        <v/>
      </c>
      <c r="P863" s="63"/>
    </row>
    <row r="864" spans="1:868" hidden="1">
      <c r="A864" s="292" t="s">
        <v>422</v>
      </c>
      <c r="B864" s="55" t="s">
        <v>360</v>
      </c>
      <c r="C864" s="265" t="s">
        <v>139</v>
      </c>
      <c r="D864" s="55" t="s">
        <v>139</v>
      </c>
      <c r="E864" s="260">
        <v>1.0400000000000001E-2</v>
      </c>
      <c r="F864" s="235">
        <v>2</v>
      </c>
      <c r="G864" s="260" t="s">
        <v>163</v>
      </c>
      <c r="H864" s="29">
        <v>2</v>
      </c>
      <c r="I864" s="9">
        <v>2</v>
      </c>
      <c r="J864" s="9">
        <v>1</v>
      </c>
      <c r="K864" s="9">
        <v>1</v>
      </c>
      <c r="L864" s="9">
        <v>1</v>
      </c>
      <c r="M864" s="9">
        <v>3</v>
      </c>
      <c r="N864" s="186">
        <f t="shared" si="63"/>
        <v>1.0195048044558224</v>
      </c>
      <c r="O864" s="160">
        <f t="shared" si="64"/>
        <v>1.0195048044558224</v>
      </c>
      <c r="P864" s="63" t="s">
        <v>423</v>
      </c>
    </row>
    <row r="865" spans="1:868" s="211" customFormat="1" ht="15.75" hidden="1" thickBot="1">
      <c r="A865" s="292" t="s">
        <v>422</v>
      </c>
      <c r="B865" s="55" t="s">
        <v>360</v>
      </c>
      <c r="C865" s="265" t="s">
        <v>139</v>
      </c>
      <c r="D865" s="55" t="s">
        <v>139</v>
      </c>
      <c r="E865" s="260">
        <v>1.8599999999999998E-2</v>
      </c>
      <c r="F865" s="235">
        <v>2</v>
      </c>
      <c r="G865" s="260" t="s">
        <v>163</v>
      </c>
      <c r="H865" s="29">
        <v>2</v>
      </c>
      <c r="I865" s="9">
        <v>2</v>
      </c>
      <c r="J865" s="9">
        <v>1</v>
      </c>
      <c r="K865" s="9">
        <v>1</v>
      </c>
      <c r="L865" s="9">
        <v>1</v>
      </c>
      <c r="M865" s="9">
        <v>3</v>
      </c>
      <c r="N865" s="186">
        <f t="shared" si="63"/>
        <v>1.0195048044558224</v>
      </c>
      <c r="O865" s="160">
        <f t="shared" si="64"/>
        <v>1.0195048044558224</v>
      </c>
      <c r="P865" s="63" t="s">
        <v>424</v>
      </c>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c r="CX865" s="16"/>
      <c r="CY865" s="16"/>
      <c r="CZ865" s="16"/>
      <c r="DA865" s="16"/>
      <c r="DB865" s="16"/>
      <c r="DC865" s="16"/>
      <c r="DD865" s="16"/>
      <c r="DE865" s="16"/>
      <c r="DF865" s="16"/>
      <c r="DG865" s="16"/>
      <c r="DH865" s="16"/>
      <c r="DI865" s="16"/>
      <c r="DJ865" s="16"/>
      <c r="DK865" s="16"/>
      <c r="DL865" s="16"/>
      <c r="DM865" s="16"/>
      <c r="DN865" s="16"/>
      <c r="DO865" s="16"/>
      <c r="DP865" s="16"/>
      <c r="DQ865" s="16"/>
      <c r="DR865" s="16"/>
      <c r="DS865" s="16"/>
      <c r="DT865" s="16"/>
      <c r="DU865" s="16"/>
      <c r="DV865" s="16"/>
      <c r="DW865" s="16"/>
      <c r="DX865" s="16"/>
      <c r="DY865" s="16"/>
      <c r="DZ865" s="16"/>
      <c r="EA865" s="16"/>
      <c r="EB865" s="16"/>
      <c r="EC865" s="16"/>
      <c r="ED865" s="16"/>
      <c r="EE865" s="16"/>
      <c r="EF865" s="16"/>
      <c r="EG865" s="16"/>
      <c r="EH865" s="16"/>
      <c r="EI865" s="16"/>
      <c r="EJ865" s="16"/>
      <c r="EK865" s="16"/>
      <c r="EL865" s="16"/>
      <c r="EM865" s="16"/>
      <c r="EN865" s="16"/>
      <c r="EO865" s="16"/>
      <c r="EP865" s="16"/>
      <c r="EQ865" s="16"/>
      <c r="ER865" s="16"/>
      <c r="ES865" s="16"/>
      <c r="ET865" s="16"/>
      <c r="EU865" s="16"/>
      <c r="EV865" s="16"/>
      <c r="EW865" s="16"/>
      <c r="EX865" s="16"/>
      <c r="EY865" s="16"/>
      <c r="EZ865" s="16"/>
      <c r="FA865" s="16"/>
      <c r="FB865" s="16"/>
      <c r="FC865" s="16"/>
      <c r="FD865" s="16"/>
      <c r="FE865" s="16"/>
      <c r="FF865" s="16"/>
      <c r="FG865" s="16"/>
      <c r="FH865" s="16"/>
      <c r="FI865" s="16"/>
      <c r="FJ865" s="16"/>
      <c r="FK865" s="16"/>
      <c r="FL865" s="16"/>
      <c r="FM865" s="16"/>
      <c r="FN865" s="16"/>
      <c r="FO865" s="16"/>
      <c r="FP865" s="16"/>
      <c r="FQ865" s="16"/>
      <c r="FR865" s="16"/>
      <c r="FS865" s="16"/>
      <c r="FT865" s="16"/>
      <c r="FU865" s="16"/>
      <c r="FV865" s="16"/>
      <c r="FW865" s="16"/>
      <c r="FX865" s="16"/>
      <c r="FY865" s="16"/>
      <c r="FZ865" s="16"/>
      <c r="GA865" s="16"/>
      <c r="GB865" s="16"/>
      <c r="GC865" s="16"/>
      <c r="GD865" s="16"/>
      <c r="GE865" s="16"/>
      <c r="GF865" s="16"/>
      <c r="GG865" s="16"/>
      <c r="GH865" s="16"/>
      <c r="GI865" s="16"/>
      <c r="GJ865" s="16"/>
      <c r="GK865" s="16"/>
      <c r="GL865" s="16"/>
      <c r="GM865" s="16"/>
      <c r="GN865" s="16"/>
      <c r="GO865" s="16"/>
      <c r="GP865" s="16"/>
      <c r="GQ865" s="16"/>
      <c r="GR865" s="16"/>
      <c r="GS865" s="16"/>
      <c r="GT865" s="16"/>
      <c r="GU865" s="16"/>
      <c r="GV865" s="16"/>
      <c r="GW865" s="16"/>
      <c r="GX865" s="16"/>
      <c r="GY865" s="16"/>
      <c r="GZ865" s="16"/>
      <c r="HA865" s="16"/>
      <c r="HB865" s="16"/>
      <c r="HC865" s="16"/>
      <c r="HD865" s="16"/>
      <c r="HE865" s="16"/>
      <c r="HF865" s="16"/>
      <c r="HG865" s="16"/>
      <c r="HH865" s="16"/>
      <c r="HI865" s="16"/>
      <c r="HJ865" s="16"/>
      <c r="HK865" s="16"/>
      <c r="HL865" s="16"/>
      <c r="HM865" s="16"/>
      <c r="HN865" s="16"/>
      <c r="HO865" s="16"/>
      <c r="HP865" s="16"/>
      <c r="HQ865" s="16"/>
      <c r="HR865" s="16"/>
      <c r="HS865" s="16"/>
      <c r="HT865" s="16"/>
      <c r="HU865" s="16"/>
      <c r="HV865" s="16"/>
      <c r="HW865" s="16"/>
      <c r="HX865" s="16"/>
      <c r="HY865" s="16"/>
      <c r="HZ865" s="16"/>
      <c r="IA865" s="16"/>
      <c r="IB865" s="16"/>
      <c r="IC865" s="16"/>
      <c r="ID865" s="16"/>
      <c r="IE865" s="16"/>
      <c r="IF865" s="16"/>
      <c r="IG865" s="16"/>
      <c r="IH865" s="16"/>
      <c r="II865" s="16"/>
      <c r="IJ865" s="16"/>
      <c r="IK865" s="16"/>
      <c r="IL865" s="16"/>
      <c r="IM865" s="16"/>
      <c r="IN865" s="16"/>
      <c r="IO865" s="16"/>
      <c r="IP865" s="16"/>
      <c r="IQ865" s="16"/>
      <c r="IR865" s="16"/>
      <c r="IS865" s="16"/>
      <c r="IT865" s="16"/>
      <c r="IU865" s="16"/>
      <c r="IV865" s="16"/>
      <c r="IW865" s="16"/>
      <c r="IX865" s="16"/>
      <c r="IY865" s="16"/>
      <c r="IZ865" s="16"/>
      <c r="JA865" s="16"/>
      <c r="JB865" s="16"/>
      <c r="JC865" s="16"/>
      <c r="JD865" s="16"/>
      <c r="JE865" s="16"/>
      <c r="JF865" s="16"/>
      <c r="JG865" s="16"/>
      <c r="JH865" s="16"/>
      <c r="JI865" s="16"/>
      <c r="JJ865" s="16"/>
      <c r="JK865" s="16"/>
      <c r="JL865" s="16"/>
      <c r="JM865" s="16"/>
      <c r="JN865" s="16"/>
      <c r="JO865" s="16"/>
      <c r="JP865" s="16"/>
      <c r="JQ865" s="16"/>
      <c r="JR865" s="16"/>
      <c r="JS865" s="16"/>
      <c r="JT865" s="16"/>
      <c r="JU865" s="16"/>
      <c r="JV865" s="16"/>
      <c r="JW865" s="16"/>
      <c r="JX865" s="16"/>
      <c r="JY865" s="16"/>
      <c r="JZ865" s="16"/>
      <c r="KA865" s="16"/>
      <c r="KB865" s="16"/>
      <c r="KC865" s="16"/>
      <c r="KD865" s="16"/>
      <c r="KE865" s="16"/>
      <c r="KF865" s="16"/>
      <c r="KG865" s="16"/>
      <c r="KH865" s="16"/>
      <c r="KI865" s="16"/>
      <c r="KJ865" s="16"/>
      <c r="KK865" s="16"/>
      <c r="KL865" s="16"/>
      <c r="KM865" s="16"/>
      <c r="KN865" s="16"/>
      <c r="KO865" s="16"/>
      <c r="KP865" s="16"/>
      <c r="KQ865" s="16"/>
      <c r="KR865" s="16"/>
      <c r="KS865" s="16"/>
      <c r="KT865" s="16"/>
      <c r="KU865" s="16"/>
      <c r="KV865" s="16"/>
      <c r="KW865" s="16"/>
      <c r="KX865" s="16"/>
      <c r="KY865" s="16"/>
      <c r="KZ865" s="16"/>
      <c r="LA865" s="16"/>
      <c r="LB865" s="16"/>
      <c r="LC865" s="16"/>
      <c r="LD865" s="16"/>
      <c r="LE865" s="16"/>
      <c r="LF865" s="16"/>
      <c r="LG865" s="16"/>
      <c r="LH865" s="16"/>
      <c r="LI865" s="16"/>
      <c r="LJ865" s="16"/>
      <c r="LK865" s="16"/>
      <c r="LL865" s="16"/>
      <c r="LM865" s="16"/>
      <c r="LN865" s="16"/>
      <c r="LO865" s="16"/>
      <c r="LP865" s="16"/>
      <c r="LQ865" s="16"/>
      <c r="LR865" s="16"/>
      <c r="LS865" s="16"/>
      <c r="LT865" s="16"/>
      <c r="LU865" s="16"/>
      <c r="LV865" s="16"/>
      <c r="LW865" s="16"/>
      <c r="LX865" s="16"/>
      <c r="LY865" s="16"/>
      <c r="LZ865" s="16"/>
      <c r="MA865" s="16"/>
      <c r="MB865" s="16"/>
      <c r="MC865" s="16"/>
      <c r="MD865" s="16"/>
      <c r="ME865" s="16"/>
      <c r="MF865" s="16"/>
      <c r="MG865" s="16"/>
      <c r="MH865" s="16"/>
      <c r="MI865" s="16"/>
      <c r="MJ865" s="16"/>
      <c r="MK865" s="16"/>
      <c r="ML865" s="16"/>
      <c r="MM865" s="16"/>
      <c r="MN865" s="16"/>
      <c r="MO865" s="16"/>
      <c r="MP865" s="16"/>
      <c r="MQ865" s="16"/>
      <c r="MR865" s="16"/>
      <c r="MS865" s="16"/>
      <c r="MT865" s="16"/>
      <c r="MU865" s="16"/>
      <c r="MV865" s="16"/>
      <c r="MW865" s="16"/>
      <c r="MX865" s="16"/>
      <c r="MY865" s="16"/>
      <c r="MZ865" s="16"/>
      <c r="NA865" s="16"/>
      <c r="NB865" s="16"/>
      <c r="NC865" s="16"/>
      <c r="ND865" s="16"/>
      <c r="NE865" s="16"/>
      <c r="NF865" s="16"/>
      <c r="NG865" s="16"/>
      <c r="NH865" s="16"/>
      <c r="NI865" s="16"/>
      <c r="NJ865" s="16"/>
      <c r="NK865" s="16"/>
      <c r="NL865" s="16"/>
      <c r="NM865" s="16"/>
      <c r="NN865" s="16"/>
      <c r="NO865" s="16"/>
      <c r="NP865" s="16"/>
      <c r="NQ865" s="16"/>
      <c r="NR865" s="16"/>
      <c r="NS865" s="16"/>
      <c r="NT865" s="16"/>
      <c r="NU865" s="16"/>
      <c r="NV865" s="16"/>
      <c r="NW865" s="16"/>
      <c r="NX865" s="16"/>
      <c r="NY865" s="16"/>
      <c r="NZ865" s="16"/>
      <c r="OA865" s="16"/>
      <c r="OB865" s="16"/>
      <c r="OC865" s="16"/>
      <c r="OD865" s="16"/>
      <c r="OE865" s="16"/>
      <c r="OF865" s="16"/>
      <c r="OG865" s="16"/>
      <c r="OH865" s="16"/>
      <c r="OI865" s="16"/>
      <c r="OJ865" s="16"/>
      <c r="OK865" s="16"/>
      <c r="OL865" s="16"/>
      <c r="OM865" s="16"/>
      <c r="ON865" s="16"/>
      <c r="OO865" s="16"/>
      <c r="OP865" s="16"/>
      <c r="OQ865" s="16"/>
      <c r="OR865" s="16"/>
      <c r="OS865" s="16"/>
      <c r="OT865" s="16"/>
      <c r="OU865" s="16"/>
      <c r="OV865" s="16"/>
      <c r="OW865" s="16"/>
      <c r="OX865" s="16"/>
      <c r="OY865" s="16"/>
      <c r="OZ865" s="16"/>
      <c r="PA865" s="16"/>
      <c r="PB865" s="16"/>
      <c r="PC865" s="16"/>
      <c r="PD865" s="16"/>
      <c r="PE865" s="16"/>
      <c r="PF865" s="16"/>
      <c r="PG865" s="16"/>
      <c r="PH865" s="16"/>
      <c r="PI865" s="16"/>
      <c r="PJ865" s="16"/>
      <c r="PK865" s="16"/>
      <c r="PL865" s="16"/>
      <c r="PM865" s="16"/>
      <c r="PN865" s="16"/>
      <c r="PO865" s="16"/>
      <c r="PP865" s="16"/>
      <c r="PQ865" s="16"/>
      <c r="PR865" s="16"/>
      <c r="PS865" s="16"/>
      <c r="PT865" s="16"/>
      <c r="PU865" s="16"/>
      <c r="PV865" s="16"/>
      <c r="PW865" s="16"/>
      <c r="PX865" s="16"/>
      <c r="PY865" s="16"/>
      <c r="PZ865" s="16"/>
      <c r="QA865" s="16"/>
      <c r="QB865" s="16"/>
      <c r="QC865" s="16"/>
      <c r="QD865" s="16"/>
      <c r="QE865" s="16"/>
      <c r="QF865" s="16"/>
      <c r="QG865" s="16"/>
      <c r="QH865" s="16"/>
      <c r="QI865" s="16"/>
      <c r="QJ865" s="16"/>
      <c r="QK865" s="16"/>
      <c r="QL865" s="16"/>
      <c r="QM865" s="16"/>
      <c r="QN865" s="16"/>
      <c r="QO865" s="16"/>
      <c r="QP865" s="16"/>
      <c r="QQ865" s="16"/>
      <c r="QR865" s="16"/>
      <c r="QS865" s="16"/>
      <c r="QT865" s="16"/>
      <c r="QU865" s="16"/>
      <c r="QV865" s="16"/>
      <c r="QW865" s="16"/>
      <c r="QX865" s="16"/>
      <c r="QY865" s="16"/>
      <c r="QZ865" s="16"/>
      <c r="RA865" s="16"/>
      <c r="RB865" s="16"/>
      <c r="RC865" s="16"/>
      <c r="RD865" s="16"/>
      <c r="RE865" s="16"/>
      <c r="RF865" s="16"/>
      <c r="RG865" s="16"/>
      <c r="RH865" s="16"/>
      <c r="RI865" s="16"/>
      <c r="RJ865" s="16"/>
      <c r="RK865" s="16"/>
      <c r="RL865" s="16"/>
      <c r="RM865" s="16"/>
      <c r="RN865" s="16"/>
      <c r="RO865" s="16"/>
      <c r="RP865" s="16"/>
      <c r="RQ865" s="16"/>
      <c r="RR865" s="16"/>
      <c r="RS865" s="16"/>
      <c r="RT865" s="16"/>
      <c r="RU865" s="16"/>
      <c r="RV865" s="16"/>
      <c r="RW865" s="16"/>
      <c r="RX865" s="16"/>
      <c r="RY865" s="16"/>
      <c r="RZ865" s="16"/>
      <c r="SA865" s="16"/>
      <c r="SB865" s="16"/>
      <c r="SC865" s="16"/>
      <c r="SD865" s="16"/>
      <c r="SE865" s="16"/>
      <c r="SF865" s="16"/>
      <c r="SG865" s="16"/>
      <c r="SH865" s="16"/>
      <c r="SI865" s="16"/>
      <c r="SJ865" s="16"/>
      <c r="SK865" s="16"/>
      <c r="SL865" s="16"/>
      <c r="SM865" s="16"/>
      <c r="SN865" s="16"/>
      <c r="SO865" s="16"/>
      <c r="SP865" s="16"/>
      <c r="SQ865" s="16"/>
      <c r="SR865" s="16"/>
      <c r="SS865" s="16"/>
      <c r="ST865" s="16"/>
      <c r="SU865" s="16"/>
      <c r="SV865" s="16"/>
      <c r="SW865" s="16"/>
      <c r="SX865" s="16"/>
      <c r="SY865" s="16"/>
      <c r="SZ865" s="16"/>
      <c r="TA865" s="16"/>
      <c r="TB865" s="16"/>
      <c r="TC865" s="16"/>
      <c r="TD865" s="16"/>
      <c r="TE865" s="16"/>
      <c r="TF865" s="16"/>
      <c r="TG865" s="16"/>
      <c r="TH865" s="16"/>
      <c r="TI865" s="16"/>
      <c r="TJ865" s="16"/>
      <c r="TK865" s="16"/>
      <c r="TL865" s="16"/>
      <c r="TM865" s="16"/>
      <c r="TN865" s="16"/>
      <c r="TO865" s="16"/>
      <c r="TP865" s="16"/>
      <c r="TQ865" s="16"/>
      <c r="TR865" s="16"/>
      <c r="TS865" s="16"/>
      <c r="TT865" s="16"/>
      <c r="TU865" s="16"/>
      <c r="TV865" s="16"/>
      <c r="TW865" s="16"/>
      <c r="TX865" s="16"/>
      <c r="TY865" s="16"/>
      <c r="TZ865" s="16"/>
      <c r="UA865" s="16"/>
      <c r="UB865" s="16"/>
      <c r="UC865" s="16"/>
      <c r="UD865" s="16"/>
      <c r="UE865" s="16"/>
      <c r="UF865" s="16"/>
      <c r="UG865" s="16"/>
      <c r="UH865" s="16"/>
      <c r="UI865" s="16"/>
      <c r="UJ865" s="16"/>
      <c r="UK865" s="16"/>
      <c r="UL865" s="16"/>
      <c r="UM865" s="16"/>
      <c r="UN865" s="16"/>
      <c r="UO865" s="16"/>
      <c r="UP865" s="16"/>
      <c r="UQ865" s="16"/>
      <c r="UR865" s="16"/>
      <c r="US865" s="16"/>
      <c r="UT865" s="16"/>
      <c r="UU865" s="16"/>
      <c r="UV865" s="16"/>
      <c r="UW865" s="16"/>
      <c r="UX865" s="16"/>
      <c r="UY865" s="16"/>
      <c r="UZ865" s="16"/>
      <c r="VA865" s="16"/>
      <c r="VB865" s="16"/>
      <c r="VC865" s="16"/>
      <c r="VD865" s="16"/>
      <c r="VE865" s="16"/>
      <c r="VF865" s="16"/>
      <c r="VG865" s="16"/>
      <c r="VH865" s="16"/>
      <c r="VI865" s="16"/>
      <c r="VJ865" s="16"/>
      <c r="VK865" s="16"/>
      <c r="VL865" s="16"/>
      <c r="VM865" s="16"/>
      <c r="VN865" s="16"/>
      <c r="VO865" s="16"/>
      <c r="VP865" s="16"/>
      <c r="VQ865" s="16"/>
      <c r="VR865" s="16"/>
      <c r="VS865" s="16"/>
      <c r="VT865" s="16"/>
      <c r="VU865" s="16"/>
      <c r="VV865" s="16"/>
      <c r="VW865" s="16"/>
      <c r="VX865" s="16"/>
      <c r="VY865" s="16"/>
      <c r="VZ865" s="16"/>
      <c r="WA865" s="16"/>
      <c r="WB865" s="16"/>
      <c r="WC865" s="16"/>
      <c r="WD865" s="16"/>
      <c r="WE865" s="16"/>
      <c r="WF865" s="16"/>
      <c r="WG865" s="16"/>
      <c r="WH865" s="16"/>
      <c r="WI865" s="16"/>
      <c r="WJ865" s="16"/>
      <c r="WK865" s="16"/>
      <c r="WL865" s="16"/>
      <c r="WM865" s="16"/>
      <c r="WN865" s="16"/>
      <c r="WO865" s="16"/>
      <c r="WP865" s="16"/>
      <c r="WQ865" s="16"/>
      <c r="WR865" s="16"/>
      <c r="WS865" s="16"/>
      <c r="WT865" s="16"/>
      <c r="WU865" s="16"/>
      <c r="WV865" s="16"/>
      <c r="WW865" s="16"/>
      <c r="WX865" s="16"/>
      <c r="WY865" s="16"/>
      <c r="WZ865" s="16"/>
      <c r="XA865" s="16"/>
      <c r="XB865" s="16"/>
      <c r="XC865" s="16"/>
      <c r="XD865" s="16"/>
      <c r="XE865" s="16"/>
      <c r="XF865" s="16"/>
      <c r="XG865" s="16"/>
      <c r="XH865" s="16"/>
      <c r="XI865" s="16"/>
      <c r="XJ865" s="16"/>
      <c r="XK865" s="16"/>
      <c r="XL865" s="16"/>
      <c r="XM865" s="16"/>
      <c r="XN865" s="16"/>
      <c r="XO865" s="16"/>
      <c r="XP865" s="16"/>
      <c r="XQ865" s="16"/>
      <c r="XR865" s="16"/>
      <c r="XS865" s="16"/>
      <c r="XT865" s="16"/>
      <c r="XU865" s="16"/>
      <c r="XV865" s="16"/>
      <c r="XW865" s="16"/>
      <c r="XX865" s="16"/>
      <c r="XY865" s="16"/>
      <c r="XZ865" s="16"/>
      <c r="YA865" s="16"/>
      <c r="YB865" s="16"/>
      <c r="YC865" s="16"/>
      <c r="YD865" s="16"/>
      <c r="YE865" s="16"/>
      <c r="YF865" s="16"/>
      <c r="YG865" s="16"/>
      <c r="YH865" s="16"/>
      <c r="YI865" s="16"/>
      <c r="YJ865" s="16"/>
      <c r="YK865" s="16"/>
      <c r="YL865" s="16"/>
      <c r="YM865" s="16"/>
      <c r="YN865" s="16"/>
      <c r="YO865" s="16"/>
      <c r="YP865" s="16"/>
      <c r="YQ865" s="16"/>
      <c r="YR865" s="16"/>
      <c r="YS865" s="16"/>
      <c r="YT865" s="16"/>
      <c r="YU865" s="16"/>
      <c r="YV865" s="16"/>
      <c r="YW865" s="16"/>
      <c r="YX865" s="16"/>
      <c r="YY865" s="16"/>
      <c r="YZ865" s="16"/>
      <c r="ZA865" s="16"/>
      <c r="ZB865" s="16"/>
      <c r="ZC865" s="16"/>
      <c r="ZD865" s="16"/>
      <c r="ZE865" s="16"/>
      <c r="ZF865" s="16"/>
      <c r="ZG865" s="16"/>
      <c r="ZH865" s="16"/>
      <c r="ZI865" s="16"/>
      <c r="ZJ865" s="16"/>
      <c r="ZK865" s="16"/>
      <c r="ZL865" s="16"/>
      <c r="ZM865" s="16"/>
      <c r="ZN865" s="16"/>
      <c r="ZO865" s="16"/>
      <c r="ZP865" s="16"/>
      <c r="ZQ865" s="16"/>
      <c r="ZR865" s="16"/>
      <c r="ZS865" s="16"/>
      <c r="ZT865" s="16"/>
      <c r="ZU865" s="16"/>
      <c r="ZV865" s="16"/>
      <c r="ZW865" s="16"/>
      <c r="ZX865" s="16"/>
      <c r="ZY865" s="16"/>
      <c r="ZZ865" s="16"/>
      <c r="AAA865" s="16"/>
      <c r="AAB865" s="16"/>
      <c r="AAC865" s="16"/>
      <c r="AAD865" s="16"/>
      <c r="AAE865" s="16"/>
      <c r="AAF865" s="16"/>
      <c r="AAG865" s="16"/>
      <c r="AAH865" s="16"/>
      <c r="AAI865" s="16"/>
      <c r="AAJ865" s="16"/>
      <c r="AAK865" s="16"/>
      <c r="AAL865" s="16"/>
      <c r="AAM865" s="16"/>
      <c r="AAN865" s="16"/>
      <c r="AAO865" s="16"/>
      <c r="AAP865" s="16"/>
      <c r="AAQ865" s="16"/>
      <c r="AAR865" s="16"/>
      <c r="AAS865" s="16"/>
      <c r="AAT865" s="16"/>
      <c r="AAU865" s="16"/>
      <c r="AAV865" s="16"/>
      <c r="AAW865" s="16"/>
      <c r="AAX865" s="16"/>
      <c r="AAY865" s="16"/>
      <c r="AAZ865" s="16"/>
      <c r="ABA865" s="16"/>
      <c r="ABB865" s="16"/>
      <c r="ABC865" s="16"/>
      <c r="ABD865" s="16"/>
      <c r="ABE865" s="16"/>
      <c r="ABF865" s="16"/>
      <c r="ABG865" s="16"/>
      <c r="ABH865" s="16"/>
      <c r="ABI865" s="16"/>
      <c r="ABJ865" s="16"/>
      <c r="ABK865" s="16"/>
      <c r="ABL865" s="16"/>
      <c r="ABM865" s="16"/>
      <c r="ABN865" s="16"/>
      <c r="ABO865" s="16"/>
      <c r="ABP865" s="16"/>
      <c r="ABQ865" s="16"/>
      <c r="ABR865" s="16"/>
      <c r="ABS865" s="16"/>
      <c r="ABT865" s="16"/>
      <c r="ABU865" s="16"/>
      <c r="ABV865" s="16"/>
      <c r="ABW865" s="16"/>
      <c r="ABX865" s="16"/>
      <c r="ABY865" s="16"/>
      <c r="ABZ865" s="16"/>
      <c r="ACA865" s="16"/>
      <c r="ACB865" s="16"/>
      <c r="ACC865" s="16"/>
      <c r="ACD865" s="16"/>
      <c r="ACE865" s="16"/>
      <c r="ACF865" s="16"/>
      <c r="ACG865" s="16"/>
      <c r="ACH865" s="16"/>
      <c r="ACI865" s="16"/>
      <c r="ACJ865" s="16"/>
      <c r="ACK865" s="16"/>
      <c r="ACL865" s="16"/>
      <c r="ACM865" s="16"/>
      <c r="ACN865" s="16"/>
      <c r="ACO865" s="16"/>
      <c r="ACP865" s="16"/>
      <c r="ACQ865" s="16"/>
      <c r="ACR865" s="16"/>
      <c r="ACS865" s="16"/>
      <c r="ACT865" s="16"/>
      <c r="ACU865" s="16"/>
      <c r="ACV865" s="16"/>
      <c r="ACW865" s="16"/>
      <c r="ACX865" s="16"/>
      <c r="ACY865" s="16"/>
      <c r="ACZ865" s="16"/>
      <c r="ADA865" s="16"/>
      <c r="ADB865" s="16"/>
      <c r="ADC865" s="16"/>
      <c r="ADD865" s="16"/>
      <c r="ADE865" s="16"/>
      <c r="ADF865" s="16"/>
      <c r="ADG865" s="16"/>
      <c r="ADH865" s="16"/>
      <c r="ADI865" s="16"/>
      <c r="ADJ865" s="16"/>
      <c r="ADK865" s="16"/>
      <c r="ADL865" s="16"/>
      <c r="ADM865" s="16"/>
      <c r="ADN865" s="16"/>
      <c r="ADO865" s="16"/>
      <c r="ADP865" s="16"/>
      <c r="ADQ865" s="16"/>
      <c r="ADR865" s="16"/>
      <c r="ADS865" s="16"/>
      <c r="ADT865" s="16"/>
      <c r="ADU865" s="16"/>
      <c r="ADV865" s="16"/>
      <c r="ADW865" s="16"/>
      <c r="ADX865" s="16"/>
      <c r="ADY865" s="16"/>
      <c r="ADZ865" s="16"/>
      <c r="AEA865" s="16"/>
      <c r="AEB865" s="16"/>
      <c r="AEC865" s="16"/>
      <c r="AED865" s="16"/>
      <c r="AEE865" s="16"/>
      <c r="AEF865" s="16"/>
      <c r="AEG865" s="16"/>
      <c r="AEH865" s="16"/>
      <c r="AEI865" s="16"/>
      <c r="AEJ865" s="16"/>
      <c r="AEK865" s="16"/>
      <c r="AEL865" s="16"/>
      <c r="AEM865" s="16"/>
      <c r="AEN865" s="16"/>
      <c r="AEO865" s="16"/>
      <c r="AEP865" s="16"/>
      <c r="AEQ865" s="16"/>
      <c r="AER865" s="16"/>
      <c r="AES865" s="16"/>
      <c r="AET865" s="16"/>
      <c r="AEU865" s="16"/>
      <c r="AEV865" s="16"/>
      <c r="AEW865" s="16"/>
      <c r="AEX865" s="16"/>
      <c r="AEY865" s="16"/>
      <c r="AEZ865" s="16"/>
      <c r="AFA865" s="16"/>
      <c r="AFB865" s="16"/>
      <c r="AFC865" s="16"/>
      <c r="AFD865" s="16"/>
      <c r="AFE865" s="16"/>
      <c r="AFF865" s="16"/>
      <c r="AFG865" s="16"/>
      <c r="AFH865" s="16"/>
      <c r="AFI865" s="16"/>
      <c r="AFJ865" s="16"/>
      <c r="AFK865" s="16"/>
      <c r="AFL865" s="16"/>
      <c r="AFM865" s="16"/>
      <c r="AFN865" s="16"/>
      <c r="AFO865" s="16"/>
      <c r="AFP865" s="16"/>
      <c r="AFQ865" s="16"/>
      <c r="AFR865" s="16"/>
      <c r="AFS865" s="16"/>
      <c r="AFT865" s="16"/>
      <c r="AFU865" s="16"/>
      <c r="AFV865" s="16"/>
      <c r="AFW865" s="16"/>
      <c r="AFX865" s="16"/>
      <c r="AFY865" s="16"/>
      <c r="AFZ865" s="16"/>
      <c r="AGA865" s="16"/>
      <c r="AGB865" s="16"/>
      <c r="AGC865" s="16"/>
      <c r="AGD865" s="16"/>
      <c r="AGE865" s="16"/>
      <c r="AGF865" s="16"/>
      <c r="AGG865" s="16"/>
      <c r="AGH865" s="16"/>
      <c r="AGI865" s="16"/>
      <c r="AGJ865" s="16"/>
    </row>
    <row r="866" spans="1:868" s="852" customFormat="1" hidden="1">
      <c r="A866" s="292" t="s">
        <v>225</v>
      </c>
      <c r="B866" s="55" t="s">
        <v>425</v>
      </c>
      <c r="C866" s="265" t="s">
        <v>139</v>
      </c>
      <c r="D866" s="55" t="s">
        <v>139</v>
      </c>
      <c r="E866" s="260">
        <v>4.48E-2</v>
      </c>
      <c r="F866" s="235">
        <v>2</v>
      </c>
      <c r="G866" s="265" t="s">
        <v>224</v>
      </c>
      <c r="H866" s="29">
        <v>1</v>
      </c>
      <c r="I866" s="9">
        <v>2</v>
      </c>
      <c r="J866" s="9">
        <v>2</v>
      </c>
      <c r="K866" s="9">
        <v>1</v>
      </c>
      <c r="L866" s="9">
        <v>2</v>
      </c>
      <c r="M866" s="9">
        <v>2</v>
      </c>
      <c r="N866" s="186">
        <f t="shared" si="63"/>
        <v>0.37356464144298934</v>
      </c>
      <c r="O866" s="160">
        <f t="shared" si="64"/>
        <v>0.38795788889711302</v>
      </c>
      <c r="P866" s="63"/>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6"/>
      <c r="DF866" s="16"/>
      <c r="DG866" s="16"/>
      <c r="DH866" s="16"/>
      <c r="DI866" s="16"/>
      <c r="DJ866" s="16"/>
      <c r="DK866" s="16"/>
      <c r="DL866" s="16"/>
      <c r="DM866" s="16"/>
      <c r="DN866" s="16"/>
      <c r="DO866" s="16"/>
      <c r="DP866" s="16"/>
      <c r="DQ866" s="16"/>
      <c r="DR866" s="16"/>
      <c r="DS866" s="16"/>
      <c r="DT866" s="16"/>
      <c r="DU866" s="16"/>
      <c r="DV866" s="16"/>
      <c r="DW866" s="16"/>
      <c r="DX866" s="16"/>
      <c r="DY866" s="16"/>
      <c r="DZ866" s="16"/>
      <c r="EA866" s="16"/>
      <c r="EB866" s="16"/>
      <c r="EC866" s="16"/>
      <c r="ED866" s="16"/>
      <c r="EE866" s="16"/>
      <c r="EF866" s="16"/>
      <c r="EG866" s="16"/>
      <c r="EH866" s="16"/>
      <c r="EI866" s="16"/>
      <c r="EJ866" s="16"/>
      <c r="EK866" s="16"/>
      <c r="EL866" s="16"/>
      <c r="EM866" s="16"/>
      <c r="EN866" s="16"/>
      <c r="EO866" s="16"/>
      <c r="EP866" s="16"/>
      <c r="EQ866" s="16"/>
      <c r="ER866" s="16"/>
      <c r="ES866" s="16"/>
      <c r="ET866" s="16"/>
      <c r="EU866" s="16"/>
      <c r="EV866" s="16"/>
      <c r="EW866" s="16"/>
      <c r="EX866" s="16"/>
      <c r="EY866" s="16"/>
      <c r="EZ866" s="16"/>
      <c r="FA866" s="16"/>
      <c r="FB866" s="16"/>
      <c r="FC866" s="16"/>
      <c r="FD866" s="16"/>
      <c r="FE866" s="16"/>
      <c r="FF866" s="16"/>
      <c r="FG866" s="16"/>
      <c r="FH866" s="16"/>
      <c r="FI866" s="16"/>
      <c r="FJ866" s="16"/>
      <c r="FK866" s="16"/>
      <c r="FL866" s="16"/>
      <c r="FM866" s="16"/>
      <c r="FN866" s="16"/>
      <c r="FO866" s="16"/>
      <c r="FP866" s="16"/>
      <c r="FQ866" s="16"/>
      <c r="FR866" s="16"/>
      <c r="FS866" s="16"/>
      <c r="FT866" s="16"/>
      <c r="FU866" s="16"/>
      <c r="FV866" s="16"/>
      <c r="FW866" s="16"/>
      <c r="FX866" s="16"/>
      <c r="FY866" s="16"/>
      <c r="FZ866" s="16"/>
      <c r="GA866" s="16"/>
      <c r="GB866" s="16"/>
      <c r="GC866" s="16"/>
      <c r="GD866" s="16"/>
      <c r="GE866" s="16"/>
      <c r="GF866" s="16"/>
      <c r="GG866" s="16"/>
      <c r="GH866" s="16"/>
      <c r="GI866" s="16"/>
      <c r="GJ866" s="16"/>
      <c r="GK866" s="16"/>
      <c r="GL866" s="16"/>
      <c r="GM866" s="16"/>
      <c r="GN866" s="16"/>
      <c r="GO866" s="16"/>
      <c r="GP866" s="16"/>
      <c r="GQ866" s="16"/>
      <c r="GR866" s="16"/>
      <c r="GS866" s="16"/>
      <c r="GT866" s="16"/>
      <c r="GU866" s="16"/>
      <c r="GV866" s="16"/>
      <c r="GW866" s="16"/>
      <c r="GX866" s="16"/>
      <c r="GY866" s="16"/>
      <c r="GZ866" s="16"/>
      <c r="HA866" s="16"/>
      <c r="HB866" s="16"/>
      <c r="HC866" s="16"/>
      <c r="HD866" s="16"/>
      <c r="HE866" s="16"/>
      <c r="HF866" s="16"/>
      <c r="HG866" s="16"/>
      <c r="HH866" s="16"/>
      <c r="HI866" s="16"/>
      <c r="HJ866" s="16"/>
      <c r="HK866" s="16"/>
      <c r="HL866" s="16"/>
      <c r="HM866" s="16"/>
      <c r="HN866" s="16"/>
      <c r="HO866" s="16"/>
      <c r="HP866" s="16"/>
      <c r="HQ866" s="16"/>
      <c r="HR866" s="16"/>
      <c r="HS866" s="16"/>
      <c r="HT866" s="16"/>
      <c r="HU866" s="16"/>
      <c r="HV866" s="16"/>
      <c r="HW866" s="16"/>
      <c r="HX866" s="16"/>
      <c r="HY866" s="16"/>
      <c r="HZ866" s="16"/>
      <c r="IA866" s="16"/>
      <c r="IB866" s="16"/>
      <c r="IC866" s="16"/>
      <c r="ID866" s="16"/>
      <c r="IE866" s="16"/>
      <c r="IF866" s="16"/>
      <c r="IG866" s="16"/>
      <c r="IH866" s="16"/>
      <c r="II866" s="16"/>
      <c r="IJ866" s="16"/>
      <c r="IK866" s="16"/>
      <c r="IL866" s="16"/>
      <c r="IM866" s="16"/>
      <c r="IN866" s="16"/>
      <c r="IO866" s="16"/>
      <c r="IP866" s="16"/>
      <c r="IQ866" s="16"/>
      <c r="IR866" s="16"/>
      <c r="IS866" s="16"/>
      <c r="IT866" s="16"/>
      <c r="IU866" s="16"/>
      <c r="IV866" s="16"/>
      <c r="IW866" s="16"/>
      <c r="IX866" s="16"/>
      <c r="IY866" s="16"/>
      <c r="IZ866" s="16"/>
      <c r="JA866" s="16"/>
      <c r="JB866" s="16"/>
      <c r="JC866" s="16"/>
      <c r="JD866" s="16"/>
      <c r="JE866" s="16"/>
      <c r="JF866" s="16"/>
      <c r="JG866" s="16"/>
      <c r="JH866" s="16"/>
      <c r="JI866" s="16"/>
      <c r="JJ866" s="16"/>
      <c r="JK866" s="16"/>
      <c r="JL866" s="16"/>
      <c r="JM866" s="16"/>
      <c r="JN866" s="16"/>
      <c r="JO866" s="16"/>
      <c r="JP866" s="16"/>
      <c r="JQ866" s="16"/>
      <c r="JR866" s="16"/>
      <c r="JS866" s="16"/>
      <c r="JT866" s="16"/>
      <c r="JU866" s="16"/>
      <c r="JV866" s="16"/>
      <c r="JW866" s="16"/>
      <c r="JX866" s="16"/>
      <c r="JY866" s="16"/>
      <c r="JZ866" s="16"/>
      <c r="KA866" s="16"/>
      <c r="KB866" s="16"/>
      <c r="KC866" s="16"/>
      <c r="KD866" s="16"/>
      <c r="KE866" s="16"/>
      <c r="KF866" s="16"/>
      <c r="KG866" s="16"/>
      <c r="KH866" s="16"/>
      <c r="KI866" s="16"/>
      <c r="KJ866" s="16"/>
      <c r="KK866" s="16"/>
      <c r="KL866" s="16"/>
      <c r="KM866" s="16"/>
      <c r="KN866" s="16"/>
      <c r="KO866" s="16"/>
      <c r="KP866" s="16"/>
      <c r="KQ866" s="16"/>
      <c r="KR866" s="16"/>
      <c r="KS866" s="16"/>
      <c r="KT866" s="16"/>
      <c r="KU866" s="16"/>
      <c r="KV866" s="16"/>
      <c r="KW866" s="16"/>
      <c r="KX866" s="16"/>
      <c r="KY866" s="16"/>
      <c r="KZ866" s="16"/>
      <c r="LA866" s="16"/>
      <c r="LB866" s="16"/>
      <c r="LC866" s="16"/>
      <c r="LD866" s="16"/>
      <c r="LE866" s="16"/>
      <c r="LF866" s="16"/>
      <c r="LG866" s="16"/>
      <c r="LH866" s="16"/>
      <c r="LI866" s="16"/>
      <c r="LJ866" s="16"/>
      <c r="LK866" s="16"/>
      <c r="LL866" s="16"/>
      <c r="LM866" s="16"/>
      <c r="LN866" s="16"/>
      <c r="LO866" s="16"/>
      <c r="LP866" s="16"/>
      <c r="LQ866" s="16"/>
      <c r="LR866" s="16"/>
      <c r="LS866" s="16"/>
      <c r="LT866" s="16"/>
      <c r="LU866" s="16"/>
      <c r="LV866" s="16"/>
      <c r="LW866" s="16"/>
      <c r="LX866" s="16"/>
      <c r="LY866" s="16"/>
      <c r="LZ866" s="16"/>
      <c r="MA866" s="16"/>
      <c r="MB866" s="16"/>
      <c r="MC866" s="16"/>
      <c r="MD866" s="16"/>
      <c r="ME866" s="16"/>
      <c r="MF866" s="16"/>
      <c r="MG866" s="16"/>
      <c r="MH866" s="16"/>
      <c r="MI866" s="16"/>
      <c r="MJ866" s="16"/>
      <c r="MK866" s="16"/>
      <c r="ML866" s="16"/>
      <c r="MM866" s="16"/>
      <c r="MN866" s="16"/>
      <c r="MO866" s="16"/>
      <c r="MP866" s="16"/>
      <c r="MQ866" s="16"/>
      <c r="MR866" s="16"/>
      <c r="MS866" s="16"/>
      <c r="MT866" s="16"/>
      <c r="MU866" s="16"/>
      <c r="MV866" s="16"/>
      <c r="MW866" s="16"/>
      <c r="MX866" s="16"/>
      <c r="MY866" s="16"/>
      <c r="MZ866" s="16"/>
      <c r="NA866" s="16"/>
      <c r="NB866" s="16"/>
      <c r="NC866" s="16"/>
      <c r="ND866" s="16"/>
      <c r="NE866" s="16"/>
      <c r="NF866" s="16"/>
      <c r="NG866" s="16"/>
      <c r="NH866" s="16"/>
      <c r="NI866" s="16"/>
      <c r="NJ866" s="16"/>
      <c r="NK866" s="16"/>
      <c r="NL866" s="16"/>
      <c r="NM866" s="16"/>
      <c r="NN866" s="16"/>
      <c r="NO866" s="16"/>
      <c r="NP866" s="16"/>
      <c r="NQ866" s="16"/>
      <c r="NR866" s="16"/>
      <c r="NS866" s="16"/>
      <c r="NT866" s="16"/>
      <c r="NU866" s="16"/>
      <c r="NV866" s="16"/>
      <c r="NW866" s="16"/>
      <c r="NX866" s="16"/>
      <c r="NY866" s="16"/>
      <c r="NZ866" s="16"/>
      <c r="OA866" s="16"/>
      <c r="OB866" s="16"/>
      <c r="OC866" s="16"/>
      <c r="OD866" s="16"/>
      <c r="OE866" s="16"/>
      <c r="OF866" s="16"/>
      <c r="OG866" s="16"/>
      <c r="OH866" s="16"/>
      <c r="OI866" s="16"/>
      <c r="OJ866" s="16"/>
      <c r="OK866" s="16"/>
      <c r="OL866" s="16"/>
      <c r="OM866" s="16"/>
      <c r="ON866" s="16"/>
      <c r="OO866" s="16"/>
      <c r="OP866" s="16"/>
      <c r="OQ866" s="16"/>
      <c r="OR866" s="16"/>
      <c r="OS866" s="16"/>
      <c r="OT866" s="16"/>
      <c r="OU866" s="16"/>
      <c r="OV866" s="16"/>
      <c r="OW866" s="16"/>
      <c r="OX866" s="16"/>
      <c r="OY866" s="16"/>
      <c r="OZ866" s="16"/>
      <c r="PA866" s="16"/>
      <c r="PB866" s="16"/>
      <c r="PC866" s="16"/>
      <c r="PD866" s="16"/>
      <c r="PE866" s="16"/>
      <c r="PF866" s="16"/>
      <c r="PG866" s="16"/>
      <c r="PH866" s="16"/>
      <c r="PI866" s="16"/>
      <c r="PJ866" s="16"/>
      <c r="PK866" s="16"/>
      <c r="PL866" s="16"/>
      <c r="PM866" s="16"/>
      <c r="PN866" s="16"/>
      <c r="PO866" s="16"/>
      <c r="PP866" s="16"/>
      <c r="PQ866" s="16"/>
      <c r="PR866" s="16"/>
      <c r="PS866" s="16"/>
      <c r="PT866" s="16"/>
      <c r="PU866" s="16"/>
      <c r="PV866" s="16"/>
      <c r="PW866" s="16"/>
      <c r="PX866" s="16"/>
      <c r="PY866" s="16"/>
      <c r="PZ866" s="16"/>
      <c r="QA866" s="16"/>
      <c r="QB866" s="16"/>
      <c r="QC866" s="16"/>
      <c r="QD866" s="16"/>
      <c r="QE866" s="16"/>
      <c r="QF866" s="16"/>
      <c r="QG866" s="16"/>
      <c r="QH866" s="16"/>
      <c r="QI866" s="16"/>
      <c r="QJ866" s="16"/>
      <c r="QK866" s="16"/>
      <c r="QL866" s="16"/>
      <c r="QM866" s="16"/>
      <c r="QN866" s="16"/>
      <c r="QO866" s="16"/>
      <c r="QP866" s="16"/>
      <c r="QQ866" s="16"/>
      <c r="QR866" s="16"/>
      <c r="QS866" s="16"/>
      <c r="QT866" s="16"/>
      <c r="QU866" s="16"/>
      <c r="QV866" s="16"/>
      <c r="QW866" s="16"/>
      <c r="QX866" s="16"/>
      <c r="QY866" s="16"/>
      <c r="QZ866" s="16"/>
      <c r="RA866" s="16"/>
      <c r="RB866" s="16"/>
      <c r="RC866" s="16"/>
      <c r="RD866" s="16"/>
      <c r="RE866" s="16"/>
      <c r="RF866" s="16"/>
      <c r="RG866" s="16"/>
      <c r="RH866" s="16"/>
      <c r="RI866" s="16"/>
      <c r="RJ866" s="16"/>
      <c r="RK866" s="16"/>
      <c r="RL866" s="16"/>
      <c r="RM866" s="16"/>
      <c r="RN866" s="16"/>
      <c r="RO866" s="16"/>
      <c r="RP866" s="16"/>
      <c r="RQ866" s="16"/>
      <c r="RR866" s="16"/>
      <c r="RS866" s="16"/>
      <c r="RT866" s="16"/>
      <c r="RU866" s="16"/>
      <c r="RV866" s="16"/>
      <c r="RW866" s="16"/>
      <c r="RX866" s="16"/>
      <c r="RY866" s="16"/>
      <c r="RZ866" s="16"/>
      <c r="SA866" s="16"/>
      <c r="SB866" s="16"/>
      <c r="SC866" s="16"/>
      <c r="SD866" s="16"/>
      <c r="SE866" s="16"/>
      <c r="SF866" s="16"/>
      <c r="SG866" s="16"/>
      <c r="SH866" s="16"/>
      <c r="SI866" s="16"/>
      <c r="SJ866" s="16"/>
      <c r="SK866" s="16"/>
      <c r="SL866" s="16"/>
      <c r="SM866" s="16"/>
      <c r="SN866" s="16"/>
      <c r="SO866" s="16"/>
      <c r="SP866" s="16"/>
      <c r="SQ866" s="16"/>
      <c r="SR866" s="16"/>
      <c r="SS866" s="16"/>
      <c r="ST866" s="16"/>
      <c r="SU866" s="16"/>
      <c r="SV866" s="16"/>
      <c r="SW866" s="16"/>
      <c r="SX866" s="16"/>
      <c r="SY866" s="16"/>
      <c r="SZ866" s="16"/>
      <c r="TA866" s="16"/>
      <c r="TB866" s="16"/>
      <c r="TC866" s="16"/>
      <c r="TD866" s="16"/>
      <c r="TE866" s="16"/>
      <c r="TF866" s="16"/>
      <c r="TG866" s="16"/>
      <c r="TH866" s="16"/>
      <c r="TI866" s="16"/>
      <c r="TJ866" s="16"/>
      <c r="TK866" s="16"/>
      <c r="TL866" s="16"/>
      <c r="TM866" s="16"/>
      <c r="TN866" s="16"/>
      <c r="TO866" s="16"/>
      <c r="TP866" s="16"/>
      <c r="TQ866" s="16"/>
      <c r="TR866" s="16"/>
      <c r="TS866" s="16"/>
      <c r="TT866" s="16"/>
      <c r="TU866" s="16"/>
      <c r="TV866" s="16"/>
      <c r="TW866" s="16"/>
      <c r="TX866" s="16"/>
      <c r="TY866" s="16"/>
      <c r="TZ866" s="16"/>
      <c r="UA866" s="16"/>
      <c r="UB866" s="16"/>
      <c r="UC866" s="16"/>
      <c r="UD866" s="16"/>
      <c r="UE866" s="16"/>
      <c r="UF866" s="16"/>
      <c r="UG866" s="16"/>
      <c r="UH866" s="16"/>
      <c r="UI866" s="16"/>
      <c r="UJ866" s="16"/>
      <c r="UK866" s="16"/>
      <c r="UL866" s="16"/>
      <c r="UM866" s="16"/>
      <c r="UN866" s="16"/>
      <c r="UO866" s="16"/>
      <c r="UP866" s="16"/>
      <c r="UQ866" s="16"/>
      <c r="UR866" s="16"/>
      <c r="US866" s="16"/>
      <c r="UT866" s="16"/>
      <c r="UU866" s="16"/>
      <c r="UV866" s="16"/>
      <c r="UW866" s="16"/>
      <c r="UX866" s="16"/>
      <c r="UY866" s="16"/>
      <c r="UZ866" s="16"/>
      <c r="VA866" s="16"/>
      <c r="VB866" s="16"/>
      <c r="VC866" s="16"/>
      <c r="VD866" s="16"/>
      <c r="VE866" s="16"/>
      <c r="VF866" s="16"/>
      <c r="VG866" s="16"/>
      <c r="VH866" s="16"/>
      <c r="VI866" s="16"/>
      <c r="VJ866" s="16"/>
      <c r="VK866" s="16"/>
      <c r="VL866" s="16"/>
      <c r="VM866" s="16"/>
      <c r="VN866" s="16"/>
      <c r="VO866" s="16"/>
      <c r="VP866" s="16"/>
      <c r="VQ866" s="16"/>
      <c r="VR866" s="16"/>
      <c r="VS866" s="16"/>
      <c r="VT866" s="16"/>
      <c r="VU866" s="16"/>
      <c r="VV866" s="16"/>
      <c r="VW866" s="16"/>
      <c r="VX866" s="16"/>
      <c r="VY866" s="16"/>
      <c r="VZ866" s="16"/>
      <c r="WA866" s="16"/>
      <c r="WB866" s="16"/>
      <c r="WC866" s="16"/>
      <c r="WD866" s="16"/>
      <c r="WE866" s="16"/>
      <c r="WF866" s="16"/>
      <c r="WG866" s="16"/>
      <c r="WH866" s="16"/>
      <c r="WI866" s="16"/>
      <c r="WJ866" s="16"/>
      <c r="WK866" s="16"/>
      <c r="WL866" s="16"/>
      <c r="WM866" s="16"/>
      <c r="WN866" s="16"/>
      <c r="WO866" s="16"/>
      <c r="WP866" s="16"/>
      <c r="WQ866" s="16"/>
      <c r="WR866" s="16"/>
      <c r="WS866" s="16"/>
      <c r="WT866" s="16"/>
      <c r="WU866" s="16"/>
      <c r="WV866" s="16"/>
      <c r="WW866" s="16"/>
      <c r="WX866" s="16"/>
      <c r="WY866" s="16"/>
      <c r="WZ866" s="16"/>
      <c r="XA866" s="16"/>
      <c r="XB866" s="16"/>
      <c r="XC866" s="16"/>
      <c r="XD866" s="16"/>
      <c r="XE866" s="16"/>
      <c r="XF866" s="16"/>
      <c r="XG866" s="16"/>
      <c r="XH866" s="16"/>
      <c r="XI866" s="16"/>
      <c r="XJ866" s="16"/>
      <c r="XK866" s="16"/>
      <c r="XL866" s="16"/>
      <c r="XM866" s="16"/>
      <c r="XN866" s="16"/>
      <c r="XO866" s="16"/>
      <c r="XP866" s="16"/>
      <c r="XQ866" s="16"/>
      <c r="XR866" s="16"/>
      <c r="XS866" s="16"/>
      <c r="XT866" s="16"/>
      <c r="XU866" s="16"/>
      <c r="XV866" s="16"/>
      <c r="XW866" s="16"/>
      <c r="XX866" s="16"/>
      <c r="XY866" s="16"/>
      <c r="XZ866" s="16"/>
      <c r="YA866" s="16"/>
      <c r="YB866" s="16"/>
      <c r="YC866" s="16"/>
      <c r="YD866" s="16"/>
      <c r="YE866" s="16"/>
      <c r="YF866" s="16"/>
      <c r="YG866" s="16"/>
      <c r="YH866" s="16"/>
      <c r="YI866" s="16"/>
      <c r="YJ866" s="16"/>
      <c r="YK866" s="16"/>
      <c r="YL866" s="16"/>
      <c r="YM866" s="16"/>
      <c r="YN866" s="16"/>
      <c r="YO866" s="16"/>
      <c r="YP866" s="16"/>
      <c r="YQ866" s="16"/>
      <c r="YR866" s="16"/>
      <c r="YS866" s="16"/>
      <c r="YT866" s="16"/>
      <c r="YU866" s="16"/>
      <c r="YV866" s="16"/>
      <c r="YW866" s="16"/>
      <c r="YX866" s="16"/>
      <c r="YY866" s="16"/>
      <c r="YZ866" s="16"/>
      <c r="ZA866" s="16"/>
      <c r="ZB866" s="16"/>
      <c r="ZC866" s="16"/>
      <c r="ZD866" s="16"/>
      <c r="ZE866" s="16"/>
      <c r="ZF866" s="16"/>
      <c r="ZG866" s="16"/>
      <c r="ZH866" s="16"/>
      <c r="ZI866" s="16"/>
      <c r="ZJ866" s="16"/>
      <c r="ZK866" s="16"/>
      <c r="ZL866" s="16"/>
      <c r="ZM866" s="16"/>
      <c r="ZN866" s="16"/>
      <c r="ZO866" s="16"/>
      <c r="ZP866" s="16"/>
      <c r="ZQ866" s="16"/>
      <c r="ZR866" s="16"/>
      <c r="ZS866" s="16"/>
      <c r="ZT866" s="16"/>
      <c r="ZU866" s="16"/>
      <c r="ZV866" s="16"/>
      <c r="ZW866" s="16"/>
      <c r="ZX866" s="16"/>
      <c r="ZY866" s="16"/>
      <c r="ZZ866" s="16"/>
      <c r="AAA866" s="16"/>
      <c r="AAB866" s="16"/>
      <c r="AAC866" s="16"/>
      <c r="AAD866" s="16"/>
      <c r="AAE866" s="16"/>
      <c r="AAF866" s="16"/>
      <c r="AAG866" s="16"/>
      <c r="AAH866" s="16"/>
      <c r="AAI866" s="16"/>
      <c r="AAJ866" s="16"/>
      <c r="AAK866" s="16"/>
      <c r="AAL866" s="16"/>
      <c r="AAM866" s="16"/>
      <c r="AAN866" s="16"/>
      <c r="AAO866" s="16"/>
      <c r="AAP866" s="16"/>
      <c r="AAQ866" s="16"/>
      <c r="AAR866" s="16"/>
      <c r="AAS866" s="16"/>
      <c r="AAT866" s="16"/>
      <c r="AAU866" s="16"/>
      <c r="AAV866" s="16"/>
      <c r="AAW866" s="16"/>
      <c r="AAX866" s="16"/>
      <c r="AAY866" s="16"/>
      <c r="AAZ866" s="16"/>
      <c r="ABA866" s="16"/>
      <c r="ABB866" s="16"/>
      <c r="ABC866" s="16"/>
      <c r="ABD866" s="16"/>
      <c r="ABE866" s="16"/>
      <c r="ABF866" s="16"/>
      <c r="ABG866" s="16"/>
      <c r="ABH866" s="16"/>
      <c r="ABI866" s="16"/>
      <c r="ABJ866" s="16"/>
      <c r="ABK866" s="16"/>
      <c r="ABL866" s="16"/>
      <c r="ABM866" s="16"/>
      <c r="ABN866" s="16"/>
      <c r="ABO866" s="16"/>
      <c r="ABP866" s="16"/>
      <c r="ABQ866" s="16"/>
      <c r="ABR866" s="16"/>
      <c r="ABS866" s="16"/>
      <c r="ABT866" s="16"/>
      <c r="ABU866" s="16"/>
      <c r="ABV866" s="16"/>
      <c r="ABW866" s="16"/>
      <c r="ABX866" s="16"/>
      <c r="ABY866" s="16"/>
      <c r="ABZ866" s="16"/>
      <c r="ACA866" s="16"/>
      <c r="ACB866" s="16"/>
      <c r="ACC866" s="16"/>
      <c r="ACD866" s="16"/>
      <c r="ACE866" s="16"/>
      <c r="ACF866" s="16"/>
      <c r="ACG866" s="16"/>
      <c r="ACH866" s="16"/>
      <c r="ACI866" s="16"/>
      <c r="ACJ866" s="16"/>
      <c r="ACK866" s="16"/>
      <c r="ACL866" s="16"/>
      <c r="ACM866" s="16"/>
      <c r="ACN866" s="16"/>
      <c r="ACO866" s="16"/>
      <c r="ACP866" s="16"/>
      <c r="ACQ866" s="16"/>
      <c r="ACR866" s="16"/>
      <c r="ACS866" s="16"/>
      <c r="ACT866" s="16"/>
      <c r="ACU866" s="16"/>
      <c r="ACV866" s="16"/>
      <c r="ACW866" s="16"/>
      <c r="ACX866" s="16"/>
      <c r="ACY866" s="16"/>
      <c r="ACZ866" s="16"/>
      <c r="ADA866" s="16"/>
      <c r="ADB866" s="16"/>
      <c r="ADC866" s="16"/>
      <c r="ADD866" s="16"/>
      <c r="ADE866" s="16"/>
      <c r="ADF866" s="16"/>
      <c r="ADG866" s="16"/>
      <c r="ADH866" s="16"/>
      <c r="ADI866" s="16"/>
      <c r="ADJ866" s="16"/>
      <c r="ADK866" s="16"/>
      <c r="ADL866" s="16"/>
      <c r="ADM866" s="16"/>
      <c r="ADN866" s="16"/>
      <c r="ADO866" s="16"/>
      <c r="ADP866" s="16"/>
      <c r="ADQ866" s="16"/>
      <c r="ADR866" s="16"/>
      <c r="ADS866" s="16"/>
      <c r="ADT866" s="16"/>
      <c r="ADU866" s="16"/>
      <c r="ADV866" s="16"/>
      <c r="ADW866" s="16"/>
      <c r="ADX866" s="16"/>
      <c r="ADY866" s="16"/>
      <c r="ADZ866" s="16"/>
      <c r="AEA866" s="16"/>
      <c r="AEB866" s="16"/>
      <c r="AEC866" s="16"/>
      <c r="AED866" s="16"/>
      <c r="AEE866" s="16"/>
      <c r="AEF866" s="16"/>
      <c r="AEG866" s="16"/>
      <c r="AEH866" s="16"/>
      <c r="AEI866" s="16"/>
      <c r="AEJ866" s="16"/>
      <c r="AEK866" s="16"/>
      <c r="AEL866" s="16"/>
      <c r="AEM866" s="16"/>
      <c r="AEN866" s="16"/>
      <c r="AEO866" s="16"/>
      <c r="AEP866" s="16"/>
      <c r="AEQ866" s="16"/>
      <c r="AER866" s="16"/>
      <c r="AES866" s="16"/>
      <c r="AET866" s="16"/>
      <c r="AEU866" s="16"/>
      <c r="AEV866" s="16"/>
      <c r="AEW866" s="16"/>
      <c r="AEX866" s="16"/>
      <c r="AEY866" s="16"/>
      <c r="AEZ866" s="16"/>
      <c r="AFA866" s="16"/>
      <c r="AFB866" s="16"/>
      <c r="AFC866" s="16"/>
      <c r="AFD866" s="16"/>
      <c r="AFE866" s="16"/>
      <c r="AFF866" s="16"/>
      <c r="AFG866" s="16"/>
      <c r="AFH866" s="16"/>
      <c r="AFI866" s="16"/>
      <c r="AFJ866" s="16"/>
      <c r="AFK866" s="16"/>
      <c r="AFL866" s="16"/>
      <c r="AFM866" s="16"/>
      <c r="AFN866" s="16"/>
      <c r="AFO866" s="16"/>
      <c r="AFP866" s="16"/>
      <c r="AFQ866" s="16"/>
      <c r="AFR866" s="16"/>
      <c r="AFS866" s="16"/>
      <c r="AFT866" s="16"/>
      <c r="AFU866" s="16"/>
      <c r="AFV866" s="16"/>
      <c r="AFW866" s="16"/>
      <c r="AFX866" s="16"/>
      <c r="AFY866" s="16"/>
      <c r="AFZ866" s="16"/>
      <c r="AGA866" s="16"/>
      <c r="AGB866" s="16"/>
      <c r="AGC866" s="16"/>
      <c r="AGD866" s="16"/>
      <c r="AGE866" s="16"/>
      <c r="AGF866" s="16"/>
      <c r="AGG866" s="16"/>
      <c r="AGH866" s="16"/>
      <c r="AGI866" s="16"/>
      <c r="AGJ866" s="16"/>
    </row>
    <row r="867" spans="1:868" hidden="1">
      <c r="A867" s="152" t="s">
        <v>121</v>
      </c>
      <c r="B867" s="34" t="s">
        <v>355</v>
      </c>
      <c r="C867" s="40" t="s">
        <v>139</v>
      </c>
      <c r="D867" s="34" t="s">
        <v>91</v>
      </c>
      <c r="E867" s="260">
        <v>0.30372334961384378</v>
      </c>
      <c r="F867" s="235">
        <v>1</v>
      </c>
      <c r="G867" s="40"/>
      <c r="H867" s="29">
        <v>3</v>
      </c>
      <c r="I867" s="9">
        <v>3</v>
      </c>
      <c r="J867" s="9">
        <v>2</v>
      </c>
      <c r="K867" s="9">
        <v>2</v>
      </c>
      <c r="L867" s="9">
        <v>1</v>
      </c>
      <c r="M867" s="9">
        <v>2</v>
      </c>
      <c r="N867" s="186">
        <f t="shared" si="63"/>
        <v>0.50042652380814845</v>
      </c>
      <c r="O867" s="160">
        <f t="shared" si="64"/>
        <v>0.50042652380814845</v>
      </c>
      <c r="P867" s="63"/>
    </row>
    <row r="868" spans="1:868" hidden="1">
      <c r="A868" s="152" t="s">
        <v>121</v>
      </c>
      <c r="B868" s="34" t="s">
        <v>355</v>
      </c>
      <c r="C868" s="40" t="s">
        <v>139</v>
      </c>
      <c r="D868" s="34" t="s">
        <v>95</v>
      </c>
      <c r="E868" s="260">
        <v>0.46776568999142792</v>
      </c>
      <c r="F868" s="235">
        <v>1</v>
      </c>
      <c r="G868" s="40"/>
      <c r="H868" s="29">
        <v>3</v>
      </c>
      <c r="I868" s="9">
        <v>3</v>
      </c>
      <c r="J868" s="9">
        <v>2</v>
      </c>
      <c r="K868" s="9">
        <v>2</v>
      </c>
      <c r="L868" s="9">
        <v>1</v>
      </c>
      <c r="M868" s="9">
        <v>2</v>
      </c>
      <c r="N868" s="186">
        <f t="shared" si="63"/>
        <v>0.50042652380814845</v>
      </c>
      <c r="O868" s="160">
        <f t="shared" si="64"/>
        <v>0.50042652380814845</v>
      </c>
      <c r="P868" s="63"/>
    </row>
    <row r="869" spans="1:868" hidden="1">
      <c r="A869" s="292" t="s">
        <v>350</v>
      </c>
      <c r="B869" s="55" t="s">
        <v>225</v>
      </c>
      <c r="C869" s="265" t="s">
        <v>139</v>
      </c>
      <c r="D869" s="55" t="s">
        <v>139</v>
      </c>
      <c r="E869" s="260">
        <v>0.33810000000000001</v>
      </c>
      <c r="F869" s="235">
        <v>2</v>
      </c>
      <c r="G869" s="265" t="s">
        <v>163</v>
      </c>
      <c r="H869" s="29">
        <v>2</v>
      </c>
      <c r="I869" s="9">
        <v>2</v>
      </c>
      <c r="J869" s="9">
        <v>2</v>
      </c>
      <c r="K869" s="9">
        <v>3</v>
      </c>
      <c r="L869" s="9">
        <v>1</v>
      </c>
      <c r="M869" s="9">
        <v>2</v>
      </c>
      <c r="N869" s="186">
        <f t="shared" si="63"/>
        <v>0.50042652380814845</v>
      </c>
      <c r="O869" s="160">
        <f t="shared" si="64"/>
        <v>0.50042652380814845</v>
      </c>
      <c r="P869" s="63" t="s">
        <v>426</v>
      </c>
    </row>
    <row r="870" spans="1:868" hidden="1">
      <c r="A870" s="152" t="s">
        <v>256</v>
      </c>
      <c r="B870" s="34" t="s">
        <v>267</v>
      </c>
      <c r="C870" s="40" t="s">
        <v>182</v>
      </c>
      <c r="D870" s="69" t="s">
        <v>95</v>
      </c>
      <c r="E870" s="867">
        <v>0.2368318376902068</v>
      </c>
      <c r="F870" s="34">
        <v>1</v>
      </c>
      <c r="G870" s="344" t="s">
        <v>126</v>
      </c>
      <c r="H870" s="29"/>
      <c r="I870" s="9">
        <v>1</v>
      </c>
      <c r="J870" s="9">
        <v>1</v>
      </c>
      <c r="K870" s="9">
        <v>1</v>
      </c>
      <c r="L870" s="9">
        <v>2</v>
      </c>
      <c r="M870" s="9">
        <v>2</v>
      </c>
      <c r="N870" s="186" t="str">
        <f t="shared" si="63"/>
        <v/>
      </c>
      <c r="O870" s="160">
        <f t="shared" si="64"/>
        <v>0.35859414261160716</v>
      </c>
      <c r="P870" s="63"/>
    </row>
    <row r="871" spans="1:868" hidden="1">
      <c r="A871" s="152" t="s">
        <v>256</v>
      </c>
      <c r="B871" s="34" t="s">
        <v>267</v>
      </c>
      <c r="C871" s="40" t="s">
        <v>182</v>
      </c>
      <c r="D871" s="69" t="s">
        <v>93</v>
      </c>
      <c r="E871" s="867">
        <v>0.16604287172507659</v>
      </c>
      <c r="F871" s="34">
        <v>1</v>
      </c>
      <c r="G871" s="344" t="s">
        <v>126</v>
      </c>
      <c r="H871" s="29"/>
      <c r="I871" s="9">
        <v>1</v>
      </c>
      <c r="J871" s="9">
        <v>1</v>
      </c>
      <c r="K871" s="9">
        <v>1</v>
      </c>
      <c r="L871" s="9">
        <v>2</v>
      </c>
      <c r="M871" s="9">
        <v>2</v>
      </c>
      <c r="N871" s="186" t="str">
        <f t="shared" ref="N871" si="65">IF( OR( ISBLANK(H871),ISBLANK(J871), ISBLANK(K871), ISBLANK(L871), ISBLANK(M871) ), "", 1.5*SQRT(   EXP(2.21*(H871-1)) + EXP(2.21*(J871-1)) + EXP(2.21*(K871-1)) + EXP(2.21*(L871-1)) + EXP(2.21*M871)   )/100*2.45 )</f>
        <v/>
      </c>
      <c r="O871" s="160">
        <f t="shared" ref="O871" si="66">IF( OR( ISBLANK(I871),ISBLANK(J871), ISBLANK(K871), ISBLANK(L871), ISBLANK(M871) ), "", 1.5*SQRT( EXP(2.21*(I871-1)) + EXP(2.21*(J871-1)) + EXP(2.21*(K871-1)) + EXP(2.21*(L871-1)) + EXP(2.21*M871)   )/100*2.45 )</f>
        <v>0.35859414261160716</v>
      </c>
      <c r="P871" s="63"/>
    </row>
    <row r="872" spans="1:868" hidden="1">
      <c r="A872" s="152" t="s">
        <v>256</v>
      </c>
      <c r="B872" s="34" t="s">
        <v>267</v>
      </c>
      <c r="C872" s="40" t="s">
        <v>182</v>
      </c>
      <c r="D872" s="69" t="s">
        <v>98</v>
      </c>
      <c r="E872" s="867">
        <v>0.34568127636163581</v>
      </c>
      <c r="F872" s="34">
        <v>1</v>
      </c>
      <c r="G872" s="344" t="s">
        <v>126</v>
      </c>
      <c r="H872" s="29"/>
      <c r="I872" s="9">
        <v>1</v>
      </c>
      <c r="J872" s="9">
        <v>1</v>
      </c>
      <c r="K872" s="9">
        <v>1</v>
      </c>
      <c r="L872" s="9">
        <v>2</v>
      </c>
      <c r="M872" s="9">
        <v>2</v>
      </c>
      <c r="N872" s="186" t="str">
        <f t="shared" si="63"/>
        <v/>
      </c>
      <c r="O872" s="160">
        <f t="shared" si="64"/>
        <v>0.35859414261160716</v>
      </c>
      <c r="P872" s="63"/>
    </row>
    <row r="873" spans="1:868" s="211" customFormat="1" ht="15.75" hidden="1" thickBot="1">
      <c r="A873" s="152" t="s">
        <v>398</v>
      </c>
      <c r="B873" s="34" t="s">
        <v>231</v>
      </c>
      <c r="C873" s="40" t="s">
        <v>139</v>
      </c>
      <c r="D873" s="34" t="s">
        <v>139</v>
      </c>
      <c r="E873" s="265">
        <v>0.05</v>
      </c>
      <c r="F873" s="235">
        <v>2</v>
      </c>
      <c r="G873" s="40" t="s">
        <v>276</v>
      </c>
      <c r="H873" s="29">
        <v>1</v>
      </c>
      <c r="I873" s="9">
        <v>2</v>
      </c>
      <c r="J873" s="9">
        <v>1</v>
      </c>
      <c r="K873" s="9">
        <v>1</v>
      </c>
      <c r="L873" s="9">
        <v>2</v>
      </c>
      <c r="M873" s="9">
        <v>3</v>
      </c>
      <c r="N873" s="186">
        <f t="shared" si="63"/>
        <v>1.0195048044558224</v>
      </c>
      <c r="O873" s="160">
        <f t="shared" si="64"/>
        <v>1.0248662490928169</v>
      </c>
      <c r="P873" s="857"/>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c r="CX873" s="16"/>
      <c r="CY873" s="16"/>
      <c r="CZ873" s="16"/>
      <c r="DA873" s="16"/>
      <c r="DB873" s="16"/>
      <c r="DC873" s="16"/>
      <c r="DD873" s="16"/>
      <c r="DE873" s="16"/>
      <c r="DF873" s="16"/>
      <c r="DG873" s="16"/>
      <c r="DH873" s="16"/>
      <c r="DI873" s="16"/>
      <c r="DJ873" s="16"/>
      <c r="DK873" s="16"/>
      <c r="DL873" s="16"/>
      <c r="DM873" s="16"/>
      <c r="DN873" s="16"/>
      <c r="DO873" s="16"/>
      <c r="DP873" s="16"/>
      <c r="DQ873" s="16"/>
      <c r="DR873" s="16"/>
      <c r="DS873" s="16"/>
      <c r="DT873" s="16"/>
      <c r="DU873" s="16"/>
      <c r="DV873" s="16"/>
      <c r="DW873" s="16"/>
      <c r="DX873" s="16"/>
      <c r="DY873" s="16"/>
      <c r="DZ873" s="16"/>
      <c r="EA873" s="16"/>
      <c r="EB873" s="16"/>
      <c r="EC873" s="16"/>
      <c r="ED873" s="16"/>
      <c r="EE873" s="16"/>
      <c r="EF873" s="16"/>
      <c r="EG873" s="16"/>
      <c r="EH873" s="16"/>
      <c r="EI873" s="16"/>
      <c r="EJ873" s="16"/>
      <c r="EK873" s="16"/>
      <c r="EL873" s="16"/>
      <c r="EM873" s="16"/>
      <c r="EN873" s="16"/>
      <c r="EO873" s="16"/>
      <c r="EP873" s="16"/>
      <c r="EQ873" s="16"/>
      <c r="ER873" s="16"/>
      <c r="ES873" s="16"/>
      <c r="ET873" s="16"/>
      <c r="EU873" s="16"/>
      <c r="EV873" s="16"/>
      <c r="EW873" s="16"/>
      <c r="EX873" s="16"/>
      <c r="EY873" s="16"/>
      <c r="EZ873" s="16"/>
      <c r="FA873" s="16"/>
      <c r="FB873" s="16"/>
      <c r="FC873" s="16"/>
      <c r="FD873" s="16"/>
      <c r="FE873" s="16"/>
      <c r="FF873" s="16"/>
      <c r="FG873" s="16"/>
      <c r="FH873" s="16"/>
      <c r="FI873" s="16"/>
      <c r="FJ873" s="16"/>
      <c r="FK873" s="16"/>
      <c r="FL873" s="16"/>
      <c r="FM873" s="16"/>
      <c r="FN873" s="16"/>
      <c r="FO873" s="16"/>
      <c r="FP873" s="16"/>
      <c r="FQ873" s="16"/>
      <c r="FR873" s="16"/>
      <c r="FS873" s="16"/>
      <c r="FT873" s="16"/>
      <c r="FU873" s="16"/>
      <c r="FV873" s="16"/>
      <c r="FW873" s="16"/>
      <c r="FX873" s="16"/>
      <c r="FY873" s="16"/>
      <c r="FZ873" s="16"/>
      <c r="GA873" s="16"/>
      <c r="GB873" s="16"/>
      <c r="GC873" s="16"/>
      <c r="GD873" s="16"/>
      <c r="GE873" s="16"/>
      <c r="GF873" s="16"/>
      <c r="GG873" s="16"/>
      <c r="GH873" s="16"/>
      <c r="GI873" s="16"/>
      <c r="GJ873" s="16"/>
      <c r="GK873" s="16"/>
      <c r="GL873" s="16"/>
      <c r="GM873" s="16"/>
      <c r="GN873" s="16"/>
      <c r="GO873" s="16"/>
      <c r="GP873" s="16"/>
      <c r="GQ873" s="16"/>
      <c r="GR873" s="16"/>
      <c r="GS873" s="16"/>
      <c r="GT873" s="16"/>
      <c r="GU873" s="16"/>
      <c r="GV873" s="16"/>
      <c r="GW873" s="16"/>
      <c r="GX873" s="16"/>
      <c r="GY873" s="16"/>
      <c r="GZ873" s="16"/>
      <c r="HA873" s="16"/>
      <c r="HB873" s="16"/>
      <c r="HC873" s="16"/>
      <c r="HD873" s="16"/>
      <c r="HE873" s="16"/>
      <c r="HF873" s="16"/>
      <c r="HG873" s="16"/>
      <c r="HH873" s="16"/>
      <c r="HI873" s="16"/>
      <c r="HJ873" s="16"/>
      <c r="HK873" s="16"/>
      <c r="HL873" s="16"/>
      <c r="HM873" s="16"/>
      <c r="HN873" s="16"/>
      <c r="HO873" s="16"/>
      <c r="HP873" s="16"/>
      <c r="HQ873" s="16"/>
      <c r="HR873" s="16"/>
      <c r="HS873" s="16"/>
      <c r="HT873" s="16"/>
      <c r="HU873" s="16"/>
      <c r="HV873" s="16"/>
      <c r="HW873" s="16"/>
      <c r="HX873" s="16"/>
      <c r="HY873" s="16"/>
      <c r="HZ873" s="16"/>
      <c r="IA873" s="16"/>
      <c r="IB873" s="16"/>
      <c r="IC873" s="16"/>
      <c r="ID873" s="16"/>
      <c r="IE873" s="16"/>
      <c r="IF873" s="16"/>
      <c r="IG873" s="16"/>
      <c r="IH873" s="16"/>
      <c r="II873" s="16"/>
      <c r="IJ873" s="16"/>
      <c r="IK873" s="16"/>
      <c r="IL873" s="16"/>
      <c r="IM873" s="16"/>
      <c r="IN873" s="16"/>
      <c r="IO873" s="16"/>
      <c r="IP873" s="16"/>
      <c r="IQ873" s="16"/>
      <c r="IR873" s="16"/>
      <c r="IS873" s="16"/>
      <c r="IT873" s="16"/>
      <c r="IU873" s="16"/>
      <c r="IV873" s="16"/>
      <c r="IW873" s="16"/>
      <c r="IX873" s="16"/>
      <c r="IY873" s="16"/>
      <c r="IZ873" s="16"/>
      <c r="JA873" s="16"/>
      <c r="JB873" s="16"/>
      <c r="JC873" s="16"/>
      <c r="JD873" s="16"/>
      <c r="JE873" s="16"/>
      <c r="JF873" s="16"/>
      <c r="JG873" s="16"/>
      <c r="JH873" s="16"/>
      <c r="JI873" s="16"/>
      <c r="JJ873" s="16"/>
      <c r="JK873" s="16"/>
      <c r="JL873" s="16"/>
      <c r="JM873" s="16"/>
      <c r="JN873" s="16"/>
      <c r="JO873" s="16"/>
      <c r="JP873" s="16"/>
      <c r="JQ873" s="16"/>
      <c r="JR873" s="16"/>
      <c r="JS873" s="16"/>
      <c r="JT873" s="16"/>
      <c r="JU873" s="16"/>
      <c r="JV873" s="16"/>
      <c r="JW873" s="16"/>
      <c r="JX873" s="16"/>
      <c r="JY873" s="16"/>
      <c r="JZ873" s="16"/>
      <c r="KA873" s="16"/>
      <c r="KB873" s="16"/>
      <c r="KC873" s="16"/>
      <c r="KD873" s="16"/>
      <c r="KE873" s="16"/>
      <c r="KF873" s="16"/>
      <c r="KG873" s="16"/>
      <c r="KH873" s="16"/>
      <c r="KI873" s="16"/>
      <c r="KJ873" s="16"/>
      <c r="KK873" s="16"/>
      <c r="KL873" s="16"/>
      <c r="KM873" s="16"/>
      <c r="KN873" s="16"/>
      <c r="KO873" s="16"/>
      <c r="KP873" s="16"/>
      <c r="KQ873" s="16"/>
      <c r="KR873" s="16"/>
      <c r="KS873" s="16"/>
      <c r="KT873" s="16"/>
      <c r="KU873" s="16"/>
      <c r="KV873" s="16"/>
      <c r="KW873" s="16"/>
      <c r="KX873" s="16"/>
      <c r="KY873" s="16"/>
      <c r="KZ873" s="16"/>
      <c r="LA873" s="16"/>
      <c r="LB873" s="16"/>
      <c r="LC873" s="16"/>
      <c r="LD873" s="16"/>
      <c r="LE873" s="16"/>
      <c r="LF873" s="16"/>
      <c r="LG873" s="16"/>
      <c r="LH873" s="16"/>
      <c r="LI873" s="16"/>
      <c r="LJ873" s="16"/>
      <c r="LK873" s="16"/>
      <c r="LL873" s="16"/>
      <c r="LM873" s="16"/>
      <c r="LN873" s="16"/>
      <c r="LO873" s="16"/>
      <c r="LP873" s="16"/>
      <c r="LQ873" s="16"/>
      <c r="LR873" s="16"/>
      <c r="LS873" s="16"/>
      <c r="LT873" s="16"/>
      <c r="LU873" s="16"/>
      <c r="LV873" s="16"/>
      <c r="LW873" s="16"/>
      <c r="LX873" s="16"/>
      <c r="LY873" s="16"/>
      <c r="LZ873" s="16"/>
      <c r="MA873" s="16"/>
      <c r="MB873" s="16"/>
      <c r="MC873" s="16"/>
      <c r="MD873" s="16"/>
      <c r="ME873" s="16"/>
      <c r="MF873" s="16"/>
      <c r="MG873" s="16"/>
      <c r="MH873" s="16"/>
      <c r="MI873" s="16"/>
      <c r="MJ873" s="16"/>
      <c r="MK873" s="16"/>
      <c r="ML873" s="16"/>
      <c r="MM873" s="16"/>
      <c r="MN873" s="16"/>
      <c r="MO873" s="16"/>
      <c r="MP873" s="16"/>
      <c r="MQ873" s="16"/>
      <c r="MR873" s="16"/>
      <c r="MS873" s="16"/>
      <c r="MT873" s="16"/>
      <c r="MU873" s="16"/>
      <c r="MV873" s="16"/>
      <c r="MW873" s="16"/>
      <c r="MX873" s="16"/>
      <c r="MY873" s="16"/>
      <c r="MZ873" s="16"/>
      <c r="NA873" s="16"/>
      <c r="NB873" s="16"/>
      <c r="NC873" s="16"/>
      <c r="ND873" s="16"/>
      <c r="NE873" s="16"/>
      <c r="NF873" s="16"/>
      <c r="NG873" s="16"/>
      <c r="NH873" s="16"/>
      <c r="NI873" s="16"/>
      <c r="NJ873" s="16"/>
      <c r="NK873" s="16"/>
      <c r="NL873" s="16"/>
      <c r="NM873" s="16"/>
      <c r="NN873" s="16"/>
      <c r="NO873" s="16"/>
      <c r="NP873" s="16"/>
      <c r="NQ873" s="16"/>
      <c r="NR873" s="16"/>
      <c r="NS873" s="16"/>
      <c r="NT873" s="16"/>
      <c r="NU873" s="16"/>
      <c r="NV873" s="16"/>
      <c r="NW873" s="16"/>
      <c r="NX873" s="16"/>
      <c r="NY873" s="16"/>
      <c r="NZ873" s="16"/>
      <c r="OA873" s="16"/>
      <c r="OB873" s="16"/>
      <c r="OC873" s="16"/>
      <c r="OD873" s="16"/>
      <c r="OE873" s="16"/>
      <c r="OF873" s="16"/>
      <c r="OG873" s="16"/>
      <c r="OH873" s="16"/>
      <c r="OI873" s="16"/>
      <c r="OJ873" s="16"/>
      <c r="OK873" s="16"/>
      <c r="OL873" s="16"/>
      <c r="OM873" s="16"/>
      <c r="ON873" s="16"/>
      <c r="OO873" s="16"/>
      <c r="OP873" s="16"/>
      <c r="OQ873" s="16"/>
      <c r="OR873" s="16"/>
      <c r="OS873" s="16"/>
      <c r="OT873" s="16"/>
      <c r="OU873" s="16"/>
      <c r="OV873" s="16"/>
      <c r="OW873" s="16"/>
      <c r="OX873" s="16"/>
      <c r="OY873" s="16"/>
      <c r="OZ873" s="16"/>
      <c r="PA873" s="16"/>
      <c r="PB873" s="16"/>
      <c r="PC873" s="16"/>
      <c r="PD873" s="16"/>
      <c r="PE873" s="16"/>
      <c r="PF873" s="16"/>
      <c r="PG873" s="16"/>
      <c r="PH873" s="16"/>
      <c r="PI873" s="16"/>
      <c r="PJ873" s="16"/>
      <c r="PK873" s="16"/>
      <c r="PL873" s="16"/>
      <c r="PM873" s="16"/>
      <c r="PN873" s="16"/>
      <c r="PO873" s="16"/>
      <c r="PP873" s="16"/>
      <c r="PQ873" s="16"/>
      <c r="PR873" s="16"/>
      <c r="PS873" s="16"/>
      <c r="PT873" s="16"/>
      <c r="PU873" s="16"/>
      <c r="PV873" s="16"/>
      <c r="PW873" s="16"/>
      <c r="PX873" s="16"/>
      <c r="PY873" s="16"/>
      <c r="PZ873" s="16"/>
      <c r="QA873" s="16"/>
      <c r="QB873" s="16"/>
      <c r="QC873" s="16"/>
      <c r="QD873" s="16"/>
      <c r="QE873" s="16"/>
      <c r="QF873" s="16"/>
      <c r="QG873" s="16"/>
      <c r="QH873" s="16"/>
      <c r="QI873" s="16"/>
      <c r="QJ873" s="16"/>
      <c r="QK873" s="16"/>
      <c r="QL873" s="16"/>
      <c r="QM873" s="16"/>
      <c r="QN873" s="16"/>
      <c r="QO873" s="16"/>
      <c r="QP873" s="16"/>
      <c r="QQ873" s="16"/>
      <c r="QR873" s="16"/>
      <c r="QS873" s="16"/>
      <c r="QT873" s="16"/>
      <c r="QU873" s="16"/>
      <c r="QV873" s="16"/>
      <c r="QW873" s="16"/>
      <c r="QX873" s="16"/>
      <c r="QY873" s="16"/>
      <c r="QZ873" s="16"/>
      <c r="RA873" s="16"/>
      <c r="RB873" s="16"/>
      <c r="RC873" s="16"/>
      <c r="RD873" s="16"/>
      <c r="RE873" s="16"/>
      <c r="RF873" s="16"/>
      <c r="RG873" s="16"/>
      <c r="RH873" s="16"/>
      <c r="RI873" s="16"/>
      <c r="RJ873" s="16"/>
      <c r="RK873" s="16"/>
      <c r="RL873" s="16"/>
      <c r="RM873" s="16"/>
      <c r="RN873" s="16"/>
      <c r="RO873" s="16"/>
      <c r="RP873" s="16"/>
      <c r="RQ873" s="16"/>
      <c r="RR873" s="16"/>
      <c r="RS873" s="16"/>
      <c r="RT873" s="16"/>
      <c r="RU873" s="16"/>
      <c r="RV873" s="16"/>
      <c r="RW873" s="16"/>
      <c r="RX873" s="16"/>
      <c r="RY873" s="16"/>
      <c r="RZ873" s="16"/>
      <c r="SA873" s="16"/>
      <c r="SB873" s="16"/>
      <c r="SC873" s="16"/>
      <c r="SD873" s="16"/>
      <c r="SE873" s="16"/>
      <c r="SF873" s="16"/>
      <c r="SG873" s="16"/>
      <c r="SH873" s="16"/>
      <c r="SI873" s="16"/>
      <c r="SJ873" s="16"/>
      <c r="SK873" s="16"/>
      <c r="SL873" s="16"/>
      <c r="SM873" s="16"/>
      <c r="SN873" s="16"/>
      <c r="SO873" s="16"/>
      <c r="SP873" s="16"/>
      <c r="SQ873" s="16"/>
      <c r="SR873" s="16"/>
      <c r="SS873" s="16"/>
      <c r="ST873" s="16"/>
      <c r="SU873" s="16"/>
      <c r="SV873" s="16"/>
      <c r="SW873" s="16"/>
      <c r="SX873" s="16"/>
      <c r="SY873" s="16"/>
      <c r="SZ873" s="16"/>
      <c r="TA873" s="16"/>
      <c r="TB873" s="16"/>
      <c r="TC873" s="16"/>
      <c r="TD873" s="16"/>
      <c r="TE873" s="16"/>
      <c r="TF873" s="16"/>
      <c r="TG873" s="16"/>
      <c r="TH873" s="16"/>
      <c r="TI873" s="16"/>
      <c r="TJ873" s="16"/>
      <c r="TK873" s="16"/>
      <c r="TL873" s="16"/>
      <c r="TM873" s="16"/>
      <c r="TN873" s="16"/>
      <c r="TO873" s="16"/>
      <c r="TP873" s="16"/>
      <c r="TQ873" s="16"/>
      <c r="TR873" s="16"/>
      <c r="TS873" s="16"/>
      <c r="TT873" s="16"/>
      <c r="TU873" s="16"/>
      <c r="TV873" s="16"/>
      <c r="TW873" s="16"/>
      <c r="TX873" s="16"/>
      <c r="TY873" s="16"/>
      <c r="TZ873" s="16"/>
      <c r="UA873" s="16"/>
      <c r="UB873" s="16"/>
      <c r="UC873" s="16"/>
      <c r="UD873" s="16"/>
      <c r="UE873" s="16"/>
      <c r="UF873" s="16"/>
      <c r="UG873" s="16"/>
      <c r="UH873" s="16"/>
      <c r="UI873" s="16"/>
      <c r="UJ873" s="16"/>
      <c r="UK873" s="16"/>
      <c r="UL873" s="16"/>
      <c r="UM873" s="16"/>
      <c r="UN873" s="16"/>
      <c r="UO873" s="16"/>
      <c r="UP873" s="16"/>
      <c r="UQ873" s="16"/>
      <c r="UR873" s="16"/>
      <c r="US873" s="16"/>
      <c r="UT873" s="16"/>
      <c r="UU873" s="16"/>
      <c r="UV873" s="16"/>
      <c r="UW873" s="16"/>
      <c r="UX873" s="16"/>
      <c r="UY873" s="16"/>
      <c r="UZ873" s="16"/>
      <c r="VA873" s="16"/>
      <c r="VB873" s="16"/>
      <c r="VC873" s="16"/>
      <c r="VD873" s="16"/>
      <c r="VE873" s="16"/>
      <c r="VF873" s="16"/>
      <c r="VG873" s="16"/>
      <c r="VH873" s="16"/>
      <c r="VI873" s="16"/>
      <c r="VJ873" s="16"/>
      <c r="VK873" s="16"/>
      <c r="VL873" s="16"/>
      <c r="VM873" s="16"/>
      <c r="VN873" s="16"/>
      <c r="VO873" s="16"/>
      <c r="VP873" s="16"/>
      <c r="VQ873" s="16"/>
      <c r="VR873" s="16"/>
      <c r="VS873" s="16"/>
      <c r="VT873" s="16"/>
      <c r="VU873" s="16"/>
      <c r="VV873" s="16"/>
      <c r="VW873" s="16"/>
      <c r="VX873" s="16"/>
      <c r="VY873" s="16"/>
      <c r="VZ873" s="16"/>
      <c r="WA873" s="16"/>
      <c r="WB873" s="16"/>
      <c r="WC873" s="16"/>
      <c r="WD873" s="16"/>
      <c r="WE873" s="16"/>
      <c r="WF873" s="16"/>
      <c r="WG873" s="16"/>
      <c r="WH873" s="16"/>
      <c r="WI873" s="16"/>
      <c r="WJ873" s="16"/>
      <c r="WK873" s="16"/>
      <c r="WL873" s="16"/>
      <c r="WM873" s="16"/>
      <c r="WN873" s="16"/>
      <c r="WO873" s="16"/>
      <c r="WP873" s="16"/>
      <c r="WQ873" s="16"/>
      <c r="WR873" s="16"/>
      <c r="WS873" s="16"/>
      <c r="WT873" s="16"/>
      <c r="WU873" s="16"/>
      <c r="WV873" s="16"/>
      <c r="WW873" s="16"/>
      <c r="WX873" s="16"/>
      <c r="WY873" s="16"/>
      <c r="WZ873" s="16"/>
      <c r="XA873" s="16"/>
      <c r="XB873" s="16"/>
      <c r="XC873" s="16"/>
      <c r="XD873" s="16"/>
      <c r="XE873" s="16"/>
      <c r="XF873" s="16"/>
      <c r="XG873" s="16"/>
      <c r="XH873" s="16"/>
      <c r="XI873" s="16"/>
      <c r="XJ873" s="16"/>
      <c r="XK873" s="16"/>
      <c r="XL873" s="16"/>
      <c r="XM873" s="16"/>
      <c r="XN873" s="16"/>
      <c r="XO873" s="16"/>
      <c r="XP873" s="16"/>
      <c r="XQ873" s="16"/>
      <c r="XR873" s="16"/>
      <c r="XS873" s="16"/>
      <c r="XT873" s="16"/>
      <c r="XU873" s="16"/>
      <c r="XV873" s="16"/>
      <c r="XW873" s="16"/>
      <c r="XX873" s="16"/>
      <c r="XY873" s="16"/>
      <c r="XZ873" s="16"/>
      <c r="YA873" s="16"/>
      <c r="YB873" s="16"/>
      <c r="YC873" s="16"/>
      <c r="YD873" s="16"/>
      <c r="YE873" s="16"/>
      <c r="YF873" s="16"/>
      <c r="YG873" s="16"/>
      <c r="YH873" s="16"/>
      <c r="YI873" s="16"/>
      <c r="YJ873" s="16"/>
      <c r="YK873" s="16"/>
      <c r="YL873" s="16"/>
      <c r="YM873" s="16"/>
      <c r="YN873" s="16"/>
      <c r="YO873" s="16"/>
      <c r="YP873" s="16"/>
      <c r="YQ873" s="16"/>
      <c r="YR873" s="16"/>
      <c r="YS873" s="16"/>
      <c r="YT873" s="16"/>
      <c r="YU873" s="16"/>
      <c r="YV873" s="16"/>
      <c r="YW873" s="16"/>
      <c r="YX873" s="16"/>
      <c r="YY873" s="16"/>
      <c r="YZ873" s="16"/>
      <c r="ZA873" s="16"/>
      <c r="ZB873" s="16"/>
      <c r="ZC873" s="16"/>
      <c r="ZD873" s="16"/>
      <c r="ZE873" s="16"/>
      <c r="ZF873" s="16"/>
      <c r="ZG873" s="16"/>
      <c r="ZH873" s="16"/>
      <c r="ZI873" s="16"/>
      <c r="ZJ873" s="16"/>
      <c r="ZK873" s="16"/>
      <c r="ZL873" s="16"/>
      <c r="ZM873" s="16"/>
      <c r="ZN873" s="16"/>
      <c r="ZO873" s="16"/>
      <c r="ZP873" s="16"/>
      <c r="ZQ873" s="16"/>
      <c r="ZR873" s="16"/>
      <c r="ZS873" s="16"/>
      <c r="ZT873" s="16"/>
      <c r="ZU873" s="16"/>
      <c r="ZV873" s="16"/>
      <c r="ZW873" s="16"/>
      <c r="ZX873" s="16"/>
      <c r="ZY873" s="16"/>
      <c r="ZZ873" s="16"/>
      <c r="AAA873" s="16"/>
      <c r="AAB873" s="16"/>
      <c r="AAC873" s="16"/>
      <c r="AAD873" s="16"/>
      <c r="AAE873" s="16"/>
      <c r="AAF873" s="16"/>
      <c r="AAG873" s="16"/>
      <c r="AAH873" s="16"/>
      <c r="AAI873" s="16"/>
      <c r="AAJ873" s="16"/>
      <c r="AAK873" s="16"/>
      <c r="AAL873" s="16"/>
      <c r="AAM873" s="16"/>
      <c r="AAN873" s="16"/>
      <c r="AAO873" s="16"/>
      <c r="AAP873" s="16"/>
      <c r="AAQ873" s="16"/>
      <c r="AAR873" s="16"/>
      <c r="AAS873" s="16"/>
      <c r="AAT873" s="16"/>
      <c r="AAU873" s="16"/>
      <c r="AAV873" s="16"/>
      <c r="AAW873" s="16"/>
      <c r="AAX873" s="16"/>
      <c r="AAY873" s="16"/>
      <c r="AAZ873" s="16"/>
      <c r="ABA873" s="16"/>
      <c r="ABB873" s="16"/>
      <c r="ABC873" s="16"/>
      <c r="ABD873" s="16"/>
      <c r="ABE873" s="16"/>
      <c r="ABF873" s="16"/>
      <c r="ABG873" s="16"/>
      <c r="ABH873" s="16"/>
      <c r="ABI873" s="16"/>
      <c r="ABJ873" s="16"/>
      <c r="ABK873" s="16"/>
      <c r="ABL873" s="16"/>
      <c r="ABM873" s="16"/>
      <c r="ABN873" s="16"/>
      <c r="ABO873" s="16"/>
      <c r="ABP873" s="16"/>
      <c r="ABQ873" s="16"/>
      <c r="ABR873" s="16"/>
      <c r="ABS873" s="16"/>
      <c r="ABT873" s="16"/>
      <c r="ABU873" s="16"/>
      <c r="ABV873" s="16"/>
      <c r="ABW873" s="16"/>
      <c r="ABX873" s="16"/>
      <c r="ABY873" s="16"/>
      <c r="ABZ873" s="16"/>
      <c r="ACA873" s="16"/>
      <c r="ACB873" s="16"/>
      <c r="ACC873" s="16"/>
      <c r="ACD873" s="16"/>
      <c r="ACE873" s="16"/>
      <c r="ACF873" s="16"/>
      <c r="ACG873" s="16"/>
      <c r="ACH873" s="16"/>
      <c r="ACI873" s="16"/>
      <c r="ACJ873" s="16"/>
      <c r="ACK873" s="16"/>
      <c r="ACL873" s="16"/>
      <c r="ACM873" s="16"/>
      <c r="ACN873" s="16"/>
      <c r="ACO873" s="16"/>
      <c r="ACP873" s="16"/>
      <c r="ACQ873" s="16"/>
      <c r="ACR873" s="16"/>
      <c r="ACS873" s="16"/>
      <c r="ACT873" s="16"/>
      <c r="ACU873" s="16"/>
      <c r="ACV873" s="16"/>
      <c r="ACW873" s="16"/>
      <c r="ACX873" s="16"/>
      <c r="ACY873" s="16"/>
      <c r="ACZ873" s="16"/>
      <c r="ADA873" s="16"/>
      <c r="ADB873" s="16"/>
      <c r="ADC873" s="16"/>
      <c r="ADD873" s="16"/>
      <c r="ADE873" s="16"/>
      <c r="ADF873" s="16"/>
      <c r="ADG873" s="16"/>
      <c r="ADH873" s="16"/>
      <c r="ADI873" s="16"/>
      <c r="ADJ873" s="16"/>
      <c r="ADK873" s="16"/>
      <c r="ADL873" s="16"/>
      <c r="ADM873" s="16"/>
      <c r="ADN873" s="16"/>
      <c r="ADO873" s="16"/>
      <c r="ADP873" s="16"/>
      <c r="ADQ873" s="16"/>
      <c r="ADR873" s="16"/>
      <c r="ADS873" s="16"/>
      <c r="ADT873" s="16"/>
      <c r="ADU873" s="16"/>
      <c r="ADV873" s="16"/>
      <c r="ADW873" s="16"/>
      <c r="ADX873" s="16"/>
      <c r="ADY873" s="16"/>
      <c r="ADZ873" s="16"/>
      <c r="AEA873" s="16"/>
      <c r="AEB873" s="16"/>
      <c r="AEC873" s="16"/>
      <c r="AED873" s="16"/>
      <c r="AEE873" s="16"/>
      <c r="AEF873" s="16"/>
      <c r="AEG873" s="16"/>
      <c r="AEH873" s="16"/>
      <c r="AEI873" s="16"/>
      <c r="AEJ873" s="16"/>
      <c r="AEK873" s="16"/>
      <c r="AEL873" s="16"/>
      <c r="AEM873" s="16"/>
      <c r="AEN873" s="16"/>
      <c r="AEO873" s="16"/>
      <c r="AEP873" s="16"/>
      <c r="AEQ873" s="16"/>
      <c r="AER873" s="16"/>
      <c r="AES873" s="16"/>
      <c r="AET873" s="16"/>
      <c r="AEU873" s="16"/>
      <c r="AEV873" s="16"/>
      <c r="AEW873" s="16"/>
      <c r="AEX873" s="16"/>
      <c r="AEY873" s="16"/>
      <c r="AEZ873" s="16"/>
      <c r="AFA873" s="16"/>
      <c r="AFB873" s="16"/>
      <c r="AFC873" s="16"/>
      <c r="AFD873" s="16"/>
      <c r="AFE873" s="16"/>
      <c r="AFF873" s="16"/>
      <c r="AFG873" s="16"/>
      <c r="AFH873" s="16"/>
      <c r="AFI873" s="16"/>
      <c r="AFJ873" s="16"/>
      <c r="AFK873" s="16"/>
      <c r="AFL873" s="16"/>
      <c r="AFM873" s="16"/>
      <c r="AFN873" s="16"/>
      <c r="AFO873" s="16"/>
      <c r="AFP873" s="16"/>
      <c r="AFQ873" s="16"/>
      <c r="AFR873" s="16"/>
      <c r="AFS873" s="16"/>
      <c r="AFT873" s="16"/>
      <c r="AFU873" s="16"/>
      <c r="AFV873" s="16"/>
      <c r="AFW873" s="16"/>
      <c r="AFX873" s="16"/>
      <c r="AFY873" s="16"/>
      <c r="AFZ873" s="16"/>
      <c r="AGA873" s="16"/>
      <c r="AGB873" s="16"/>
      <c r="AGC873" s="16"/>
      <c r="AGD873" s="16"/>
      <c r="AGE873" s="16"/>
      <c r="AGF873" s="16"/>
      <c r="AGG873" s="16"/>
      <c r="AGH873" s="16"/>
      <c r="AGI873" s="16"/>
      <c r="AGJ873" s="16"/>
    </row>
    <row r="874" spans="1:868" hidden="1">
      <c r="A874" s="292" t="s">
        <v>239</v>
      </c>
      <c r="B874" s="55" t="s">
        <v>363</v>
      </c>
      <c r="C874" s="265" t="s">
        <v>139</v>
      </c>
      <c r="D874" s="55" t="s">
        <v>139</v>
      </c>
      <c r="E874" s="260">
        <v>0.16500000000000001</v>
      </c>
      <c r="F874" s="235">
        <v>2</v>
      </c>
      <c r="G874" s="265" t="s">
        <v>427</v>
      </c>
      <c r="H874" s="29">
        <v>2</v>
      </c>
      <c r="I874" s="9">
        <v>2</v>
      </c>
      <c r="J874" s="9">
        <v>2</v>
      </c>
      <c r="K874" s="9">
        <v>1</v>
      </c>
      <c r="L874" s="9">
        <v>1</v>
      </c>
      <c r="M874" s="9">
        <v>2</v>
      </c>
      <c r="N874" s="186">
        <f t="shared" ref="N874:N887" si="67">IF( OR( ISBLANK(H874),ISBLANK(J874), ISBLANK(K874), ISBLANK(L874), ISBLANK(M874) ), "", 1.5*SQRT(   EXP(2.21*(H874-1)) + EXP(2.21*(J874-1)) + EXP(2.21*(K874-1)) + EXP(2.21*(L874-1)) + EXP(2.21*M874)   )/100*2.45 )</f>
        <v>0.37356464144298934</v>
      </c>
      <c r="O874" s="160">
        <f t="shared" ref="O874:O887" si="68">IF( OR( ISBLANK(I874),ISBLANK(J874), ISBLANK(K874), ISBLANK(L874), ISBLANK(M874) ), "", 1.5*SQRT( EXP(2.21*(I874-1)) + EXP(2.21*(J874-1)) + EXP(2.21*(K874-1)) + EXP(2.21*(L874-1)) + EXP(2.21*M874)   )/100*2.45 )</f>
        <v>0.37356464144298934</v>
      </c>
      <c r="P874" s="63"/>
    </row>
    <row r="875" spans="1:868" s="211" customFormat="1" ht="15.75" hidden="1" thickBot="1">
      <c r="A875" s="292" t="s">
        <v>239</v>
      </c>
      <c r="B875" s="55" t="s">
        <v>363</v>
      </c>
      <c r="C875" s="265" t="s">
        <v>139</v>
      </c>
      <c r="D875" s="55" t="s">
        <v>139</v>
      </c>
      <c r="E875" s="260">
        <v>0.52500000000000002</v>
      </c>
      <c r="F875" s="235">
        <v>2</v>
      </c>
      <c r="G875" s="265" t="s">
        <v>427</v>
      </c>
      <c r="H875" s="29">
        <v>2</v>
      </c>
      <c r="I875" s="9">
        <v>2</v>
      </c>
      <c r="J875" s="9">
        <v>2</v>
      </c>
      <c r="K875" s="9">
        <v>1</v>
      </c>
      <c r="L875" s="9">
        <v>1</v>
      </c>
      <c r="M875" s="9">
        <v>2</v>
      </c>
      <c r="N875" s="186">
        <f t="shared" si="67"/>
        <v>0.37356464144298934</v>
      </c>
      <c r="O875" s="160">
        <f t="shared" si="68"/>
        <v>0.37356464144298934</v>
      </c>
      <c r="P875" s="63"/>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c r="CX875" s="16"/>
      <c r="CY875" s="16"/>
      <c r="CZ875" s="16"/>
      <c r="DA875" s="16"/>
      <c r="DB875" s="16"/>
      <c r="DC875" s="16"/>
      <c r="DD875" s="16"/>
      <c r="DE875" s="16"/>
      <c r="DF875" s="16"/>
      <c r="DG875" s="16"/>
      <c r="DH875" s="16"/>
      <c r="DI875" s="16"/>
      <c r="DJ875" s="16"/>
      <c r="DK875" s="16"/>
      <c r="DL875" s="16"/>
      <c r="DM875" s="16"/>
      <c r="DN875" s="16"/>
      <c r="DO875" s="16"/>
      <c r="DP875" s="16"/>
      <c r="DQ875" s="16"/>
      <c r="DR875" s="16"/>
      <c r="DS875" s="16"/>
      <c r="DT875" s="16"/>
      <c r="DU875" s="16"/>
      <c r="DV875" s="16"/>
      <c r="DW875" s="16"/>
      <c r="DX875" s="16"/>
      <c r="DY875" s="16"/>
      <c r="DZ875" s="16"/>
      <c r="EA875" s="16"/>
      <c r="EB875" s="16"/>
      <c r="EC875" s="16"/>
      <c r="ED875" s="16"/>
      <c r="EE875" s="16"/>
      <c r="EF875" s="16"/>
      <c r="EG875" s="16"/>
      <c r="EH875" s="16"/>
      <c r="EI875" s="16"/>
      <c r="EJ875" s="16"/>
      <c r="EK875" s="16"/>
      <c r="EL875" s="16"/>
      <c r="EM875" s="16"/>
      <c r="EN875" s="16"/>
      <c r="EO875" s="16"/>
      <c r="EP875" s="16"/>
      <c r="EQ875" s="16"/>
      <c r="ER875" s="16"/>
      <c r="ES875" s="16"/>
      <c r="ET875" s="16"/>
      <c r="EU875" s="16"/>
      <c r="EV875" s="16"/>
      <c r="EW875" s="16"/>
      <c r="EX875" s="16"/>
      <c r="EY875" s="16"/>
      <c r="EZ875" s="16"/>
      <c r="FA875" s="16"/>
      <c r="FB875" s="16"/>
      <c r="FC875" s="16"/>
      <c r="FD875" s="16"/>
      <c r="FE875" s="16"/>
      <c r="FF875" s="16"/>
      <c r="FG875" s="16"/>
      <c r="FH875" s="16"/>
      <c r="FI875" s="16"/>
      <c r="FJ875" s="16"/>
      <c r="FK875" s="16"/>
      <c r="FL875" s="16"/>
      <c r="FM875" s="16"/>
      <c r="FN875" s="16"/>
      <c r="FO875" s="16"/>
      <c r="FP875" s="16"/>
      <c r="FQ875" s="16"/>
      <c r="FR875" s="16"/>
      <c r="FS875" s="16"/>
      <c r="FT875" s="16"/>
      <c r="FU875" s="16"/>
      <c r="FV875" s="16"/>
      <c r="FW875" s="16"/>
      <c r="FX875" s="16"/>
      <c r="FY875" s="16"/>
      <c r="FZ875" s="16"/>
      <c r="GA875" s="16"/>
      <c r="GB875" s="16"/>
      <c r="GC875" s="16"/>
      <c r="GD875" s="16"/>
      <c r="GE875" s="16"/>
      <c r="GF875" s="16"/>
      <c r="GG875" s="16"/>
      <c r="GH875" s="16"/>
      <c r="GI875" s="16"/>
      <c r="GJ875" s="16"/>
      <c r="GK875" s="16"/>
      <c r="GL875" s="16"/>
      <c r="GM875" s="16"/>
      <c r="GN875" s="16"/>
      <c r="GO875" s="16"/>
      <c r="GP875" s="16"/>
      <c r="GQ875" s="16"/>
      <c r="GR875" s="16"/>
      <c r="GS875" s="16"/>
      <c r="GT875" s="16"/>
      <c r="GU875" s="16"/>
      <c r="GV875" s="16"/>
      <c r="GW875" s="16"/>
      <c r="GX875" s="16"/>
      <c r="GY875" s="16"/>
      <c r="GZ875" s="16"/>
      <c r="HA875" s="16"/>
      <c r="HB875" s="16"/>
      <c r="HC875" s="16"/>
      <c r="HD875" s="16"/>
      <c r="HE875" s="16"/>
      <c r="HF875" s="16"/>
      <c r="HG875" s="16"/>
      <c r="HH875" s="16"/>
      <c r="HI875" s="16"/>
      <c r="HJ875" s="16"/>
      <c r="HK875" s="16"/>
      <c r="HL875" s="16"/>
      <c r="HM875" s="16"/>
      <c r="HN875" s="16"/>
      <c r="HO875" s="16"/>
      <c r="HP875" s="16"/>
      <c r="HQ875" s="16"/>
      <c r="HR875" s="16"/>
      <c r="HS875" s="16"/>
      <c r="HT875" s="16"/>
      <c r="HU875" s="16"/>
      <c r="HV875" s="16"/>
      <c r="HW875" s="16"/>
      <c r="HX875" s="16"/>
      <c r="HY875" s="16"/>
      <c r="HZ875" s="16"/>
      <c r="IA875" s="16"/>
      <c r="IB875" s="16"/>
      <c r="IC875" s="16"/>
      <c r="ID875" s="16"/>
      <c r="IE875" s="16"/>
      <c r="IF875" s="16"/>
      <c r="IG875" s="16"/>
      <c r="IH875" s="16"/>
      <c r="II875" s="16"/>
      <c r="IJ875" s="16"/>
      <c r="IK875" s="16"/>
      <c r="IL875" s="16"/>
      <c r="IM875" s="16"/>
      <c r="IN875" s="16"/>
      <c r="IO875" s="16"/>
      <c r="IP875" s="16"/>
      <c r="IQ875" s="16"/>
      <c r="IR875" s="16"/>
      <c r="IS875" s="16"/>
      <c r="IT875" s="16"/>
      <c r="IU875" s="16"/>
      <c r="IV875" s="16"/>
      <c r="IW875" s="16"/>
      <c r="IX875" s="16"/>
      <c r="IY875" s="16"/>
      <c r="IZ875" s="16"/>
      <c r="JA875" s="16"/>
      <c r="JB875" s="16"/>
      <c r="JC875" s="16"/>
      <c r="JD875" s="16"/>
      <c r="JE875" s="16"/>
      <c r="JF875" s="16"/>
      <c r="JG875" s="16"/>
      <c r="JH875" s="16"/>
      <c r="JI875" s="16"/>
      <c r="JJ875" s="16"/>
      <c r="JK875" s="16"/>
      <c r="JL875" s="16"/>
      <c r="JM875" s="16"/>
      <c r="JN875" s="16"/>
      <c r="JO875" s="16"/>
      <c r="JP875" s="16"/>
      <c r="JQ875" s="16"/>
      <c r="JR875" s="16"/>
      <c r="JS875" s="16"/>
      <c r="JT875" s="16"/>
      <c r="JU875" s="16"/>
      <c r="JV875" s="16"/>
      <c r="JW875" s="16"/>
      <c r="JX875" s="16"/>
      <c r="JY875" s="16"/>
      <c r="JZ875" s="16"/>
      <c r="KA875" s="16"/>
      <c r="KB875" s="16"/>
      <c r="KC875" s="16"/>
      <c r="KD875" s="16"/>
      <c r="KE875" s="16"/>
      <c r="KF875" s="16"/>
      <c r="KG875" s="16"/>
      <c r="KH875" s="16"/>
      <c r="KI875" s="16"/>
      <c r="KJ875" s="16"/>
      <c r="KK875" s="16"/>
      <c r="KL875" s="16"/>
      <c r="KM875" s="16"/>
      <c r="KN875" s="16"/>
      <c r="KO875" s="16"/>
      <c r="KP875" s="16"/>
      <c r="KQ875" s="16"/>
      <c r="KR875" s="16"/>
      <c r="KS875" s="16"/>
      <c r="KT875" s="16"/>
      <c r="KU875" s="16"/>
      <c r="KV875" s="16"/>
      <c r="KW875" s="16"/>
      <c r="KX875" s="16"/>
      <c r="KY875" s="16"/>
      <c r="KZ875" s="16"/>
      <c r="LA875" s="16"/>
      <c r="LB875" s="16"/>
      <c r="LC875" s="16"/>
      <c r="LD875" s="16"/>
      <c r="LE875" s="16"/>
      <c r="LF875" s="16"/>
      <c r="LG875" s="16"/>
      <c r="LH875" s="16"/>
      <c r="LI875" s="16"/>
      <c r="LJ875" s="16"/>
      <c r="LK875" s="16"/>
      <c r="LL875" s="16"/>
      <c r="LM875" s="16"/>
      <c r="LN875" s="16"/>
      <c r="LO875" s="16"/>
      <c r="LP875" s="16"/>
      <c r="LQ875" s="16"/>
      <c r="LR875" s="16"/>
      <c r="LS875" s="16"/>
      <c r="LT875" s="16"/>
      <c r="LU875" s="16"/>
      <c r="LV875" s="16"/>
      <c r="LW875" s="16"/>
      <c r="LX875" s="16"/>
      <c r="LY875" s="16"/>
      <c r="LZ875" s="16"/>
      <c r="MA875" s="16"/>
      <c r="MB875" s="16"/>
      <c r="MC875" s="16"/>
      <c r="MD875" s="16"/>
      <c r="ME875" s="16"/>
      <c r="MF875" s="16"/>
      <c r="MG875" s="16"/>
      <c r="MH875" s="16"/>
      <c r="MI875" s="16"/>
      <c r="MJ875" s="16"/>
      <c r="MK875" s="16"/>
      <c r="ML875" s="16"/>
      <c r="MM875" s="16"/>
      <c r="MN875" s="16"/>
      <c r="MO875" s="16"/>
      <c r="MP875" s="16"/>
      <c r="MQ875" s="16"/>
      <c r="MR875" s="16"/>
      <c r="MS875" s="16"/>
      <c r="MT875" s="16"/>
      <c r="MU875" s="16"/>
      <c r="MV875" s="16"/>
      <c r="MW875" s="16"/>
      <c r="MX875" s="16"/>
      <c r="MY875" s="16"/>
      <c r="MZ875" s="16"/>
      <c r="NA875" s="16"/>
      <c r="NB875" s="16"/>
      <c r="NC875" s="16"/>
      <c r="ND875" s="16"/>
      <c r="NE875" s="16"/>
      <c r="NF875" s="16"/>
      <c r="NG875" s="16"/>
      <c r="NH875" s="16"/>
      <c r="NI875" s="16"/>
      <c r="NJ875" s="16"/>
      <c r="NK875" s="16"/>
      <c r="NL875" s="16"/>
      <c r="NM875" s="16"/>
      <c r="NN875" s="16"/>
      <c r="NO875" s="16"/>
      <c r="NP875" s="16"/>
      <c r="NQ875" s="16"/>
      <c r="NR875" s="16"/>
      <c r="NS875" s="16"/>
      <c r="NT875" s="16"/>
      <c r="NU875" s="16"/>
      <c r="NV875" s="16"/>
      <c r="NW875" s="16"/>
      <c r="NX875" s="16"/>
      <c r="NY875" s="16"/>
      <c r="NZ875" s="16"/>
      <c r="OA875" s="16"/>
      <c r="OB875" s="16"/>
      <c r="OC875" s="16"/>
      <c r="OD875" s="16"/>
      <c r="OE875" s="16"/>
      <c r="OF875" s="16"/>
      <c r="OG875" s="16"/>
      <c r="OH875" s="16"/>
      <c r="OI875" s="16"/>
      <c r="OJ875" s="16"/>
      <c r="OK875" s="16"/>
      <c r="OL875" s="16"/>
      <c r="OM875" s="16"/>
      <c r="ON875" s="16"/>
      <c r="OO875" s="16"/>
      <c r="OP875" s="16"/>
      <c r="OQ875" s="16"/>
      <c r="OR875" s="16"/>
      <c r="OS875" s="16"/>
      <c r="OT875" s="16"/>
      <c r="OU875" s="16"/>
      <c r="OV875" s="16"/>
      <c r="OW875" s="16"/>
      <c r="OX875" s="16"/>
      <c r="OY875" s="16"/>
      <c r="OZ875" s="16"/>
      <c r="PA875" s="16"/>
      <c r="PB875" s="16"/>
      <c r="PC875" s="16"/>
      <c r="PD875" s="16"/>
      <c r="PE875" s="16"/>
      <c r="PF875" s="16"/>
      <c r="PG875" s="16"/>
      <c r="PH875" s="16"/>
      <c r="PI875" s="16"/>
      <c r="PJ875" s="16"/>
      <c r="PK875" s="16"/>
      <c r="PL875" s="16"/>
      <c r="PM875" s="16"/>
      <c r="PN875" s="16"/>
      <c r="PO875" s="16"/>
      <c r="PP875" s="16"/>
      <c r="PQ875" s="16"/>
      <c r="PR875" s="16"/>
      <c r="PS875" s="16"/>
      <c r="PT875" s="16"/>
      <c r="PU875" s="16"/>
      <c r="PV875" s="16"/>
      <c r="PW875" s="16"/>
      <c r="PX875" s="16"/>
      <c r="PY875" s="16"/>
      <c r="PZ875" s="16"/>
      <c r="QA875" s="16"/>
      <c r="QB875" s="16"/>
      <c r="QC875" s="16"/>
      <c r="QD875" s="16"/>
      <c r="QE875" s="16"/>
      <c r="QF875" s="16"/>
      <c r="QG875" s="16"/>
      <c r="QH875" s="16"/>
      <c r="QI875" s="16"/>
      <c r="QJ875" s="16"/>
      <c r="QK875" s="16"/>
      <c r="QL875" s="16"/>
      <c r="QM875" s="16"/>
      <c r="QN875" s="16"/>
      <c r="QO875" s="16"/>
      <c r="QP875" s="16"/>
      <c r="QQ875" s="16"/>
      <c r="QR875" s="16"/>
      <c r="QS875" s="16"/>
      <c r="QT875" s="16"/>
      <c r="QU875" s="16"/>
      <c r="QV875" s="16"/>
      <c r="QW875" s="16"/>
      <c r="QX875" s="16"/>
      <c r="QY875" s="16"/>
      <c r="QZ875" s="16"/>
      <c r="RA875" s="16"/>
      <c r="RB875" s="16"/>
      <c r="RC875" s="16"/>
      <c r="RD875" s="16"/>
      <c r="RE875" s="16"/>
      <c r="RF875" s="16"/>
      <c r="RG875" s="16"/>
      <c r="RH875" s="16"/>
      <c r="RI875" s="16"/>
      <c r="RJ875" s="16"/>
      <c r="RK875" s="16"/>
      <c r="RL875" s="16"/>
      <c r="RM875" s="16"/>
      <c r="RN875" s="16"/>
      <c r="RO875" s="16"/>
      <c r="RP875" s="16"/>
      <c r="RQ875" s="16"/>
      <c r="RR875" s="16"/>
      <c r="RS875" s="16"/>
      <c r="RT875" s="16"/>
      <c r="RU875" s="16"/>
      <c r="RV875" s="16"/>
      <c r="RW875" s="16"/>
      <c r="RX875" s="16"/>
      <c r="RY875" s="16"/>
      <c r="RZ875" s="16"/>
      <c r="SA875" s="16"/>
      <c r="SB875" s="16"/>
      <c r="SC875" s="16"/>
      <c r="SD875" s="16"/>
      <c r="SE875" s="16"/>
      <c r="SF875" s="16"/>
      <c r="SG875" s="16"/>
      <c r="SH875" s="16"/>
      <c r="SI875" s="16"/>
      <c r="SJ875" s="16"/>
      <c r="SK875" s="16"/>
      <c r="SL875" s="16"/>
      <c r="SM875" s="16"/>
      <c r="SN875" s="16"/>
      <c r="SO875" s="16"/>
      <c r="SP875" s="16"/>
      <c r="SQ875" s="16"/>
      <c r="SR875" s="16"/>
      <c r="SS875" s="16"/>
      <c r="ST875" s="16"/>
      <c r="SU875" s="16"/>
      <c r="SV875" s="16"/>
      <c r="SW875" s="16"/>
      <c r="SX875" s="16"/>
      <c r="SY875" s="16"/>
      <c r="SZ875" s="16"/>
      <c r="TA875" s="16"/>
      <c r="TB875" s="16"/>
      <c r="TC875" s="16"/>
      <c r="TD875" s="16"/>
      <c r="TE875" s="16"/>
      <c r="TF875" s="16"/>
      <c r="TG875" s="16"/>
      <c r="TH875" s="16"/>
      <c r="TI875" s="16"/>
      <c r="TJ875" s="16"/>
      <c r="TK875" s="16"/>
      <c r="TL875" s="16"/>
      <c r="TM875" s="16"/>
      <c r="TN875" s="16"/>
      <c r="TO875" s="16"/>
      <c r="TP875" s="16"/>
      <c r="TQ875" s="16"/>
      <c r="TR875" s="16"/>
      <c r="TS875" s="16"/>
      <c r="TT875" s="16"/>
      <c r="TU875" s="16"/>
      <c r="TV875" s="16"/>
      <c r="TW875" s="16"/>
      <c r="TX875" s="16"/>
      <c r="TY875" s="16"/>
      <c r="TZ875" s="16"/>
      <c r="UA875" s="16"/>
      <c r="UB875" s="16"/>
      <c r="UC875" s="16"/>
      <c r="UD875" s="16"/>
      <c r="UE875" s="16"/>
      <c r="UF875" s="16"/>
      <c r="UG875" s="16"/>
      <c r="UH875" s="16"/>
      <c r="UI875" s="16"/>
      <c r="UJ875" s="16"/>
      <c r="UK875" s="16"/>
      <c r="UL875" s="16"/>
      <c r="UM875" s="16"/>
      <c r="UN875" s="16"/>
      <c r="UO875" s="16"/>
      <c r="UP875" s="16"/>
      <c r="UQ875" s="16"/>
      <c r="UR875" s="16"/>
      <c r="US875" s="16"/>
      <c r="UT875" s="16"/>
      <c r="UU875" s="16"/>
      <c r="UV875" s="16"/>
      <c r="UW875" s="16"/>
      <c r="UX875" s="16"/>
      <c r="UY875" s="16"/>
      <c r="UZ875" s="16"/>
      <c r="VA875" s="16"/>
      <c r="VB875" s="16"/>
      <c r="VC875" s="16"/>
      <c r="VD875" s="16"/>
      <c r="VE875" s="16"/>
      <c r="VF875" s="16"/>
      <c r="VG875" s="16"/>
      <c r="VH875" s="16"/>
      <c r="VI875" s="16"/>
      <c r="VJ875" s="16"/>
      <c r="VK875" s="16"/>
      <c r="VL875" s="16"/>
      <c r="VM875" s="16"/>
      <c r="VN875" s="16"/>
      <c r="VO875" s="16"/>
      <c r="VP875" s="16"/>
      <c r="VQ875" s="16"/>
      <c r="VR875" s="16"/>
      <c r="VS875" s="16"/>
      <c r="VT875" s="16"/>
      <c r="VU875" s="16"/>
      <c r="VV875" s="16"/>
      <c r="VW875" s="16"/>
      <c r="VX875" s="16"/>
      <c r="VY875" s="16"/>
      <c r="VZ875" s="16"/>
      <c r="WA875" s="16"/>
      <c r="WB875" s="16"/>
      <c r="WC875" s="16"/>
      <c r="WD875" s="16"/>
      <c r="WE875" s="16"/>
      <c r="WF875" s="16"/>
      <c r="WG875" s="16"/>
      <c r="WH875" s="16"/>
      <c r="WI875" s="16"/>
      <c r="WJ875" s="16"/>
      <c r="WK875" s="16"/>
      <c r="WL875" s="16"/>
      <c r="WM875" s="16"/>
      <c r="WN875" s="16"/>
      <c r="WO875" s="16"/>
      <c r="WP875" s="16"/>
      <c r="WQ875" s="16"/>
      <c r="WR875" s="16"/>
      <c r="WS875" s="16"/>
      <c r="WT875" s="16"/>
      <c r="WU875" s="16"/>
      <c r="WV875" s="16"/>
      <c r="WW875" s="16"/>
      <c r="WX875" s="16"/>
      <c r="WY875" s="16"/>
      <c r="WZ875" s="16"/>
      <c r="XA875" s="16"/>
      <c r="XB875" s="16"/>
      <c r="XC875" s="16"/>
      <c r="XD875" s="16"/>
      <c r="XE875" s="16"/>
      <c r="XF875" s="16"/>
      <c r="XG875" s="16"/>
      <c r="XH875" s="16"/>
      <c r="XI875" s="16"/>
      <c r="XJ875" s="16"/>
      <c r="XK875" s="16"/>
      <c r="XL875" s="16"/>
      <c r="XM875" s="16"/>
      <c r="XN875" s="16"/>
      <c r="XO875" s="16"/>
      <c r="XP875" s="16"/>
      <c r="XQ875" s="16"/>
      <c r="XR875" s="16"/>
      <c r="XS875" s="16"/>
      <c r="XT875" s="16"/>
      <c r="XU875" s="16"/>
      <c r="XV875" s="16"/>
      <c r="XW875" s="16"/>
      <c r="XX875" s="16"/>
      <c r="XY875" s="16"/>
      <c r="XZ875" s="16"/>
      <c r="YA875" s="16"/>
      <c r="YB875" s="16"/>
      <c r="YC875" s="16"/>
      <c r="YD875" s="16"/>
      <c r="YE875" s="16"/>
      <c r="YF875" s="16"/>
      <c r="YG875" s="16"/>
      <c r="YH875" s="16"/>
      <c r="YI875" s="16"/>
      <c r="YJ875" s="16"/>
      <c r="YK875" s="16"/>
      <c r="YL875" s="16"/>
      <c r="YM875" s="16"/>
      <c r="YN875" s="16"/>
      <c r="YO875" s="16"/>
      <c r="YP875" s="16"/>
      <c r="YQ875" s="16"/>
      <c r="YR875" s="16"/>
      <c r="YS875" s="16"/>
      <c r="YT875" s="16"/>
      <c r="YU875" s="16"/>
      <c r="YV875" s="16"/>
      <c r="YW875" s="16"/>
      <c r="YX875" s="16"/>
      <c r="YY875" s="16"/>
      <c r="YZ875" s="16"/>
      <c r="ZA875" s="16"/>
      <c r="ZB875" s="16"/>
      <c r="ZC875" s="16"/>
      <c r="ZD875" s="16"/>
      <c r="ZE875" s="16"/>
      <c r="ZF875" s="16"/>
      <c r="ZG875" s="16"/>
      <c r="ZH875" s="16"/>
      <c r="ZI875" s="16"/>
      <c r="ZJ875" s="16"/>
      <c r="ZK875" s="16"/>
      <c r="ZL875" s="16"/>
      <c r="ZM875" s="16"/>
      <c r="ZN875" s="16"/>
      <c r="ZO875" s="16"/>
      <c r="ZP875" s="16"/>
      <c r="ZQ875" s="16"/>
      <c r="ZR875" s="16"/>
      <c r="ZS875" s="16"/>
      <c r="ZT875" s="16"/>
      <c r="ZU875" s="16"/>
      <c r="ZV875" s="16"/>
      <c r="ZW875" s="16"/>
      <c r="ZX875" s="16"/>
      <c r="ZY875" s="16"/>
      <c r="ZZ875" s="16"/>
      <c r="AAA875" s="16"/>
      <c r="AAB875" s="16"/>
      <c r="AAC875" s="16"/>
      <c r="AAD875" s="16"/>
      <c r="AAE875" s="16"/>
      <c r="AAF875" s="16"/>
      <c r="AAG875" s="16"/>
      <c r="AAH875" s="16"/>
      <c r="AAI875" s="16"/>
      <c r="AAJ875" s="16"/>
      <c r="AAK875" s="16"/>
      <c r="AAL875" s="16"/>
      <c r="AAM875" s="16"/>
      <c r="AAN875" s="16"/>
      <c r="AAO875" s="16"/>
      <c r="AAP875" s="16"/>
      <c r="AAQ875" s="16"/>
      <c r="AAR875" s="16"/>
      <c r="AAS875" s="16"/>
      <c r="AAT875" s="16"/>
      <c r="AAU875" s="16"/>
      <c r="AAV875" s="16"/>
      <c r="AAW875" s="16"/>
      <c r="AAX875" s="16"/>
      <c r="AAY875" s="16"/>
      <c r="AAZ875" s="16"/>
      <c r="ABA875" s="16"/>
      <c r="ABB875" s="16"/>
      <c r="ABC875" s="16"/>
      <c r="ABD875" s="16"/>
      <c r="ABE875" s="16"/>
      <c r="ABF875" s="16"/>
      <c r="ABG875" s="16"/>
      <c r="ABH875" s="16"/>
      <c r="ABI875" s="16"/>
      <c r="ABJ875" s="16"/>
      <c r="ABK875" s="16"/>
      <c r="ABL875" s="16"/>
      <c r="ABM875" s="16"/>
      <c r="ABN875" s="16"/>
      <c r="ABO875" s="16"/>
      <c r="ABP875" s="16"/>
      <c r="ABQ875" s="16"/>
      <c r="ABR875" s="16"/>
      <c r="ABS875" s="16"/>
      <c r="ABT875" s="16"/>
      <c r="ABU875" s="16"/>
      <c r="ABV875" s="16"/>
      <c r="ABW875" s="16"/>
      <c r="ABX875" s="16"/>
      <c r="ABY875" s="16"/>
      <c r="ABZ875" s="16"/>
      <c r="ACA875" s="16"/>
      <c r="ACB875" s="16"/>
      <c r="ACC875" s="16"/>
      <c r="ACD875" s="16"/>
      <c r="ACE875" s="16"/>
      <c r="ACF875" s="16"/>
      <c r="ACG875" s="16"/>
      <c r="ACH875" s="16"/>
      <c r="ACI875" s="16"/>
      <c r="ACJ875" s="16"/>
      <c r="ACK875" s="16"/>
      <c r="ACL875" s="16"/>
      <c r="ACM875" s="16"/>
      <c r="ACN875" s="16"/>
      <c r="ACO875" s="16"/>
      <c r="ACP875" s="16"/>
      <c r="ACQ875" s="16"/>
      <c r="ACR875" s="16"/>
      <c r="ACS875" s="16"/>
      <c r="ACT875" s="16"/>
      <c r="ACU875" s="16"/>
      <c r="ACV875" s="16"/>
      <c r="ACW875" s="16"/>
      <c r="ACX875" s="16"/>
      <c r="ACY875" s="16"/>
      <c r="ACZ875" s="16"/>
      <c r="ADA875" s="16"/>
      <c r="ADB875" s="16"/>
      <c r="ADC875" s="16"/>
      <c r="ADD875" s="16"/>
      <c r="ADE875" s="16"/>
      <c r="ADF875" s="16"/>
      <c r="ADG875" s="16"/>
      <c r="ADH875" s="16"/>
      <c r="ADI875" s="16"/>
      <c r="ADJ875" s="16"/>
      <c r="ADK875" s="16"/>
      <c r="ADL875" s="16"/>
      <c r="ADM875" s="16"/>
      <c r="ADN875" s="16"/>
      <c r="ADO875" s="16"/>
      <c r="ADP875" s="16"/>
      <c r="ADQ875" s="16"/>
      <c r="ADR875" s="16"/>
      <c r="ADS875" s="16"/>
      <c r="ADT875" s="16"/>
      <c r="ADU875" s="16"/>
      <c r="ADV875" s="16"/>
      <c r="ADW875" s="16"/>
      <c r="ADX875" s="16"/>
      <c r="ADY875" s="16"/>
      <c r="ADZ875" s="16"/>
      <c r="AEA875" s="16"/>
      <c r="AEB875" s="16"/>
      <c r="AEC875" s="16"/>
      <c r="AED875" s="16"/>
      <c r="AEE875" s="16"/>
      <c r="AEF875" s="16"/>
      <c r="AEG875" s="16"/>
      <c r="AEH875" s="16"/>
      <c r="AEI875" s="16"/>
      <c r="AEJ875" s="16"/>
      <c r="AEK875" s="16"/>
      <c r="AEL875" s="16"/>
      <c r="AEM875" s="16"/>
      <c r="AEN875" s="16"/>
      <c r="AEO875" s="16"/>
      <c r="AEP875" s="16"/>
      <c r="AEQ875" s="16"/>
      <c r="AER875" s="16"/>
      <c r="AES875" s="16"/>
      <c r="AET875" s="16"/>
      <c r="AEU875" s="16"/>
      <c r="AEV875" s="16"/>
      <c r="AEW875" s="16"/>
      <c r="AEX875" s="16"/>
      <c r="AEY875" s="16"/>
      <c r="AEZ875" s="16"/>
      <c r="AFA875" s="16"/>
      <c r="AFB875" s="16"/>
      <c r="AFC875" s="16"/>
      <c r="AFD875" s="16"/>
      <c r="AFE875" s="16"/>
      <c r="AFF875" s="16"/>
      <c r="AFG875" s="16"/>
      <c r="AFH875" s="16"/>
      <c r="AFI875" s="16"/>
      <c r="AFJ875" s="16"/>
      <c r="AFK875" s="16"/>
      <c r="AFL875" s="16"/>
      <c r="AFM875" s="16"/>
      <c r="AFN875" s="16"/>
      <c r="AFO875" s="16"/>
      <c r="AFP875" s="16"/>
      <c r="AFQ875" s="16"/>
      <c r="AFR875" s="16"/>
      <c r="AFS875" s="16"/>
      <c r="AFT875" s="16"/>
      <c r="AFU875" s="16"/>
      <c r="AFV875" s="16"/>
      <c r="AFW875" s="16"/>
      <c r="AFX875" s="16"/>
      <c r="AFY875" s="16"/>
      <c r="AFZ875" s="16"/>
      <c r="AGA875" s="16"/>
      <c r="AGB875" s="16"/>
      <c r="AGC875" s="16"/>
      <c r="AGD875" s="16"/>
      <c r="AGE875" s="16"/>
      <c r="AGF875" s="16"/>
      <c r="AGG875" s="16"/>
      <c r="AGH875" s="16"/>
      <c r="AGI875" s="16"/>
      <c r="AGJ875" s="16"/>
    </row>
    <row r="876" spans="1:868" hidden="1">
      <c r="A876" s="292" t="s">
        <v>240</v>
      </c>
      <c r="B876" s="55" t="s">
        <v>363</v>
      </c>
      <c r="C876" s="265" t="s">
        <v>139</v>
      </c>
      <c r="D876" s="55" t="s">
        <v>139</v>
      </c>
      <c r="E876" s="260">
        <v>6.5000000000000002E-2</v>
      </c>
      <c r="F876" s="235">
        <v>2</v>
      </c>
      <c r="G876" s="265" t="s">
        <v>427</v>
      </c>
      <c r="H876" s="29">
        <v>2</v>
      </c>
      <c r="I876" s="9">
        <v>2</v>
      </c>
      <c r="J876" s="9">
        <v>2</v>
      </c>
      <c r="K876" s="9">
        <v>1</v>
      </c>
      <c r="L876" s="9">
        <v>1</v>
      </c>
      <c r="M876" s="9">
        <v>2</v>
      </c>
      <c r="N876" s="186">
        <f t="shared" si="67"/>
        <v>0.37356464144298934</v>
      </c>
      <c r="O876" s="160">
        <f t="shared" si="68"/>
        <v>0.37356464144298934</v>
      </c>
      <c r="P876" s="63"/>
    </row>
    <row r="877" spans="1:868" hidden="1">
      <c r="A877" s="292" t="s">
        <v>241</v>
      </c>
      <c r="B877" s="55" t="s">
        <v>363</v>
      </c>
      <c r="C877" s="265" t="s">
        <v>139</v>
      </c>
      <c r="D877" s="55" t="s">
        <v>139</v>
      </c>
      <c r="E877" s="260">
        <v>0.91400000000000003</v>
      </c>
      <c r="F877" s="235">
        <v>2</v>
      </c>
      <c r="G877" s="265" t="s">
        <v>427</v>
      </c>
      <c r="H877" s="29">
        <v>2</v>
      </c>
      <c r="I877" s="9"/>
      <c r="J877" s="9">
        <v>2</v>
      </c>
      <c r="K877" s="9">
        <v>1</v>
      </c>
      <c r="L877" s="9">
        <v>1</v>
      </c>
      <c r="M877" s="9">
        <v>2</v>
      </c>
      <c r="N877" s="186">
        <f t="shared" si="67"/>
        <v>0.37356464144298934</v>
      </c>
      <c r="O877" s="160" t="str">
        <f t="shared" si="68"/>
        <v/>
      </c>
      <c r="P877" s="63"/>
    </row>
    <row r="878" spans="1:868" hidden="1">
      <c r="A878" s="292" t="s">
        <v>337</v>
      </c>
      <c r="B878" s="55" t="s">
        <v>363</v>
      </c>
      <c r="C878" s="265" t="s">
        <v>139</v>
      </c>
      <c r="D878" s="55" t="s">
        <v>139</v>
      </c>
      <c r="E878" s="260">
        <v>6.5000000000000002E-2</v>
      </c>
      <c r="F878" s="235">
        <v>1</v>
      </c>
      <c r="G878" s="265" t="s">
        <v>427</v>
      </c>
      <c r="H878" s="29">
        <v>2</v>
      </c>
      <c r="I878" s="9">
        <v>2</v>
      </c>
      <c r="J878" s="9">
        <v>2</v>
      </c>
      <c r="K878" s="9">
        <v>2</v>
      </c>
      <c r="L878" s="9">
        <v>2</v>
      </c>
      <c r="M878" s="9">
        <v>2</v>
      </c>
      <c r="N878" s="186">
        <f t="shared" si="67"/>
        <v>0.40183591897512122</v>
      </c>
      <c r="O878" s="160">
        <f t="shared" si="68"/>
        <v>0.40183591897512122</v>
      </c>
      <c r="P878" s="63"/>
    </row>
    <row r="879" spans="1:868" hidden="1">
      <c r="A879" s="292" t="s">
        <v>337</v>
      </c>
      <c r="B879" s="55" t="s">
        <v>363</v>
      </c>
      <c r="C879" s="265" t="s">
        <v>139</v>
      </c>
      <c r="D879" s="55" t="s">
        <v>139</v>
      </c>
      <c r="E879" s="260">
        <v>0.46</v>
      </c>
      <c r="F879" s="235">
        <v>1</v>
      </c>
      <c r="G879" s="265" t="s">
        <v>428</v>
      </c>
      <c r="H879" s="29">
        <v>2</v>
      </c>
      <c r="I879" s="9">
        <v>2</v>
      </c>
      <c r="J879" s="9">
        <v>2</v>
      </c>
      <c r="K879" s="9">
        <v>2</v>
      </c>
      <c r="L879" s="9">
        <v>2</v>
      </c>
      <c r="M879" s="9">
        <v>2</v>
      </c>
      <c r="N879" s="186">
        <f t="shared" si="67"/>
        <v>0.40183591897512122</v>
      </c>
      <c r="O879" s="160">
        <f t="shared" si="68"/>
        <v>0.40183591897512122</v>
      </c>
      <c r="P879" s="63"/>
    </row>
    <row r="880" spans="1:868" hidden="1">
      <c r="A880" s="152" t="s">
        <v>227</v>
      </c>
      <c r="B880" s="34" t="s">
        <v>232</v>
      </c>
      <c r="C880" s="40" t="s">
        <v>139</v>
      </c>
      <c r="D880" s="34" t="s">
        <v>139</v>
      </c>
      <c r="E880" s="260" t="s">
        <v>150</v>
      </c>
      <c r="F880" s="235">
        <v>1</v>
      </c>
      <c r="G880" s="40"/>
      <c r="H880" s="29"/>
      <c r="I880" s="9"/>
      <c r="J880" s="9"/>
      <c r="K880" s="9"/>
      <c r="L880" s="9"/>
      <c r="M880" s="9"/>
      <c r="N880" s="186" t="str">
        <f t="shared" si="67"/>
        <v/>
      </c>
      <c r="O880" s="160" t="str">
        <f t="shared" si="68"/>
        <v/>
      </c>
      <c r="P880" s="63"/>
    </row>
    <row r="881" spans="1:16" hidden="1">
      <c r="A881" s="152" t="s">
        <v>304</v>
      </c>
      <c r="B881" s="34" t="s">
        <v>232</v>
      </c>
      <c r="C881" s="40" t="s">
        <v>139</v>
      </c>
      <c r="D881" s="34" t="s">
        <v>139</v>
      </c>
      <c r="E881" s="260">
        <v>0.151</v>
      </c>
      <c r="F881" s="235">
        <v>2</v>
      </c>
      <c r="G881" s="40" t="s">
        <v>429</v>
      </c>
      <c r="H881" s="29">
        <v>3</v>
      </c>
      <c r="I881" s="9"/>
      <c r="J881" s="9">
        <v>2</v>
      </c>
      <c r="K881" s="9">
        <v>3</v>
      </c>
      <c r="L881" s="9">
        <v>3</v>
      </c>
      <c r="M881" s="9">
        <v>1</v>
      </c>
      <c r="N881" s="186">
        <f t="shared" si="67"/>
        <v>0.60108474454521421</v>
      </c>
      <c r="O881" s="160" t="str">
        <f t="shared" si="68"/>
        <v/>
      </c>
      <c r="P881" s="63" t="s">
        <v>430</v>
      </c>
    </row>
    <row r="882" spans="1:16" hidden="1">
      <c r="A882" s="152" t="s">
        <v>312</v>
      </c>
      <c r="B882" s="34" t="s">
        <v>232</v>
      </c>
      <c r="C882" s="522" t="s">
        <v>139</v>
      </c>
      <c r="D882" s="37" t="s">
        <v>139</v>
      </c>
      <c r="E882" s="313">
        <v>0.08</v>
      </c>
      <c r="F882" s="37">
        <v>1</v>
      </c>
      <c r="G882" s="40" t="s">
        <v>353</v>
      </c>
      <c r="H882" s="29">
        <v>2</v>
      </c>
      <c r="I882" s="9">
        <v>2</v>
      </c>
      <c r="J882" s="9">
        <v>1</v>
      </c>
      <c r="K882" s="9">
        <v>1</v>
      </c>
      <c r="L882" s="9">
        <v>1</v>
      </c>
      <c r="M882" s="9">
        <v>1</v>
      </c>
      <c r="N882" s="186">
        <f t="shared" si="67"/>
        <v>0.16933510251023262</v>
      </c>
      <c r="O882" s="160">
        <f t="shared" si="68"/>
        <v>0.16933510251023262</v>
      </c>
      <c r="P882" s="63"/>
    </row>
    <row r="883" spans="1:16" hidden="1">
      <c r="A883" s="152" t="s">
        <v>268</v>
      </c>
      <c r="B883" s="34" t="s">
        <v>232</v>
      </c>
      <c r="C883" s="40" t="s">
        <v>139</v>
      </c>
      <c r="D883" s="34" t="s">
        <v>139</v>
      </c>
      <c r="E883" s="260" t="s">
        <v>150</v>
      </c>
      <c r="F883" s="235">
        <v>1</v>
      </c>
      <c r="G883" s="40"/>
      <c r="H883" s="29"/>
      <c r="I883" s="9"/>
      <c r="J883" s="9"/>
      <c r="K883" s="9"/>
      <c r="L883" s="9"/>
      <c r="M883" s="9"/>
      <c r="N883" s="186" t="str">
        <f t="shared" si="67"/>
        <v/>
      </c>
      <c r="O883" s="160" t="str">
        <f t="shared" si="68"/>
        <v/>
      </c>
      <c r="P883" s="63"/>
    </row>
    <row r="884" spans="1:16" hidden="1">
      <c r="A884" s="152" t="s">
        <v>314</v>
      </c>
      <c r="B884" s="34" t="s">
        <v>232</v>
      </c>
      <c r="C884" s="40" t="s">
        <v>139</v>
      </c>
      <c r="D884" s="34" t="s">
        <v>139</v>
      </c>
      <c r="E884" s="260" t="s">
        <v>150</v>
      </c>
      <c r="F884" s="235">
        <v>1</v>
      </c>
      <c r="G884" s="40"/>
      <c r="H884" s="29"/>
      <c r="I884" s="9"/>
      <c r="J884" s="9"/>
      <c r="K884" s="9"/>
      <c r="L884" s="9"/>
      <c r="M884" s="9"/>
      <c r="N884" s="186" t="str">
        <f t="shared" si="67"/>
        <v/>
      </c>
      <c r="O884" s="160" t="str">
        <f t="shared" si="68"/>
        <v/>
      </c>
      <c r="P884" s="63"/>
    </row>
    <row r="885" spans="1:16" hidden="1">
      <c r="A885" s="152" t="s">
        <v>338</v>
      </c>
      <c r="B885" s="34" t="s">
        <v>232</v>
      </c>
      <c r="C885" s="40" t="s">
        <v>139</v>
      </c>
      <c r="D885" s="34" t="s">
        <v>139</v>
      </c>
      <c r="E885" s="260" t="s">
        <v>150</v>
      </c>
      <c r="F885" s="235">
        <v>1</v>
      </c>
      <c r="G885" s="40"/>
      <c r="H885" s="29"/>
      <c r="I885" s="9"/>
      <c r="J885" s="9"/>
      <c r="K885" s="9"/>
      <c r="L885" s="9"/>
      <c r="M885" s="9"/>
      <c r="N885" s="186" t="str">
        <f t="shared" si="67"/>
        <v/>
      </c>
      <c r="O885" s="160" t="str">
        <f t="shared" si="68"/>
        <v/>
      </c>
      <c r="P885" s="63"/>
    </row>
    <row r="886" spans="1:16" hidden="1">
      <c r="A886" s="152" t="s">
        <v>398</v>
      </c>
      <c r="B886" s="34" t="s">
        <v>231</v>
      </c>
      <c r="C886" s="40" t="s">
        <v>139</v>
      </c>
      <c r="D886" s="34" t="s">
        <v>139</v>
      </c>
      <c r="E886" s="265">
        <v>0.1</v>
      </c>
      <c r="F886" s="235">
        <v>2</v>
      </c>
      <c r="G886" s="871" t="s">
        <v>277</v>
      </c>
      <c r="H886" s="29">
        <v>1</v>
      </c>
      <c r="I886" s="9">
        <v>2</v>
      </c>
      <c r="J886" s="9">
        <v>2</v>
      </c>
      <c r="K886" s="9">
        <v>1</v>
      </c>
      <c r="L886" s="9">
        <v>2</v>
      </c>
      <c r="M886" s="9">
        <v>3</v>
      </c>
      <c r="N886" s="186">
        <f t="shared" si="67"/>
        <v>1.0248662490928169</v>
      </c>
      <c r="O886" s="160">
        <f t="shared" si="68"/>
        <v>1.0301997916669636</v>
      </c>
      <c r="P886" s="857"/>
    </row>
    <row r="887" spans="1:16" hidden="1">
      <c r="A887" s="152" t="s">
        <v>398</v>
      </c>
      <c r="B887" s="34" t="s">
        <v>378</v>
      </c>
      <c r="C887" s="40" t="s">
        <v>139</v>
      </c>
      <c r="D887" s="34" t="s">
        <v>139</v>
      </c>
      <c r="E887" s="265">
        <v>0.4</v>
      </c>
      <c r="F887" s="235">
        <v>1</v>
      </c>
      <c r="G887" s="40" t="s">
        <v>379</v>
      </c>
      <c r="H887" s="29">
        <v>1</v>
      </c>
      <c r="I887" s="9">
        <v>3</v>
      </c>
      <c r="J887" s="9">
        <v>2</v>
      </c>
      <c r="K887" s="9">
        <v>1</v>
      </c>
      <c r="L887" s="9">
        <v>1</v>
      </c>
      <c r="M887" s="9">
        <v>2</v>
      </c>
      <c r="N887" s="186">
        <f t="shared" si="67"/>
        <v>0.35859414261160716</v>
      </c>
      <c r="O887" s="160">
        <f t="shared" si="68"/>
        <v>0.48935255543384243</v>
      </c>
      <c r="P887" s="857"/>
    </row>
    <row r="888" spans="1:16" hidden="1">
      <c r="A888" s="152" t="s">
        <v>354</v>
      </c>
      <c r="B888" s="34" t="s">
        <v>232</v>
      </c>
      <c r="C888" s="40" t="s">
        <v>139</v>
      </c>
      <c r="D888" s="34" t="s">
        <v>139</v>
      </c>
      <c r="E888" s="260" t="s">
        <v>150</v>
      </c>
      <c r="F888" s="235">
        <v>1</v>
      </c>
      <c r="G888" s="40"/>
      <c r="H888" s="29"/>
      <c r="I888" s="9"/>
      <c r="J888" s="9"/>
      <c r="K888" s="9"/>
      <c r="L888" s="9"/>
      <c r="M888" s="9"/>
      <c r="N888" s="186" t="str">
        <f t="shared" ref="N888:N893" si="69">IF( OR( ISBLANK(H888),ISBLANK(J888), ISBLANK(K888), ISBLANK(L888), ISBLANK(M888) ), "", 1.5*SQRT(   EXP(2.21*(H888-1)) + EXP(2.21*(J888-1)) + EXP(2.21*(K888-1)) + EXP(2.21*(L888-1)) + EXP(2.21*M888)   )/100*2.45 )</f>
        <v/>
      </c>
      <c r="O888" s="160" t="str">
        <f t="shared" ref="O888:O893" si="70">IF( OR( ISBLANK(I888),ISBLANK(J888), ISBLANK(K888), ISBLANK(L888), ISBLANK(M888) ), "", 1.5*SQRT( EXP(2.21*(I888-1)) + EXP(2.21*(J888-1)) + EXP(2.21*(K888-1)) + EXP(2.21*(L888-1)) + EXP(2.21*M888)   )/100*2.45 )</f>
        <v/>
      </c>
      <c r="P888" s="63"/>
    </row>
    <row r="889" spans="1:16" hidden="1">
      <c r="A889" s="152" t="s">
        <v>121</v>
      </c>
      <c r="B889" s="34" t="s">
        <v>355</v>
      </c>
      <c r="C889" s="40" t="s">
        <v>139</v>
      </c>
      <c r="D889" s="34" t="s">
        <v>99</v>
      </c>
      <c r="E889" s="260">
        <v>0.27563499529633112</v>
      </c>
      <c r="F889" s="235">
        <v>1</v>
      </c>
      <c r="G889" s="40"/>
      <c r="H889" s="29">
        <v>3</v>
      </c>
      <c r="I889" s="9">
        <v>3</v>
      </c>
      <c r="J889" s="9">
        <v>2</v>
      </c>
      <c r="K889" s="9">
        <v>2</v>
      </c>
      <c r="L889" s="9">
        <v>1</v>
      </c>
      <c r="M889" s="9">
        <v>2</v>
      </c>
      <c r="N889" s="186">
        <f t="shared" si="69"/>
        <v>0.50042652380814845</v>
      </c>
      <c r="O889" s="160">
        <f t="shared" si="70"/>
        <v>0.50042652380814845</v>
      </c>
      <c r="P889" s="63"/>
    </row>
    <row r="890" spans="1:16" hidden="1">
      <c r="A890" s="292" t="s">
        <v>234</v>
      </c>
      <c r="B890" s="55" t="s">
        <v>232</v>
      </c>
      <c r="C890" s="265" t="s">
        <v>139</v>
      </c>
      <c r="D890" s="55" t="s">
        <v>139</v>
      </c>
      <c r="E890" s="260">
        <v>1.7569999999999999E-2</v>
      </c>
      <c r="F890" s="235">
        <v>2</v>
      </c>
      <c r="G890" s="265" t="s">
        <v>168</v>
      </c>
      <c r="H890" s="29">
        <v>2</v>
      </c>
      <c r="I890" s="9">
        <v>2</v>
      </c>
      <c r="J890" s="9">
        <v>3</v>
      </c>
      <c r="K890" s="9">
        <v>1</v>
      </c>
      <c r="L890" s="9">
        <v>1</v>
      </c>
      <c r="M890" s="9">
        <v>1</v>
      </c>
      <c r="N890" s="186">
        <f t="shared" si="69"/>
        <v>0.37356464144298934</v>
      </c>
      <c r="O890" s="160">
        <f t="shared" si="70"/>
        <v>0.37356464144298934</v>
      </c>
      <c r="P890" s="63"/>
    </row>
    <row r="891" spans="1:16" hidden="1">
      <c r="A891" s="292" t="s">
        <v>360</v>
      </c>
      <c r="B891" s="55" t="s">
        <v>232</v>
      </c>
      <c r="C891" s="265" t="s">
        <v>139</v>
      </c>
      <c r="D891" s="55" t="s">
        <v>139</v>
      </c>
      <c r="E891" s="260" t="s">
        <v>150</v>
      </c>
      <c r="F891" s="235">
        <v>1</v>
      </c>
      <c r="G891" s="265" t="s">
        <v>163</v>
      </c>
      <c r="H891" s="29">
        <v>2</v>
      </c>
      <c r="I891" s="9">
        <v>2</v>
      </c>
      <c r="J891" s="9">
        <v>1</v>
      </c>
      <c r="K891" s="9">
        <v>1</v>
      </c>
      <c r="L891" s="9">
        <v>1</v>
      </c>
      <c r="M891" s="9">
        <v>3</v>
      </c>
      <c r="N891" s="186">
        <f t="shared" si="69"/>
        <v>1.0195048044558224</v>
      </c>
      <c r="O891" s="160">
        <f t="shared" si="70"/>
        <v>1.0195048044558224</v>
      </c>
      <c r="P891" s="63"/>
    </row>
    <row r="892" spans="1:16" hidden="1">
      <c r="A892" s="152" t="s">
        <v>256</v>
      </c>
      <c r="B892" s="34" t="s">
        <v>259</v>
      </c>
      <c r="C892" s="40" t="s">
        <v>139</v>
      </c>
      <c r="D892" s="34" t="s">
        <v>139</v>
      </c>
      <c r="E892" s="260" t="s">
        <v>150</v>
      </c>
      <c r="F892" s="34">
        <v>1</v>
      </c>
      <c r="G892" s="40"/>
      <c r="H892" s="29"/>
      <c r="I892" s="9"/>
      <c r="J892" s="9"/>
      <c r="K892" s="9"/>
      <c r="L892" s="9"/>
      <c r="M892" s="9"/>
      <c r="N892" s="186" t="str">
        <f t="shared" si="69"/>
        <v/>
      </c>
      <c r="O892" s="160" t="str">
        <f t="shared" si="70"/>
        <v/>
      </c>
      <c r="P892" s="63"/>
    </row>
    <row r="893" spans="1:16" hidden="1">
      <c r="A893" s="152" t="s">
        <v>363</v>
      </c>
      <c r="B893" s="34" t="s">
        <v>209</v>
      </c>
      <c r="C893" s="40" t="s">
        <v>139</v>
      </c>
      <c r="D893" s="34" t="s">
        <v>139</v>
      </c>
      <c r="E893" s="260" t="s">
        <v>150</v>
      </c>
      <c r="F893" s="235">
        <v>1</v>
      </c>
      <c r="G893" s="40"/>
      <c r="H893" s="29"/>
      <c r="I893" s="9"/>
      <c r="J893" s="9"/>
      <c r="K893" s="9"/>
      <c r="L893" s="9"/>
      <c r="M893" s="9"/>
      <c r="N893" s="186" t="str">
        <f t="shared" si="69"/>
        <v/>
      </c>
      <c r="O893" s="160" t="str">
        <f t="shared" si="70"/>
        <v/>
      </c>
      <c r="P893" s="63"/>
    </row>
    <row r="894" spans="1:16" hidden="1">
      <c r="A894" s="152" t="s">
        <v>232</v>
      </c>
      <c r="B894" s="34" t="s">
        <v>215</v>
      </c>
      <c r="C894" s="40" t="s">
        <v>139</v>
      </c>
      <c r="D894" s="34" t="s">
        <v>139</v>
      </c>
      <c r="E894" s="260" t="s">
        <v>150</v>
      </c>
      <c r="F894" s="235">
        <v>1</v>
      </c>
      <c r="G894" s="40"/>
      <c r="H894" s="29"/>
      <c r="I894" s="9"/>
      <c r="J894" s="9"/>
      <c r="K894" s="9"/>
      <c r="L894" s="9"/>
      <c r="M894" s="9"/>
      <c r="N894" s="186" t="str">
        <f t="shared" ref="N894:N903" si="71">IF( OR( ISBLANK(H894),ISBLANK(J894), ISBLANK(K894), ISBLANK(L894), ISBLANK(M894) ), "", 1.5*SQRT(   EXP(2.21*(H894-1)) + EXP(2.21*(J894-1)) + EXP(2.21*(K894-1)) + EXP(2.21*(L894-1)) + EXP(2.21*M894)   )/100*2.45 )</f>
        <v/>
      </c>
      <c r="O894" s="160" t="str">
        <f t="shared" ref="O894:O903" si="72">IF( OR( ISBLANK(I894),ISBLANK(J894), ISBLANK(K894), ISBLANK(L894), ISBLANK(M894) ), "", 1.5*SQRT( EXP(2.21*(I894-1)) + EXP(2.21*(J894-1)) + EXP(2.21*(K894-1)) + EXP(2.21*(L894-1)) + EXP(2.21*M894)   )/100*2.45 )</f>
        <v/>
      </c>
      <c r="P894" s="63"/>
    </row>
    <row r="895" spans="1:16" hidden="1">
      <c r="A895" s="152" t="s">
        <v>121</v>
      </c>
      <c r="B895" s="34" t="s">
        <v>422</v>
      </c>
      <c r="C895" s="40" t="s">
        <v>139</v>
      </c>
      <c r="D895" s="34" t="s">
        <v>85</v>
      </c>
      <c r="E895" s="260">
        <v>0</v>
      </c>
      <c r="F895" s="235">
        <v>1</v>
      </c>
      <c r="G895" s="40"/>
      <c r="H895" s="29"/>
      <c r="I895" s="9"/>
      <c r="J895" s="9"/>
      <c r="K895" s="9"/>
      <c r="L895" s="9"/>
      <c r="M895" s="9"/>
      <c r="N895" s="186" t="str">
        <f t="shared" si="71"/>
        <v/>
      </c>
      <c r="O895" s="160" t="str">
        <f t="shared" si="72"/>
        <v/>
      </c>
      <c r="P895" s="63"/>
    </row>
    <row r="896" spans="1:16" hidden="1">
      <c r="A896" s="152" t="s">
        <v>121</v>
      </c>
      <c r="B896" s="34" t="s">
        <v>422</v>
      </c>
      <c r="C896" s="40" t="s">
        <v>139</v>
      </c>
      <c r="D896" s="34" t="s">
        <v>86</v>
      </c>
      <c r="E896" s="260">
        <v>0</v>
      </c>
      <c r="F896" s="235">
        <v>1</v>
      </c>
      <c r="G896" s="40"/>
      <c r="H896" s="29"/>
      <c r="I896" s="9"/>
      <c r="J896" s="9"/>
      <c r="K896" s="9"/>
      <c r="L896" s="9"/>
      <c r="M896" s="9"/>
      <c r="N896" s="186" t="str">
        <f t="shared" si="71"/>
        <v/>
      </c>
      <c r="O896" s="160" t="str">
        <f t="shared" si="72"/>
        <v/>
      </c>
      <c r="P896" s="63"/>
    </row>
    <row r="897" spans="1:16" hidden="1">
      <c r="A897" s="152" t="s">
        <v>121</v>
      </c>
      <c r="B897" s="34" t="s">
        <v>422</v>
      </c>
      <c r="C897" s="40" t="s">
        <v>139</v>
      </c>
      <c r="D897" s="34" t="s">
        <v>87</v>
      </c>
      <c r="E897" s="260">
        <v>0</v>
      </c>
      <c r="F897" s="235">
        <v>1</v>
      </c>
      <c r="G897" s="40"/>
      <c r="H897" s="29"/>
      <c r="I897" s="9"/>
      <c r="J897" s="9"/>
      <c r="K897" s="9"/>
      <c r="L897" s="9"/>
      <c r="M897" s="9"/>
      <c r="N897" s="186" t="str">
        <f t="shared" si="71"/>
        <v/>
      </c>
      <c r="O897" s="160" t="str">
        <f t="shared" si="72"/>
        <v/>
      </c>
      <c r="P897" s="63"/>
    </row>
    <row r="898" spans="1:16" hidden="1">
      <c r="A898" s="152" t="s">
        <v>121</v>
      </c>
      <c r="B898" s="34" t="s">
        <v>422</v>
      </c>
      <c r="C898" s="40" t="s">
        <v>139</v>
      </c>
      <c r="D898" s="34" t="s">
        <v>88</v>
      </c>
      <c r="E898" s="260">
        <v>0</v>
      </c>
      <c r="F898" s="235">
        <v>1</v>
      </c>
      <c r="G898" s="40"/>
      <c r="H898" s="29"/>
      <c r="I898" s="9"/>
      <c r="J898" s="9"/>
      <c r="K898" s="9"/>
      <c r="L898" s="9"/>
      <c r="M898" s="9"/>
      <c r="N898" s="186" t="str">
        <f t="shared" si="71"/>
        <v/>
      </c>
      <c r="O898" s="160" t="str">
        <f t="shared" si="72"/>
        <v/>
      </c>
      <c r="P898" s="63"/>
    </row>
    <row r="899" spans="1:16" hidden="1">
      <c r="A899" s="152" t="s">
        <v>121</v>
      </c>
      <c r="B899" s="34" t="s">
        <v>422</v>
      </c>
      <c r="C899" s="40" t="s">
        <v>139</v>
      </c>
      <c r="D899" s="34" t="s">
        <v>89</v>
      </c>
      <c r="E899" s="260">
        <v>0</v>
      </c>
      <c r="F899" s="235">
        <v>1</v>
      </c>
      <c r="G899" s="40"/>
      <c r="H899" s="29"/>
      <c r="I899" s="9"/>
      <c r="J899" s="9"/>
      <c r="K899" s="9"/>
      <c r="L899" s="9"/>
      <c r="M899" s="9"/>
      <c r="N899" s="186" t="str">
        <f t="shared" si="71"/>
        <v/>
      </c>
      <c r="O899" s="160" t="str">
        <f t="shared" si="72"/>
        <v/>
      </c>
      <c r="P899" s="63"/>
    </row>
    <row r="900" spans="1:16" hidden="1">
      <c r="A900" s="152" t="s">
        <v>121</v>
      </c>
      <c r="B900" s="34" t="s">
        <v>422</v>
      </c>
      <c r="C900" s="40" t="s">
        <v>139</v>
      </c>
      <c r="D900" s="34" t="s">
        <v>90</v>
      </c>
      <c r="E900" s="260">
        <v>1</v>
      </c>
      <c r="F900" s="235">
        <v>1</v>
      </c>
      <c r="G900" s="40"/>
      <c r="H900" s="29">
        <v>2</v>
      </c>
      <c r="I900" s="9">
        <v>2</v>
      </c>
      <c r="J900" s="9">
        <v>2</v>
      </c>
      <c r="K900" s="9">
        <v>2</v>
      </c>
      <c r="L900" s="9">
        <v>1</v>
      </c>
      <c r="M900" s="9">
        <v>2</v>
      </c>
      <c r="N900" s="186">
        <f t="shared" si="71"/>
        <v>0.38795788889711302</v>
      </c>
      <c r="O900" s="160">
        <f t="shared" si="72"/>
        <v>0.38795788889711302</v>
      </c>
      <c r="P900" s="63"/>
    </row>
    <row r="901" spans="1:16" hidden="1">
      <c r="A901" s="152" t="s">
        <v>121</v>
      </c>
      <c r="B901" s="34" t="s">
        <v>422</v>
      </c>
      <c r="C901" s="40" t="s">
        <v>139</v>
      </c>
      <c r="D901" s="34" t="s">
        <v>91</v>
      </c>
      <c r="E901" s="260">
        <v>0</v>
      </c>
      <c r="F901" s="235">
        <v>1</v>
      </c>
      <c r="G901" s="40"/>
      <c r="H901" s="29"/>
      <c r="I901" s="9"/>
      <c r="J901" s="9"/>
      <c r="K901" s="9"/>
      <c r="L901" s="9"/>
      <c r="M901" s="9"/>
      <c r="N901" s="186" t="str">
        <f t="shared" si="71"/>
        <v/>
      </c>
      <c r="O901" s="160" t="str">
        <f t="shared" si="72"/>
        <v/>
      </c>
      <c r="P901" s="63"/>
    </row>
    <row r="902" spans="1:16" hidden="1">
      <c r="A902" s="152" t="s">
        <v>121</v>
      </c>
      <c r="B902" s="34" t="s">
        <v>422</v>
      </c>
      <c r="C902" s="40" t="s">
        <v>139</v>
      </c>
      <c r="D902" s="34" t="s">
        <v>95</v>
      </c>
      <c r="E902" s="260">
        <v>0</v>
      </c>
      <c r="F902" s="235">
        <v>1</v>
      </c>
      <c r="G902" s="40"/>
      <c r="H902" s="29"/>
      <c r="I902" s="9"/>
      <c r="J902" s="9"/>
      <c r="K902" s="9"/>
      <c r="L902" s="9"/>
      <c r="M902" s="9"/>
      <c r="N902" s="186" t="str">
        <f t="shared" si="71"/>
        <v/>
      </c>
      <c r="O902" s="160" t="str">
        <f t="shared" si="72"/>
        <v/>
      </c>
      <c r="P902" s="63"/>
    </row>
    <row r="903" spans="1:16" hidden="1">
      <c r="A903" s="152" t="s">
        <v>121</v>
      </c>
      <c r="B903" s="34" t="s">
        <v>422</v>
      </c>
      <c r="C903" s="40" t="s">
        <v>139</v>
      </c>
      <c r="D903" s="34" t="s">
        <v>99</v>
      </c>
      <c r="E903" s="260">
        <v>0</v>
      </c>
      <c r="F903" s="235">
        <v>1</v>
      </c>
      <c r="G903" s="40"/>
      <c r="H903" s="29"/>
      <c r="I903" s="9"/>
      <c r="J903" s="9"/>
      <c r="K903" s="9"/>
      <c r="L903" s="9"/>
      <c r="M903" s="9"/>
      <c r="N903" s="186" t="str">
        <f t="shared" si="71"/>
        <v/>
      </c>
      <c r="O903" s="160" t="str">
        <f t="shared" si="72"/>
        <v/>
      </c>
      <c r="P903" s="63"/>
    </row>
    <row r="904" spans="1:16" hidden="1">
      <c r="A904" s="292" t="s">
        <v>417</v>
      </c>
      <c r="B904" s="37" t="s">
        <v>248</v>
      </c>
      <c r="C904" s="265" t="s">
        <v>139</v>
      </c>
      <c r="D904" s="55" t="s">
        <v>139</v>
      </c>
      <c r="E904" s="260" t="s">
        <v>150</v>
      </c>
      <c r="F904" s="235">
        <v>2</v>
      </c>
      <c r="G904" s="265"/>
      <c r="H904" s="29"/>
      <c r="I904" s="9"/>
      <c r="J904" s="9"/>
      <c r="K904" s="9"/>
      <c r="L904" s="9"/>
      <c r="M904" s="9"/>
      <c r="N904" s="186" t="str">
        <f t="shared" ref="N904:N910" si="73">IF( OR( ISBLANK(H904),ISBLANK(J904), ISBLANK(K904), ISBLANK(L904), ISBLANK(M904) ), "", 1.5*SQRT(   EXP(2.21*(H904-1)) + EXP(2.21*(J904-1)) + EXP(2.21*(K904-1)) + EXP(2.21*(L904-1)) + EXP(2.21*M904)   )/100*2.45 )</f>
        <v/>
      </c>
      <c r="O904" s="160" t="str">
        <f>IF( OR( ISBLANK(I904),ISBLANK(J904), ISBLANK(K904), ISBLANK(L904), ISBLANK(M904) ), "", 1.5*SQRT( EXP(2.21*(I904-1)) + EXP(2.21*(J904-1)) + EXP(2.21*(K904-1)) + EXP(2.21*(L904-1)) + EXP(2.21*M904)   )/100*2.45 )</f>
        <v/>
      </c>
      <c r="P904" s="63"/>
    </row>
    <row r="905" spans="1:16" s="16" customFormat="1" hidden="1">
      <c r="A905" s="340" t="s">
        <v>417</v>
      </c>
      <c r="B905" s="34" t="s">
        <v>232</v>
      </c>
      <c r="C905" s="40" t="s">
        <v>139</v>
      </c>
      <c r="D905" s="34" t="s">
        <v>139</v>
      </c>
      <c r="E905" s="867">
        <f>0.004*0.0001/100</f>
        <v>4.0000000000000002E-9</v>
      </c>
      <c r="F905" s="69">
        <v>2</v>
      </c>
      <c r="G905" s="522" t="s">
        <v>1995</v>
      </c>
      <c r="H905" s="29">
        <v>2</v>
      </c>
      <c r="I905" s="9">
        <v>1</v>
      </c>
      <c r="J905" s="9">
        <v>2</v>
      </c>
      <c r="K905" s="9">
        <v>3</v>
      </c>
      <c r="L905" s="9">
        <v>3</v>
      </c>
      <c r="M905" s="9">
        <v>2</v>
      </c>
      <c r="N905" s="186">
        <f t="shared" si="73"/>
        <v>0.60108474454521421</v>
      </c>
      <c r="O905" s="853"/>
      <c r="P905" s="860"/>
    </row>
    <row r="906" spans="1:16" s="16" customFormat="1" hidden="1">
      <c r="A906" s="340" t="s">
        <v>417</v>
      </c>
      <c r="B906" s="34" t="s">
        <v>232</v>
      </c>
      <c r="C906" s="40" t="s">
        <v>139</v>
      </c>
      <c r="D906" s="34" t="s">
        <v>139</v>
      </c>
      <c r="E906" s="867">
        <f>0.004*0.04/100</f>
        <v>1.6000000000000001E-6</v>
      </c>
      <c r="F906" s="69">
        <v>2</v>
      </c>
      <c r="G906" s="522" t="s">
        <v>1995</v>
      </c>
      <c r="H906" s="29">
        <v>2</v>
      </c>
      <c r="I906" s="9">
        <v>1</v>
      </c>
      <c r="J906" s="9">
        <v>2</v>
      </c>
      <c r="K906" s="9">
        <v>3</v>
      </c>
      <c r="L906" s="9">
        <v>3</v>
      </c>
      <c r="M906" s="9">
        <v>2</v>
      </c>
      <c r="N906" s="186">
        <f t="shared" si="73"/>
        <v>0.60108474454521421</v>
      </c>
      <c r="O906" s="853"/>
      <c r="P906" s="860"/>
    </row>
    <row r="907" spans="1:16" s="16" customFormat="1" hidden="1">
      <c r="A907" s="340" t="s">
        <v>417</v>
      </c>
      <c r="B907" s="34" t="s">
        <v>251</v>
      </c>
      <c r="C907" s="40" t="s">
        <v>139</v>
      </c>
      <c r="D907" s="34" t="s">
        <v>139</v>
      </c>
      <c r="E907" s="867">
        <f>(1-0.008)*0.0001/100</f>
        <v>9.9199999999999999E-7</v>
      </c>
      <c r="F907" s="69">
        <v>2</v>
      </c>
      <c r="G907" s="522" t="s">
        <v>1995</v>
      </c>
      <c r="H907" s="29">
        <v>2</v>
      </c>
      <c r="I907" s="9">
        <v>1</v>
      </c>
      <c r="J907" s="9">
        <v>2</v>
      </c>
      <c r="K907" s="9">
        <v>3</v>
      </c>
      <c r="L907" s="9">
        <v>3</v>
      </c>
      <c r="M907" s="9">
        <v>2</v>
      </c>
      <c r="N907" s="186">
        <f t="shared" si="73"/>
        <v>0.60108474454521421</v>
      </c>
      <c r="O907" s="853"/>
      <c r="P907" s="860"/>
    </row>
    <row r="908" spans="1:16" s="16" customFormat="1" hidden="1">
      <c r="A908" s="340" t="s">
        <v>417</v>
      </c>
      <c r="B908" s="34" t="s">
        <v>251</v>
      </c>
      <c r="C908" s="40" t="s">
        <v>139</v>
      </c>
      <c r="D908" s="34" t="s">
        <v>139</v>
      </c>
      <c r="E908" s="867">
        <f>(1-0.008)*0.04/100</f>
        <v>3.968E-4</v>
      </c>
      <c r="F908" s="69">
        <v>2</v>
      </c>
      <c r="G908" s="522" t="s">
        <v>1995</v>
      </c>
      <c r="H908" s="29">
        <v>2</v>
      </c>
      <c r="I908" s="9">
        <v>1</v>
      </c>
      <c r="J908" s="9">
        <v>2</v>
      </c>
      <c r="K908" s="9">
        <v>3</v>
      </c>
      <c r="L908" s="9">
        <v>3</v>
      </c>
      <c r="M908" s="9">
        <v>2</v>
      </c>
      <c r="N908" s="186">
        <f t="shared" si="73"/>
        <v>0.60108474454521421</v>
      </c>
      <c r="O908" s="853"/>
      <c r="P908" s="860"/>
    </row>
    <row r="909" spans="1:16" s="16" customFormat="1" hidden="1">
      <c r="A909" s="340" t="s">
        <v>417</v>
      </c>
      <c r="B909" s="34" t="s">
        <v>231</v>
      </c>
      <c r="C909" s="40" t="s">
        <v>139</v>
      </c>
      <c r="D909" s="34" t="s">
        <v>139</v>
      </c>
      <c r="E909" s="867">
        <f>0.004*0.0001/100</f>
        <v>4.0000000000000002E-9</v>
      </c>
      <c r="F909" s="69">
        <v>2</v>
      </c>
      <c r="G909" s="522" t="s">
        <v>1995</v>
      </c>
      <c r="H909" s="29">
        <v>2</v>
      </c>
      <c r="I909" s="9">
        <v>1</v>
      </c>
      <c r="J909" s="9">
        <v>2</v>
      </c>
      <c r="K909" s="9">
        <v>3</v>
      </c>
      <c r="L909" s="9">
        <v>3</v>
      </c>
      <c r="M909" s="9">
        <v>2</v>
      </c>
      <c r="N909" s="186">
        <f t="shared" si="73"/>
        <v>0.60108474454521421</v>
      </c>
      <c r="O909" s="853"/>
      <c r="P909" s="860"/>
    </row>
    <row r="910" spans="1:16" s="16" customFormat="1" hidden="1">
      <c r="A910" s="340" t="s">
        <v>417</v>
      </c>
      <c r="B910" s="34" t="s">
        <v>231</v>
      </c>
      <c r="C910" s="40" t="s">
        <v>139</v>
      </c>
      <c r="D910" s="34" t="s">
        <v>139</v>
      </c>
      <c r="E910" s="867">
        <f>0.004*0.04/100</f>
        <v>1.6000000000000001E-6</v>
      </c>
      <c r="F910" s="69">
        <v>2</v>
      </c>
      <c r="G910" s="522" t="s">
        <v>1995</v>
      </c>
      <c r="H910" s="29">
        <v>2</v>
      </c>
      <c r="I910" s="9">
        <v>1</v>
      </c>
      <c r="J910" s="9">
        <v>2</v>
      </c>
      <c r="K910" s="9">
        <v>3</v>
      </c>
      <c r="L910" s="9">
        <v>3</v>
      </c>
      <c r="M910" s="9">
        <v>2</v>
      </c>
      <c r="N910" s="186">
        <f t="shared" si="73"/>
        <v>0.60108474454521421</v>
      </c>
      <c r="O910" s="853"/>
      <c r="P910" s="860"/>
    </row>
    <row r="911" spans="1:16" hidden="1">
      <c r="A911" s="152" t="s">
        <v>256</v>
      </c>
      <c r="B911" s="34" t="s">
        <v>262</v>
      </c>
      <c r="C911" s="40" t="s">
        <v>139</v>
      </c>
      <c r="D911" s="34" t="s">
        <v>139</v>
      </c>
      <c r="E911" s="878">
        <v>9.9999999999999995E-7</v>
      </c>
      <c r="F911" s="34">
        <v>2</v>
      </c>
      <c r="G911" s="522" t="s">
        <v>1995</v>
      </c>
      <c r="H911" s="29">
        <v>2</v>
      </c>
      <c r="I911" s="9">
        <v>2</v>
      </c>
      <c r="J911" s="9">
        <v>3</v>
      </c>
      <c r="K911" s="9">
        <v>3</v>
      </c>
      <c r="L911" s="9">
        <v>3</v>
      </c>
      <c r="M911" s="9">
        <v>2</v>
      </c>
      <c r="N911" s="186">
        <f t="shared" ref="N911:N923" si="74">IF( OR( ISBLANK(H911),ISBLANK(J911), ISBLANK(K911), ISBLANK(L911), ISBLANK(M911) ), "", 1.5*SQRT(   EXP(2.21*(H911-1)) + EXP(2.21*(J911-1)) + EXP(2.21*(K911-1)) + EXP(2.21*(L911-1)) + EXP(2.21*M911)   )/100*2.45 )</f>
        <v>0.67913051197703389</v>
      </c>
      <c r="O911" s="160">
        <f t="shared" ref="O911:O942" si="75">IF( OR( ISBLANK(I911),ISBLANK(J911), ISBLANK(K911), ISBLANK(L911), ISBLANK(M911) ), "", 1.5*SQRT( EXP(2.21*(I911-1)) + EXP(2.21*(J911-1)) + EXP(2.21*(K911-1)) + EXP(2.21*(L911-1)) + EXP(2.21*M911)   )/100*2.45 )</f>
        <v>0.67913051197703389</v>
      </c>
      <c r="P911" s="861" t="s">
        <v>1993</v>
      </c>
    </row>
    <row r="912" spans="1:16" hidden="1">
      <c r="A912" s="152" t="s">
        <v>256</v>
      </c>
      <c r="B912" s="34" t="s">
        <v>262</v>
      </c>
      <c r="C912" s="40" t="s">
        <v>139</v>
      </c>
      <c r="D912" s="34" t="s">
        <v>139</v>
      </c>
      <c r="E912" s="870">
        <f>0.05*(1-0.088)/100</f>
        <v>4.5600000000000003E-4</v>
      </c>
      <c r="F912" s="34">
        <v>2</v>
      </c>
      <c r="G912" s="522" t="s">
        <v>1995</v>
      </c>
      <c r="H912" s="29">
        <v>2</v>
      </c>
      <c r="I912" s="9">
        <v>2</v>
      </c>
      <c r="J912" s="9">
        <v>3</v>
      </c>
      <c r="K912" s="9">
        <v>3</v>
      </c>
      <c r="L912" s="9">
        <v>3</v>
      </c>
      <c r="M912" s="9">
        <v>2</v>
      </c>
      <c r="N912" s="186">
        <f t="shared" si="74"/>
        <v>0.67913051197703389</v>
      </c>
      <c r="O912" s="160">
        <f t="shared" si="75"/>
        <v>0.67913051197703389</v>
      </c>
      <c r="P912" s="861" t="s">
        <v>1993</v>
      </c>
    </row>
    <row r="913" spans="1:868" hidden="1">
      <c r="A913" s="340" t="s">
        <v>256</v>
      </c>
      <c r="B913" s="69" t="s">
        <v>431</v>
      </c>
      <c r="C913" s="867" t="s">
        <v>139</v>
      </c>
      <c r="D913" s="69" t="s">
        <v>139</v>
      </c>
      <c r="E913" s="878">
        <v>9.9999999999999995E-7</v>
      </c>
      <c r="F913" s="69">
        <v>2</v>
      </c>
      <c r="G913" s="522" t="s">
        <v>1999</v>
      </c>
      <c r="H913" s="854">
        <v>2</v>
      </c>
      <c r="I913" s="315">
        <v>2</v>
      </c>
      <c r="J913" s="315">
        <v>3</v>
      </c>
      <c r="K913" s="315">
        <v>3</v>
      </c>
      <c r="L913" s="315">
        <v>3</v>
      </c>
      <c r="M913" s="315">
        <v>3</v>
      </c>
      <c r="N913" s="186">
        <f t="shared" si="74"/>
        <v>1.1713319510247036</v>
      </c>
      <c r="O913" s="160">
        <f t="shared" si="75"/>
        <v>1.1713319510247036</v>
      </c>
      <c r="P913" s="860"/>
    </row>
    <row r="914" spans="1:868" hidden="1">
      <c r="A914" s="340" t="s">
        <v>256</v>
      </c>
      <c r="B914" s="69" t="s">
        <v>431</v>
      </c>
      <c r="C914" s="867" t="s">
        <v>139</v>
      </c>
      <c r="D914" s="69" t="s">
        <v>139</v>
      </c>
      <c r="E914" s="870">
        <f>0.05*0.088/100</f>
        <v>4.4000000000000006E-5</v>
      </c>
      <c r="F914" s="69">
        <v>2</v>
      </c>
      <c r="G914" s="522" t="s">
        <v>1999</v>
      </c>
      <c r="H914" s="854">
        <v>2</v>
      </c>
      <c r="I914" s="315">
        <v>2</v>
      </c>
      <c r="J914" s="315">
        <v>3</v>
      </c>
      <c r="K914" s="315">
        <v>3</v>
      </c>
      <c r="L914" s="315">
        <v>3</v>
      </c>
      <c r="M914" s="315">
        <v>2</v>
      </c>
      <c r="N914" s="186">
        <f t="shared" si="74"/>
        <v>0.67913051197703389</v>
      </c>
      <c r="O914" s="160">
        <f t="shared" si="75"/>
        <v>0.67913051197703389</v>
      </c>
      <c r="P914" s="860"/>
    </row>
    <row r="915" spans="1:868" hidden="1">
      <c r="A915" s="152" t="s">
        <v>262</v>
      </c>
      <c r="B915" s="34" t="s">
        <v>258</v>
      </c>
      <c r="C915" s="40" t="s">
        <v>139</v>
      </c>
      <c r="D915" s="34" t="s">
        <v>139</v>
      </c>
      <c r="E915" s="260">
        <v>0.25</v>
      </c>
      <c r="F915" s="34">
        <v>2</v>
      </c>
      <c r="G915" s="522" t="s">
        <v>1996</v>
      </c>
      <c r="H915" s="29">
        <v>2</v>
      </c>
      <c r="I915" s="9">
        <v>2</v>
      </c>
      <c r="J915" s="9">
        <v>3</v>
      </c>
      <c r="K915" s="9">
        <v>3</v>
      </c>
      <c r="L915" s="9">
        <v>3</v>
      </c>
      <c r="M915" s="9">
        <v>2</v>
      </c>
      <c r="N915" s="186">
        <f t="shared" si="74"/>
        <v>0.67913051197703389</v>
      </c>
      <c r="O915" s="160">
        <f t="shared" si="75"/>
        <v>0.67913051197703389</v>
      </c>
      <c r="P915" s="63" t="s">
        <v>1994</v>
      </c>
    </row>
    <row r="916" spans="1:868" hidden="1">
      <c r="A916" s="152" t="s">
        <v>262</v>
      </c>
      <c r="B916" s="34" t="s">
        <v>251</v>
      </c>
      <c r="C916" s="40" t="s">
        <v>139</v>
      </c>
      <c r="D916" s="34" t="s">
        <v>139</v>
      </c>
      <c r="E916" s="260">
        <v>0.75</v>
      </c>
      <c r="F916" s="34">
        <v>2</v>
      </c>
      <c r="G916" s="522" t="s">
        <v>1996</v>
      </c>
      <c r="H916" s="29">
        <v>2</v>
      </c>
      <c r="I916" s="9">
        <v>2</v>
      </c>
      <c r="J916" s="9">
        <v>3</v>
      </c>
      <c r="K916" s="9">
        <v>3</v>
      </c>
      <c r="L916" s="9">
        <v>3</v>
      </c>
      <c r="M916" s="9">
        <v>2</v>
      </c>
      <c r="N916" s="186">
        <f t="shared" si="74"/>
        <v>0.67913051197703389</v>
      </c>
      <c r="O916" s="160">
        <f t="shared" si="75"/>
        <v>0.67913051197703389</v>
      </c>
      <c r="P916" s="63" t="s">
        <v>1994</v>
      </c>
    </row>
    <row r="917" spans="1:868" hidden="1">
      <c r="A917" s="152" t="s">
        <v>259</v>
      </c>
      <c r="B917" s="34" t="s">
        <v>261</v>
      </c>
      <c r="C917" s="40" t="s">
        <v>139</v>
      </c>
      <c r="D917" s="34" t="s">
        <v>139</v>
      </c>
      <c r="E917" s="870">
        <v>9.9999999999999995E-7</v>
      </c>
      <c r="F917" s="34">
        <v>2</v>
      </c>
      <c r="G917" s="522" t="s">
        <v>1995</v>
      </c>
      <c r="H917" s="29">
        <v>2</v>
      </c>
      <c r="I917" s="9">
        <v>2</v>
      </c>
      <c r="J917" s="9">
        <v>3</v>
      </c>
      <c r="K917" s="9">
        <v>3</v>
      </c>
      <c r="L917" s="9">
        <v>3</v>
      </c>
      <c r="M917" s="9">
        <v>2</v>
      </c>
      <c r="N917" s="186">
        <f t="shared" si="74"/>
        <v>0.67913051197703389</v>
      </c>
      <c r="O917" s="160">
        <f t="shared" si="75"/>
        <v>0.67913051197703389</v>
      </c>
      <c r="P917" s="861" t="s">
        <v>1993</v>
      </c>
    </row>
    <row r="918" spans="1:868" hidden="1">
      <c r="A918" s="152" t="s">
        <v>259</v>
      </c>
      <c r="B918" s="34" t="s">
        <v>261</v>
      </c>
      <c r="C918" s="40" t="s">
        <v>139</v>
      </c>
      <c r="D918" s="34" t="s">
        <v>139</v>
      </c>
      <c r="E918" s="870">
        <v>4.0000000000000002E-4</v>
      </c>
      <c r="F918" s="34">
        <v>2</v>
      </c>
      <c r="G918" s="522" t="s">
        <v>1995</v>
      </c>
      <c r="H918" s="29">
        <v>2</v>
      </c>
      <c r="I918" s="9">
        <v>2</v>
      </c>
      <c r="J918" s="9">
        <v>3</v>
      </c>
      <c r="K918" s="9">
        <v>3</v>
      </c>
      <c r="L918" s="9">
        <v>3</v>
      </c>
      <c r="M918" s="9">
        <v>2</v>
      </c>
      <c r="N918" s="186">
        <f t="shared" si="74"/>
        <v>0.67913051197703389</v>
      </c>
      <c r="O918" s="160">
        <f t="shared" si="75"/>
        <v>0.67913051197703389</v>
      </c>
      <c r="P918" s="861" t="s">
        <v>1993</v>
      </c>
    </row>
    <row r="919" spans="1:868" hidden="1">
      <c r="A919" s="152" t="s">
        <v>109</v>
      </c>
      <c r="B919" s="34" t="s">
        <v>261</v>
      </c>
      <c r="C919" s="40" t="s">
        <v>139</v>
      </c>
      <c r="D919" s="34" t="s">
        <v>139</v>
      </c>
      <c r="E919" s="870">
        <v>9.9999999999999995E-7</v>
      </c>
      <c r="F919" s="34">
        <v>2</v>
      </c>
      <c r="G919" s="522" t="s">
        <v>1995</v>
      </c>
      <c r="H919" s="29">
        <v>2</v>
      </c>
      <c r="I919" s="9">
        <v>2</v>
      </c>
      <c r="J919" s="9">
        <v>3</v>
      </c>
      <c r="K919" s="9">
        <v>3</v>
      </c>
      <c r="L919" s="9">
        <v>3</v>
      </c>
      <c r="M919" s="9">
        <v>2</v>
      </c>
      <c r="N919" s="186">
        <f t="shared" si="74"/>
        <v>0.67913051197703389</v>
      </c>
      <c r="O919" s="160">
        <f t="shared" si="75"/>
        <v>0.67913051197703389</v>
      </c>
      <c r="P919" s="63" t="s">
        <v>525</v>
      </c>
    </row>
    <row r="920" spans="1:868" hidden="1">
      <c r="A920" s="152" t="s">
        <v>109</v>
      </c>
      <c r="B920" s="34" t="s">
        <v>261</v>
      </c>
      <c r="C920" s="40" t="s">
        <v>139</v>
      </c>
      <c r="D920" s="34" t="s">
        <v>139</v>
      </c>
      <c r="E920" s="870">
        <v>4.0000000000000002E-4</v>
      </c>
      <c r="F920" s="34">
        <v>2</v>
      </c>
      <c r="G920" s="522" t="s">
        <v>1995</v>
      </c>
      <c r="H920" s="29">
        <v>2</v>
      </c>
      <c r="I920" s="9">
        <v>2</v>
      </c>
      <c r="J920" s="9">
        <v>3</v>
      </c>
      <c r="K920" s="9">
        <v>3</v>
      </c>
      <c r="L920" s="9">
        <v>3</v>
      </c>
      <c r="M920" s="9">
        <v>2</v>
      </c>
      <c r="N920" s="186">
        <f t="shared" si="74"/>
        <v>0.67913051197703389</v>
      </c>
      <c r="O920" s="160">
        <f t="shared" si="75"/>
        <v>0.67913051197703389</v>
      </c>
      <c r="P920" s="63" t="s">
        <v>525</v>
      </c>
    </row>
    <row r="921" spans="1:868" hidden="1">
      <c r="A921" s="152" t="s">
        <v>261</v>
      </c>
      <c r="B921" s="34" t="s">
        <v>254</v>
      </c>
      <c r="C921" s="40" t="s">
        <v>139</v>
      </c>
      <c r="D921" s="34" t="s">
        <v>139</v>
      </c>
      <c r="E921" s="870">
        <v>4.0000000000000001E-3</v>
      </c>
      <c r="F921" s="34">
        <v>2</v>
      </c>
      <c r="G921" s="522" t="s">
        <v>1996</v>
      </c>
      <c r="H921" s="29">
        <v>2</v>
      </c>
      <c r="I921" s="9">
        <v>2</v>
      </c>
      <c r="J921" s="9">
        <v>3</v>
      </c>
      <c r="K921" s="9">
        <v>3</v>
      </c>
      <c r="L921" s="9">
        <v>3</v>
      </c>
      <c r="M921" s="9">
        <v>2</v>
      </c>
      <c r="N921" s="186">
        <f t="shared" si="74"/>
        <v>0.67913051197703389</v>
      </c>
      <c r="O921" s="160">
        <f t="shared" si="75"/>
        <v>0.67913051197703389</v>
      </c>
      <c r="P921" s="63" t="s">
        <v>1994</v>
      </c>
    </row>
    <row r="922" spans="1:868" hidden="1">
      <c r="A922" s="152" t="s">
        <v>261</v>
      </c>
      <c r="B922" s="34" t="s">
        <v>251</v>
      </c>
      <c r="C922" s="40" t="s">
        <v>139</v>
      </c>
      <c r="D922" s="34" t="s">
        <v>139</v>
      </c>
      <c r="E922" s="870">
        <v>0.996</v>
      </c>
      <c r="F922" s="34">
        <v>2</v>
      </c>
      <c r="G922" s="522" t="s">
        <v>1996</v>
      </c>
      <c r="H922" s="29">
        <v>2</v>
      </c>
      <c r="I922" s="9">
        <v>2</v>
      </c>
      <c r="J922" s="9">
        <v>3</v>
      </c>
      <c r="K922" s="9">
        <v>3</v>
      </c>
      <c r="L922" s="9">
        <v>3</v>
      </c>
      <c r="M922" s="9">
        <v>2</v>
      </c>
      <c r="N922" s="186">
        <f t="shared" si="74"/>
        <v>0.67913051197703389</v>
      </c>
      <c r="O922" s="160">
        <f t="shared" si="75"/>
        <v>0.67913051197703389</v>
      </c>
      <c r="P922" s="63" t="s">
        <v>1994</v>
      </c>
    </row>
    <row r="923" spans="1:868" s="7" customFormat="1" hidden="1">
      <c r="A923" s="625" t="s">
        <v>118</v>
      </c>
      <c r="B923" s="59" t="s">
        <v>432</v>
      </c>
      <c r="C923" s="40" t="s">
        <v>139</v>
      </c>
      <c r="D923" s="34" t="s">
        <v>99</v>
      </c>
      <c r="E923" s="879">
        <v>0.10650572468270171</v>
      </c>
      <c r="F923" s="34">
        <v>2</v>
      </c>
      <c r="G923" s="40" t="s">
        <v>433</v>
      </c>
      <c r="H923" s="29">
        <v>1</v>
      </c>
      <c r="I923" s="9">
        <v>2</v>
      </c>
      <c r="J923" s="9">
        <v>2</v>
      </c>
      <c r="K923" s="9">
        <v>1</v>
      </c>
      <c r="L923" s="9">
        <v>1</v>
      </c>
      <c r="M923" s="9">
        <v>2</v>
      </c>
      <c r="N923" s="186">
        <f t="shared" si="74"/>
        <v>0.35859414261160716</v>
      </c>
      <c r="O923" s="160">
        <f t="shared" si="75"/>
        <v>0.37356464144298934</v>
      </c>
      <c r="P923" s="63"/>
      <c r="Q923" s="827"/>
      <c r="R923" s="827"/>
      <c r="S923" s="827"/>
      <c r="T923" s="827"/>
      <c r="U923" s="827"/>
      <c r="V923" s="827"/>
      <c r="W923" s="827"/>
      <c r="X923" s="827"/>
      <c r="Y923" s="827"/>
      <c r="Z923" s="827"/>
      <c r="AA923" s="827"/>
      <c r="AB923" s="827"/>
      <c r="AC923" s="827"/>
      <c r="AD923" s="827"/>
      <c r="AE923" s="827"/>
      <c r="AF923" s="827"/>
      <c r="AG923" s="827"/>
      <c r="AH923" s="827"/>
      <c r="AI923" s="827"/>
      <c r="AJ923" s="827"/>
      <c r="AK923" s="827"/>
      <c r="AL923" s="827"/>
      <c r="AM923" s="827"/>
      <c r="AN923" s="827"/>
      <c r="AO923" s="827"/>
      <c r="AP923" s="827"/>
      <c r="AQ923" s="827"/>
      <c r="AR923" s="827"/>
      <c r="AS923" s="827"/>
      <c r="AT923" s="827"/>
      <c r="AU923" s="827"/>
      <c r="AV923" s="827"/>
      <c r="AW923" s="827"/>
      <c r="AX923" s="827"/>
      <c r="AY923" s="827"/>
      <c r="AZ923" s="827"/>
      <c r="BA923" s="827"/>
      <c r="BB923" s="827"/>
      <c r="BC923" s="827"/>
      <c r="BD923" s="827"/>
      <c r="BE923" s="827"/>
      <c r="BF923" s="827"/>
      <c r="BG923" s="827"/>
      <c r="BH923" s="827"/>
      <c r="BI923" s="827"/>
      <c r="BJ923" s="827"/>
      <c r="BK923" s="827"/>
      <c r="BL923" s="827"/>
      <c r="BM923" s="827"/>
      <c r="BN923" s="827"/>
      <c r="BO923" s="827"/>
      <c r="BP923" s="827"/>
      <c r="BQ923" s="827"/>
      <c r="BR923" s="827"/>
      <c r="BS923" s="827"/>
      <c r="BT923" s="827"/>
      <c r="BU923" s="827"/>
      <c r="BV923" s="827"/>
      <c r="BW923" s="827"/>
      <c r="BX923" s="827"/>
      <c r="BY923" s="827"/>
      <c r="BZ923" s="827"/>
      <c r="CA923" s="827"/>
      <c r="CB923" s="827"/>
      <c r="CC923" s="827"/>
      <c r="CD923" s="827"/>
      <c r="CE923" s="827"/>
      <c r="CF923" s="827"/>
      <c r="CG923" s="827"/>
      <c r="CH923" s="827"/>
      <c r="CI923" s="827"/>
      <c r="CJ923" s="827"/>
      <c r="CK923" s="827"/>
      <c r="CL923" s="827"/>
      <c r="CM923" s="827"/>
      <c r="CN923" s="827"/>
      <c r="CO923" s="827"/>
      <c r="CP923" s="827"/>
      <c r="CQ923" s="827"/>
      <c r="CR923" s="827"/>
      <c r="CS923" s="827"/>
      <c r="CT923" s="827"/>
      <c r="CU923" s="827"/>
      <c r="CV923" s="827"/>
      <c r="CW923" s="827"/>
      <c r="CX923" s="827"/>
      <c r="CY923" s="827"/>
      <c r="CZ923" s="827"/>
      <c r="DA923" s="827"/>
      <c r="DB923" s="827"/>
      <c r="DC923" s="827"/>
      <c r="DD923" s="827"/>
      <c r="DE923" s="827"/>
      <c r="DF923" s="827"/>
      <c r="DG923" s="827"/>
      <c r="DH923" s="827"/>
      <c r="DI923" s="827"/>
      <c r="DJ923" s="827"/>
      <c r="DK923" s="827"/>
      <c r="DL923" s="827"/>
      <c r="DM923" s="827"/>
      <c r="DN923" s="827"/>
      <c r="DO923" s="827"/>
      <c r="DP923" s="827"/>
      <c r="DQ923" s="827"/>
      <c r="DR923" s="827"/>
      <c r="DS923" s="827"/>
      <c r="DT923" s="827"/>
      <c r="DU923" s="827"/>
      <c r="DV923" s="827"/>
      <c r="DW923" s="827"/>
      <c r="DX923" s="827"/>
      <c r="DY923" s="827"/>
      <c r="DZ923" s="827"/>
      <c r="EA923" s="827"/>
      <c r="EB923" s="827"/>
      <c r="EC923" s="827"/>
      <c r="ED923" s="827"/>
      <c r="EE923" s="827"/>
      <c r="EF923" s="827"/>
      <c r="EG923" s="827"/>
      <c r="EH923" s="827"/>
      <c r="EI923" s="827"/>
      <c r="EJ923" s="827"/>
      <c r="EK923" s="827"/>
      <c r="EL923" s="827"/>
      <c r="EM923" s="827"/>
      <c r="EN923" s="827"/>
      <c r="EO923" s="827"/>
      <c r="EP923" s="827"/>
      <c r="EQ923" s="827"/>
      <c r="ER923" s="827"/>
      <c r="ES923" s="827"/>
      <c r="ET923" s="827"/>
      <c r="EU923" s="827"/>
      <c r="EV923" s="827"/>
      <c r="EW923" s="827"/>
      <c r="EX923" s="827"/>
      <c r="EY923" s="827"/>
      <c r="EZ923" s="827"/>
      <c r="FA923" s="827"/>
      <c r="FB923" s="827"/>
      <c r="FC923" s="827"/>
      <c r="FD923" s="827"/>
      <c r="FE923" s="827"/>
      <c r="FF923" s="827"/>
      <c r="FG923" s="827"/>
      <c r="FH923" s="827"/>
      <c r="FI923" s="827"/>
      <c r="FJ923" s="827"/>
      <c r="FK923" s="827"/>
      <c r="FL923" s="827"/>
      <c r="FM923" s="827"/>
      <c r="FN923" s="827"/>
      <c r="FO923" s="827"/>
      <c r="FP923" s="827"/>
      <c r="FQ923" s="827"/>
      <c r="FR923" s="827"/>
      <c r="FS923" s="827"/>
      <c r="FT923" s="827"/>
      <c r="FU923" s="827"/>
      <c r="FV923" s="827"/>
      <c r="FW923" s="827"/>
      <c r="FX923" s="827"/>
      <c r="FY923" s="827"/>
      <c r="FZ923" s="827"/>
      <c r="GA923" s="827"/>
      <c r="GB923" s="827"/>
      <c r="GC923" s="827"/>
      <c r="GD923" s="827"/>
      <c r="GE923" s="827"/>
      <c r="GF923" s="827"/>
      <c r="GG923" s="827"/>
      <c r="GH923" s="827"/>
      <c r="GI923" s="827"/>
      <c r="GJ923" s="827"/>
      <c r="GK923" s="827"/>
      <c r="GL923" s="827"/>
      <c r="GM923" s="827"/>
      <c r="GN923" s="827"/>
      <c r="GO923" s="827"/>
      <c r="GP923" s="827"/>
      <c r="GQ923" s="827"/>
      <c r="GR923" s="827"/>
      <c r="GS923" s="827"/>
      <c r="GT923" s="827"/>
      <c r="GU923" s="827"/>
      <c r="GV923" s="827"/>
      <c r="GW923" s="827"/>
      <c r="GX923" s="827"/>
      <c r="GY923" s="827"/>
      <c r="GZ923" s="827"/>
      <c r="HA923" s="827"/>
      <c r="HB923" s="827"/>
      <c r="HC923" s="827"/>
      <c r="HD923" s="827"/>
      <c r="HE923" s="827"/>
      <c r="HF923" s="827"/>
      <c r="HG923" s="827"/>
      <c r="HH923" s="827"/>
      <c r="HI923" s="827"/>
      <c r="HJ923" s="827"/>
      <c r="HK923" s="827"/>
      <c r="HL923" s="827"/>
      <c r="HM923" s="827"/>
      <c r="HN923" s="827"/>
      <c r="HO923" s="827"/>
      <c r="HP923" s="827"/>
      <c r="HQ923" s="827"/>
      <c r="HR923" s="827"/>
      <c r="HS923" s="827"/>
      <c r="HT923" s="827"/>
      <c r="HU923" s="827"/>
      <c r="HV923" s="827"/>
      <c r="HW923" s="827"/>
      <c r="HX923" s="827"/>
      <c r="HY923" s="827"/>
      <c r="HZ923" s="827"/>
      <c r="IA923" s="827"/>
      <c r="IB923" s="827"/>
      <c r="IC923" s="827"/>
      <c r="ID923" s="827"/>
      <c r="IE923" s="827"/>
      <c r="IF923" s="827"/>
      <c r="IG923" s="827"/>
      <c r="IH923" s="827"/>
      <c r="II923" s="827"/>
      <c r="IJ923" s="827"/>
      <c r="IK923" s="827"/>
      <c r="IL923" s="827"/>
      <c r="IM923" s="827"/>
      <c r="IN923" s="827"/>
      <c r="IO923" s="827"/>
      <c r="IP923" s="827"/>
      <c r="IQ923" s="827"/>
      <c r="IR923" s="827"/>
      <c r="IS923" s="827"/>
      <c r="IT923" s="827"/>
      <c r="IU923" s="827"/>
      <c r="IV923" s="827"/>
      <c r="IW923" s="827"/>
      <c r="IX923" s="827"/>
      <c r="IY923" s="827"/>
      <c r="IZ923" s="827"/>
      <c r="JA923" s="827"/>
      <c r="JB923" s="827"/>
      <c r="JC923" s="827"/>
      <c r="JD923" s="827"/>
      <c r="JE923" s="827"/>
      <c r="JF923" s="827"/>
      <c r="JG923" s="827"/>
      <c r="JH923" s="827"/>
      <c r="JI923" s="827"/>
      <c r="JJ923" s="827"/>
      <c r="JK923" s="827"/>
      <c r="JL923" s="827"/>
      <c r="JM923" s="827"/>
      <c r="JN923" s="827"/>
      <c r="JO923" s="827"/>
      <c r="JP923" s="827"/>
      <c r="JQ923" s="827"/>
      <c r="JR923" s="827"/>
      <c r="JS923" s="827"/>
      <c r="JT923" s="827"/>
      <c r="JU923" s="827"/>
      <c r="JV923" s="827"/>
      <c r="JW923" s="827"/>
      <c r="JX923" s="827"/>
      <c r="JY923" s="827"/>
      <c r="JZ923" s="827"/>
      <c r="KA923" s="827"/>
      <c r="KB923" s="827"/>
      <c r="KC923" s="827"/>
      <c r="KD923" s="827"/>
      <c r="KE923" s="827"/>
      <c r="KF923" s="827"/>
      <c r="KG923" s="827"/>
      <c r="KH923" s="827"/>
      <c r="KI923" s="827"/>
      <c r="KJ923" s="827"/>
      <c r="KK923" s="827"/>
      <c r="KL923" s="827"/>
      <c r="KM923" s="827"/>
      <c r="KN923" s="827"/>
      <c r="KO923" s="827"/>
      <c r="KP923" s="827"/>
      <c r="KQ923" s="827"/>
      <c r="KR923" s="827"/>
      <c r="KS923" s="827"/>
      <c r="KT923" s="827"/>
      <c r="KU923" s="827"/>
      <c r="KV923" s="827"/>
      <c r="KW923" s="827"/>
      <c r="KX923" s="827"/>
      <c r="KY923" s="827"/>
      <c r="KZ923" s="827"/>
      <c r="LA923" s="827"/>
      <c r="LB923" s="827"/>
      <c r="LC923" s="827"/>
      <c r="LD923" s="827"/>
      <c r="LE923" s="827"/>
      <c r="LF923" s="827"/>
      <c r="LG923" s="827"/>
      <c r="LH923" s="827"/>
      <c r="LI923" s="827"/>
      <c r="LJ923" s="827"/>
      <c r="LK923" s="827"/>
      <c r="LL923" s="827"/>
      <c r="LM923" s="827"/>
      <c r="LN923" s="827"/>
      <c r="LO923" s="827"/>
      <c r="LP923" s="827"/>
      <c r="LQ923" s="827"/>
      <c r="LR923" s="827"/>
      <c r="LS923" s="827"/>
      <c r="LT923" s="827"/>
      <c r="LU923" s="827"/>
      <c r="LV923" s="827"/>
      <c r="LW923" s="827"/>
      <c r="LX923" s="827"/>
      <c r="LY923" s="827"/>
      <c r="LZ923" s="827"/>
      <c r="MA923" s="827"/>
      <c r="MB923" s="827"/>
      <c r="MC923" s="827"/>
      <c r="MD923" s="827"/>
      <c r="ME923" s="827"/>
      <c r="MF923" s="827"/>
      <c r="MG923" s="827"/>
      <c r="MH923" s="827"/>
      <c r="MI923" s="827"/>
      <c r="MJ923" s="827"/>
      <c r="MK923" s="827"/>
      <c r="ML923" s="827"/>
      <c r="MM923" s="827"/>
      <c r="MN923" s="827"/>
      <c r="MO923" s="827"/>
      <c r="MP923" s="827"/>
      <c r="MQ923" s="827"/>
      <c r="MR923" s="827"/>
      <c r="MS923" s="827"/>
      <c r="MT923" s="827"/>
      <c r="MU923" s="827"/>
      <c r="MV923" s="827"/>
      <c r="MW923" s="827"/>
      <c r="MX923" s="827"/>
      <c r="MY923" s="827"/>
      <c r="MZ923" s="827"/>
      <c r="NA923" s="827"/>
      <c r="NB923" s="827"/>
      <c r="NC923" s="827"/>
      <c r="ND923" s="827"/>
      <c r="NE923" s="827"/>
      <c r="NF923" s="827"/>
      <c r="NG923" s="827"/>
      <c r="NH923" s="827"/>
      <c r="NI923" s="827"/>
      <c r="NJ923" s="827"/>
      <c r="NK923" s="827"/>
      <c r="NL923" s="827"/>
      <c r="NM923" s="827"/>
      <c r="NN923" s="827"/>
      <c r="NO923" s="827"/>
      <c r="NP923" s="827"/>
      <c r="NQ923" s="827"/>
      <c r="NR923" s="827"/>
      <c r="NS923" s="827"/>
      <c r="NT923" s="827"/>
      <c r="NU923" s="827"/>
      <c r="NV923" s="827"/>
      <c r="NW923" s="827"/>
      <c r="NX923" s="827"/>
      <c r="NY923" s="827"/>
      <c r="NZ923" s="827"/>
      <c r="OA923" s="827"/>
      <c r="OB923" s="827"/>
      <c r="OC923" s="827"/>
      <c r="OD923" s="827"/>
      <c r="OE923" s="827"/>
      <c r="OF923" s="827"/>
      <c r="OG923" s="827"/>
      <c r="OH923" s="827"/>
      <c r="OI923" s="827"/>
      <c r="OJ923" s="827"/>
      <c r="OK923" s="827"/>
      <c r="OL923" s="827"/>
      <c r="OM923" s="827"/>
      <c r="ON923" s="827"/>
      <c r="OO923" s="827"/>
      <c r="OP923" s="827"/>
      <c r="OQ923" s="827"/>
      <c r="OR923" s="827"/>
      <c r="OS923" s="827"/>
      <c r="OT923" s="827"/>
      <c r="OU923" s="827"/>
      <c r="OV923" s="827"/>
      <c r="OW923" s="827"/>
      <c r="OX923" s="827"/>
      <c r="OY923" s="827"/>
      <c r="OZ923" s="827"/>
      <c r="PA923" s="827"/>
      <c r="PB923" s="827"/>
      <c r="PC923" s="827"/>
      <c r="PD923" s="827"/>
      <c r="PE923" s="827"/>
      <c r="PF923" s="827"/>
      <c r="PG923" s="827"/>
      <c r="PH923" s="827"/>
      <c r="PI923" s="827"/>
      <c r="PJ923" s="827"/>
      <c r="PK923" s="827"/>
      <c r="PL923" s="827"/>
      <c r="PM923" s="827"/>
      <c r="PN923" s="827"/>
      <c r="PO923" s="827"/>
      <c r="PP923" s="827"/>
      <c r="PQ923" s="827"/>
      <c r="PR923" s="827"/>
      <c r="PS923" s="827"/>
      <c r="PT923" s="827"/>
      <c r="PU923" s="827"/>
      <c r="PV923" s="827"/>
      <c r="PW923" s="827"/>
      <c r="PX923" s="827"/>
      <c r="PY923" s="827"/>
      <c r="PZ923" s="827"/>
      <c r="QA923" s="827"/>
      <c r="QB923" s="827"/>
      <c r="QC923" s="827"/>
      <c r="QD923" s="827"/>
      <c r="QE923" s="827"/>
      <c r="QF923" s="827"/>
      <c r="QG923" s="827"/>
      <c r="QH923" s="827"/>
      <c r="QI923" s="827"/>
      <c r="QJ923" s="827"/>
      <c r="QK923" s="827"/>
      <c r="QL923" s="827"/>
      <c r="QM923" s="827"/>
      <c r="QN923" s="827"/>
      <c r="QO923" s="827"/>
      <c r="QP923" s="827"/>
      <c r="QQ923" s="827"/>
      <c r="QR923" s="827"/>
      <c r="QS923" s="827"/>
      <c r="QT923" s="827"/>
      <c r="QU923" s="827"/>
      <c r="QV923" s="827"/>
      <c r="QW923" s="827"/>
      <c r="QX923" s="827"/>
      <c r="QY923" s="827"/>
      <c r="QZ923" s="827"/>
      <c r="RA923" s="827"/>
      <c r="RB923" s="827"/>
      <c r="RC923" s="827"/>
      <c r="RD923" s="827"/>
      <c r="RE923" s="827"/>
      <c r="RF923" s="827"/>
      <c r="RG923" s="827"/>
      <c r="RH923" s="827"/>
      <c r="RI923" s="827"/>
      <c r="RJ923" s="827"/>
      <c r="RK923" s="827"/>
      <c r="RL923" s="827"/>
      <c r="RM923" s="827"/>
      <c r="RN923" s="827"/>
      <c r="RO923" s="827"/>
      <c r="RP923" s="827"/>
      <c r="RQ923" s="827"/>
      <c r="RR923" s="827"/>
      <c r="RS923" s="827"/>
      <c r="RT923" s="827"/>
      <c r="RU923" s="827"/>
      <c r="RV923" s="827"/>
      <c r="RW923" s="827"/>
      <c r="RX923" s="827"/>
      <c r="RY923" s="827"/>
      <c r="RZ923" s="827"/>
      <c r="SA923" s="827"/>
      <c r="SB923" s="827"/>
      <c r="SC923" s="827"/>
      <c r="SD923" s="827"/>
      <c r="SE923" s="827"/>
      <c r="SF923" s="827"/>
      <c r="SG923" s="827"/>
      <c r="SH923" s="827"/>
      <c r="SI923" s="827"/>
      <c r="SJ923" s="827"/>
      <c r="SK923" s="827"/>
      <c r="SL923" s="827"/>
      <c r="SM923" s="827"/>
      <c r="SN923" s="827"/>
      <c r="SO923" s="827"/>
      <c r="SP923" s="827"/>
      <c r="SQ923" s="827"/>
      <c r="SR923" s="827"/>
      <c r="SS923" s="827"/>
      <c r="ST923" s="827"/>
      <c r="SU923" s="827"/>
      <c r="SV923" s="827"/>
      <c r="SW923" s="827"/>
      <c r="SX923" s="827"/>
      <c r="SY923" s="827"/>
      <c r="SZ923" s="827"/>
      <c r="TA923" s="827"/>
      <c r="TB923" s="827"/>
      <c r="TC923" s="827"/>
      <c r="TD923" s="827"/>
      <c r="TE923" s="827"/>
      <c r="TF923" s="827"/>
      <c r="TG923" s="827"/>
      <c r="TH923" s="827"/>
      <c r="TI923" s="827"/>
      <c r="TJ923" s="827"/>
      <c r="TK923" s="827"/>
      <c r="TL923" s="827"/>
      <c r="TM923" s="827"/>
      <c r="TN923" s="827"/>
      <c r="TO923" s="827"/>
      <c r="TP923" s="827"/>
      <c r="TQ923" s="827"/>
      <c r="TR923" s="827"/>
      <c r="TS923" s="827"/>
      <c r="TT923" s="827"/>
      <c r="TU923" s="827"/>
      <c r="TV923" s="827"/>
      <c r="TW923" s="827"/>
      <c r="TX923" s="827"/>
      <c r="TY923" s="827"/>
      <c r="TZ923" s="827"/>
      <c r="UA923" s="827"/>
      <c r="UB923" s="827"/>
      <c r="UC923" s="827"/>
      <c r="UD923" s="827"/>
      <c r="UE923" s="827"/>
      <c r="UF923" s="827"/>
      <c r="UG923" s="827"/>
      <c r="UH923" s="827"/>
      <c r="UI923" s="827"/>
      <c r="UJ923" s="827"/>
      <c r="UK923" s="827"/>
      <c r="UL923" s="827"/>
      <c r="UM923" s="827"/>
      <c r="UN923" s="827"/>
      <c r="UO923" s="827"/>
      <c r="UP923" s="827"/>
      <c r="UQ923" s="827"/>
      <c r="UR923" s="827"/>
      <c r="US923" s="827"/>
      <c r="UT923" s="827"/>
      <c r="UU923" s="827"/>
      <c r="UV923" s="827"/>
      <c r="UW923" s="827"/>
      <c r="UX923" s="827"/>
      <c r="UY923" s="827"/>
      <c r="UZ923" s="827"/>
      <c r="VA923" s="827"/>
      <c r="VB923" s="827"/>
      <c r="VC923" s="827"/>
      <c r="VD923" s="827"/>
      <c r="VE923" s="827"/>
      <c r="VF923" s="827"/>
      <c r="VG923" s="827"/>
      <c r="VH923" s="827"/>
      <c r="VI923" s="827"/>
      <c r="VJ923" s="827"/>
      <c r="VK923" s="827"/>
      <c r="VL923" s="827"/>
      <c r="VM923" s="827"/>
      <c r="VN923" s="827"/>
      <c r="VO923" s="827"/>
      <c r="VP923" s="827"/>
      <c r="VQ923" s="827"/>
      <c r="VR923" s="827"/>
      <c r="VS923" s="827"/>
      <c r="VT923" s="827"/>
      <c r="VU923" s="827"/>
      <c r="VV923" s="827"/>
      <c r="VW923" s="827"/>
      <c r="VX923" s="827"/>
      <c r="VY923" s="827"/>
      <c r="VZ923" s="827"/>
      <c r="WA923" s="827"/>
      <c r="WB923" s="827"/>
      <c r="WC923" s="827"/>
      <c r="WD923" s="827"/>
      <c r="WE923" s="827"/>
      <c r="WF923" s="827"/>
      <c r="WG923" s="827"/>
      <c r="WH923" s="827"/>
      <c r="WI923" s="827"/>
      <c r="WJ923" s="827"/>
      <c r="WK923" s="827"/>
      <c r="WL923" s="827"/>
      <c r="WM923" s="827"/>
      <c r="WN923" s="827"/>
      <c r="WO923" s="827"/>
      <c r="WP923" s="827"/>
      <c r="WQ923" s="827"/>
      <c r="WR923" s="827"/>
      <c r="WS923" s="827"/>
      <c r="WT923" s="827"/>
      <c r="WU923" s="827"/>
      <c r="WV923" s="827"/>
      <c r="WW923" s="827"/>
      <c r="WX923" s="827"/>
      <c r="WY923" s="827"/>
      <c r="WZ923" s="827"/>
      <c r="XA923" s="827"/>
      <c r="XB923" s="827"/>
      <c r="XC923" s="827"/>
      <c r="XD923" s="827"/>
      <c r="XE923" s="827"/>
      <c r="XF923" s="827"/>
      <c r="XG923" s="827"/>
      <c r="XH923" s="827"/>
      <c r="XI923" s="827"/>
      <c r="XJ923" s="827"/>
      <c r="XK923" s="827"/>
      <c r="XL923" s="827"/>
      <c r="XM923" s="827"/>
      <c r="XN923" s="827"/>
      <c r="XO923" s="827"/>
      <c r="XP923" s="827"/>
      <c r="XQ923" s="827"/>
      <c r="XR923" s="827"/>
      <c r="XS923" s="827"/>
      <c r="XT923" s="827"/>
      <c r="XU923" s="827"/>
      <c r="XV923" s="827"/>
      <c r="XW923" s="827"/>
      <c r="XX923" s="827"/>
      <c r="XY923" s="827"/>
      <c r="XZ923" s="827"/>
      <c r="YA923" s="827"/>
      <c r="YB923" s="827"/>
      <c r="YC923" s="827"/>
      <c r="YD923" s="827"/>
      <c r="YE923" s="827"/>
      <c r="YF923" s="827"/>
      <c r="YG923" s="827"/>
      <c r="YH923" s="827"/>
      <c r="YI923" s="827"/>
      <c r="YJ923" s="827"/>
      <c r="YK923" s="827"/>
      <c r="YL923" s="827"/>
      <c r="YM923" s="827"/>
      <c r="YN923" s="827"/>
      <c r="YO923" s="827"/>
      <c r="YP923" s="827"/>
      <c r="YQ923" s="827"/>
      <c r="YR923" s="827"/>
      <c r="YS923" s="827"/>
      <c r="YT923" s="827"/>
      <c r="YU923" s="827"/>
      <c r="YV923" s="827"/>
      <c r="YW923" s="827"/>
      <c r="YX923" s="827"/>
      <c r="YY923" s="827"/>
      <c r="YZ923" s="827"/>
      <c r="ZA923" s="827"/>
      <c r="ZB923" s="827"/>
      <c r="ZC923" s="827"/>
      <c r="ZD923" s="827"/>
      <c r="ZE923" s="827"/>
      <c r="ZF923" s="827"/>
      <c r="ZG923" s="827"/>
      <c r="ZH923" s="827"/>
      <c r="ZI923" s="827"/>
      <c r="ZJ923" s="827"/>
      <c r="ZK923" s="827"/>
      <c r="ZL923" s="827"/>
      <c r="ZM923" s="827"/>
      <c r="ZN923" s="827"/>
      <c r="ZO923" s="827"/>
      <c r="ZP923" s="827"/>
      <c r="ZQ923" s="827"/>
      <c r="ZR923" s="827"/>
      <c r="ZS923" s="827"/>
      <c r="ZT923" s="827"/>
      <c r="ZU923" s="827"/>
      <c r="ZV923" s="827"/>
      <c r="ZW923" s="827"/>
      <c r="ZX923" s="827"/>
      <c r="ZY923" s="827"/>
      <c r="ZZ923" s="827"/>
      <c r="AAA923" s="827"/>
      <c r="AAB923" s="827"/>
      <c r="AAC923" s="827"/>
      <c r="AAD923" s="827"/>
      <c r="AAE923" s="827"/>
      <c r="AAF923" s="827"/>
      <c r="AAG923" s="827"/>
      <c r="AAH923" s="827"/>
      <c r="AAI923" s="827"/>
      <c r="AAJ923" s="827"/>
      <c r="AAK923" s="827"/>
      <c r="AAL923" s="827"/>
      <c r="AAM923" s="827"/>
      <c r="AAN923" s="827"/>
      <c r="AAO923" s="827"/>
      <c r="AAP923" s="827"/>
      <c r="AAQ923" s="827"/>
      <c r="AAR923" s="827"/>
      <c r="AAS923" s="827"/>
      <c r="AAT923" s="827"/>
      <c r="AAU923" s="827"/>
      <c r="AAV923" s="827"/>
      <c r="AAW923" s="827"/>
      <c r="AAX923" s="827"/>
      <c r="AAY923" s="827"/>
      <c r="AAZ923" s="827"/>
      <c r="ABA923" s="827"/>
      <c r="ABB923" s="827"/>
      <c r="ABC923" s="827"/>
      <c r="ABD923" s="827"/>
      <c r="ABE923" s="827"/>
      <c r="ABF923" s="827"/>
      <c r="ABG923" s="827"/>
      <c r="ABH923" s="827"/>
      <c r="ABI923" s="827"/>
      <c r="ABJ923" s="827"/>
      <c r="ABK923" s="827"/>
      <c r="ABL923" s="827"/>
      <c r="ABM923" s="827"/>
      <c r="ABN923" s="827"/>
      <c r="ABO923" s="827"/>
      <c r="ABP923" s="827"/>
      <c r="ABQ923" s="827"/>
      <c r="ABR923" s="827"/>
      <c r="ABS923" s="827"/>
      <c r="ABT923" s="827"/>
      <c r="ABU923" s="827"/>
      <c r="ABV923" s="827"/>
      <c r="ABW923" s="827"/>
      <c r="ABX923" s="827"/>
      <c r="ABY923" s="827"/>
      <c r="ABZ923" s="827"/>
      <c r="ACA923" s="827"/>
      <c r="ACB923" s="827"/>
      <c r="ACC923" s="827"/>
      <c r="ACD923" s="827"/>
      <c r="ACE923" s="827"/>
      <c r="ACF923" s="827"/>
      <c r="ACG923" s="827"/>
      <c r="ACH923" s="827"/>
      <c r="ACI923" s="827"/>
      <c r="ACJ923" s="827"/>
      <c r="ACK923" s="827"/>
      <c r="ACL923" s="827"/>
      <c r="ACM923" s="827"/>
      <c r="ACN923" s="827"/>
      <c r="ACO923" s="827"/>
      <c r="ACP923" s="827"/>
      <c r="ACQ923" s="827"/>
      <c r="ACR923" s="827"/>
      <c r="ACS923" s="827"/>
      <c r="ACT923" s="827"/>
      <c r="ACU923" s="827"/>
      <c r="ACV923" s="827"/>
      <c r="ACW923" s="827"/>
      <c r="ACX923" s="827"/>
      <c r="ACY923" s="827"/>
      <c r="ACZ923" s="827"/>
      <c r="ADA923" s="827"/>
      <c r="ADB923" s="827"/>
      <c r="ADC923" s="827"/>
      <c r="ADD923" s="827"/>
      <c r="ADE923" s="827"/>
      <c r="ADF923" s="827"/>
      <c r="ADG923" s="827"/>
      <c r="ADH923" s="827"/>
      <c r="ADI923" s="827"/>
      <c r="ADJ923" s="827"/>
      <c r="ADK923" s="827"/>
      <c r="ADL923" s="827"/>
      <c r="ADM923" s="827"/>
      <c r="ADN923" s="827"/>
      <c r="ADO923" s="827"/>
      <c r="ADP923" s="827"/>
      <c r="ADQ923" s="827"/>
      <c r="ADR923" s="827"/>
      <c r="ADS923" s="827"/>
      <c r="ADT923" s="827"/>
      <c r="ADU923" s="827"/>
      <c r="ADV923" s="827"/>
      <c r="ADW923" s="827"/>
      <c r="ADX923" s="827"/>
      <c r="ADY923" s="827"/>
      <c r="ADZ923" s="827"/>
      <c r="AEA923" s="827"/>
      <c r="AEB923" s="827"/>
      <c r="AEC923" s="827"/>
      <c r="AED923" s="827"/>
      <c r="AEE923" s="827"/>
      <c r="AEF923" s="827"/>
      <c r="AEG923" s="827"/>
      <c r="AEH923" s="827"/>
      <c r="AEI923" s="827"/>
      <c r="AEJ923" s="827"/>
      <c r="AEK923" s="827"/>
      <c r="AEL923" s="827"/>
      <c r="AEM923" s="827"/>
      <c r="AEN923" s="827"/>
      <c r="AEO923" s="827"/>
      <c r="AEP923" s="827"/>
      <c r="AEQ923" s="827"/>
      <c r="AER923" s="827"/>
      <c r="AES923" s="827"/>
      <c r="AET923" s="827"/>
      <c r="AEU923" s="827"/>
      <c r="AEV923" s="827"/>
      <c r="AEW923" s="827"/>
      <c r="AEX923" s="827"/>
      <c r="AEY923" s="827"/>
      <c r="AEZ923" s="827"/>
      <c r="AFA923" s="827"/>
      <c r="AFB923" s="827"/>
      <c r="AFC923" s="827"/>
      <c r="AFD923" s="827"/>
      <c r="AFE923" s="827"/>
      <c r="AFF923" s="827"/>
      <c r="AFG923" s="827"/>
      <c r="AFH923" s="827"/>
      <c r="AFI923" s="827"/>
      <c r="AFJ923" s="827"/>
      <c r="AFK923" s="827"/>
      <c r="AFL923" s="827"/>
      <c r="AFM923" s="827"/>
      <c r="AFN923" s="827"/>
      <c r="AFO923" s="827"/>
      <c r="AFP923" s="827"/>
      <c r="AFQ923" s="827"/>
      <c r="AFR923" s="827"/>
      <c r="AFS923" s="827"/>
      <c r="AFT923" s="827"/>
      <c r="AFU923" s="827"/>
      <c r="AFV923" s="827"/>
      <c r="AFW923" s="827"/>
      <c r="AFX923" s="827"/>
      <c r="AFY923" s="827"/>
      <c r="AFZ923" s="827"/>
      <c r="AGA923" s="827"/>
      <c r="AGB923" s="827"/>
      <c r="AGC923" s="827"/>
      <c r="AGD923" s="827"/>
      <c r="AGE923" s="827"/>
      <c r="AGF923" s="827"/>
      <c r="AGG923" s="827"/>
      <c r="AGH923" s="827"/>
      <c r="AGI923" s="827"/>
      <c r="AGJ923" s="827"/>
    </row>
    <row r="924" spans="1:868" s="7" customFormat="1" hidden="1">
      <c r="A924" s="625" t="s">
        <v>118</v>
      </c>
      <c r="B924" s="59" t="s">
        <v>434</v>
      </c>
      <c r="C924" s="40" t="s">
        <v>139</v>
      </c>
      <c r="D924" s="34" t="s">
        <v>99</v>
      </c>
      <c r="E924" s="879" t="s">
        <v>150</v>
      </c>
      <c r="F924" s="34">
        <v>1</v>
      </c>
      <c r="G924" s="40" t="s">
        <v>433</v>
      </c>
      <c r="H924" s="29"/>
      <c r="I924" s="9"/>
      <c r="J924" s="9"/>
      <c r="K924" s="9"/>
      <c r="L924" s="9"/>
      <c r="M924" s="9"/>
      <c r="N924" s="186"/>
      <c r="O924" s="160" t="str">
        <f t="shared" si="75"/>
        <v/>
      </c>
      <c r="P924" s="63"/>
      <c r="Q924" s="827"/>
      <c r="R924" s="827"/>
      <c r="S924" s="827"/>
      <c r="T924" s="827"/>
      <c r="U924" s="827"/>
      <c r="V924" s="827"/>
      <c r="W924" s="827"/>
      <c r="X924" s="827"/>
      <c r="Y924" s="827"/>
      <c r="Z924" s="827"/>
      <c r="AA924" s="827"/>
      <c r="AB924" s="827"/>
      <c r="AC924" s="827"/>
      <c r="AD924" s="827"/>
      <c r="AE924" s="827"/>
      <c r="AF924" s="827"/>
      <c r="AG924" s="827"/>
      <c r="AH924" s="827"/>
      <c r="AI924" s="827"/>
      <c r="AJ924" s="827"/>
      <c r="AK924" s="827"/>
      <c r="AL924" s="827"/>
      <c r="AM924" s="827"/>
      <c r="AN924" s="827"/>
      <c r="AO924" s="827"/>
      <c r="AP924" s="827"/>
      <c r="AQ924" s="827"/>
      <c r="AR924" s="827"/>
      <c r="AS924" s="827"/>
      <c r="AT924" s="827"/>
      <c r="AU924" s="827"/>
      <c r="AV924" s="827"/>
      <c r="AW924" s="827"/>
      <c r="AX924" s="827"/>
      <c r="AY924" s="827"/>
      <c r="AZ924" s="827"/>
      <c r="BA924" s="827"/>
      <c r="BB924" s="827"/>
      <c r="BC924" s="827"/>
      <c r="BD924" s="827"/>
      <c r="BE924" s="827"/>
      <c r="BF924" s="827"/>
      <c r="BG924" s="827"/>
      <c r="BH924" s="827"/>
      <c r="BI924" s="827"/>
      <c r="BJ924" s="827"/>
      <c r="BK924" s="827"/>
      <c r="BL924" s="827"/>
      <c r="BM924" s="827"/>
      <c r="BN924" s="827"/>
      <c r="BO924" s="827"/>
      <c r="BP924" s="827"/>
      <c r="BQ924" s="827"/>
      <c r="BR924" s="827"/>
      <c r="BS924" s="827"/>
      <c r="BT924" s="827"/>
      <c r="BU924" s="827"/>
      <c r="BV924" s="827"/>
      <c r="BW924" s="827"/>
      <c r="BX924" s="827"/>
      <c r="BY924" s="827"/>
      <c r="BZ924" s="827"/>
      <c r="CA924" s="827"/>
      <c r="CB924" s="827"/>
      <c r="CC924" s="827"/>
      <c r="CD924" s="827"/>
      <c r="CE924" s="827"/>
      <c r="CF924" s="827"/>
      <c r="CG924" s="827"/>
      <c r="CH924" s="827"/>
      <c r="CI924" s="827"/>
      <c r="CJ924" s="827"/>
      <c r="CK924" s="827"/>
      <c r="CL924" s="827"/>
      <c r="CM924" s="827"/>
      <c r="CN924" s="827"/>
      <c r="CO924" s="827"/>
      <c r="CP924" s="827"/>
      <c r="CQ924" s="827"/>
      <c r="CR924" s="827"/>
      <c r="CS924" s="827"/>
      <c r="CT924" s="827"/>
      <c r="CU924" s="827"/>
      <c r="CV924" s="827"/>
      <c r="CW924" s="827"/>
      <c r="CX924" s="827"/>
      <c r="CY924" s="827"/>
      <c r="CZ924" s="827"/>
      <c r="DA924" s="827"/>
      <c r="DB924" s="827"/>
      <c r="DC924" s="827"/>
      <c r="DD924" s="827"/>
      <c r="DE924" s="827"/>
      <c r="DF924" s="827"/>
      <c r="DG924" s="827"/>
      <c r="DH924" s="827"/>
      <c r="DI924" s="827"/>
      <c r="DJ924" s="827"/>
      <c r="DK924" s="827"/>
      <c r="DL924" s="827"/>
      <c r="DM924" s="827"/>
      <c r="DN924" s="827"/>
      <c r="DO924" s="827"/>
      <c r="DP924" s="827"/>
      <c r="DQ924" s="827"/>
      <c r="DR924" s="827"/>
      <c r="DS924" s="827"/>
      <c r="DT924" s="827"/>
      <c r="DU924" s="827"/>
      <c r="DV924" s="827"/>
      <c r="DW924" s="827"/>
      <c r="DX924" s="827"/>
      <c r="DY924" s="827"/>
      <c r="DZ924" s="827"/>
      <c r="EA924" s="827"/>
      <c r="EB924" s="827"/>
      <c r="EC924" s="827"/>
      <c r="ED924" s="827"/>
      <c r="EE924" s="827"/>
      <c r="EF924" s="827"/>
      <c r="EG924" s="827"/>
      <c r="EH924" s="827"/>
      <c r="EI924" s="827"/>
      <c r="EJ924" s="827"/>
      <c r="EK924" s="827"/>
      <c r="EL924" s="827"/>
      <c r="EM924" s="827"/>
      <c r="EN924" s="827"/>
      <c r="EO924" s="827"/>
      <c r="EP924" s="827"/>
      <c r="EQ924" s="827"/>
      <c r="ER924" s="827"/>
      <c r="ES924" s="827"/>
      <c r="ET924" s="827"/>
      <c r="EU924" s="827"/>
      <c r="EV924" s="827"/>
      <c r="EW924" s="827"/>
      <c r="EX924" s="827"/>
      <c r="EY924" s="827"/>
      <c r="EZ924" s="827"/>
      <c r="FA924" s="827"/>
      <c r="FB924" s="827"/>
      <c r="FC924" s="827"/>
      <c r="FD924" s="827"/>
      <c r="FE924" s="827"/>
      <c r="FF924" s="827"/>
      <c r="FG924" s="827"/>
      <c r="FH924" s="827"/>
      <c r="FI924" s="827"/>
      <c r="FJ924" s="827"/>
      <c r="FK924" s="827"/>
      <c r="FL924" s="827"/>
      <c r="FM924" s="827"/>
      <c r="FN924" s="827"/>
      <c r="FO924" s="827"/>
      <c r="FP924" s="827"/>
      <c r="FQ924" s="827"/>
      <c r="FR924" s="827"/>
      <c r="FS924" s="827"/>
      <c r="FT924" s="827"/>
      <c r="FU924" s="827"/>
      <c r="FV924" s="827"/>
      <c r="FW924" s="827"/>
      <c r="FX924" s="827"/>
      <c r="FY924" s="827"/>
      <c r="FZ924" s="827"/>
      <c r="GA924" s="827"/>
      <c r="GB924" s="827"/>
      <c r="GC924" s="827"/>
      <c r="GD924" s="827"/>
      <c r="GE924" s="827"/>
      <c r="GF924" s="827"/>
      <c r="GG924" s="827"/>
      <c r="GH924" s="827"/>
      <c r="GI924" s="827"/>
      <c r="GJ924" s="827"/>
      <c r="GK924" s="827"/>
      <c r="GL924" s="827"/>
      <c r="GM924" s="827"/>
      <c r="GN924" s="827"/>
      <c r="GO924" s="827"/>
      <c r="GP924" s="827"/>
      <c r="GQ924" s="827"/>
      <c r="GR924" s="827"/>
      <c r="GS924" s="827"/>
      <c r="GT924" s="827"/>
      <c r="GU924" s="827"/>
      <c r="GV924" s="827"/>
      <c r="GW924" s="827"/>
      <c r="GX924" s="827"/>
      <c r="GY924" s="827"/>
      <c r="GZ924" s="827"/>
      <c r="HA924" s="827"/>
      <c r="HB924" s="827"/>
      <c r="HC924" s="827"/>
      <c r="HD924" s="827"/>
      <c r="HE924" s="827"/>
      <c r="HF924" s="827"/>
      <c r="HG924" s="827"/>
      <c r="HH924" s="827"/>
      <c r="HI924" s="827"/>
      <c r="HJ924" s="827"/>
      <c r="HK924" s="827"/>
      <c r="HL924" s="827"/>
      <c r="HM924" s="827"/>
      <c r="HN924" s="827"/>
      <c r="HO924" s="827"/>
      <c r="HP924" s="827"/>
      <c r="HQ924" s="827"/>
      <c r="HR924" s="827"/>
      <c r="HS924" s="827"/>
      <c r="HT924" s="827"/>
      <c r="HU924" s="827"/>
      <c r="HV924" s="827"/>
      <c r="HW924" s="827"/>
      <c r="HX924" s="827"/>
      <c r="HY924" s="827"/>
      <c r="HZ924" s="827"/>
      <c r="IA924" s="827"/>
      <c r="IB924" s="827"/>
      <c r="IC924" s="827"/>
      <c r="ID924" s="827"/>
      <c r="IE924" s="827"/>
      <c r="IF924" s="827"/>
      <c r="IG924" s="827"/>
      <c r="IH924" s="827"/>
      <c r="II924" s="827"/>
      <c r="IJ924" s="827"/>
      <c r="IK924" s="827"/>
      <c r="IL924" s="827"/>
      <c r="IM924" s="827"/>
      <c r="IN924" s="827"/>
      <c r="IO924" s="827"/>
      <c r="IP924" s="827"/>
      <c r="IQ924" s="827"/>
      <c r="IR924" s="827"/>
      <c r="IS924" s="827"/>
      <c r="IT924" s="827"/>
      <c r="IU924" s="827"/>
      <c r="IV924" s="827"/>
      <c r="IW924" s="827"/>
      <c r="IX924" s="827"/>
      <c r="IY924" s="827"/>
      <c r="IZ924" s="827"/>
      <c r="JA924" s="827"/>
      <c r="JB924" s="827"/>
      <c r="JC924" s="827"/>
      <c r="JD924" s="827"/>
      <c r="JE924" s="827"/>
      <c r="JF924" s="827"/>
      <c r="JG924" s="827"/>
      <c r="JH924" s="827"/>
      <c r="JI924" s="827"/>
      <c r="JJ924" s="827"/>
      <c r="JK924" s="827"/>
      <c r="JL924" s="827"/>
      <c r="JM924" s="827"/>
      <c r="JN924" s="827"/>
      <c r="JO924" s="827"/>
      <c r="JP924" s="827"/>
      <c r="JQ924" s="827"/>
      <c r="JR924" s="827"/>
      <c r="JS924" s="827"/>
      <c r="JT924" s="827"/>
      <c r="JU924" s="827"/>
      <c r="JV924" s="827"/>
      <c r="JW924" s="827"/>
      <c r="JX924" s="827"/>
      <c r="JY924" s="827"/>
      <c r="JZ924" s="827"/>
      <c r="KA924" s="827"/>
      <c r="KB924" s="827"/>
      <c r="KC924" s="827"/>
      <c r="KD924" s="827"/>
      <c r="KE924" s="827"/>
      <c r="KF924" s="827"/>
      <c r="KG924" s="827"/>
      <c r="KH924" s="827"/>
      <c r="KI924" s="827"/>
      <c r="KJ924" s="827"/>
      <c r="KK924" s="827"/>
      <c r="KL924" s="827"/>
      <c r="KM924" s="827"/>
      <c r="KN924" s="827"/>
      <c r="KO924" s="827"/>
      <c r="KP924" s="827"/>
      <c r="KQ924" s="827"/>
      <c r="KR924" s="827"/>
      <c r="KS924" s="827"/>
      <c r="KT924" s="827"/>
      <c r="KU924" s="827"/>
      <c r="KV924" s="827"/>
      <c r="KW924" s="827"/>
      <c r="KX924" s="827"/>
      <c r="KY924" s="827"/>
      <c r="KZ924" s="827"/>
      <c r="LA924" s="827"/>
      <c r="LB924" s="827"/>
      <c r="LC924" s="827"/>
      <c r="LD924" s="827"/>
      <c r="LE924" s="827"/>
      <c r="LF924" s="827"/>
      <c r="LG924" s="827"/>
      <c r="LH924" s="827"/>
      <c r="LI924" s="827"/>
      <c r="LJ924" s="827"/>
      <c r="LK924" s="827"/>
      <c r="LL924" s="827"/>
      <c r="LM924" s="827"/>
      <c r="LN924" s="827"/>
      <c r="LO924" s="827"/>
      <c r="LP924" s="827"/>
      <c r="LQ924" s="827"/>
      <c r="LR924" s="827"/>
      <c r="LS924" s="827"/>
      <c r="LT924" s="827"/>
      <c r="LU924" s="827"/>
      <c r="LV924" s="827"/>
      <c r="LW924" s="827"/>
      <c r="LX924" s="827"/>
      <c r="LY924" s="827"/>
      <c r="LZ924" s="827"/>
      <c r="MA924" s="827"/>
      <c r="MB924" s="827"/>
      <c r="MC924" s="827"/>
      <c r="MD924" s="827"/>
      <c r="ME924" s="827"/>
      <c r="MF924" s="827"/>
      <c r="MG924" s="827"/>
      <c r="MH924" s="827"/>
      <c r="MI924" s="827"/>
      <c r="MJ924" s="827"/>
      <c r="MK924" s="827"/>
      <c r="ML924" s="827"/>
      <c r="MM924" s="827"/>
      <c r="MN924" s="827"/>
      <c r="MO924" s="827"/>
      <c r="MP924" s="827"/>
      <c r="MQ924" s="827"/>
      <c r="MR924" s="827"/>
      <c r="MS924" s="827"/>
      <c r="MT924" s="827"/>
      <c r="MU924" s="827"/>
      <c r="MV924" s="827"/>
      <c r="MW924" s="827"/>
      <c r="MX924" s="827"/>
      <c r="MY924" s="827"/>
      <c r="MZ924" s="827"/>
      <c r="NA924" s="827"/>
      <c r="NB924" s="827"/>
      <c r="NC924" s="827"/>
      <c r="ND924" s="827"/>
      <c r="NE924" s="827"/>
      <c r="NF924" s="827"/>
      <c r="NG924" s="827"/>
      <c r="NH924" s="827"/>
      <c r="NI924" s="827"/>
      <c r="NJ924" s="827"/>
      <c r="NK924" s="827"/>
      <c r="NL924" s="827"/>
      <c r="NM924" s="827"/>
      <c r="NN924" s="827"/>
      <c r="NO924" s="827"/>
      <c r="NP924" s="827"/>
      <c r="NQ924" s="827"/>
      <c r="NR924" s="827"/>
      <c r="NS924" s="827"/>
      <c r="NT924" s="827"/>
      <c r="NU924" s="827"/>
      <c r="NV924" s="827"/>
      <c r="NW924" s="827"/>
      <c r="NX924" s="827"/>
      <c r="NY924" s="827"/>
      <c r="NZ924" s="827"/>
      <c r="OA924" s="827"/>
      <c r="OB924" s="827"/>
      <c r="OC924" s="827"/>
      <c r="OD924" s="827"/>
      <c r="OE924" s="827"/>
      <c r="OF924" s="827"/>
      <c r="OG924" s="827"/>
      <c r="OH924" s="827"/>
      <c r="OI924" s="827"/>
      <c r="OJ924" s="827"/>
      <c r="OK924" s="827"/>
      <c r="OL924" s="827"/>
      <c r="OM924" s="827"/>
      <c r="ON924" s="827"/>
      <c r="OO924" s="827"/>
      <c r="OP924" s="827"/>
      <c r="OQ924" s="827"/>
      <c r="OR924" s="827"/>
      <c r="OS924" s="827"/>
      <c r="OT924" s="827"/>
      <c r="OU924" s="827"/>
      <c r="OV924" s="827"/>
      <c r="OW924" s="827"/>
      <c r="OX924" s="827"/>
      <c r="OY924" s="827"/>
      <c r="OZ924" s="827"/>
      <c r="PA924" s="827"/>
      <c r="PB924" s="827"/>
      <c r="PC924" s="827"/>
      <c r="PD924" s="827"/>
      <c r="PE924" s="827"/>
      <c r="PF924" s="827"/>
      <c r="PG924" s="827"/>
      <c r="PH924" s="827"/>
      <c r="PI924" s="827"/>
      <c r="PJ924" s="827"/>
      <c r="PK924" s="827"/>
      <c r="PL924" s="827"/>
      <c r="PM924" s="827"/>
      <c r="PN924" s="827"/>
      <c r="PO924" s="827"/>
      <c r="PP924" s="827"/>
      <c r="PQ924" s="827"/>
      <c r="PR924" s="827"/>
      <c r="PS924" s="827"/>
      <c r="PT924" s="827"/>
      <c r="PU924" s="827"/>
      <c r="PV924" s="827"/>
      <c r="PW924" s="827"/>
      <c r="PX924" s="827"/>
      <c r="PY924" s="827"/>
      <c r="PZ924" s="827"/>
      <c r="QA924" s="827"/>
      <c r="QB924" s="827"/>
      <c r="QC924" s="827"/>
      <c r="QD924" s="827"/>
      <c r="QE924" s="827"/>
      <c r="QF924" s="827"/>
      <c r="QG924" s="827"/>
      <c r="QH924" s="827"/>
      <c r="QI924" s="827"/>
      <c r="QJ924" s="827"/>
      <c r="QK924" s="827"/>
      <c r="QL924" s="827"/>
      <c r="QM924" s="827"/>
      <c r="QN924" s="827"/>
      <c r="QO924" s="827"/>
      <c r="QP924" s="827"/>
      <c r="QQ924" s="827"/>
      <c r="QR924" s="827"/>
      <c r="QS924" s="827"/>
      <c r="QT924" s="827"/>
      <c r="QU924" s="827"/>
      <c r="QV924" s="827"/>
      <c r="QW924" s="827"/>
      <c r="QX924" s="827"/>
      <c r="QY924" s="827"/>
      <c r="QZ924" s="827"/>
      <c r="RA924" s="827"/>
      <c r="RB924" s="827"/>
      <c r="RC924" s="827"/>
      <c r="RD924" s="827"/>
      <c r="RE924" s="827"/>
      <c r="RF924" s="827"/>
      <c r="RG924" s="827"/>
      <c r="RH924" s="827"/>
      <c r="RI924" s="827"/>
      <c r="RJ924" s="827"/>
      <c r="RK924" s="827"/>
      <c r="RL924" s="827"/>
      <c r="RM924" s="827"/>
      <c r="RN924" s="827"/>
      <c r="RO924" s="827"/>
      <c r="RP924" s="827"/>
      <c r="RQ924" s="827"/>
      <c r="RR924" s="827"/>
      <c r="RS924" s="827"/>
      <c r="RT924" s="827"/>
      <c r="RU924" s="827"/>
      <c r="RV924" s="827"/>
      <c r="RW924" s="827"/>
      <c r="RX924" s="827"/>
      <c r="RY924" s="827"/>
      <c r="RZ924" s="827"/>
      <c r="SA924" s="827"/>
      <c r="SB924" s="827"/>
      <c r="SC924" s="827"/>
      <c r="SD924" s="827"/>
      <c r="SE924" s="827"/>
      <c r="SF924" s="827"/>
      <c r="SG924" s="827"/>
      <c r="SH924" s="827"/>
      <c r="SI924" s="827"/>
      <c r="SJ924" s="827"/>
      <c r="SK924" s="827"/>
      <c r="SL924" s="827"/>
      <c r="SM924" s="827"/>
      <c r="SN924" s="827"/>
      <c r="SO924" s="827"/>
      <c r="SP924" s="827"/>
      <c r="SQ924" s="827"/>
      <c r="SR924" s="827"/>
      <c r="SS924" s="827"/>
      <c r="ST924" s="827"/>
      <c r="SU924" s="827"/>
      <c r="SV924" s="827"/>
      <c r="SW924" s="827"/>
      <c r="SX924" s="827"/>
      <c r="SY924" s="827"/>
      <c r="SZ924" s="827"/>
      <c r="TA924" s="827"/>
      <c r="TB924" s="827"/>
      <c r="TC924" s="827"/>
      <c r="TD924" s="827"/>
      <c r="TE924" s="827"/>
      <c r="TF924" s="827"/>
      <c r="TG924" s="827"/>
      <c r="TH924" s="827"/>
      <c r="TI924" s="827"/>
      <c r="TJ924" s="827"/>
      <c r="TK924" s="827"/>
      <c r="TL924" s="827"/>
      <c r="TM924" s="827"/>
      <c r="TN924" s="827"/>
      <c r="TO924" s="827"/>
      <c r="TP924" s="827"/>
      <c r="TQ924" s="827"/>
      <c r="TR924" s="827"/>
      <c r="TS924" s="827"/>
      <c r="TT924" s="827"/>
      <c r="TU924" s="827"/>
      <c r="TV924" s="827"/>
      <c r="TW924" s="827"/>
      <c r="TX924" s="827"/>
      <c r="TY924" s="827"/>
      <c r="TZ924" s="827"/>
      <c r="UA924" s="827"/>
      <c r="UB924" s="827"/>
      <c r="UC924" s="827"/>
      <c r="UD924" s="827"/>
      <c r="UE924" s="827"/>
      <c r="UF924" s="827"/>
      <c r="UG924" s="827"/>
      <c r="UH924" s="827"/>
      <c r="UI924" s="827"/>
      <c r="UJ924" s="827"/>
      <c r="UK924" s="827"/>
      <c r="UL924" s="827"/>
      <c r="UM924" s="827"/>
      <c r="UN924" s="827"/>
      <c r="UO924" s="827"/>
      <c r="UP924" s="827"/>
      <c r="UQ924" s="827"/>
      <c r="UR924" s="827"/>
      <c r="US924" s="827"/>
      <c r="UT924" s="827"/>
      <c r="UU924" s="827"/>
      <c r="UV924" s="827"/>
      <c r="UW924" s="827"/>
      <c r="UX924" s="827"/>
      <c r="UY924" s="827"/>
      <c r="UZ924" s="827"/>
      <c r="VA924" s="827"/>
      <c r="VB924" s="827"/>
      <c r="VC924" s="827"/>
      <c r="VD924" s="827"/>
      <c r="VE924" s="827"/>
      <c r="VF924" s="827"/>
      <c r="VG924" s="827"/>
      <c r="VH924" s="827"/>
      <c r="VI924" s="827"/>
      <c r="VJ924" s="827"/>
      <c r="VK924" s="827"/>
      <c r="VL924" s="827"/>
      <c r="VM924" s="827"/>
      <c r="VN924" s="827"/>
      <c r="VO924" s="827"/>
      <c r="VP924" s="827"/>
      <c r="VQ924" s="827"/>
      <c r="VR924" s="827"/>
      <c r="VS924" s="827"/>
      <c r="VT924" s="827"/>
      <c r="VU924" s="827"/>
      <c r="VV924" s="827"/>
      <c r="VW924" s="827"/>
      <c r="VX924" s="827"/>
      <c r="VY924" s="827"/>
      <c r="VZ924" s="827"/>
      <c r="WA924" s="827"/>
      <c r="WB924" s="827"/>
      <c r="WC924" s="827"/>
      <c r="WD924" s="827"/>
      <c r="WE924" s="827"/>
      <c r="WF924" s="827"/>
      <c r="WG924" s="827"/>
      <c r="WH924" s="827"/>
      <c r="WI924" s="827"/>
      <c r="WJ924" s="827"/>
      <c r="WK924" s="827"/>
      <c r="WL924" s="827"/>
      <c r="WM924" s="827"/>
      <c r="WN924" s="827"/>
      <c r="WO924" s="827"/>
      <c r="WP924" s="827"/>
      <c r="WQ924" s="827"/>
      <c r="WR924" s="827"/>
      <c r="WS924" s="827"/>
      <c r="WT924" s="827"/>
      <c r="WU924" s="827"/>
      <c r="WV924" s="827"/>
      <c r="WW924" s="827"/>
      <c r="WX924" s="827"/>
      <c r="WY924" s="827"/>
      <c r="WZ924" s="827"/>
      <c r="XA924" s="827"/>
      <c r="XB924" s="827"/>
      <c r="XC924" s="827"/>
      <c r="XD924" s="827"/>
      <c r="XE924" s="827"/>
      <c r="XF924" s="827"/>
      <c r="XG924" s="827"/>
      <c r="XH924" s="827"/>
      <c r="XI924" s="827"/>
      <c r="XJ924" s="827"/>
      <c r="XK924" s="827"/>
      <c r="XL924" s="827"/>
      <c r="XM924" s="827"/>
      <c r="XN924" s="827"/>
      <c r="XO924" s="827"/>
      <c r="XP924" s="827"/>
      <c r="XQ924" s="827"/>
      <c r="XR924" s="827"/>
      <c r="XS924" s="827"/>
      <c r="XT924" s="827"/>
      <c r="XU924" s="827"/>
      <c r="XV924" s="827"/>
      <c r="XW924" s="827"/>
      <c r="XX924" s="827"/>
      <c r="XY924" s="827"/>
      <c r="XZ924" s="827"/>
      <c r="YA924" s="827"/>
      <c r="YB924" s="827"/>
      <c r="YC924" s="827"/>
      <c r="YD924" s="827"/>
      <c r="YE924" s="827"/>
      <c r="YF924" s="827"/>
      <c r="YG924" s="827"/>
      <c r="YH924" s="827"/>
      <c r="YI924" s="827"/>
      <c r="YJ924" s="827"/>
      <c r="YK924" s="827"/>
      <c r="YL924" s="827"/>
      <c r="YM924" s="827"/>
      <c r="YN924" s="827"/>
      <c r="YO924" s="827"/>
      <c r="YP924" s="827"/>
      <c r="YQ924" s="827"/>
      <c r="YR924" s="827"/>
      <c r="YS924" s="827"/>
      <c r="YT924" s="827"/>
      <c r="YU924" s="827"/>
      <c r="YV924" s="827"/>
      <c r="YW924" s="827"/>
      <c r="YX924" s="827"/>
      <c r="YY924" s="827"/>
      <c r="YZ924" s="827"/>
      <c r="ZA924" s="827"/>
      <c r="ZB924" s="827"/>
      <c r="ZC924" s="827"/>
      <c r="ZD924" s="827"/>
      <c r="ZE924" s="827"/>
      <c r="ZF924" s="827"/>
      <c r="ZG924" s="827"/>
      <c r="ZH924" s="827"/>
      <c r="ZI924" s="827"/>
      <c r="ZJ924" s="827"/>
      <c r="ZK924" s="827"/>
      <c r="ZL924" s="827"/>
      <c r="ZM924" s="827"/>
      <c r="ZN924" s="827"/>
      <c r="ZO924" s="827"/>
      <c r="ZP924" s="827"/>
      <c r="ZQ924" s="827"/>
      <c r="ZR924" s="827"/>
      <c r="ZS924" s="827"/>
      <c r="ZT924" s="827"/>
      <c r="ZU924" s="827"/>
      <c r="ZV924" s="827"/>
      <c r="ZW924" s="827"/>
      <c r="ZX924" s="827"/>
      <c r="ZY924" s="827"/>
      <c r="ZZ924" s="827"/>
      <c r="AAA924" s="827"/>
      <c r="AAB924" s="827"/>
      <c r="AAC924" s="827"/>
      <c r="AAD924" s="827"/>
      <c r="AAE924" s="827"/>
      <c r="AAF924" s="827"/>
      <c r="AAG924" s="827"/>
      <c r="AAH924" s="827"/>
      <c r="AAI924" s="827"/>
      <c r="AAJ924" s="827"/>
      <c r="AAK924" s="827"/>
      <c r="AAL924" s="827"/>
      <c r="AAM924" s="827"/>
      <c r="AAN924" s="827"/>
      <c r="AAO924" s="827"/>
      <c r="AAP924" s="827"/>
      <c r="AAQ924" s="827"/>
      <c r="AAR924" s="827"/>
      <c r="AAS924" s="827"/>
      <c r="AAT924" s="827"/>
      <c r="AAU924" s="827"/>
      <c r="AAV924" s="827"/>
      <c r="AAW924" s="827"/>
      <c r="AAX924" s="827"/>
      <c r="AAY924" s="827"/>
      <c r="AAZ924" s="827"/>
      <c r="ABA924" s="827"/>
      <c r="ABB924" s="827"/>
      <c r="ABC924" s="827"/>
      <c r="ABD924" s="827"/>
      <c r="ABE924" s="827"/>
      <c r="ABF924" s="827"/>
      <c r="ABG924" s="827"/>
      <c r="ABH924" s="827"/>
      <c r="ABI924" s="827"/>
      <c r="ABJ924" s="827"/>
      <c r="ABK924" s="827"/>
      <c r="ABL924" s="827"/>
      <c r="ABM924" s="827"/>
      <c r="ABN924" s="827"/>
      <c r="ABO924" s="827"/>
      <c r="ABP924" s="827"/>
      <c r="ABQ924" s="827"/>
      <c r="ABR924" s="827"/>
      <c r="ABS924" s="827"/>
      <c r="ABT924" s="827"/>
      <c r="ABU924" s="827"/>
      <c r="ABV924" s="827"/>
      <c r="ABW924" s="827"/>
      <c r="ABX924" s="827"/>
      <c r="ABY924" s="827"/>
      <c r="ABZ924" s="827"/>
      <c r="ACA924" s="827"/>
      <c r="ACB924" s="827"/>
      <c r="ACC924" s="827"/>
      <c r="ACD924" s="827"/>
      <c r="ACE924" s="827"/>
      <c r="ACF924" s="827"/>
      <c r="ACG924" s="827"/>
      <c r="ACH924" s="827"/>
      <c r="ACI924" s="827"/>
      <c r="ACJ924" s="827"/>
      <c r="ACK924" s="827"/>
      <c r="ACL924" s="827"/>
      <c r="ACM924" s="827"/>
      <c r="ACN924" s="827"/>
      <c r="ACO924" s="827"/>
      <c r="ACP924" s="827"/>
      <c r="ACQ924" s="827"/>
      <c r="ACR924" s="827"/>
      <c r="ACS924" s="827"/>
      <c r="ACT924" s="827"/>
      <c r="ACU924" s="827"/>
      <c r="ACV924" s="827"/>
      <c r="ACW924" s="827"/>
      <c r="ACX924" s="827"/>
      <c r="ACY924" s="827"/>
      <c r="ACZ924" s="827"/>
      <c r="ADA924" s="827"/>
      <c r="ADB924" s="827"/>
      <c r="ADC924" s="827"/>
      <c r="ADD924" s="827"/>
      <c r="ADE924" s="827"/>
      <c r="ADF924" s="827"/>
      <c r="ADG924" s="827"/>
      <c r="ADH924" s="827"/>
      <c r="ADI924" s="827"/>
      <c r="ADJ924" s="827"/>
      <c r="ADK924" s="827"/>
      <c r="ADL924" s="827"/>
      <c r="ADM924" s="827"/>
      <c r="ADN924" s="827"/>
      <c r="ADO924" s="827"/>
      <c r="ADP924" s="827"/>
      <c r="ADQ924" s="827"/>
      <c r="ADR924" s="827"/>
      <c r="ADS924" s="827"/>
      <c r="ADT924" s="827"/>
      <c r="ADU924" s="827"/>
      <c r="ADV924" s="827"/>
      <c r="ADW924" s="827"/>
      <c r="ADX924" s="827"/>
      <c r="ADY924" s="827"/>
      <c r="ADZ924" s="827"/>
      <c r="AEA924" s="827"/>
      <c r="AEB924" s="827"/>
      <c r="AEC924" s="827"/>
      <c r="AED924" s="827"/>
      <c r="AEE924" s="827"/>
      <c r="AEF924" s="827"/>
      <c r="AEG924" s="827"/>
      <c r="AEH924" s="827"/>
      <c r="AEI924" s="827"/>
      <c r="AEJ924" s="827"/>
      <c r="AEK924" s="827"/>
      <c r="AEL924" s="827"/>
      <c r="AEM924" s="827"/>
      <c r="AEN924" s="827"/>
      <c r="AEO924" s="827"/>
      <c r="AEP924" s="827"/>
      <c r="AEQ924" s="827"/>
      <c r="AER924" s="827"/>
      <c r="AES924" s="827"/>
      <c r="AET924" s="827"/>
      <c r="AEU924" s="827"/>
      <c r="AEV924" s="827"/>
      <c r="AEW924" s="827"/>
      <c r="AEX924" s="827"/>
      <c r="AEY924" s="827"/>
      <c r="AEZ924" s="827"/>
      <c r="AFA924" s="827"/>
      <c r="AFB924" s="827"/>
      <c r="AFC924" s="827"/>
      <c r="AFD924" s="827"/>
      <c r="AFE924" s="827"/>
      <c r="AFF924" s="827"/>
      <c r="AFG924" s="827"/>
      <c r="AFH924" s="827"/>
      <c r="AFI924" s="827"/>
      <c r="AFJ924" s="827"/>
      <c r="AFK924" s="827"/>
      <c r="AFL924" s="827"/>
      <c r="AFM924" s="827"/>
      <c r="AFN924" s="827"/>
      <c r="AFO924" s="827"/>
      <c r="AFP924" s="827"/>
      <c r="AFQ924" s="827"/>
      <c r="AFR924" s="827"/>
      <c r="AFS924" s="827"/>
      <c r="AFT924" s="827"/>
      <c r="AFU924" s="827"/>
      <c r="AFV924" s="827"/>
      <c r="AFW924" s="827"/>
      <c r="AFX924" s="827"/>
      <c r="AFY924" s="827"/>
      <c r="AFZ924" s="827"/>
      <c r="AGA924" s="827"/>
      <c r="AGB924" s="827"/>
      <c r="AGC924" s="827"/>
      <c r="AGD924" s="827"/>
      <c r="AGE924" s="827"/>
      <c r="AGF924" s="827"/>
      <c r="AGG924" s="827"/>
      <c r="AGH924" s="827"/>
      <c r="AGI924" s="827"/>
      <c r="AGJ924" s="827"/>
    </row>
    <row r="925" spans="1:868" s="7" customFormat="1" hidden="1">
      <c r="A925" s="625" t="s">
        <v>118</v>
      </c>
      <c r="B925" s="59" t="s">
        <v>435</v>
      </c>
      <c r="C925" s="40" t="s">
        <v>139</v>
      </c>
      <c r="D925" s="34" t="s">
        <v>99</v>
      </c>
      <c r="E925" s="879">
        <v>7.1003816455134469E-2</v>
      </c>
      <c r="F925" s="34">
        <v>2</v>
      </c>
      <c r="G925" s="40" t="s">
        <v>433</v>
      </c>
      <c r="H925" s="29">
        <v>1</v>
      </c>
      <c r="I925" s="9">
        <v>2</v>
      </c>
      <c r="J925" s="9">
        <v>2</v>
      </c>
      <c r="K925" s="9">
        <v>1</v>
      </c>
      <c r="L925" s="9">
        <v>1</v>
      </c>
      <c r="M925" s="9">
        <v>2</v>
      </c>
      <c r="N925" s="186">
        <f t="shared" ref="N925:N956" si="76">IF( OR( ISBLANK(H925),ISBLANK(J925), ISBLANK(K925), ISBLANK(L925), ISBLANK(M925) ), "", 1.5*SQRT(   EXP(2.21*(H925-1)) + EXP(2.21*(J925-1)) + EXP(2.21*(K925-1)) + EXP(2.21*(L925-1)) + EXP(2.21*M925)   )/100*2.45 )</f>
        <v>0.35859414261160716</v>
      </c>
      <c r="O925" s="160">
        <f t="shared" si="75"/>
        <v>0.37356464144298934</v>
      </c>
      <c r="P925" s="63"/>
      <c r="Q925" s="827"/>
      <c r="R925" s="827"/>
      <c r="S925" s="827"/>
      <c r="T925" s="827"/>
      <c r="U925" s="827"/>
      <c r="V925" s="827"/>
      <c r="W925" s="827"/>
      <c r="X925" s="827"/>
      <c r="Y925" s="827"/>
      <c r="Z925" s="827"/>
      <c r="AA925" s="827"/>
      <c r="AB925" s="827"/>
      <c r="AC925" s="827"/>
      <c r="AD925" s="827"/>
      <c r="AE925" s="827"/>
      <c r="AF925" s="827"/>
      <c r="AG925" s="827"/>
      <c r="AH925" s="827"/>
      <c r="AI925" s="827"/>
      <c r="AJ925" s="827"/>
      <c r="AK925" s="827"/>
      <c r="AL925" s="827"/>
      <c r="AM925" s="827"/>
      <c r="AN925" s="827"/>
      <c r="AO925" s="827"/>
      <c r="AP925" s="827"/>
      <c r="AQ925" s="827"/>
      <c r="AR925" s="827"/>
      <c r="AS925" s="827"/>
      <c r="AT925" s="827"/>
      <c r="AU925" s="827"/>
      <c r="AV925" s="827"/>
      <c r="AW925" s="827"/>
      <c r="AX925" s="827"/>
      <c r="AY925" s="827"/>
      <c r="AZ925" s="827"/>
      <c r="BA925" s="827"/>
      <c r="BB925" s="827"/>
      <c r="BC925" s="827"/>
      <c r="BD925" s="827"/>
      <c r="BE925" s="827"/>
      <c r="BF925" s="827"/>
      <c r="BG925" s="827"/>
      <c r="BH925" s="827"/>
      <c r="BI925" s="827"/>
      <c r="BJ925" s="827"/>
      <c r="BK925" s="827"/>
      <c r="BL925" s="827"/>
      <c r="BM925" s="827"/>
      <c r="BN925" s="827"/>
      <c r="BO925" s="827"/>
      <c r="BP925" s="827"/>
      <c r="BQ925" s="827"/>
      <c r="BR925" s="827"/>
      <c r="BS925" s="827"/>
      <c r="BT925" s="827"/>
      <c r="BU925" s="827"/>
      <c r="BV925" s="827"/>
      <c r="BW925" s="827"/>
      <c r="BX925" s="827"/>
      <c r="BY925" s="827"/>
      <c r="BZ925" s="827"/>
      <c r="CA925" s="827"/>
      <c r="CB925" s="827"/>
      <c r="CC925" s="827"/>
      <c r="CD925" s="827"/>
      <c r="CE925" s="827"/>
      <c r="CF925" s="827"/>
      <c r="CG925" s="827"/>
      <c r="CH925" s="827"/>
      <c r="CI925" s="827"/>
      <c r="CJ925" s="827"/>
      <c r="CK925" s="827"/>
      <c r="CL925" s="827"/>
      <c r="CM925" s="827"/>
      <c r="CN925" s="827"/>
      <c r="CO925" s="827"/>
      <c r="CP925" s="827"/>
      <c r="CQ925" s="827"/>
      <c r="CR925" s="827"/>
      <c r="CS925" s="827"/>
      <c r="CT925" s="827"/>
      <c r="CU925" s="827"/>
      <c r="CV925" s="827"/>
      <c r="CW925" s="827"/>
      <c r="CX925" s="827"/>
      <c r="CY925" s="827"/>
      <c r="CZ925" s="827"/>
      <c r="DA925" s="827"/>
      <c r="DB925" s="827"/>
      <c r="DC925" s="827"/>
      <c r="DD925" s="827"/>
      <c r="DE925" s="827"/>
      <c r="DF925" s="827"/>
      <c r="DG925" s="827"/>
      <c r="DH925" s="827"/>
      <c r="DI925" s="827"/>
      <c r="DJ925" s="827"/>
      <c r="DK925" s="827"/>
      <c r="DL925" s="827"/>
      <c r="DM925" s="827"/>
      <c r="DN925" s="827"/>
      <c r="DO925" s="827"/>
      <c r="DP925" s="827"/>
      <c r="DQ925" s="827"/>
      <c r="DR925" s="827"/>
      <c r="DS925" s="827"/>
      <c r="DT925" s="827"/>
      <c r="DU925" s="827"/>
      <c r="DV925" s="827"/>
      <c r="DW925" s="827"/>
      <c r="DX925" s="827"/>
      <c r="DY925" s="827"/>
      <c r="DZ925" s="827"/>
      <c r="EA925" s="827"/>
      <c r="EB925" s="827"/>
      <c r="EC925" s="827"/>
      <c r="ED925" s="827"/>
      <c r="EE925" s="827"/>
      <c r="EF925" s="827"/>
      <c r="EG925" s="827"/>
      <c r="EH925" s="827"/>
      <c r="EI925" s="827"/>
      <c r="EJ925" s="827"/>
      <c r="EK925" s="827"/>
      <c r="EL925" s="827"/>
      <c r="EM925" s="827"/>
      <c r="EN925" s="827"/>
      <c r="EO925" s="827"/>
      <c r="EP925" s="827"/>
      <c r="EQ925" s="827"/>
      <c r="ER925" s="827"/>
      <c r="ES925" s="827"/>
      <c r="ET925" s="827"/>
      <c r="EU925" s="827"/>
      <c r="EV925" s="827"/>
      <c r="EW925" s="827"/>
      <c r="EX925" s="827"/>
      <c r="EY925" s="827"/>
      <c r="EZ925" s="827"/>
      <c r="FA925" s="827"/>
      <c r="FB925" s="827"/>
      <c r="FC925" s="827"/>
      <c r="FD925" s="827"/>
      <c r="FE925" s="827"/>
      <c r="FF925" s="827"/>
      <c r="FG925" s="827"/>
      <c r="FH925" s="827"/>
      <c r="FI925" s="827"/>
      <c r="FJ925" s="827"/>
      <c r="FK925" s="827"/>
      <c r="FL925" s="827"/>
      <c r="FM925" s="827"/>
      <c r="FN925" s="827"/>
      <c r="FO925" s="827"/>
      <c r="FP925" s="827"/>
      <c r="FQ925" s="827"/>
      <c r="FR925" s="827"/>
      <c r="FS925" s="827"/>
      <c r="FT925" s="827"/>
      <c r="FU925" s="827"/>
      <c r="FV925" s="827"/>
      <c r="FW925" s="827"/>
      <c r="FX925" s="827"/>
      <c r="FY925" s="827"/>
      <c r="FZ925" s="827"/>
      <c r="GA925" s="827"/>
      <c r="GB925" s="827"/>
      <c r="GC925" s="827"/>
      <c r="GD925" s="827"/>
      <c r="GE925" s="827"/>
      <c r="GF925" s="827"/>
      <c r="GG925" s="827"/>
      <c r="GH925" s="827"/>
      <c r="GI925" s="827"/>
      <c r="GJ925" s="827"/>
      <c r="GK925" s="827"/>
      <c r="GL925" s="827"/>
      <c r="GM925" s="827"/>
      <c r="GN925" s="827"/>
      <c r="GO925" s="827"/>
      <c r="GP925" s="827"/>
      <c r="GQ925" s="827"/>
      <c r="GR925" s="827"/>
      <c r="GS925" s="827"/>
      <c r="GT925" s="827"/>
      <c r="GU925" s="827"/>
      <c r="GV925" s="827"/>
      <c r="GW925" s="827"/>
      <c r="GX925" s="827"/>
      <c r="GY925" s="827"/>
      <c r="GZ925" s="827"/>
      <c r="HA925" s="827"/>
      <c r="HB925" s="827"/>
      <c r="HC925" s="827"/>
      <c r="HD925" s="827"/>
      <c r="HE925" s="827"/>
      <c r="HF925" s="827"/>
      <c r="HG925" s="827"/>
      <c r="HH925" s="827"/>
      <c r="HI925" s="827"/>
      <c r="HJ925" s="827"/>
      <c r="HK925" s="827"/>
      <c r="HL925" s="827"/>
      <c r="HM925" s="827"/>
      <c r="HN925" s="827"/>
      <c r="HO925" s="827"/>
      <c r="HP925" s="827"/>
      <c r="HQ925" s="827"/>
      <c r="HR925" s="827"/>
      <c r="HS925" s="827"/>
      <c r="HT925" s="827"/>
      <c r="HU925" s="827"/>
      <c r="HV925" s="827"/>
      <c r="HW925" s="827"/>
      <c r="HX925" s="827"/>
      <c r="HY925" s="827"/>
      <c r="HZ925" s="827"/>
      <c r="IA925" s="827"/>
      <c r="IB925" s="827"/>
      <c r="IC925" s="827"/>
      <c r="ID925" s="827"/>
      <c r="IE925" s="827"/>
      <c r="IF925" s="827"/>
      <c r="IG925" s="827"/>
      <c r="IH925" s="827"/>
      <c r="II925" s="827"/>
      <c r="IJ925" s="827"/>
      <c r="IK925" s="827"/>
      <c r="IL925" s="827"/>
      <c r="IM925" s="827"/>
      <c r="IN925" s="827"/>
      <c r="IO925" s="827"/>
      <c r="IP925" s="827"/>
      <c r="IQ925" s="827"/>
      <c r="IR925" s="827"/>
      <c r="IS925" s="827"/>
      <c r="IT925" s="827"/>
      <c r="IU925" s="827"/>
      <c r="IV925" s="827"/>
      <c r="IW925" s="827"/>
      <c r="IX925" s="827"/>
      <c r="IY925" s="827"/>
      <c r="IZ925" s="827"/>
      <c r="JA925" s="827"/>
      <c r="JB925" s="827"/>
      <c r="JC925" s="827"/>
      <c r="JD925" s="827"/>
      <c r="JE925" s="827"/>
      <c r="JF925" s="827"/>
      <c r="JG925" s="827"/>
      <c r="JH925" s="827"/>
      <c r="JI925" s="827"/>
      <c r="JJ925" s="827"/>
      <c r="JK925" s="827"/>
      <c r="JL925" s="827"/>
      <c r="JM925" s="827"/>
      <c r="JN925" s="827"/>
      <c r="JO925" s="827"/>
      <c r="JP925" s="827"/>
      <c r="JQ925" s="827"/>
      <c r="JR925" s="827"/>
      <c r="JS925" s="827"/>
      <c r="JT925" s="827"/>
      <c r="JU925" s="827"/>
      <c r="JV925" s="827"/>
      <c r="JW925" s="827"/>
      <c r="JX925" s="827"/>
      <c r="JY925" s="827"/>
      <c r="JZ925" s="827"/>
      <c r="KA925" s="827"/>
      <c r="KB925" s="827"/>
      <c r="KC925" s="827"/>
      <c r="KD925" s="827"/>
      <c r="KE925" s="827"/>
      <c r="KF925" s="827"/>
      <c r="KG925" s="827"/>
      <c r="KH925" s="827"/>
      <c r="KI925" s="827"/>
      <c r="KJ925" s="827"/>
      <c r="KK925" s="827"/>
      <c r="KL925" s="827"/>
      <c r="KM925" s="827"/>
      <c r="KN925" s="827"/>
      <c r="KO925" s="827"/>
      <c r="KP925" s="827"/>
      <c r="KQ925" s="827"/>
      <c r="KR925" s="827"/>
      <c r="KS925" s="827"/>
      <c r="KT925" s="827"/>
      <c r="KU925" s="827"/>
      <c r="KV925" s="827"/>
      <c r="KW925" s="827"/>
      <c r="KX925" s="827"/>
      <c r="KY925" s="827"/>
      <c r="KZ925" s="827"/>
      <c r="LA925" s="827"/>
      <c r="LB925" s="827"/>
      <c r="LC925" s="827"/>
      <c r="LD925" s="827"/>
      <c r="LE925" s="827"/>
      <c r="LF925" s="827"/>
      <c r="LG925" s="827"/>
      <c r="LH925" s="827"/>
      <c r="LI925" s="827"/>
      <c r="LJ925" s="827"/>
      <c r="LK925" s="827"/>
      <c r="LL925" s="827"/>
      <c r="LM925" s="827"/>
      <c r="LN925" s="827"/>
      <c r="LO925" s="827"/>
      <c r="LP925" s="827"/>
      <c r="LQ925" s="827"/>
      <c r="LR925" s="827"/>
      <c r="LS925" s="827"/>
      <c r="LT925" s="827"/>
      <c r="LU925" s="827"/>
      <c r="LV925" s="827"/>
      <c r="LW925" s="827"/>
      <c r="LX925" s="827"/>
      <c r="LY925" s="827"/>
      <c r="LZ925" s="827"/>
      <c r="MA925" s="827"/>
      <c r="MB925" s="827"/>
      <c r="MC925" s="827"/>
      <c r="MD925" s="827"/>
      <c r="ME925" s="827"/>
      <c r="MF925" s="827"/>
      <c r="MG925" s="827"/>
      <c r="MH925" s="827"/>
      <c r="MI925" s="827"/>
      <c r="MJ925" s="827"/>
      <c r="MK925" s="827"/>
      <c r="ML925" s="827"/>
      <c r="MM925" s="827"/>
      <c r="MN925" s="827"/>
      <c r="MO925" s="827"/>
      <c r="MP925" s="827"/>
      <c r="MQ925" s="827"/>
      <c r="MR925" s="827"/>
      <c r="MS925" s="827"/>
      <c r="MT925" s="827"/>
      <c r="MU925" s="827"/>
      <c r="MV925" s="827"/>
      <c r="MW925" s="827"/>
      <c r="MX925" s="827"/>
      <c r="MY925" s="827"/>
      <c r="MZ925" s="827"/>
      <c r="NA925" s="827"/>
      <c r="NB925" s="827"/>
      <c r="NC925" s="827"/>
      <c r="ND925" s="827"/>
      <c r="NE925" s="827"/>
      <c r="NF925" s="827"/>
      <c r="NG925" s="827"/>
      <c r="NH925" s="827"/>
      <c r="NI925" s="827"/>
      <c r="NJ925" s="827"/>
      <c r="NK925" s="827"/>
      <c r="NL925" s="827"/>
      <c r="NM925" s="827"/>
      <c r="NN925" s="827"/>
      <c r="NO925" s="827"/>
      <c r="NP925" s="827"/>
      <c r="NQ925" s="827"/>
      <c r="NR925" s="827"/>
      <c r="NS925" s="827"/>
      <c r="NT925" s="827"/>
      <c r="NU925" s="827"/>
      <c r="NV925" s="827"/>
      <c r="NW925" s="827"/>
      <c r="NX925" s="827"/>
      <c r="NY925" s="827"/>
      <c r="NZ925" s="827"/>
      <c r="OA925" s="827"/>
      <c r="OB925" s="827"/>
      <c r="OC925" s="827"/>
      <c r="OD925" s="827"/>
      <c r="OE925" s="827"/>
      <c r="OF925" s="827"/>
      <c r="OG925" s="827"/>
      <c r="OH925" s="827"/>
      <c r="OI925" s="827"/>
      <c r="OJ925" s="827"/>
      <c r="OK925" s="827"/>
      <c r="OL925" s="827"/>
      <c r="OM925" s="827"/>
      <c r="ON925" s="827"/>
      <c r="OO925" s="827"/>
      <c r="OP925" s="827"/>
      <c r="OQ925" s="827"/>
      <c r="OR925" s="827"/>
      <c r="OS925" s="827"/>
      <c r="OT925" s="827"/>
      <c r="OU925" s="827"/>
      <c r="OV925" s="827"/>
      <c r="OW925" s="827"/>
      <c r="OX925" s="827"/>
      <c r="OY925" s="827"/>
      <c r="OZ925" s="827"/>
      <c r="PA925" s="827"/>
      <c r="PB925" s="827"/>
      <c r="PC925" s="827"/>
      <c r="PD925" s="827"/>
      <c r="PE925" s="827"/>
      <c r="PF925" s="827"/>
      <c r="PG925" s="827"/>
      <c r="PH925" s="827"/>
      <c r="PI925" s="827"/>
      <c r="PJ925" s="827"/>
      <c r="PK925" s="827"/>
      <c r="PL925" s="827"/>
      <c r="PM925" s="827"/>
      <c r="PN925" s="827"/>
      <c r="PO925" s="827"/>
      <c r="PP925" s="827"/>
      <c r="PQ925" s="827"/>
      <c r="PR925" s="827"/>
      <c r="PS925" s="827"/>
      <c r="PT925" s="827"/>
      <c r="PU925" s="827"/>
      <c r="PV925" s="827"/>
      <c r="PW925" s="827"/>
      <c r="PX925" s="827"/>
      <c r="PY925" s="827"/>
      <c r="PZ925" s="827"/>
      <c r="QA925" s="827"/>
      <c r="QB925" s="827"/>
      <c r="QC925" s="827"/>
      <c r="QD925" s="827"/>
      <c r="QE925" s="827"/>
      <c r="QF925" s="827"/>
      <c r="QG925" s="827"/>
      <c r="QH925" s="827"/>
      <c r="QI925" s="827"/>
      <c r="QJ925" s="827"/>
      <c r="QK925" s="827"/>
      <c r="QL925" s="827"/>
      <c r="QM925" s="827"/>
      <c r="QN925" s="827"/>
      <c r="QO925" s="827"/>
      <c r="QP925" s="827"/>
      <c r="QQ925" s="827"/>
      <c r="QR925" s="827"/>
      <c r="QS925" s="827"/>
      <c r="QT925" s="827"/>
      <c r="QU925" s="827"/>
      <c r="QV925" s="827"/>
      <c r="QW925" s="827"/>
      <c r="QX925" s="827"/>
      <c r="QY925" s="827"/>
      <c r="QZ925" s="827"/>
      <c r="RA925" s="827"/>
      <c r="RB925" s="827"/>
      <c r="RC925" s="827"/>
      <c r="RD925" s="827"/>
      <c r="RE925" s="827"/>
      <c r="RF925" s="827"/>
      <c r="RG925" s="827"/>
      <c r="RH925" s="827"/>
      <c r="RI925" s="827"/>
      <c r="RJ925" s="827"/>
      <c r="RK925" s="827"/>
      <c r="RL925" s="827"/>
      <c r="RM925" s="827"/>
      <c r="RN925" s="827"/>
      <c r="RO925" s="827"/>
      <c r="RP925" s="827"/>
      <c r="RQ925" s="827"/>
      <c r="RR925" s="827"/>
      <c r="RS925" s="827"/>
      <c r="RT925" s="827"/>
      <c r="RU925" s="827"/>
      <c r="RV925" s="827"/>
      <c r="RW925" s="827"/>
      <c r="RX925" s="827"/>
      <c r="RY925" s="827"/>
      <c r="RZ925" s="827"/>
      <c r="SA925" s="827"/>
      <c r="SB925" s="827"/>
      <c r="SC925" s="827"/>
      <c r="SD925" s="827"/>
      <c r="SE925" s="827"/>
      <c r="SF925" s="827"/>
      <c r="SG925" s="827"/>
      <c r="SH925" s="827"/>
      <c r="SI925" s="827"/>
      <c r="SJ925" s="827"/>
      <c r="SK925" s="827"/>
      <c r="SL925" s="827"/>
      <c r="SM925" s="827"/>
      <c r="SN925" s="827"/>
      <c r="SO925" s="827"/>
      <c r="SP925" s="827"/>
      <c r="SQ925" s="827"/>
      <c r="SR925" s="827"/>
      <c r="SS925" s="827"/>
      <c r="ST925" s="827"/>
      <c r="SU925" s="827"/>
      <c r="SV925" s="827"/>
      <c r="SW925" s="827"/>
      <c r="SX925" s="827"/>
      <c r="SY925" s="827"/>
      <c r="SZ925" s="827"/>
      <c r="TA925" s="827"/>
      <c r="TB925" s="827"/>
      <c r="TC925" s="827"/>
      <c r="TD925" s="827"/>
      <c r="TE925" s="827"/>
      <c r="TF925" s="827"/>
      <c r="TG925" s="827"/>
      <c r="TH925" s="827"/>
      <c r="TI925" s="827"/>
      <c r="TJ925" s="827"/>
      <c r="TK925" s="827"/>
      <c r="TL925" s="827"/>
      <c r="TM925" s="827"/>
      <c r="TN925" s="827"/>
      <c r="TO925" s="827"/>
      <c r="TP925" s="827"/>
      <c r="TQ925" s="827"/>
      <c r="TR925" s="827"/>
      <c r="TS925" s="827"/>
      <c r="TT925" s="827"/>
      <c r="TU925" s="827"/>
      <c r="TV925" s="827"/>
      <c r="TW925" s="827"/>
      <c r="TX925" s="827"/>
      <c r="TY925" s="827"/>
      <c r="TZ925" s="827"/>
      <c r="UA925" s="827"/>
      <c r="UB925" s="827"/>
      <c r="UC925" s="827"/>
      <c r="UD925" s="827"/>
      <c r="UE925" s="827"/>
      <c r="UF925" s="827"/>
      <c r="UG925" s="827"/>
      <c r="UH925" s="827"/>
      <c r="UI925" s="827"/>
      <c r="UJ925" s="827"/>
      <c r="UK925" s="827"/>
      <c r="UL925" s="827"/>
      <c r="UM925" s="827"/>
      <c r="UN925" s="827"/>
      <c r="UO925" s="827"/>
      <c r="UP925" s="827"/>
      <c r="UQ925" s="827"/>
      <c r="UR925" s="827"/>
      <c r="US925" s="827"/>
      <c r="UT925" s="827"/>
      <c r="UU925" s="827"/>
      <c r="UV925" s="827"/>
      <c r="UW925" s="827"/>
      <c r="UX925" s="827"/>
      <c r="UY925" s="827"/>
      <c r="UZ925" s="827"/>
      <c r="VA925" s="827"/>
      <c r="VB925" s="827"/>
      <c r="VC925" s="827"/>
      <c r="VD925" s="827"/>
      <c r="VE925" s="827"/>
      <c r="VF925" s="827"/>
      <c r="VG925" s="827"/>
      <c r="VH925" s="827"/>
      <c r="VI925" s="827"/>
      <c r="VJ925" s="827"/>
      <c r="VK925" s="827"/>
      <c r="VL925" s="827"/>
      <c r="VM925" s="827"/>
      <c r="VN925" s="827"/>
      <c r="VO925" s="827"/>
      <c r="VP925" s="827"/>
      <c r="VQ925" s="827"/>
      <c r="VR925" s="827"/>
      <c r="VS925" s="827"/>
      <c r="VT925" s="827"/>
      <c r="VU925" s="827"/>
      <c r="VV925" s="827"/>
      <c r="VW925" s="827"/>
      <c r="VX925" s="827"/>
      <c r="VY925" s="827"/>
      <c r="VZ925" s="827"/>
      <c r="WA925" s="827"/>
      <c r="WB925" s="827"/>
      <c r="WC925" s="827"/>
      <c r="WD925" s="827"/>
      <c r="WE925" s="827"/>
      <c r="WF925" s="827"/>
      <c r="WG925" s="827"/>
      <c r="WH925" s="827"/>
      <c r="WI925" s="827"/>
      <c r="WJ925" s="827"/>
      <c r="WK925" s="827"/>
      <c r="WL925" s="827"/>
      <c r="WM925" s="827"/>
      <c r="WN925" s="827"/>
      <c r="WO925" s="827"/>
      <c r="WP925" s="827"/>
      <c r="WQ925" s="827"/>
      <c r="WR925" s="827"/>
      <c r="WS925" s="827"/>
      <c r="WT925" s="827"/>
      <c r="WU925" s="827"/>
      <c r="WV925" s="827"/>
      <c r="WW925" s="827"/>
      <c r="WX925" s="827"/>
      <c r="WY925" s="827"/>
      <c r="WZ925" s="827"/>
      <c r="XA925" s="827"/>
      <c r="XB925" s="827"/>
      <c r="XC925" s="827"/>
      <c r="XD925" s="827"/>
      <c r="XE925" s="827"/>
      <c r="XF925" s="827"/>
      <c r="XG925" s="827"/>
      <c r="XH925" s="827"/>
      <c r="XI925" s="827"/>
      <c r="XJ925" s="827"/>
      <c r="XK925" s="827"/>
      <c r="XL925" s="827"/>
      <c r="XM925" s="827"/>
      <c r="XN925" s="827"/>
      <c r="XO925" s="827"/>
      <c r="XP925" s="827"/>
      <c r="XQ925" s="827"/>
      <c r="XR925" s="827"/>
      <c r="XS925" s="827"/>
      <c r="XT925" s="827"/>
      <c r="XU925" s="827"/>
      <c r="XV925" s="827"/>
      <c r="XW925" s="827"/>
      <c r="XX925" s="827"/>
      <c r="XY925" s="827"/>
      <c r="XZ925" s="827"/>
      <c r="YA925" s="827"/>
      <c r="YB925" s="827"/>
      <c r="YC925" s="827"/>
      <c r="YD925" s="827"/>
      <c r="YE925" s="827"/>
      <c r="YF925" s="827"/>
      <c r="YG925" s="827"/>
      <c r="YH925" s="827"/>
      <c r="YI925" s="827"/>
      <c r="YJ925" s="827"/>
      <c r="YK925" s="827"/>
      <c r="YL925" s="827"/>
      <c r="YM925" s="827"/>
      <c r="YN925" s="827"/>
      <c r="YO925" s="827"/>
      <c r="YP925" s="827"/>
      <c r="YQ925" s="827"/>
      <c r="YR925" s="827"/>
      <c r="YS925" s="827"/>
      <c r="YT925" s="827"/>
      <c r="YU925" s="827"/>
      <c r="YV925" s="827"/>
      <c r="YW925" s="827"/>
      <c r="YX925" s="827"/>
      <c r="YY925" s="827"/>
      <c r="YZ925" s="827"/>
      <c r="ZA925" s="827"/>
      <c r="ZB925" s="827"/>
      <c r="ZC925" s="827"/>
      <c r="ZD925" s="827"/>
      <c r="ZE925" s="827"/>
      <c r="ZF925" s="827"/>
      <c r="ZG925" s="827"/>
      <c r="ZH925" s="827"/>
      <c r="ZI925" s="827"/>
      <c r="ZJ925" s="827"/>
      <c r="ZK925" s="827"/>
      <c r="ZL925" s="827"/>
      <c r="ZM925" s="827"/>
      <c r="ZN925" s="827"/>
      <c r="ZO925" s="827"/>
      <c r="ZP925" s="827"/>
      <c r="ZQ925" s="827"/>
      <c r="ZR925" s="827"/>
      <c r="ZS925" s="827"/>
      <c r="ZT925" s="827"/>
      <c r="ZU925" s="827"/>
      <c r="ZV925" s="827"/>
      <c r="ZW925" s="827"/>
      <c r="ZX925" s="827"/>
      <c r="ZY925" s="827"/>
      <c r="ZZ925" s="827"/>
      <c r="AAA925" s="827"/>
      <c r="AAB925" s="827"/>
      <c r="AAC925" s="827"/>
      <c r="AAD925" s="827"/>
      <c r="AAE925" s="827"/>
      <c r="AAF925" s="827"/>
      <c r="AAG925" s="827"/>
      <c r="AAH925" s="827"/>
      <c r="AAI925" s="827"/>
      <c r="AAJ925" s="827"/>
      <c r="AAK925" s="827"/>
      <c r="AAL925" s="827"/>
      <c r="AAM925" s="827"/>
      <c r="AAN925" s="827"/>
      <c r="AAO925" s="827"/>
      <c r="AAP925" s="827"/>
      <c r="AAQ925" s="827"/>
      <c r="AAR925" s="827"/>
      <c r="AAS925" s="827"/>
      <c r="AAT925" s="827"/>
      <c r="AAU925" s="827"/>
      <c r="AAV925" s="827"/>
      <c r="AAW925" s="827"/>
      <c r="AAX925" s="827"/>
      <c r="AAY925" s="827"/>
      <c r="AAZ925" s="827"/>
      <c r="ABA925" s="827"/>
      <c r="ABB925" s="827"/>
      <c r="ABC925" s="827"/>
      <c r="ABD925" s="827"/>
      <c r="ABE925" s="827"/>
      <c r="ABF925" s="827"/>
      <c r="ABG925" s="827"/>
      <c r="ABH925" s="827"/>
      <c r="ABI925" s="827"/>
      <c r="ABJ925" s="827"/>
      <c r="ABK925" s="827"/>
      <c r="ABL925" s="827"/>
      <c r="ABM925" s="827"/>
      <c r="ABN925" s="827"/>
      <c r="ABO925" s="827"/>
      <c r="ABP925" s="827"/>
      <c r="ABQ925" s="827"/>
      <c r="ABR925" s="827"/>
      <c r="ABS925" s="827"/>
      <c r="ABT925" s="827"/>
      <c r="ABU925" s="827"/>
      <c r="ABV925" s="827"/>
      <c r="ABW925" s="827"/>
      <c r="ABX925" s="827"/>
      <c r="ABY925" s="827"/>
      <c r="ABZ925" s="827"/>
      <c r="ACA925" s="827"/>
      <c r="ACB925" s="827"/>
      <c r="ACC925" s="827"/>
      <c r="ACD925" s="827"/>
      <c r="ACE925" s="827"/>
      <c r="ACF925" s="827"/>
      <c r="ACG925" s="827"/>
      <c r="ACH925" s="827"/>
      <c r="ACI925" s="827"/>
      <c r="ACJ925" s="827"/>
      <c r="ACK925" s="827"/>
      <c r="ACL925" s="827"/>
      <c r="ACM925" s="827"/>
      <c r="ACN925" s="827"/>
      <c r="ACO925" s="827"/>
      <c r="ACP925" s="827"/>
      <c r="ACQ925" s="827"/>
      <c r="ACR925" s="827"/>
      <c r="ACS925" s="827"/>
      <c r="ACT925" s="827"/>
      <c r="ACU925" s="827"/>
      <c r="ACV925" s="827"/>
      <c r="ACW925" s="827"/>
      <c r="ACX925" s="827"/>
      <c r="ACY925" s="827"/>
      <c r="ACZ925" s="827"/>
      <c r="ADA925" s="827"/>
      <c r="ADB925" s="827"/>
      <c r="ADC925" s="827"/>
      <c r="ADD925" s="827"/>
      <c r="ADE925" s="827"/>
      <c r="ADF925" s="827"/>
      <c r="ADG925" s="827"/>
      <c r="ADH925" s="827"/>
      <c r="ADI925" s="827"/>
      <c r="ADJ925" s="827"/>
      <c r="ADK925" s="827"/>
      <c r="ADL925" s="827"/>
      <c r="ADM925" s="827"/>
      <c r="ADN925" s="827"/>
      <c r="ADO925" s="827"/>
      <c r="ADP925" s="827"/>
      <c r="ADQ925" s="827"/>
      <c r="ADR925" s="827"/>
      <c r="ADS925" s="827"/>
      <c r="ADT925" s="827"/>
      <c r="ADU925" s="827"/>
      <c r="ADV925" s="827"/>
      <c r="ADW925" s="827"/>
      <c r="ADX925" s="827"/>
      <c r="ADY925" s="827"/>
      <c r="ADZ925" s="827"/>
      <c r="AEA925" s="827"/>
      <c r="AEB925" s="827"/>
      <c r="AEC925" s="827"/>
      <c r="AED925" s="827"/>
      <c r="AEE925" s="827"/>
      <c r="AEF925" s="827"/>
      <c r="AEG925" s="827"/>
      <c r="AEH925" s="827"/>
      <c r="AEI925" s="827"/>
      <c r="AEJ925" s="827"/>
      <c r="AEK925" s="827"/>
      <c r="AEL925" s="827"/>
      <c r="AEM925" s="827"/>
      <c r="AEN925" s="827"/>
      <c r="AEO925" s="827"/>
      <c r="AEP925" s="827"/>
      <c r="AEQ925" s="827"/>
      <c r="AER925" s="827"/>
      <c r="AES925" s="827"/>
      <c r="AET925" s="827"/>
      <c r="AEU925" s="827"/>
      <c r="AEV925" s="827"/>
      <c r="AEW925" s="827"/>
      <c r="AEX925" s="827"/>
      <c r="AEY925" s="827"/>
      <c r="AEZ925" s="827"/>
      <c r="AFA925" s="827"/>
      <c r="AFB925" s="827"/>
      <c r="AFC925" s="827"/>
      <c r="AFD925" s="827"/>
      <c r="AFE925" s="827"/>
      <c r="AFF925" s="827"/>
      <c r="AFG925" s="827"/>
      <c r="AFH925" s="827"/>
      <c r="AFI925" s="827"/>
      <c r="AFJ925" s="827"/>
      <c r="AFK925" s="827"/>
      <c r="AFL925" s="827"/>
      <c r="AFM925" s="827"/>
      <c r="AFN925" s="827"/>
      <c r="AFO925" s="827"/>
      <c r="AFP925" s="827"/>
      <c r="AFQ925" s="827"/>
      <c r="AFR925" s="827"/>
      <c r="AFS925" s="827"/>
      <c r="AFT925" s="827"/>
      <c r="AFU925" s="827"/>
      <c r="AFV925" s="827"/>
      <c r="AFW925" s="827"/>
      <c r="AFX925" s="827"/>
      <c r="AFY925" s="827"/>
      <c r="AFZ925" s="827"/>
      <c r="AGA925" s="827"/>
      <c r="AGB925" s="827"/>
      <c r="AGC925" s="827"/>
      <c r="AGD925" s="827"/>
      <c r="AGE925" s="827"/>
      <c r="AGF925" s="827"/>
      <c r="AGG925" s="827"/>
      <c r="AGH925" s="827"/>
      <c r="AGI925" s="827"/>
      <c r="AGJ925" s="827"/>
    </row>
    <row r="926" spans="1:868" s="7" customFormat="1" hidden="1">
      <c r="A926" s="625" t="s">
        <v>118</v>
      </c>
      <c r="B926" s="59" t="s">
        <v>436</v>
      </c>
      <c r="C926" s="40" t="s">
        <v>139</v>
      </c>
      <c r="D926" s="34" t="s">
        <v>99</v>
      </c>
      <c r="E926" s="879">
        <v>7.810419810064792E-2</v>
      </c>
      <c r="F926" s="34">
        <v>2</v>
      </c>
      <c r="G926" s="40" t="s">
        <v>433</v>
      </c>
      <c r="H926" s="29">
        <v>1</v>
      </c>
      <c r="I926" s="9">
        <v>2</v>
      </c>
      <c r="J926" s="9">
        <v>2</v>
      </c>
      <c r="K926" s="9">
        <v>1</v>
      </c>
      <c r="L926" s="9">
        <v>1</v>
      </c>
      <c r="M926" s="9">
        <v>2</v>
      </c>
      <c r="N926" s="186">
        <f t="shared" si="76"/>
        <v>0.35859414261160716</v>
      </c>
      <c r="O926" s="160">
        <f t="shared" si="75"/>
        <v>0.37356464144298934</v>
      </c>
      <c r="P926" s="63"/>
      <c r="Q926" s="827"/>
      <c r="R926" s="827"/>
      <c r="S926" s="827"/>
      <c r="T926" s="827"/>
      <c r="U926" s="827"/>
      <c r="V926" s="827"/>
      <c r="W926" s="827"/>
      <c r="X926" s="827"/>
      <c r="Y926" s="827"/>
      <c r="Z926" s="827"/>
      <c r="AA926" s="827"/>
      <c r="AB926" s="827"/>
      <c r="AC926" s="827"/>
      <c r="AD926" s="827"/>
      <c r="AE926" s="827"/>
      <c r="AF926" s="827"/>
      <c r="AG926" s="827"/>
      <c r="AH926" s="827"/>
      <c r="AI926" s="827"/>
      <c r="AJ926" s="827"/>
      <c r="AK926" s="827"/>
      <c r="AL926" s="827"/>
      <c r="AM926" s="827"/>
      <c r="AN926" s="827"/>
      <c r="AO926" s="827"/>
      <c r="AP926" s="827"/>
      <c r="AQ926" s="827"/>
      <c r="AR926" s="827"/>
      <c r="AS926" s="827"/>
      <c r="AT926" s="827"/>
      <c r="AU926" s="827"/>
      <c r="AV926" s="827"/>
      <c r="AW926" s="827"/>
      <c r="AX926" s="827"/>
      <c r="AY926" s="827"/>
      <c r="AZ926" s="827"/>
      <c r="BA926" s="827"/>
      <c r="BB926" s="827"/>
      <c r="BC926" s="827"/>
      <c r="BD926" s="827"/>
      <c r="BE926" s="827"/>
      <c r="BF926" s="827"/>
      <c r="BG926" s="827"/>
      <c r="BH926" s="827"/>
      <c r="BI926" s="827"/>
      <c r="BJ926" s="827"/>
      <c r="BK926" s="827"/>
      <c r="BL926" s="827"/>
      <c r="BM926" s="827"/>
      <c r="BN926" s="827"/>
      <c r="BO926" s="827"/>
      <c r="BP926" s="827"/>
      <c r="BQ926" s="827"/>
      <c r="BR926" s="827"/>
      <c r="BS926" s="827"/>
      <c r="BT926" s="827"/>
      <c r="BU926" s="827"/>
      <c r="BV926" s="827"/>
      <c r="BW926" s="827"/>
      <c r="BX926" s="827"/>
      <c r="BY926" s="827"/>
      <c r="BZ926" s="827"/>
      <c r="CA926" s="827"/>
      <c r="CB926" s="827"/>
      <c r="CC926" s="827"/>
      <c r="CD926" s="827"/>
      <c r="CE926" s="827"/>
      <c r="CF926" s="827"/>
      <c r="CG926" s="827"/>
      <c r="CH926" s="827"/>
      <c r="CI926" s="827"/>
      <c r="CJ926" s="827"/>
      <c r="CK926" s="827"/>
      <c r="CL926" s="827"/>
      <c r="CM926" s="827"/>
      <c r="CN926" s="827"/>
      <c r="CO926" s="827"/>
      <c r="CP926" s="827"/>
      <c r="CQ926" s="827"/>
      <c r="CR926" s="827"/>
      <c r="CS926" s="827"/>
      <c r="CT926" s="827"/>
      <c r="CU926" s="827"/>
      <c r="CV926" s="827"/>
      <c r="CW926" s="827"/>
      <c r="CX926" s="827"/>
      <c r="CY926" s="827"/>
      <c r="CZ926" s="827"/>
      <c r="DA926" s="827"/>
      <c r="DB926" s="827"/>
      <c r="DC926" s="827"/>
      <c r="DD926" s="827"/>
      <c r="DE926" s="827"/>
      <c r="DF926" s="827"/>
      <c r="DG926" s="827"/>
      <c r="DH926" s="827"/>
      <c r="DI926" s="827"/>
      <c r="DJ926" s="827"/>
      <c r="DK926" s="827"/>
      <c r="DL926" s="827"/>
      <c r="DM926" s="827"/>
      <c r="DN926" s="827"/>
      <c r="DO926" s="827"/>
      <c r="DP926" s="827"/>
      <c r="DQ926" s="827"/>
      <c r="DR926" s="827"/>
      <c r="DS926" s="827"/>
      <c r="DT926" s="827"/>
      <c r="DU926" s="827"/>
      <c r="DV926" s="827"/>
      <c r="DW926" s="827"/>
      <c r="DX926" s="827"/>
      <c r="DY926" s="827"/>
      <c r="DZ926" s="827"/>
      <c r="EA926" s="827"/>
      <c r="EB926" s="827"/>
      <c r="EC926" s="827"/>
      <c r="ED926" s="827"/>
      <c r="EE926" s="827"/>
      <c r="EF926" s="827"/>
      <c r="EG926" s="827"/>
      <c r="EH926" s="827"/>
      <c r="EI926" s="827"/>
      <c r="EJ926" s="827"/>
      <c r="EK926" s="827"/>
      <c r="EL926" s="827"/>
      <c r="EM926" s="827"/>
      <c r="EN926" s="827"/>
      <c r="EO926" s="827"/>
      <c r="EP926" s="827"/>
      <c r="EQ926" s="827"/>
      <c r="ER926" s="827"/>
      <c r="ES926" s="827"/>
      <c r="ET926" s="827"/>
      <c r="EU926" s="827"/>
      <c r="EV926" s="827"/>
      <c r="EW926" s="827"/>
      <c r="EX926" s="827"/>
      <c r="EY926" s="827"/>
      <c r="EZ926" s="827"/>
      <c r="FA926" s="827"/>
      <c r="FB926" s="827"/>
      <c r="FC926" s="827"/>
      <c r="FD926" s="827"/>
      <c r="FE926" s="827"/>
      <c r="FF926" s="827"/>
      <c r="FG926" s="827"/>
      <c r="FH926" s="827"/>
      <c r="FI926" s="827"/>
      <c r="FJ926" s="827"/>
      <c r="FK926" s="827"/>
      <c r="FL926" s="827"/>
      <c r="FM926" s="827"/>
      <c r="FN926" s="827"/>
      <c r="FO926" s="827"/>
      <c r="FP926" s="827"/>
      <c r="FQ926" s="827"/>
      <c r="FR926" s="827"/>
      <c r="FS926" s="827"/>
      <c r="FT926" s="827"/>
      <c r="FU926" s="827"/>
      <c r="FV926" s="827"/>
      <c r="FW926" s="827"/>
      <c r="FX926" s="827"/>
      <c r="FY926" s="827"/>
      <c r="FZ926" s="827"/>
      <c r="GA926" s="827"/>
      <c r="GB926" s="827"/>
      <c r="GC926" s="827"/>
      <c r="GD926" s="827"/>
      <c r="GE926" s="827"/>
      <c r="GF926" s="827"/>
      <c r="GG926" s="827"/>
      <c r="GH926" s="827"/>
      <c r="GI926" s="827"/>
      <c r="GJ926" s="827"/>
      <c r="GK926" s="827"/>
      <c r="GL926" s="827"/>
      <c r="GM926" s="827"/>
      <c r="GN926" s="827"/>
      <c r="GO926" s="827"/>
      <c r="GP926" s="827"/>
      <c r="GQ926" s="827"/>
      <c r="GR926" s="827"/>
      <c r="GS926" s="827"/>
      <c r="GT926" s="827"/>
      <c r="GU926" s="827"/>
      <c r="GV926" s="827"/>
      <c r="GW926" s="827"/>
      <c r="GX926" s="827"/>
      <c r="GY926" s="827"/>
      <c r="GZ926" s="827"/>
      <c r="HA926" s="827"/>
      <c r="HB926" s="827"/>
      <c r="HC926" s="827"/>
      <c r="HD926" s="827"/>
      <c r="HE926" s="827"/>
      <c r="HF926" s="827"/>
      <c r="HG926" s="827"/>
      <c r="HH926" s="827"/>
      <c r="HI926" s="827"/>
      <c r="HJ926" s="827"/>
      <c r="HK926" s="827"/>
      <c r="HL926" s="827"/>
      <c r="HM926" s="827"/>
      <c r="HN926" s="827"/>
      <c r="HO926" s="827"/>
      <c r="HP926" s="827"/>
      <c r="HQ926" s="827"/>
      <c r="HR926" s="827"/>
      <c r="HS926" s="827"/>
      <c r="HT926" s="827"/>
      <c r="HU926" s="827"/>
      <c r="HV926" s="827"/>
      <c r="HW926" s="827"/>
      <c r="HX926" s="827"/>
      <c r="HY926" s="827"/>
      <c r="HZ926" s="827"/>
      <c r="IA926" s="827"/>
      <c r="IB926" s="827"/>
      <c r="IC926" s="827"/>
      <c r="ID926" s="827"/>
      <c r="IE926" s="827"/>
      <c r="IF926" s="827"/>
      <c r="IG926" s="827"/>
      <c r="IH926" s="827"/>
      <c r="II926" s="827"/>
      <c r="IJ926" s="827"/>
      <c r="IK926" s="827"/>
      <c r="IL926" s="827"/>
      <c r="IM926" s="827"/>
      <c r="IN926" s="827"/>
      <c r="IO926" s="827"/>
      <c r="IP926" s="827"/>
      <c r="IQ926" s="827"/>
      <c r="IR926" s="827"/>
      <c r="IS926" s="827"/>
      <c r="IT926" s="827"/>
      <c r="IU926" s="827"/>
      <c r="IV926" s="827"/>
      <c r="IW926" s="827"/>
      <c r="IX926" s="827"/>
      <c r="IY926" s="827"/>
      <c r="IZ926" s="827"/>
      <c r="JA926" s="827"/>
      <c r="JB926" s="827"/>
      <c r="JC926" s="827"/>
      <c r="JD926" s="827"/>
      <c r="JE926" s="827"/>
      <c r="JF926" s="827"/>
      <c r="JG926" s="827"/>
      <c r="JH926" s="827"/>
      <c r="JI926" s="827"/>
      <c r="JJ926" s="827"/>
      <c r="JK926" s="827"/>
      <c r="JL926" s="827"/>
      <c r="JM926" s="827"/>
      <c r="JN926" s="827"/>
      <c r="JO926" s="827"/>
      <c r="JP926" s="827"/>
      <c r="JQ926" s="827"/>
      <c r="JR926" s="827"/>
      <c r="JS926" s="827"/>
      <c r="JT926" s="827"/>
      <c r="JU926" s="827"/>
      <c r="JV926" s="827"/>
      <c r="JW926" s="827"/>
      <c r="JX926" s="827"/>
      <c r="JY926" s="827"/>
      <c r="JZ926" s="827"/>
      <c r="KA926" s="827"/>
      <c r="KB926" s="827"/>
      <c r="KC926" s="827"/>
      <c r="KD926" s="827"/>
      <c r="KE926" s="827"/>
      <c r="KF926" s="827"/>
      <c r="KG926" s="827"/>
      <c r="KH926" s="827"/>
      <c r="KI926" s="827"/>
      <c r="KJ926" s="827"/>
      <c r="KK926" s="827"/>
      <c r="KL926" s="827"/>
      <c r="KM926" s="827"/>
      <c r="KN926" s="827"/>
      <c r="KO926" s="827"/>
      <c r="KP926" s="827"/>
      <c r="KQ926" s="827"/>
      <c r="KR926" s="827"/>
      <c r="KS926" s="827"/>
      <c r="KT926" s="827"/>
      <c r="KU926" s="827"/>
      <c r="KV926" s="827"/>
      <c r="KW926" s="827"/>
      <c r="KX926" s="827"/>
      <c r="KY926" s="827"/>
      <c r="KZ926" s="827"/>
      <c r="LA926" s="827"/>
      <c r="LB926" s="827"/>
      <c r="LC926" s="827"/>
      <c r="LD926" s="827"/>
      <c r="LE926" s="827"/>
      <c r="LF926" s="827"/>
      <c r="LG926" s="827"/>
      <c r="LH926" s="827"/>
      <c r="LI926" s="827"/>
      <c r="LJ926" s="827"/>
      <c r="LK926" s="827"/>
      <c r="LL926" s="827"/>
      <c r="LM926" s="827"/>
      <c r="LN926" s="827"/>
      <c r="LO926" s="827"/>
      <c r="LP926" s="827"/>
      <c r="LQ926" s="827"/>
      <c r="LR926" s="827"/>
      <c r="LS926" s="827"/>
      <c r="LT926" s="827"/>
      <c r="LU926" s="827"/>
      <c r="LV926" s="827"/>
      <c r="LW926" s="827"/>
      <c r="LX926" s="827"/>
      <c r="LY926" s="827"/>
      <c r="LZ926" s="827"/>
      <c r="MA926" s="827"/>
      <c r="MB926" s="827"/>
      <c r="MC926" s="827"/>
      <c r="MD926" s="827"/>
      <c r="ME926" s="827"/>
      <c r="MF926" s="827"/>
      <c r="MG926" s="827"/>
      <c r="MH926" s="827"/>
      <c r="MI926" s="827"/>
      <c r="MJ926" s="827"/>
      <c r="MK926" s="827"/>
      <c r="ML926" s="827"/>
      <c r="MM926" s="827"/>
      <c r="MN926" s="827"/>
      <c r="MO926" s="827"/>
      <c r="MP926" s="827"/>
      <c r="MQ926" s="827"/>
      <c r="MR926" s="827"/>
      <c r="MS926" s="827"/>
      <c r="MT926" s="827"/>
      <c r="MU926" s="827"/>
      <c r="MV926" s="827"/>
      <c r="MW926" s="827"/>
      <c r="MX926" s="827"/>
      <c r="MY926" s="827"/>
      <c r="MZ926" s="827"/>
      <c r="NA926" s="827"/>
      <c r="NB926" s="827"/>
      <c r="NC926" s="827"/>
      <c r="ND926" s="827"/>
      <c r="NE926" s="827"/>
      <c r="NF926" s="827"/>
      <c r="NG926" s="827"/>
      <c r="NH926" s="827"/>
      <c r="NI926" s="827"/>
      <c r="NJ926" s="827"/>
      <c r="NK926" s="827"/>
      <c r="NL926" s="827"/>
      <c r="NM926" s="827"/>
      <c r="NN926" s="827"/>
      <c r="NO926" s="827"/>
      <c r="NP926" s="827"/>
      <c r="NQ926" s="827"/>
      <c r="NR926" s="827"/>
      <c r="NS926" s="827"/>
      <c r="NT926" s="827"/>
      <c r="NU926" s="827"/>
      <c r="NV926" s="827"/>
      <c r="NW926" s="827"/>
      <c r="NX926" s="827"/>
      <c r="NY926" s="827"/>
      <c r="NZ926" s="827"/>
      <c r="OA926" s="827"/>
      <c r="OB926" s="827"/>
      <c r="OC926" s="827"/>
      <c r="OD926" s="827"/>
      <c r="OE926" s="827"/>
      <c r="OF926" s="827"/>
      <c r="OG926" s="827"/>
      <c r="OH926" s="827"/>
      <c r="OI926" s="827"/>
      <c r="OJ926" s="827"/>
      <c r="OK926" s="827"/>
      <c r="OL926" s="827"/>
      <c r="OM926" s="827"/>
      <c r="ON926" s="827"/>
      <c r="OO926" s="827"/>
      <c r="OP926" s="827"/>
      <c r="OQ926" s="827"/>
      <c r="OR926" s="827"/>
      <c r="OS926" s="827"/>
      <c r="OT926" s="827"/>
      <c r="OU926" s="827"/>
      <c r="OV926" s="827"/>
      <c r="OW926" s="827"/>
      <c r="OX926" s="827"/>
      <c r="OY926" s="827"/>
      <c r="OZ926" s="827"/>
      <c r="PA926" s="827"/>
      <c r="PB926" s="827"/>
      <c r="PC926" s="827"/>
      <c r="PD926" s="827"/>
      <c r="PE926" s="827"/>
      <c r="PF926" s="827"/>
      <c r="PG926" s="827"/>
      <c r="PH926" s="827"/>
      <c r="PI926" s="827"/>
      <c r="PJ926" s="827"/>
      <c r="PK926" s="827"/>
      <c r="PL926" s="827"/>
      <c r="PM926" s="827"/>
      <c r="PN926" s="827"/>
      <c r="PO926" s="827"/>
      <c r="PP926" s="827"/>
      <c r="PQ926" s="827"/>
      <c r="PR926" s="827"/>
      <c r="PS926" s="827"/>
      <c r="PT926" s="827"/>
      <c r="PU926" s="827"/>
      <c r="PV926" s="827"/>
      <c r="PW926" s="827"/>
      <c r="PX926" s="827"/>
      <c r="PY926" s="827"/>
      <c r="PZ926" s="827"/>
      <c r="QA926" s="827"/>
      <c r="QB926" s="827"/>
      <c r="QC926" s="827"/>
      <c r="QD926" s="827"/>
      <c r="QE926" s="827"/>
      <c r="QF926" s="827"/>
      <c r="QG926" s="827"/>
      <c r="QH926" s="827"/>
      <c r="QI926" s="827"/>
      <c r="QJ926" s="827"/>
      <c r="QK926" s="827"/>
      <c r="QL926" s="827"/>
      <c r="QM926" s="827"/>
      <c r="QN926" s="827"/>
      <c r="QO926" s="827"/>
      <c r="QP926" s="827"/>
      <c r="QQ926" s="827"/>
      <c r="QR926" s="827"/>
      <c r="QS926" s="827"/>
      <c r="QT926" s="827"/>
      <c r="QU926" s="827"/>
      <c r="QV926" s="827"/>
      <c r="QW926" s="827"/>
      <c r="QX926" s="827"/>
      <c r="QY926" s="827"/>
      <c r="QZ926" s="827"/>
      <c r="RA926" s="827"/>
      <c r="RB926" s="827"/>
      <c r="RC926" s="827"/>
      <c r="RD926" s="827"/>
      <c r="RE926" s="827"/>
      <c r="RF926" s="827"/>
      <c r="RG926" s="827"/>
      <c r="RH926" s="827"/>
      <c r="RI926" s="827"/>
      <c r="RJ926" s="827"/>
      <c r="RK926" s="827"/>
      <c r="RL926" s="827"/>
      <c r="RM926" s="827"/>
      <c r="RN926" s="827"/>
      <c r="RO926" s="827"/>
      <c r="RP926" s="827"/>
      <c r="RQ926" s="827"/>
      <c r="RR926" s="827"/>
      <c r="RS926" s="827"/>
      <c r="RT926" s="827"/>
      <c r="RU926" s="827"/>
      <c r="RV926" s="827"/>
      <c r="RW926" s="827"/>
      <c r="RX926" s="827"/>
      <c r="RY926" s="827"/>
      <c r="RZ926" s="827"/>
      <c r="SA926" s="827"/>
      <c r="SB926" s="827"/>
      <c r="SC926" s="827"/>
      <c r="SD926" s="827"/>
      <c r="SE926" s="827"/>
      <c r="SF926" s="827"/>
      <c r="SG926" s="827"/>
      <c r="SH926" s="827"/>
      <c r="SI926" s="827"/>
      <c r="SJ926" s="827"/>
      <c r="SK926" s="827"/>
      <c r="SL926" s="827"/>
      <c r="SM926" s="827"/>
      <c r="SN926" s="827"/>
      <c r="SO926" s="827"/>
      <c r="SP926" s="827"/>
      <c r="SQ926" s="827"/>
      <c r="SR926" s="827"/>
      <c r="SS926" s="827"/>
      <c r="ST926" s="827"/>
      <c r="SU926" s="827"/>
      <c r="SV926" s="827"/>
      <c r="SW926" s="827"/>
      <c r="SX926" s="827"/>
      <c r="SY926" s="827"/>
      <c r="SZ926" s="827"/>
      <c r="TA926" s="827"/>
      <c r="TB926" s="827"/>
      <c r="TC926" s="827"/>
      <c r="TD926" s="827"/>
      <c r="TE926" s="827"/>
      <c r="TF926" s="827"/>
      <c r="TG926" s="827"/>
      <c r="TH926" s="827"/>
      <c r="TI926" s="827"/>
      <c r="TJ926" s="827"/>
      <c r="TK926" s="827"/>
      <c r="TL926" s="827"/>
      <c r="TM926" s="827"/>
      <c r="TN926" s="827"/>
      <c r="TO926" s="827"/>
      <c r="TP926" s="827"/>
      <c r="TQ926" s="827"/>
      <c r="TR926" s="827"/>
      <c r="TS926" s="827"/>
      <c r="TT926" s="827"/>
      <c r="TU926" s="827"/>
      <c r="TV926" s="827"/>
      <c r="TW926" s="827"/>
      <c r="TX926" s="827"/>
      <c r="TY926" s="827"/>
      <c r="TZ926" s="827"/>
      <c r="UA926" s="827"/>
      <c r="UB926" s="827"/>
      <c r="UC926" s="827"/>
      <c r="UD926" s="827"/>
      <c r="UE926" s="827"/>
      <c r="UF926" s="827"/>
      <c r="UG926" s="827"/>
      <c r="UH926" s="827"/>
      <c r="UI926" s="827"/>
      <c r="UJ926" s="827"/>
      <c r="UK926" s="827"/>
      <c r="UL926" s="827"/>
      <c r="UM926" s="827"/>
      <c r="UN926" s="827"/>
      <c r="UO926" s="827"/>
      <c r="UP926" s="827"/>
      <c r="UQ926" s="827"/>
      <c r="UR926" s="827"/>
      <c r="US926" s="827"/>
      <c r="UT926" s="827"/>
      <c r="UU926" s="827"/>
      <c r="UV926" s="827"/>
      <c r="UW926" s="827"/>
      <c r="UX926" s="827"/>
      <c r="UY926" s="827"/>
      <c r="UZ926" s="827"/>
      <c r="VA926" s="827"/>
      <c r="VB926" s="827"/>
      <c r="VC926" s="827"/>
      <c r="VD926" s="827"/>
      <c r="VE926" s="827"/>
      <c r="VF926" s="827"/>
      <c r="VG926" s="827"/>
      <c r="VH926" s="827"/>
      <c r="VI926" s="827"/>
      <c r="VJ926" s="827"/>
      <c r="VK926" s="827"/>
      <c r="VL926" s="827"/>
      <c r="VM926" s="827"/>
      <c r="VN926" s="827"/>
      <c r="VO926" s="827"/>
      <c r="VP926" s="827"/>
      <c r="VQ926" s="827"/>
      <c r="VR926" s="827"/>
      <c r="VS926" s="827"/>
      <c r="VT926" s="827"/>
      <c r="VU926" s="827"/>
      <c r="VV926" s="827"/>
      <c r="VW926" s="827"/>
      <c r="VX926" s="827"/>
      <c r="VY926" s="827"/>
      <c r="VZ926" s="827"/>
      <c r="WA926" s="827"/>
      <c r="WB926" s="827"/>
      <c r="WC926" s="827"/>
      <c r="WD926" s="827"/>
      <c r="WE926" s="827"/>
      <c r="WF926" s="827"/>
      <c r="WG926" s="827"/>
      <c r="WH926" s="827"/>
      <c r="WI926" s="827"/>
      <c r="WJ926" s="827"/>
      <c r="WK926" s="827"/>
      <c r="WL926" s="827"/>
      <c r="WM926" s="827"/>
      <c r="WN926" s="827"/>
      <c r="WO926" s="827"/>
      <c r="WP926" s="827"/>
      <c r="WQ926" s="827"/>
      <c r="WR926" s="827"/>
      <c r="WS926" s="827"/>
      <c r="WT926" s="827"/>
      <c r="WU926" s="827"/>
      <c r="WV926" s="827"/>
      <c r="WW926" s="827"/>
      <c r="WX926" s="827"/>
      <c r="WY926" s="827"/>
      <c r="WZ926" s="827"/>
      <c r="XA926" s="827"/>
      <c r="XB926" s="827"/>
      <c r="XC926" s="827"/>
      <c r="XD926" s="827"/>
      <c r="XE926" s="827"/>
      <c r="XF926" s="827"/>
      <c r="XG926" s="827"/>
      <c r="XH926" s="827"/>
      <c r="XI926" s="827"/>
      <c r="XJ926" s="827"/>
      <c r="XK926" s="827"/>
      <c r="XL926" s="827"/>
      <c r="XM926" s="827"/>
      <c r="XN926" s="827"/>
      <c r="XO926" s="827"/>
      <c r="XP926" s="827"/>
      <c r="XQ926" s="827"/>
      <c r="XR926" s="827"/>
      <c r="XS926" s="827"/>
      <c r="XT926" s="827"/>
      <c r="XU926" s="827"/>
      <c r="XV926" s="827"/>
      <c r="XW926" s="827"/>
      <c r="XX926" s="827"/>
      <c r="XY926" s="827"/>
      <c r="XZ926" s="827"/>
      <c r="YA926" s="827"/>
      <c r="YB926" s="827"/>
      <c r="YC926" s="827"/>
      <c r="YD926" s="827"/>
      <c r="YE926" s="827"/>
      <c r="YF926" s="827"/>
      <c r="YG926" s="827"/>
      <c r="YH926" s="827"/>
      <c r="YI926" s="827"/>
      <c r="YJ926" s="827"/>
      <c r="YK926" s="827"/>
      <c r="YL926" s="827"/>
      <c r="YM926" s="827"/>
      <c r="YN926" s="827"/>
      <c r="YO926" s="827"/>
      <c r="YP926" s="827"/>
      <c r="YQ926" s="827"/>
      <c r="YR926" s="827"/>
      <c r="YS926" s="827"/>
      <c r="YT926" s="827"/>
      <c r="YU926" s="827"/>
      <c r="YV926" s="827"/>
      <c r="YW926" s="827"/>
      <c r="YX926" s="827"/>
      <c r="YY926" s="827"/>
      <c r="YZ926" s="827"/>
      <c r="ZA926" s="827"/>
      <c r="ZB926" s="827"/>
      <c r="ZC926" s="827"/>
      <c r="ZD926" s="827"/>
      <c r="ZE926" s="827"/>
      <c r="ZF926" s="827"/>
      <c r="ZG926" s="827"/>
      <c r="ZH926" s="827"/>
      <c r="ZI926" s="827"/>
      <c r="ZJ926" s="827"/>
      <c r="ZK926" s="827"/>
      <c r="ZL926" s="827"/>
      <c r="ZM926" s="827"/>
      <c r="ZN926" s="827"/>
      <c r="ZO926" s="827"/>
      <c r="ZP926" s="827"/>
      <c r="ZQ926" s="827"/>
      <c r="ZR926" s="827"/>
      <c r="ZS926" s="827"/>
      <c r="ZT926" s="827"/>
      <c r="ZU926" s="827"/>
      <c r="ZV926" s="827"/>
      <c r="ZW926" s="827"/>
      <c r="ZX926" s="827"/>
      <c r="ZY926" s="827"/>
      <c r="ZZ926" s="827"/>
      <c r="AAA926" s="827"/>
      <c r="AAB926" s="827"/>
      <c r="AAC926" s="827"/>
      <c r="AAD926" s="827"/>
      <c r="AAE926" s="827"/>
      <c r="AAF926" s="827"/>
      <c r="AAG926" s="827"/>
      <c r="AAH926" s="827"/>
      <c r="AAI926" s="827"/>
      <c r="AAJ926" s="827"/>
      <c r="AAK926" s="827"/>
      <c r="AAL926" s="827"/>
      <c r="AAM926" s="827"/>
      <c r="AAN926" s="827"/>
      <c r="AAO926" s="827"/>
      <c r="AAP926" s="827"/>
      <c r="AAQ926" s="827"/>
      <c r="AAR926" s="827"/>
      <c r="AAS926" s="827"/>
      <c r="AAT926" s="827"/>
      <c r="AAU926" s="827"/>
      <c r="AAV926" s="827"/>
      <c r="AAW926" s="827"/>
      <c r="AAX926" s="827"/>
      <c r="AAY926" s="827"/>
      <c r="AAZ926" s="827"/>
      <c r="ABA926" s="827"/>
      <c r="ABB926" s="827"/>
      <c r="ABC926" s="827"/>
      <c r="ABD926" s="827"/>
      <c r="ABE926" s="827"/>
      <c r="ABF926" s="827"/>
      <c r="ABG926" s="827"/>
      <c r="ABH926" s="827"/>
      <c r="ABI926" s="827"/>
      <c r="ABJ926" s="827"/>
      <c r="ABK926" s="827"/>
      <c r="ABL926" s="827"/>
      <c r="ABM926" s="827"/>
      <c r="ABN926" s="827"/>
      <c r="ABO926" s="827"/>
      <c r="ABP926" s="827"/>
      <c r="ABQ926" s="827"/>
      <c r="ABR926" s="827"/>
      <c r="ABS926" s="827"/>
      <c r="ABT926" s="827"/>
      <c r="ABU926" s="827"/>
      <c r="ABV926" s="827"/>
      <c r="ABW926" s="827"/>
      <c r="ABX926" s="827"/>
      <c r="ABY926" s="827"/>
      <c r="ABZ926" s="827"/>
      <c r="ACA926" s="827"/>
      <c r="ACB926" s="827"/>
      <c r="ACC926" s="827"/>
      <c r="ACD926" s="827"/>
      <c r="ACE926" s="827"/>
      <c r="ACF926" s="827"/>
      <c r="ACG926" s="827"/>
      <c r="ACH926" s="827"/>
      <c r="ACI926" s="827"/>
      <c r="ACJ926" s="827"/>
      <c r="ACK926" s="827"/>
      <c r="ACL926" s="827"/>
      <c r="ACM926" s="827"/>
      <c r="ACN926" s="827"/>
      <c r="ACO926" s="827"/>
      <c r="ACP926" s="827"/>
      <c r="ACQ926" s="827"/>
      <c r="ACR926" s="827"/>
      <c r="ACS926" s="827"/>
      <c r="ACT926" s="827"/>
      <c r="ACU926" s="827"/>
      <c r="ACV926" s="827"/>
      <c r="ACW926" s="827"/>
      <c r="ACX926" s="827"/>
      <c r="ACY926" s="827"/>
      <c r="ACZ926" s="827"/>
      <c r="ADA926" s="827"/>
      <c r="ADB926" s="827"/>
      <c r="ADC926" s="827"/>
      <c r="ADD926" s="827"/>
      <c r="ADE926" s="827"/>
      <c r="ADF926" s="827"/>
      <c r="ADG926" s="827"/>
      <c r="ADH926" s="827"/>
      <c r="ADI926" s="827"/>
      <c r="ADJ926" s="827"/>
      <c r="ADK926" s="827"/>
      <c r="ADL926" s="827"/>
      <c r="ADM926" s="827"/>
      <c r="ADN926" s="827"/>
      <c r="ADO926" s="827"/>
      <c r="ADP926" s="827"/>
      <c r="ADQ926" s="827"/>
      <c r="ADR926" s="827"/>
      <c r="ADS926" s="827"/>
      <c r="ADT926" s="827"/>
      <c r="ADU926" s="827"/>
      <c r="ADV926" s="827"/>
      <c r="ADW926" s="827"/>
      <c r="ADX926" s="827"/>
      <c r="ADY926" s="827"/>
      <c r="ADZ926" s="827"/>
      <c r="AEA926" s="827"/>
      <c r="AEB926" s="827"/>
      <c r="AEC926" s="827"/>
      <c r="AED926" s="827"/>
      <c r="AEE926" s="827"/>
      <c r="AEF926" s="827"/>
      <c r="AEG926" s="827"/>
      <c r="AEH926" s="827"/>
      <c r="AEI926" s="827"/>
      <c r="AEJ926" s="827"/>
      <c r="AEK926" s="827"/>
      <c r="AEL926" s="827"/>
      <c r="AEM926" s="827"/>
      <c r="AEN926" s="827"/>
      <c r="AEO926" s="827"/>
      <c r="AEP926" s="827"/>
      <c r="AEQ926" s="827"/>
      <c r="AER926" s="827"/>
      <c r="AES926" s="827"/>
      <c r="AET926" s="827"/>
      <c r="AEU926" s="827"/>
      <c r="AEV926" s="827"/>
      <c r="AEW926" s="827"/>
      <c r="AEX926" s="827"/>
      <c r="AEY926" s="827"/>
      <c r="AEZ926" s="827"/>
      <c r="AFA926" s="827"/>
      <c r="AFB926" s="827"/>
      <c r="AFC926" s="827"/>
      <c r="AFD926" s="827"/>
      <c r="AFE926" s="827"/>
      <c r="AFF926" s="827"/>
      <c r="AFG926" s="827"/>
      <c r="AFH926" s="827"/>
      <c r="AFI926" s="827"/>
      <c r="AFJ926" s="827"/>
      <c r="AFK926" s="827"/>
      <c r="AFL926" s="827"/>
      <c r="AFM926" s="827"/>
      <c r="AFN926" s="827"/>
      <c r="AFO926" s="827"/>
      <c r="AFP926" s="827"/>
      <c r="AFQ926" s="827"/>
      <c r="AFR926" s="827"/>
      <c r="AFS926" s="827"/>
      <c r="AFT926" s="827"/>
      <c r="AFU926" s="827"/>
      <c r="AFV926" s="827"/>
      <c r="AFW926" s="827"/>
      <c r="AFX926" s="827"/>
      <c r="AFY926" s="827"/>
      <c r="AFZ926" s="827"/>
      <c r="AGA926" s="827"/>
      <c r="AGB926" s="827"/>
      <c r="AGC926" s="827"/>
      <c r="AGD926" s="827"/>
      <c r="AGE926" s="827"/>
      <c r="AGF926" s="827"/>
      <c r="AGG926" s="827"/>
      <c r="AGH926" s="827"/>
      <c r="AGI926" s="827"/>
      <c r="AGJ926" s="827"/>
    </row>
    <row r="927" spans="1:868" s="7" customFormat="1" hidden="1">
      <c r="A927" s="625" t="s">
        <v>118</v>
      </c>
      <c r="B927" s="59" t="s">
        <v>437</v>
      </c>
      <c r="C927" s="40" t="s">
        <v>139</v>
      </c>
      <c r="D927" s="34" t="s">
        <v>99</v>
      </c>
      <c r="E927" s="879">
        <v>7.810419810064792E-2</v>
      </c>
      <c r="F927" s="34">
        <v>2</v>
      </c>
      <c r="G927" s="40" t="s">
        <v>433</v>
      </c>
      <c r="H927" s="29">
        <v>1</v>
      </c>
      <c r="I927" s="9">
        <v>2</v>
      </c>
      <c r="J927" s="9">
        <v>2</v>
      </c>
      <c r="K927" s="9">
        <v>1</v>
      </c>
      <c r="L927" s="9">
        <v>1</v>
      </c>
      <c r="M927" s="9">
        <v>2</v>
      </c>
      <c r="N927" s="186">
        <f t="shared" si="76"/>
        <v>0.35859414261160716</v>
      </c>
      <c r="O927" s="160">
        <f t="shared" si="75"/>
        <v>0.37356464144298934</v>
      </c>
      <c r="P927" s="63"/>
      <c r="Q927" s="827"/>
      <c r="R927" s="827"/>
      <c r="S927" s="827"/>
      <c r="T927" s="827"/>
      <c r="U927" s="827"/>
      <c r="V927" s="827"/>
      <c r="W927" s="827"/>
      <c r="X927" s="827"/>
      <c r="Y927" s="827"/>
      <c r="Z927" s="827"/>
      <c r="AA927" s="827"/>
      <c r="AB927" s="827"/>
      <c r="AC927" s="827"/>
      <c r="AD927" s="827"/>
      <c r="AE927" s="827"/>
      <c r="AF927" s="827"/>
      <c r="AG927" s="827"/>
      <c r="AH927" s="827"/>
      <c r="AI927" s="827"/>
      <c r="AJ927" s="827"/>
      <c r="AK927" s="827"/>
      <c r="AL927" s="827"/>
      <c r="AM927" s="827"/>
      <c r="AN927" s="827"/>
      <c r="AO927" s="827"/>
      <c r="AP927" s="827"/>
      <c r="AQ927" s="827"/>
      <c r="AR927" s="827"/>
      <c r="AS927" s="827"/>
      <c r="AT927" s="827"/>
      <c r="AU927" s="827"/>
      <c r="AV927" s="827"/>
      <c r="AW927" s="827"/>
      <c r="AX927" s="827"/>
      <c r="AY927" s="827"/>
      <c r="AZ927" s="827"/>
      <c r="BA927" s="827"/>
      <c r="BB927" s="827"/>
      <c r="BC927" s="827"/>
      <c r="BD927" s="827"/>
      <c r="BE927" s="827"/>
      <c r="BF927" s="827"/>
      <c r="BG927" s="827"/>
      <c r="BH927" s="827"/>
      <c r="BI927" s="827"/>
      <c r="BJ927" s="827"/>
      <c r="BK927" s="827"/>
      <c r="BL927" s="827"/>
      <c r="BM927" s="827"/>
      <c r="BN927" s="827"/>
      <c r="BO927" s="827"/>
      <c r="BP927" s="827"/>
      <c r="BQ927" s="827"/>
      <c r="BR927" s="827"/>
      <c r="BS927" s="827"/>
      <c r="BT927" s="827"/>
      <c r="BU927" s="827"/>
      <c r="BV927" s="827"/>
      <c r="BW927" s="827"/>
      <c r="BX927" s="827"/>
      <c r="BY927" s="827"/>
      <c r="BZ927" s="827"/>
      <c r="CA927" s="827"/>
      <c r="CB927" s="827"/>
      <c r="CC927" s="827"/>
      <c r="CD927" s="827"/>
      <c r="CE927" s="827"/>
      <c r="CF927" s="827"/>
      <c r="CG927" s="827"/>
      <c r="CH927" s="827"/>
      <c r="CI927" s="827"/>
      <c r="CJ927" s="827"/>
      <c r="CK927" s="827"/>
      <c r="CL927" s="827"/>
      <c r="CM927" s="827"/>
      <c r="CN927" s="827"/>
      <c r="CO927" s="827"/>
      <c r="CP927" s="827"/>
      <c r="CQ927" s="827"/>
      <c r="CR927" s="827"/>
      <c r="CS927" s="827"/>
      <c r="CT927" s="827"/>
      <c r="CU927" s="827"/>
      <c r="CV927" s="827"/>
      <c r="CW927" s="827"/>
      <c r="CX927" s="827"/>
      <c r="CY927" s="827"/>
      <c r="CZ927" s="827"/>
      <c r="DA927" s="827"/>
      <c r="DB927" s="827"/>
      <c r="DC927" s="827"/>
      <c r="DD927" s="827"/>
      <c r="DE927" s="827"/>
      <c r="DF927" s="827"/>
      <c r="DG927" s="827"/>
      <c r="DH927" s="827"/>
      <c r="DI927" s="827"/>
      <c r="DJ927" s="827"/>
      <c r="DK927" s="827"/>
      <c r="DL927" s="827"/>
      <c r="DM927" s="827"/>
      <c r="DN927" s="827"/>
      <c r="DO927" s="827"/>
      <c r="DP927" s="827"/>
      <c r="DQ927" s="827"/>
      <c r="DR927" s="827"/>
      <c r="DS927" s="827"/>
      <c r="DT927" s="827"/>
      <c r="DU927" s="827"/>
      <c r="DV927" s="827"/>
      <c r="DW927" s="827"/>
      <c r="DX927" s="827"/>
      <c r="DY927" s="827"/>
      <c r="DZ927" s="827"/>
      <c r="EA927" s="827"/>
      <c r="EB927" s="827"/>
      <c r="EC927" s="827"/>
      <c r="ED927" s="827"/>
      <c r="EE927" s="827"/>
      <c r="EF927" s="827"/>
      <c r="EG927" s="827"/>
      <c r="EH927" s="827"/>
      <c r="EI927" s="827"/>
      <c r="EJ927" s="827"/>
      <c r="EK927" s="827"/>
      <c r="EL927" s="827"/>
      <c r="EM927" s="827"/>
      <c r="EN927" s="827"/>
      <c r="EO927" s="827"/>
      <c r="EP927" s="827"/>
      <c r="EQ927" s="827"/>
      <c r="ER927" s="827"/>
      <c r="ES927" s="827"/>
      <c r="ET927" s="827"/>
      <c r="EU927" s="827"/>
      <c r="EV927" s="827"/>
      <c r="EW927" s="827"/>
      <c r="EX927" s="827"/>
      <c r="EY927" s="827"/>
      <c r="EZ927" s="827"/>
      <c r="FA927" s="827"/>
      <c r="FB927" s="827"/>
      <c r="FC927" s="827"/>
      <c r="FD927" s="827"/>
      <c r="FE927" s="827"/>
      <c r="FF927" s="827"/>
      <c r="FG927" s="827"/>
      <c r="FH927" s="827"/>
      <c r="FI927" s="827"/>
      <c r="FJ927" s="827"/>
      <c r="FK927" s="827"/>
      <c r="FL927" s="827"/>
      <c r="FM927" s="827"/>
      <c r="FN927" s="827"/>
      <c r="FO927" s="827"/>
      <c r="FP927" s="827"/>
      <c r="FQ927" s="827"/>
      <c r="FR927" s="827"/>
      <c r="FS927" s="827"/>
      <c r="FT927" s="827"/>
      <c r="FU927" s="827"/>
      <c r="FV927" s="827"/>
      <c r="FW927" s="827"/>
      <c r="FX927" s="827"/>
      <c r="FY927" s="827"/>
      <c r="FZ927" s="827"/>
      <c r="GA927" s="827"/>
      <c r="GB927" s="827"/>
      <c r="GC927" s="827"/>
      <c r="GD927" s="827"/>
      <c r="GE927" s="827"/>
      <c r="GF927" s="827"/>
      <c r="GG927" s="827"/>
      <c r="GH927" s="827"/>
      <c r="GI927" s="827"/>
      <c r="GJ927" s="827"/>
      <c r="GK927" s="827"/>
      <c r="GL927" s="827"/>
      <c r="GM927" s="827"/>
      <c r="GN927" s="827"/>
      <c r="GO927" s="827"/>
      <c r="GP927" s="827"/>
      <c r="GQ927" s="827"/>
      <c r="GR927" s="827"/>
      <c r="GS927" s="827"/>
      <c r="GT927" s="827"/>
      <c r="GU927" s="827"/>
      <c r="GV927" s="827"/>
      <c r="GW927" s="827"/>
      <c r="GX927" s="827"/>
      <c r="GY927" s="827"/>
      <c r="GZ927" s="827"/>
      <c r="HA927" s="827"/>
      <c r="HB927" s="827"/>
      <c r="HC927" s="827"/>
      <c r="HD927" s="827"/>
      <c r="HE927" s="827"/>
      <c r="HF927" s="827"/>
      <c r="HG927" s="827"/>
      <c r="HH927" s="827"/>
      <c r="HI927" s="827"/>
      <c r="HJ927" s="827"/>
      <c r="HK927" s="827"/>
      <c r="HL927" s="827"/>
      <c r="HM927" s="827"/>
      <c r="HN927" s="827"/>
      <c r="HO927" s="827"/>
      <c r="HP927" s="827"/>
      <c r="HQ927" s="827"/>
      <c r="HR927" s="827"/>
      <c r="HS927" s="827"/>
      <c r="HT927" s="827"/>
      <c r="HU927" s="827"/>
      <c r="HV927" s="827"/>
      <c r="HW927" s="827"/>
      <c r="HX927" s="827"/>
      <c r="HY927" s="827"/>
      <c r="HZ927" s="827"/>
      <c r="IA927" s="827"/>
      <c r="IB927" s="827"/>
      <c r="IC927" s="827"/>
      <c r="ID927" s="827"/>
      <c r="IE927" s="827"/>
      <c r="IF927" s="827"/>
      <c r="IG927" s="827"/>
      <c r="IH927" s="827"/>
      <c r="II927" s="827"/>
      <c r="IJ927" s="827"/>
      <c r="IK927" s="827"/>
      <c r="IL927" s="827"/>
      <c r="IM927" s="827"/>
      <c r="IN927" s="827"/>
      <c r="IO927" s="827"/>
      <c r="IP927" s="827"/>
      <c r="IQ927" s="827"/>
      <c r="IR927" s="827"/>
      <c r="IS927" s="827"/>
      <c r="IT927" s="827"/>
      <c r="IU927" s="827"/>
      <c r="IV927" s="827"/>
      <c r="IW927" s="827"/>
      <c r="IX927" s="827"/>
      <c r="IY927" s="827"/>
      <c r="IZ927" s="827"/>
      <c r="JA927" s="827"/>
      <c r="JB927" s="827"/>
      <c r="JC927" s="827"/>
      <c r="JD927" s="827"/>
      <c r="JE927" s="827"/>
      <c r="JF927" s="827"/>
      <c r="JG927" s="827"/>
      <c r="JH927" s="827"/>
      <c r="JI927" s="827"/>
      <c r="JJ927" s="827"/>
      <c r="JK927" s="827"/>
      <c r="JL927" s="827"/>
      <c r="JM927" s="827"/>
      <c r="JN927" s="827"/>
      <c r="JO927" s="827"/>
      <c r="JP927" s="827"/>
      <c r="JQ927" s="827"/>
      <c r="JR927" s="827"/>
      <c r="JS927" s="827"/>
      <c r="JT927" s="827"/>
      <c r="JU927" s="827"/>
      <c r="JV927" s="827"/>
      <c r="JW927" s="827"/>
      <c r="JX927" s="827"/>
      <c r="JY927" s="827"/>
      <c r="JZ927" s="827"/>
      <c r="KA927" s="827"/>
      <c r="KB927" s="827"/>
      <c r="KC927" s="827"/>
      <c r="KD927" s="827"/>
      <c r="KE927" s="827"/>
      <c r="KF927" s="827"/>
      <c r="KG927" s="827"/>
      <c r="KH927" s="827"/>
      <c r="KI927" s="827"/>
      <c r="KJ927" s="827"/>
      <c r="KK927" s="827"/>
      <c r="KL927" s="827"/>
      <c r="KM927" s="827"/>
      <c r="KN927" s="827"/>
      <c r="KO927" s="827"/>
      <c r="KP927" s="827"/>
      <c r="KQ927" s="827"/>
      <c r="KR927" s="827"/>
      <c r="KS927" s="827"/>
      <c r="KT927" s="827"/>
      <c r="KU927" s="827"/>
      <c r="KV927" s="827"/>
      <c r="KW927" s="827"/>
      <c r="KX927" s="827"/>
      <c r="KY927" s="827"/>
      <c r="KZ927" s="827"/>
      <c r="LA927" s="827"/>
      <c r="LB927" s="827"/>
      <c r="LC927" s="827"/>
      <c r="LD927" s="827"/>
      <c r="LE927" s="827"/>
      <c r="LF927" s="827"/>
      <c r="LG927" s="827"/>
      <c r="LH927" s="827"/>
      <c r="LI927" s="827"/>
      <c r="LJ927" s="827"/>
      <c r="LK927" s="827"/>
      <c r="LL927" s="827"/>
      <c r="LM927" s="827"/>
      <c r="LN927" s="827"/>
      <c r="LO927" s="827"/>
      <c r="LP927" s="827"/>
      <c r="LQ927" s="827"/>
      <c r="LR927" s="827"/>
      <c r="LS927" s="827"/>
      <c r="LT927" s="827"/>
      <c r="LU927" s="827"/>
      <c r="LV927" s="827"/>
      <c r="LW927" s="827"/>
      <c r="LX927" s="827"/>
      <c r="LY927" s="827"/>
      <c r="LZ927" s="827"/>
      <c r="MA927" s="827"/>
      <c r="MB927" s="827"/>
      <c r="MC927" s="827"/>
      <c r="MD927" s="827"/>
      <c r="ME927" s="827"/>
      <c r="MF927" s="827"/>
      <c r="MG927" s="827"/>
      <c r="MH927" s="827"/>
      <c r="MI927" s="827"/>
      <c r="MJ927" s="827"/>
      <c r="MK927" s="827"/>
      <c r="ML927" s="827"/>
      <c r="MM927" s="827"/>
      <c r="MN927" s="827"/>
      <c r="MO927" s="827"/>
      <c r="MP927" s="827"/>
      <c r="MQ927" s="827"/>
      <c r="MR927" s="827"/>
      <c r="MS927" s="827"/>
      <c r="MT927" s="827"/>
      <c r="MU927" s="827"/>
      <c r="MV927" s="827"/>
      <c r="MW927" s="827"/>
      <c r="MX927" s="827"/>
      <c r="MY927" s="827"/>
      <c r="MZ927" s="827"/>
      <c r="NA927" s="827"/>
      <c r="NB927" s="827"/>
      <c r="NC927" s="827"/>
      <c r="ND927" s="827"/>
      <c r="NE927" s="827"/>
      <c r="NF927" s="827"/>
      <c r="NG927" s="827"/>
      <c r="NH927" s="827"/>
      <c r="NI927" s="827"/>
      <c r="NJ927" s="827"/>
      <c r="NK927" s="827"/>
      <c r="NL927" s="827"/>
      <c r="NM927" s="827"/>
      <c r="NN927" s="827"/>
      <c r="NO927" s="827"/>
      <c r="NP927" s="827"/>
      <c r="NQ927" s="827"/>
      <c r="NR927" s="827"/>
      <c r="NS927" s="827"/>
      <c r="NT927" s="827"/>
      <c r="NU927" s="827"/>
      <c r="NV927" s="827"/>
      <c r="NW927" s="827"/>
      <c r="NX927" s="827"/>
      <c r="NY927" s="827"/>
      <c r="NZ927" s="827"/>
      <c r="OA927" s="827"/>
      <c r="OB927" s="827"/>
      <c r="OC927" s="827"/>
      <c r="OD927" s="827"/>
      <c r="OE927" s="827"/>
      <c r="OF927" s="827"/>
      <c r="OG927" s="827"/>
      <c r="OH927" s="827"/>
      <c r="OI927" s="827"/>
      <c r="OJ927" s="827"/>
      <c r="OK927" s="827"/>
      <c r="OL927" s="827"/>
      <c r="OM927" s="827"/>
      <c r="ON927" s="827"/>
      <c r="OO927" s="827"/>
      <c r="OP927" s="827"/>
      <c r="OQ927" s="827"/>
      <c r="OR927" s="827"/>
      <c r="OS927" s="827"/>
      <c r="OT927" s="827"/>
      <c r="OU927" s="827"/>
      <c r="OV927" s="827"/>
      <c r="OW927" s="827"/>
      <c r="OX927" s="827"/>
      <c r="OY927" s="827"/>
      <c r="OZ927" s="827"/>
      <c r="PA927" s="827"/>
      <c r="PB927" s="827"/>
      <c r="PC927" s="827"/>
      <c r="PD927" s="827"/>
      <c r="PE927" s="827"/>
      <c r="PF927" s="827"/>
      <c r="PG927" s="827"/>
      <c r="PH927" s="827"/>
      <c r="PI927" s="827"/>
      <c r="PJ927" s="827"/>
      <c r="PK927" s="827"/>
      <c r="PL927" s="827"/>
      <c r="PM927" s="827"/>
      <c r="PN927" s="827"/>
      <c r="PO927" s="827"/>
      <c r="PP927" s="827"/>
      <c r="PQ927" s="827"/>
      <c r="PR927" s="827"/>
      <c r="PS927" s="827"/>
      <c r="PT927" s="827"/>
      <c r="PU927" s="827"/>
      <c r="PV927" s="827"/>
      <c r="PW927" s="827"/>
      <c r="PX927" s="827"/>
      <c r="PY927" s="827"/>
      <c r="PZ927" s="827"/>
      <c r="QA927" s="827"/>
      <c r="QB927" s="827"/>
      <c r="QC927" s="827"/>
      <c r="QD927" s="827"/>
      <c r="QE927" s="827"/>
      <c r="QF927" s="827"/>
      <c r="QG927" s="827"/>
      <c r="QH927" s="827"/>
      <c r="QI927" s="827"/>
      <c r="QJ927" s="827"/>
      <c r="QK927" s="827"/>
      <c r="QL927" s="827"/>
      <c r="QM927" s="827"/>
      <c r="QN927" s="827"/>
      <c r="QO927" s="827"/>
      <c r="QP927" s="827"/>
      <c r="QQ927" s="827"/>
      <c r="QR927" s="827"/>
      <c r="QS927" s="827"/>
      <c r="QT927" s="827"/>
      <c r="QU927" s="827"/>
      <c r="QV927" s="827"/>
      <c r="QW927" s="827"/>
      <c r="QX927" s="827"/>
      <c r="QY927" s="827"/>
      <c r="QZ927" s="827"/>
      <c r="RA927" s="827"/>
      <c r="RB927" s="827"/>
      <c r="RC927" s="827"/>
      <c r="RD927" s="827"/>
      <c r="RE927" s="827"/>
      <c r="RF927" s="827"/>
      <c r="RG927" s="827"/>
      <c r="RH927" s="827"/>
      <c r="RI927" s="827"/>
      <c r="RJ927" s="827"/>
      <c r="RK927" s="827"/>
      <c r="RL927" s="827"/>
      <c r="RM927" s="827"/>
      <c r="RN927" s="827"/>
      <c r="RO927" s="827"/>
      <c r="RP927" s="827"/>
      <c r="RQ927" s="827"/>
      <c r="RR927" s="827"/>
      <c r="RS927" s="827"/>
      <c r="RT927" s="827"/>
      <c r="RU927" s="827"/>
      <c r="RV927" s="827"/>
      <c r="RW927" s="827"/>
      <c r="RX927" s="827"/>
      <c r="RY927" s="827"/>
      <c r="RZ927" s="827"/>
      <c r="SA927" s="827"/>
      <c r="SB927" s="827"/>
      <c r="SC927" s="827"/>
      <c r="SD927" s="827"/>
      <c r="SE927" s="827"/>
      <c r="SF927" s="827"/>
      <c r="SG927" s="827"/>
      <c r="SH927" s="827"/>
      <c r="SI927" s="827"/>
      <c r="SJ927" s="827"/>
      <c r="SK927" s="827"/>
      <c r="SL927" s="827"/>
      <c r="SM927" s="827"/>
      <c r="SN927" s="827"/>
      <c r="SO927" s="827"/>
      <c r="SP927" s="827"/>
      <c r="SQ927" s="827"/>
      <c r="SR927" s="827"/>
      <c r="SS927" s="827"/>
      <c r="ST927" s="827"/>
      <c r="SU927" s="827"/>
      <c r="SV927" s="827"/>
      <c r="SW927" s="827"/>
      <c r="SX927" s="827"/>
      <c r="SY927" s="827"/>
      <c r="SZ927" s="827"/>
      <c r="TA927" s="827"/>
      <c r="TB927" s="827"/>
      <c r="TC927" s="827"/>
      <c r="TD927" s="827"/>
      <c r="TE927" s="827"/>
      <c r="TF927" s="827"/>
      <c r="TG927" s="827"/>
      <c r="TH927" s="827"/>
      <c r="TI927" s="827"/>
      <c r="TJ927" s="827"/>
      <c r="TK927" s="827"/>
      <c r="TL927" s="827"/>
      <c r="TM927" s="827"/>
      <c r="TN927" s="827"/>
      <c r="TO927" s="827"/>
      <c r="TP927" s="827"/>
      <c r="TQ927" s="827"/>
      <c r="TR927" s="827"/>
      <c r="TS927" s="827"/>
      <c r="TT927" s="827"/>
      <c r="TU927" s="827"/>
      <c r="TV927" s="827"/>
      <c r="TW927" s="827"/>
      <c r="TX927" s="827"/>
      <c r="TY927" s="827"/>
      <c r="TZ927" s="827"/>
      <c r="UA927" s="827"/>
      <c r="UB927" s="827"/>
      <c r="UC927" s="827"/>
      <c r="UD927" s="827"/>
      <c r="UE927" s="827"/>
      <c r="UF927" s="827"/>
      <c r="UG927" s="827"/>
      <c r="UH927" s="827"/>
      <c r="UI927" s="827"/>
      <c r="UJ927" s="827"/>
      <c r="UK927" s="827"/>
      <c r="UL927" s="827"/>
      <c r="UM927" s="827"/>
      <c r="UN927" s="827"/>
      <c r="UO927" s="827"/>
      <c r="UP927" s="827"/>
      <c r="UQ927" s="827"/>
      <c r="UR927" s="827"/>
      <c r="US927" s="827"/>
      <c r="UT927" s="827"/>
      <c r="UU927" s="827"/>
      <c r="UV927" s="827"/>
      <c r="UW927" s="827"/>
      <c r="UX927" s="827"/>
      <c r="UY927" s="827"/>
      <c r="UZ927" s="827"/>
      <c r="VA927" s="827"/>
      <c r="VB927" s="827"/>
      <c r="VC927" s="827"/>
      <c r="VD927" s="827"/>
      <c r="VE927" s="827"/>
      <c r="VF927" s="827"/>
      <c r="VG927" s="827"/>
      <c r="VH927" s="827"/>
      <c r="VI927" s="827"/>
      <c r="VJ927" s="827"/>
      <c r="VK927" s="827"/>
      <c r="VL927" s="827"/>
      <c r="VM927" s="827"/>
      <c r="VN927" s="827"/>
      <c r="VO927" s="827"/>
      <c r="VP927" s="827"/>
      <c r="VQ927" s="827"/>
      <c r="VR927" s="827"/>
      <c r="VS927" s="827"/>
      <c r="VT927" s="827"/>
      <c r="VU927" s="827"/>
      <c r="VV927" s="827"/>
      <c r="VW927" s="827"/>
      <c r="VX927" s="827"/>
      <c r="VY927" s="827"/>
      <c r="VZ927" s="827"/>
      <c r="WA927" s="827"/>
      <c r="WB927" s="827"/>
      <c r="WC927" s="827"/>
      <c r="WD927" s="827"/>
      <c r="WE927" s="827"/>
      <c r="WF927" s="827"/>
      <c r="WG927" s="827"/>
      <c r="WH927" s="827"/>
      <c r="WI927" s="827"/>
      <c r="WJ927" s="827"/>
      <c r="WK927" s="827"/>
      <c r="WL927" s="827"/>
      <c r="WM927" s="827"/>
      <c r="WN927" s="827"/>
      <c r="WO927" s="827"/>
      <c r="WP927" s="827"/>
      <c r="WQ927" s="827"/>
      <c r="WR927" s="827"/>
      <c r="WS927" s="827"/>
      <c r="WT927" s="827"/>
      <c r="WU927" s="827"/>
      <c r="WV927" s="827"/>
      <c r="WW927" s="827"/>
      <c r="WX927" s="827"/>
      <c r="WY927" s="827"/>
      <c r="WZ927" s="827"/>
      <c r="XA927" s="827"/>
      <c r="XB927" s="827"/>
      <c r="XC927" s="827"/>
      <c r="XD927" s="827"/>
      <c r="XE927" s="827"/>
      <c r="XF927" s="827"/>
      <c r="XG927" s="827"/>
      <c r="XH927" s="827"/>
      <c r="XI927" s="827"/>
      <c r="XJ927" s="827"/>
      <c r="XK927" s="827"/>
      <c r="XL927" s="827"/>
      <c r="XM927" s="827"/>
      <c r="XN927" s="827"/>
      <c r="XO927" s="827"/>
      <c r="XP927" s="827"/>
      <c r="XQ927" s="827"/>
      <c r="XR927" s="827"/>
      <c r="XS927" s="827"/>
      <c r="XT927" s="827"/>
      <c r="XU927" s="827"/>
      <c r="XV927" s="827"/>
      <c r="XW927" s="827"/>
      <c r="XX927" s="827"/>
      <c r="XY927" s="827"/>
      <c r="XZ927" s="827"/>
      <c r="YA927" s="827"/>
      <c r="YB927" s="827"/>
      <c r="YC927" s="827"/>
      <c r="YD927" s="827"/>
      <c r="YE927" s="827"/>
      <c r="YF927" s="827"/>
      <c r="YG927" s="827"/>
      <c r="YH927" s="827"/>
      <c r="YI927" s="827"/>
      <c r="YJ927" s="827"/>
      <c r="YK927" s="827"/>
      <c r="YL927" s="827"/>
      <c r="YM927" s="827"/>
      <c r="YN927" s="827"/>
      <c r="YO927" s="827"/>
      <c r="YP927" s="827"/>
      <c r="YQ927" s="827"/>
      <c r="YR927" s="827"/>
      <c r="YS927" s="827"/>
      <c r="YT927" s="827"/>
      <c r="YU927" s="827"/>
      <c r="YV927" s="827"/>
      <c r="YW927" s="827"/>
      <c r="YX927" s="827"/>
      <c r="YY927" s="827"/>
      <c r="YZ927" s="827"/>
      <c r="ZA927" s="827"/>
      <c r="ZB927" s="827"/>
      <c r="ZC927" s="827"/>
      <c r="ZD927" s="827"/>
      <c r="ZE927" s="827"/>
      <c r="ZF927" s="827"/>
      <c r="ZG927" s="827"/>
      <c r="ZH927" s="827"/>
      <c r="ZI927" s="827"/>
      <c r="ZJ927" s="827"/>
      <c r="ZK927" s="827"/>
      <c r="ZL927" s="827"/>
      <c r="ZM927" s="827"/>
      <c r="ZN927" s="827"/>
      <c r="ZO927" s="827"/>
      <c r="ZP927" s="827"/>
      <c r="ZQ927" s="827"/>
      <c r="ZR927" s="827"/>
      <c r="ZS927" s="827"/>
      <c r="ZT927" s="827"/>
      <c r="ZU927" s="827"/>
      <c r="ZV927" s="827"/>
      <c r="ZW927" s="827"/>
      <c r="ZX927" s="827"/>
      <c r="ZY927" s="827"/>
      <c r="ZZ927" s="827"/>
      <c r="AAA927" s="827"/>
      <c r="AAB927" s="827"/>
      <c r="AAC927" s="827"/>
      <c r="AAD927" s="827"/>
      <c r="AAE927" s="827"/>
      <c r="AAF927" s="827"/>
      <c r="AAG927" s="827"/>
      <c r="AAH927" s="827"/>
      <c r="AAI927" s="827"/>
      <c r="AAJ927" s="827"/>
      <c r="AAK927" s="827"/>
      <c r="AAL927" s="827"/>
      <c r="AAM927" s="827"/>
      <c r="AAN927" s="827"/>
      <c r="AAO927" s="827"/>
      <c r="AAP927" s="827"/>
      <c r="AAQ927" s="827"/>
      <c r="AAR927" s="827"/>
      <c r="AAS927" s="827"/>
      <c r="AAT927" s="827"/>
      <c r="AAU927" s="827"/>
      <c r="AAV927" s="827"/>
      <c r="AAW927" s="827"/>
      <c r="AAX927" s="827"/>
      <c r="AAY927" s="827"/>
      <c r="AAZ927" s="827"/>
      <c r="ABA927" s="827"/>
      <c r="ABB927" s="827"/>
      <c r="ABC927" s="827"/>
      <c r="ABD927" s="827"/>
      <c r="ABE927" s="827"/>
      <c r="ABF927" s="827"/>
      <c r="ABG927" s="827"/>
      <c r="ABH927" s="827"/>
      <c r="ABI927" s="827"/>
      <c r="ABJ927" s="827"/>
      <c r="ABK927" s="827"/>
      <c r="ABL927" s="827"/>
      <c r="ABM927" s="827"/>
      <c r="ABN927" s="827"/>
      <c r="ABO927" s="827"/>
      <c r="ABP927" s="827"/>
      <c r="ABQ927" s="827"/>
      <c r="ABR927" s="827"/>
      <c r="ABS927" s="827"/>
      <c r="ABT927" s="827"/>
      <c r="ABU927" s="827"/>
      <c r="ABV927" s="827"/>
      <c r="ABW927" s="827"/>
      <c r="ABX927" s="827"/>
      <c r="ABY927" s="827"/>
      <c r="ABZ927" s="827"/>
      <c r="ACA927" s="827"/>
      <c r="ACB927" s="827"/>
      <c r="ACC927" s="827"/>
      <c r="ACD927" s="827"/>
      <c r="ACE927" s="827"/>
      <c r="ACF927" s="827"/>
      <c r="ACG927" s="827"/>
      <c r="ACH927" s="827"/>
      <c r="ACI927" s="827"/>
      <c r="ACJ927" s="827"/>
      <c r="ACK927" s="827"/>
      <c r="ACL927" s="827"/>
      <c r="ACM927" s="827"/>
      <c r="ACN927" s="827"/>
      <c r="ACO927" s="827"/>
      <c r="ACP927" s="827"/>
      <c r="ACQ927" s="827"/>
      <c r="ACR927" s="827"/>
      <c r="ACS927" s="827"/>
      <c r="ACT927" s="827"/>
      <c r="ACU927" s="827"/>
      <c r="ACV927" s="827"/>
      <c r="ACW927" s="827"/>
      <c r="ACX927" s="827"/>
      <c r="ACY927" s="827"/>
      <c r="ACZ927" s="827"/>
      <c r="ADA927" s="827"/>
      <c r="ADB927" s="827"/>
      <c r="ADC927" s="827"/>
      <c r="ADD927" s="827"/>
      <c r="ADE927" s="827"/>
      <c r="ADF927" s="827"/>
      <c r="ADG927" s="827"/>
      <c r="ADH927" s="827"/>
      <c r="ADI927" s="827"/>
      <c r="ADJ927" s="827"/>
      <c r="ADK927" s="827"/>
      <c r="ADL927" s="827"/>
      <c r="ADM927" s="827"/>
      <c r="ADN927" s="827"/>
      <c r="ADO927" s="827"/>
      <c r="ADP927" s="827"/>
      <c r="ADQ927" s="827"/>
      <c r="ADR927" s="827"/>
      <c r="ADS927" s="827"/>
      <c r="ADT927" s="827"/>
      <c r="ADU927" s="827"/>
      <c r="ADV927" s="827"/>
      <c r="ADW927" s="827"/>
      <c r="ADX927" s="827"/>
      <c r="ADY927" s="827"/>
      <c r="ADZ927" s="827"/>
      <c r="AEA927" s="827"/>
      <c r="AEB927" s="827"/>
      <c r="AEC927" s="827"/>
      <c r="AED927" s="827"/>
      <c r="AEE927" s="827"/>
      <c r="AEF927" s="827"/>
      <c r="AEG927" s="827"/>
      <c r="AEH927" s="827"/>
      <c r="AEI927" s="827"/>
      <c r="AEJ927" s="827"/>
      <c r="AEK927" s="827"/>
      <c r="AEL927" s="827"/>
      <c r="AEM927" s="827"/>
      <c r="AEN927" s="827"/>
      <c r="AEO927" s="827"/>
      <c r="AEP927" s="827"/>
      <c r="AEQ927" s="827"/>
      <c r="AER927" s="827"/>
      <c r="AES927" s="827"/>
      <c r="AET927" s="827"/>
      <c r="AEU927" s="827"/>
      <c r="AEV927" s="827"/>
      <c r="AEW927" s="827"/>
      <c r="AEX927" s="827"/>
      <c r="AEY927" s="827"/>
      <c r="AEZ927" s="827"/>
      <c r="AFA927" s="827"/>
      <c r="AFB927" s="827"/>
      <c r="AFC927" s="827"/>
      <c r="AFD927" s="827"/>
      <c r="AFE927" s="827"/>
      <c r="AFF927" s="827"/>
      <c r="AFG927" s="827"/>
      <c r="AFH927" s="827"/>
      <c r="AFI927" s="827"/>
      <c r="AFJ927" s="827"/>
      <c r="AFK927" s="827"/>
      <c r="AFL927" s="827"/>
      <c r="AFM927" s="827"/>
      <c r="AFN927" s="827"/>
      <c r="AFO927" s="827"/>
      <c r="AFP927" s="827"/>
      <c r="AFQ927" s="827"/>
      <c r="AFR927" s="827"/>
      <c r="AFS927" s="827"/>
      <c r="AFT927" s="827"/>
      <c r="AFU927" s="827"/>
      <c r="AFV927" s="827"/>
      <c r="AFW927" s="827"/>
      <c r="AFX927" s="827"/>
      <c r="AFY927" s="827"/>
      <c r="AFZ927" s="827"/>
      <c r="AGA927" s="827"/>
      <c r="AGB927" s="827"/>
      <c r="AGC927" s="827"/>
      <c r="AGD927" s="827"/>
      <c r="AGE927" s="827"/>
      <c r="AGF927" s="827"/>
      <c r="AGG927" s="827"/>
      <c r="AGH927" s="827"/>
      <c r="AGI927" s="827"/>
      <c r="AGJ927" s="827"/>
    </row>
    <row r="928" spans="1:868" s="7" customFormat="1" hidden="1">
      <c r="A928" s="625" t="s">
        <v>118</v>
      </c>
      <c r="B928" s="59" t="s">
        <v>438</v>
      </c>
      <c r="C928" s="40" t="s">
        <v>139</v>
      </c>
      <c r="D928" s="34" t="s">
        <v>99</v>
      </c>
      <c r="E928" s="879">
        <v>0.10650572468270171</v>
      </c>
      <c r="F928" s="34">
        <v>2</v>
      </c>
      <c r="G928" s="40" t="s">
        <v>433</v>
      </c>
      <c r="H928" s="29">
        <v>1</v>
      </c>
      <c r="I928" s="9">
        <v>2</v>
      </c>
      <c r="J928" s="9">
        <v>2</v>
      </c>
      <c r="K928" s="9">
        <v>1</v>
      </c>
      <c r="L928" s="9">
        <v>1</v>
      </c>
      <c r="M928" s="9">
        <v>2</v>
      </c>
      <c r="N928" s="186">
        <f t="shared" si="76"/>
        <v>0.35859414261160716</v>
      </c>
      <c r="O928" s="160">
        <f t="shared" si="75"/>
        <v>0.37356464144298934</v>
      </c>
      <c r="P928" s="63"/>
      <c r="Q928" s="827"/>
      <c r="R928" s="827"/>
      <c r="S928" s="827"/>
      <c r="T928" s="827"/>
      <c r="U928" s="827"/>
      <c r="V928" s="827"/>
      <c r="W928" s="827"/>
      <c r="X928" s="827"/>
      <c r="Y928" s="827"/>
      <c r="Z928" s="827"/>
      <c r="AA928" s="827"/>
      <c r="AB928" s="827"/>
      <c r="AC928" s="827"/>
      <c r="AD928" s="827"/>
      <c r="AE928" s="827"/>
      <c r="AF928" s="827"/>
      <c r="AG928" s="827"/>
      <c r="AH928" s="827"/>
      <c r="AI928" s="827"/>
      <c r="AJ928" s="827"/>
      <c r="AK928" s="827"/>
      <c r="AL928" s="827"/>
      <c r="AM928" s="827"/>
      <c r="AN928" s="827"/>
      <c r="AO928" s="827"/>
      <c r="AP928" s="827"/>
      <c r="AQ928" s="827"/>
      <c r="AR928" s="827"/>
      <c r="AS928" s="827"/>
      <c r="AT928" s="827"/>
      <c r="AU928" s="827"/>
      <c r="AV928" s="827"/>
      <c r="AW928" s="827"/>
      <c r="AX928" s="827"/>
      <c r="AY928" s="827"/>
      <c r="AZ928" s="827"/>
      <c r="BA928" s="827"/>
      <c r="BB928" s="827"/>
      <c r="BC928" s="827"/>
      <c r="BD928" s="827"/>
      <c r="BE928" s="827"/>
      <c r="BF928" s="827"/>
      <c r="BG928" s="827"/>
      <c r="BH928" s="827"/>
      <c r="BI928" s="827"/>
      <c r="BJ928" s="827"/>
      <c r="BK928" s="827"/>
      <c r="BL928" s="827"/>
      <c r="BM928" s="827"/>
      <c r="BN928" s="827"/>
      <c r="BO928" s="827"/>
      <c r="BP928" s="827"/>
      <c r="BQ928" s="827"/>
      <c r="BR928" s="827"/>
      <c r="BS928" s="827"/>
      <c r="BT928" s="827"/>
      <c r="BU928" s="827"/>
      <c r="BV928" s="827"/>
      <c r="BW928" s="827"/>
      <c r="BX928" s="827"/>
      <c r="BY928" s="827"/>
      <c r="BZ928" s="827"/>
      <c r="CA928" s="827"/>
      <c r="CB928" s="827"/>
      <c r="CC928" s="827"/>
      <c r="CD928" s="827"/>
      <c r="CE928" s="827"/>
      <c r="CF928" s="827"/>
      <c r="CG928" s="827"/>
      <c r="CH928" s="827"/>
      <c r="CI928" s="827"/>
      <c r="CJ928" s="827"/>
      <c r="CK928" s="827"/>
      <c r="CL928" s="827"/>
      <c r="CM928" s="827"/>
      <c r="CN928" s="827"/>
      <c r="CO928" s="827"/>
      <c r="CP928" s="827"/>
      <c r="CQ928" s="827"/>
      <c r="CR928" s="827"/>
      <c r="CS928" s="827"/>
      <c r="CT928" s="827"/>
      <c r="CU928" s="827"/>
      <c r="CV928" s="827"/>
      <c r="CW928" s="827"/>
      <c r="CX928" s="827"/>
      <c r="CY928" s="827"/>
      <c r="CZ928" s="827"/>
      <c r="DA928" s="827"/>
      <c r="DB928" s="827"/>
      <c r="DC928" s="827"/>
      <c r="DD928" s="827"/>
      <c r="DE928" s="827"/>
      <c r="DF928" s="827"/>
      <c r="DG928" s="827"/>
      <c r="DH928" s="827"/>
      <c r="DI928" s="827"/>
      <c r="DJ928" s="827"/>
      <c r="DK928" s="827"/>
      <c r="DL928" s="827"/>
      <c r="DM928" s="827"/>
      <c r="DN928" s="827"/>
      <c r="DO928" s="827"/>
      <c r="DP928" s="827"/>
      <c r="DQ928" s="827"/>
      <c r="DR928" s="827"/>
      <c r="DS928" s="827"/>
      <c r="DT928" s="827"/>
      <c r="DU928" s="827"/>
      <c r="DV928" s="827"/>
      <c r="DW928" s="827"/>
      <c r="DX928" s="827"/>
      <c r="DY928" s="827"/>
      <c r="DZ928" s="827"/>
      <c r="EA928" s="827"/>
      <c r="EB928" s="827"/>
      <c r="EC928" s="827"/>
      <c r="ED928" s="827"/>
      <c r="EE928" s="827"/>
      <c r="EF928" s="827"/>
      <c r="EG928" s="827"/>
      <c r="EH928" s="827"/>
      <c r="EI928" s="827"/>
      <c r="EJ928" s="827"/>
      <c r="EK928" s="827"/>
      <c r="EL928" s="827"/>
      <c r="EM928" s="827"/>
      <c r="EN928" s="827"/>
      <c r="EO928" s="827"/>
      <c r="EP928" s="827"/>
      <c r="EQ928" s="827"/>
      <c r="ER928" s="827"/>
      <c r="ES928" s="827"/>
      <c r="ET928" s="827"/>
      <c r="EU928" s="827"/>
      <c r="EV928" s="827"/>
      <c r="EW928" s="827"/>
      <c r="EX928" s="827"/>
      <c r="EY928" s="827"/>
      <c r="EZ928" s="827"/>
      <c r="FA928" s="827"/>
      <c r="FB928" s="827"/>
      <c r="FC928" s="827"/>
      <c r="FD928" s="827"/>
      <c r="FE928" s="827"/>
      <c r="FF928" s="827"/>
      <c r="FG928" s="827"/>
      <c r="FH928" s="827"/>
      <c r="FI928" s="827"/>
      <c r="FJ928" s="827"/>
      <c r="FK928" s="827"/>
      <c r="FL928" s="827"/>
      <c r="FM928" s="827"/>
      <c r="FN928" s="827"/>
      <c r="FO928" s="827"/>
      <c r="FP928" s="827"/>
      <c r="FQ928" s="827"/>
      <c r="FR928" s="827"/>
      <c r="FS928" s="827"/>
      <c r="FT928" s="827"/>
      <c r="FU928" s="827"/>
      <c r="FV928" s="827"/>
      <c r="FW928" s="827"/>
      <c r="FX928" s="827"/>
      <c r="FY928" s="827"/>
      <c r="FZ928" s="827"/>
      <c r="GA928" s="827"/>
      <c r="GB928" s="827"/>
      <c r="GC928" s="827"/>
      <c r="GD928" s="827"/>
      <c r="GE928" s="827"/>
      <c r="GF928" s="827"/>
      <c r="GG928" s="827"/>
      <c r="GH928" s="827"/>
      <c r="GI928" s="827"/>
      <c r="GJ928" s="827"/>
      <c r="GK928" s="827"/>
      <c r="GL928" s="827"/>
      <c r="GM928" s="827"/>
      <c r="GN928" s="827"/>
      <c r="GO928" s="827"/>
      <c r="GP928" s="827"/>
      <c r="GQ928" s="827"/>
      <c r="GR928" s="827"/>
      <c r="GS928" s="827"/>
      <c r="GT928" s="827"/>
      <c r="GU928" s="827"/>
      <c r="GV928" s="827"/>
      <c r="GW928" s="827"/>
      <c r="GX928" s="827"/>
      <c r="GY928" s="827"/>
      <c r="GZ928" s="827"/>
      <c r="HA928" s="827"/>
      <c r="HB928" s="827"/>
      <c r="HC928" s="827"/>
      <c r="HD928" s="827"/>
      <c r="HE928" s="827"/>
      <c r="HF928" s="827"/>
      <c r="HG928" s="827"/>
      <c r="HH928" s="827"/>
      <c r="HI928" s="827"/>
      <c r="HJ928" s="827"/>
      <c r="HK928" s="827"/>
      <c r="HL928" s="827"/>
      <c r="HM928" s="827"/>
      <c r="HN928" s="827"/>
      <c r="HO928" s="827"/>
      <c r="HP928" s="827"/>
      <c r="HQ928" s="827"/>
      <c r="HR928" s="827"/>
      <c r="HS928" s="827"/>
      <c r="HT928" s="827"/>
      <c r="HU928" s="827"/>
      <c r="HV928" s="827"/>
      <c r="HW928" s="827"/>
      <c r="HX928" s="827"/>
      <c r="HY928" s="827"/>
      <c r="HZ928" s="827"/>
      <c r="IA928" s="827"/>
      <c r="IB928" s="827"/>
      <c r="IC928" s="827"/>
      <c r="ID928" s="827"/>
      <c r="IE928" s="827"/>
      <c r="IF928" s="827"/>
      <c r="IG928" s="827"/>
      <c r="IH928" s="827"/>
      <c r="II928" s="827"/>
      <c r="IJ928" s="827"/>
      <c r="IK928" s="827"/>
      <c r="IL928" s="827"/>
      <c r="IM928" s="827"/>
      <c r="IN928" s="827"/>
      <c r="IO928" s="827"/>
      <c r="IP928" s="827"/>
      <c r="IQ928" s="827"/>
      <c r="IR928" s="827"/>
      <c r="IS928" s="827"/>
      <c r="IT928" s="827"/>
      <c r="IU928" s="827"/>
      <c r="IV928" s="827"/>
      <c r="IW928" s="827"/>
      <c r="IX928" s="827"/>
      <c r="IY928" s="827"/>
      <c r="IZ928" s="827"/>
      <c r="JA928" s="827"/>
      <c r="JB928" s="827"/>
      <c r="JC928" s="827"/>
      <c r="JD928" s="827"/>
      <c r="JE928" s="827"/>
      <c r="JF928" s="827"/>
      <c r="JG928" s="827"/>
      <c r="JH928" s="827"/>
      <c r="JI928" s="827"/>
      <c r="JJ928" s="827"/>
      <c r="JK928" s="827"/>
      <c r="JL928" s="827"/>
      <c r="JM928" s="827"/>
      <c r="JN928" s="827"/>
      <c r="JO928" s="827"/>
      <c r="JP928" s="827"/>
      <c r="JQ928" s="827"/>
      <c r="JR928" s="827"/>
      <c r="JS928" s="827"/>
      <c r="JT928" s="827"/>
      <c r="JU928" s="827"/>
      <c r="JV928" s="827"/>
      <c r="JW928" s="827"/>
      <c r="JX928" s="827"/>
      <c r="JY928" s="827"/>
      <c r="JZ928" s="827"/>
      <c r="KA928" s="827"/>
      <c r="KB928" s="827"/>
      <c r="KC928" s="827"/>
      <c r="KD928" s="827"/>
      <c r="KE928" s="827"/>
      <c r="KF928" s="827"/>
      <c r="KG928" s="827"/>
      <c r="KH928" s="827"/>
      <c r="KI928" s="827"/>
      <c r="KJ928" s="827"/>
      <c r="KK928" s="827"/>
      <c r="KL928" s="827"/>
      <c r="KM928" s="827"/>
      <c r="KN928" s="827"/>
      <c r="KO928" s="827"/>
      <c r="KP928" s="827"/>
      <c r="KQ928" s="827"/>
      <c r="KR928" s="827"/>
      <c r="KS928" s="827"/>
      <c r="KT928" s="827"/>
      <c r="KU928" s="827"/>
      <c r="KV928" s="827"/>
      <c r="KW928" s="827"/>
      <c r="KX928" s="827"/>
      <c r="KY928" s="827"/>
      <c r="KZ928" s="827"/>
      <c r="LA928" s="827"/>
      <c r="LB928" s="827"/>
      <c r="LC928" s="827"/>
      <c r="LD928" s="827"/>
      <c r="LE928" s="827"/>
      <c r="LF928" s="827"/>
      <c r="LG928" s="827"/>
      <c r="LH928" s="827"/>
      <c r="LI928" s="827"/>
      <c r="LJ928" s="827"/>
      <c r="LK928" s="827"/>
      <c r="LL928" s="827"/>
      <c r="LM928" s="827"/>
      <c r="LN928" s="827"/>
      <c r="LO928" s="827"/>
      <c r="LP928" s="827"/>
      <c r="LQ928" s="827"/>
      <c r="LR928" s="827"/>
      <c r="LS928" s="827"/>
      <c r="LT928" s="827"/>
      <c r="LU928" s="827"/>
      <c r="LV928" s="827"/>
      <c r="LW928" s="827"/>
      <c r="LX928" s="827"/>
      <c r="LY928" s="827"/>
      <c r="LZ928" s="827"/>
      <c r="MA928" s="827"/>
      <c r="MB928" s="827"/>
      <c r="MC928" s="827"/>
      <c r="MD928" s="827"/>
      <c r="ME928" s="827"/>
      <c r="MF928" s="827"/>
      <c r="MG928" s="827"/>
      <c r="MH928" s="827"/>
      <c r="MI928" s="827"/>
      <c r="MJ928" s="827"/>
      <c r="MK928" s="827"/>
      <c r="ML928" s="827"/>
      <c r="MM928" s="827"/>
      <c r="MN928" s="827"/>
      <c r="MO928" s="827"/>
      <c r="MP928" s="827"/>
      <c r="MQ928" s="827"/>
      <c r="MR928" s="827"/>
      <c r="MS928" s="827"/>
      <c r="MT928" s="827"/>
      <c r="MU928" s="827"/>
      <c r="MV928" s="827"/>
      <c r="MW928" s="827"/>
      <c r="MX928" s="827"/>
      <c r="MY928" s="827"/>
      <c r="MZ928" s="827"/>
      <c r="NA928" s="827"/>
      <c r="NB928" s="827"/>
      <c r="NC928" s="827"/>
      <c r="ND928" s="827"/>
      <c r="NE928" s="827"/>
      <c r="NF928" s="827"/>
      <c r="NG928" s="827"/>
      <c r="NH928" s="827"/>
      <c r="NI928" s="827"/>
      <c r="NJ928" s="827"/>
      <c r="NK928" s="827"/>
      <c r="NL928" s="827"/>
      <c r="NM928" s="827"/>
      <c r="NN928" s="827"/>
      <c r="NO928" s="827"/>
      <c r="NP928" s="827"/>
      <c r="NQ928" s="827"/>
      <c r="NR928" s="827"/>
      <c r="NS928" s="827"/>
      <c r="NT928" s="827"/>
      <c r="NU928" s="827"/>
      <c r="NV928" s="827"/>
      <c r="NW928" s="827"/>
      <c r="NX928" s="827"/>
      <c r="NY928" s="827"/>
      <c r="NZ928" s="827"/>
      <c r="OA928" s="827"/>
      <c r="OB928" s="827"/>
      <c r="OC928" s="827"/>
      <c r="OD928" s="827"/>
      <c r="OE928" s="827"/>
      <c r="OF928" s="827"/>
      <c r="OG928" s="827"/>
      <c r="OH928" s="827"/>
      <c r="OI928" s="827"/>
      <c r="OJ928" s="827"/>
      <c r="OK928" s="827"/>
      <c r="OL928" s="827"/>
      <c r="OM928" s="827"/>
      <c r="ON928" s="827"/>
      <c r="OO928" s="827"/>
      <c r="OP928" s="827"/>
      <c r="OQ928" s="827"/>
      <c r="OR928" s="827"/>
      <c r="OS928" s="827"/>
      <c r="OT928" s="827"/>
      <c r="OU928" s="827"/>
      <c r="OV928" s="827"/>
      <c r="OW928" s="827"/>
      <c r="OX928" s="827"/>
      <c r="OY928" s="827"/>
      <c r="OZ928" s="827"/>
      <c r="PA928" s="827"/>
      <c r="PB928" s="827"/>
      <c r="PC928" s="827"/>
      <c r="PD928" s="827"/>
      <c r="PE928" s="827"/>
      <c r="PF928" s="827"/>
      <c r="PG928" s="827"/>
      <c r="PH928" s="827"/>
      <c r="PI928" s="827"/>
      <c r="PJ928" s="827"/>
      <c r="PK928" s="827"/>
      <c r="PL928" s="827"/>
      <c r="PM928" s="827"/>
      <c r="PN928" s="827"/>
      <c r="PO928" s="827"/>
      <c r="PP928" s="827"/>
      <c r="PQ928" s="827"/>
      <c r="PR928" s="827"/>
      <c r="PS928" s="827"/>
      <c r="PT928" s="827"/>
      <c r="PU928" s="827"/>
      <c r="PV928" s="827"/>
      <c r="PW928" s="827"/>
      <c r="PX928" s="827"/>
      <c r="PY928" s="827"/>
      <c r="PZ928" s="827"/>
      <c r="QA928" s="827"/>
      <c r="QB928" s="827"/>
      <c r="QC928" s="827"/>
      <c r="QD928" s="827"/>
      <c r="QE928" s="827"/>
      <c r="QF928" s="827"/>
      <c r="QG928" s="827"/>
      <c r="QH928" s="827"/>
      <c r="QI928" s="827"/>
      <c r="QJ928" s="827"/>
      <c r="QK928" s="827"/>
      <c r="QL928" s="827"/>
      <c r="QM928" s="827"/>
      <c r="QN928" s="827"/>
      <c r="QO928" s="827"/>
      <c r="QP928" s="827"/>
      <c r="QQ928" s="827"/>
      <c r="QR928" s="827"/>
      <c r="QS928" s="827"/>
      <c r="QT928" s="827"/>
      <c r="QU928" s="827"/>
      <c r="QV928" s="827"/>
      <c r="QW928" s="827"/>
      <c r="QX928" s="827"/>
      <c r="QY928" s="827"/>
      <c r="QZ928" s="827"/>
      <c r="RA928" s="827"/>
      <c r="RB928" s="827"/>
      <c r="RC928" s="827"/>
      <c r="RD928" s="827"/>
      <c r="RE928" s="827"/>
      <c r="RF928" s="827"/>
      <c r="RG928" s="827"/>
      <c r="RH928" s="827"/>
      <c r="RI928" s="827"/>
      <c r="RJ928" s="827"/>
      <c r="RK928" s="827"/>
      <c r="RL928" s="827"/>
      <c r="RM928" s="827"/>
      <c r="RN928" s="827"/>
      <c r="RO928" s="827"/>
      <c r="RP928" s="827"/>
      <c r="RQ928" s="827"/>
      <c r="RR928" s="827"/>
      <c r="RS928" s="827"/>
      <c r="RT928" s="827"/>
      <c r="RU928" s="827"/>
      <c r="RV928" s="827"/>
      <c r="RW928" s="827"/>
      <c r="RX928" s="827"/>
      <c r="RY928" s="827"/>
      <c r="RZ928" s="827"/>
      <c r="SA928" s="827"/>
      <c r="SB928" s="827"/>
      <c r="SC928" s="827"/>
      <c r="SD928" s="827"/>
      <c r="SE928" s="827"/>
      <c r="SF928" s="827"/>
      <c r="SG928" s="827"/>
      <c r="SH928" s="827"/>
      <c r="SI928" s="827"/>
      <c r="SJ928" s="827"/>
      <c r="SK928" s="827"/>
      <c r="SL928" s="827"/>
      <c r="SM928" s="827"/>
      <c r="SN928" s="827"/>
      <c r="SO928" s="827"/>
      <c r="SP928" s="827"/>
      <c r="SQ928" s="827"/>
      <c r="SR928" s="827"/>
      <c r="SS928" s="827"/>
      <c r="ST928" s="827"/>
      <c r="SU928" s="827"/>
      <c r="SV928" s="827"/>
      <c r="SW928" s="827"/>
      <c r="SX928" s="827"/>
      <c r="SY928" s="827"/>
      <c r="SZ928" s="827"/>
      <c r="TA928" s="827"/>
      <c r="TB928" s="827"/>
      <c r="TC928" s="827"/>
      <c r="TD928" s="827"/>
      <c r="TE928" s="827"/>
      <c r="TF928" s="827"/>
      <c r="TG928" s="827"/>
      <c r="TH928" s="827"/>
      <c r="TI928" s="827"/>
      <c r="TJ928" s="827"/>
      <c r="TK928" s="827"/>
      <c r="TL928" s="827"/>
      <c r="TM928" s="827"/>
      <c r="TN928" s="827"/>
      <c r="TO928" s="827"/>
      <c r="TP928" s="827"/>
      <c r="TQ928" s="827"/>
      <c r="TR928" s="827"/>
      <c r="TS928" s="827"/>
      <c r="TT928" s="827"/>
      <c r="TU928" s="827"/>
      <c r="TV928" s="827"/>
      <c r="TW928" s="827"/>
      <c r="TX928" s="827"/>
      <c r="TY928" s="827"/>
      <c r="TZ928" s="827"/>
      <c r="UA928" s="827"/>
      <c r="UB928" s="827"/>
      <c r="UC928" s="827"/>
      <c r="UD928" s="827"/>
      <c r="UE928" s="827"/>
      <c r="UF928" s="827"/>
      <c r="UG928" s="827"/>
      <c r="UH928" s="827"/>
      <c r="UI928" s="827"/>
      <c r="UJ928" s="827"/>
      <c r="UK928" s="827"/>
      <c r="UL928" s="827"/>
      <c r="UM928" s="827"/>
      <c r="UN928" s="827"/>
      <c r="UO928" s="827"/>
      <c r="UP928" s="827"/>
      <c r="UQ928" s="827"/>
      <c r="UR928" s="827"/>
      <c r="US928" s="827"/>
      <c r="UT928" s="827"/>
      <c r="UU928" s="827"/>
      <c r="UV928" s="827"/>
      <c r="UW928" s="827"/>
      <c r="UX928" s="827"/>
      <c r="UY928" s="827"/>
      <c r="UZ928" s="827"/>
      <c r="VA928" s="827"/>
      <c r="VB928" s="827"/>
      <c r="VC928" s="827"/>
      <c r="VD928" s="827"/>
      <c r="VE928" s="827"/>
      <c r="VF928" s="827"/>
      <c r="VG928" s="827"/>
      <c r="VH928" s="827"/>
      <c r="VI928" s="827"/>
      <c r="VJ928" s="827"/>
      <c r="VK928" s="827"/>
      <c r="VL928" s="827"/>
      <c r="VM928" s="827"/>
      <c r="VN928" s="827"/>
      <c r="VO928" s="827"/>
      <c r="VP928" s="827"/>
      <c r="VQ928" s="827"/>
      <c r="VR928" s="827"/>
      <c r="VS928" s="827"/>
      <c r="VT928" s="827"/>
      <c r="VU928" s="827"/>
      <c r="VV928" s="827"/>
      <c r="VW928" s="827"/>
      <c r="VX928" s="827"/>
      <c r="VY928" s="827"/>
      <c r="VZ928" s="827"/>
      <c r="WA928" s="827"/>
      <c r="WB928" s="827"/>
      <c r="WC928" s="827"/>
      <c r="WD928" s="827"/>
      <c r="WE928" s="827"/>
      <c r="WF928" s="827"/>
      <c r="WG928" s="827"/>
      <c r="WH928" s="827"/>
      <c r="WI928" s="827"/>
      <c r="WJ928" s="827"/>
      <c r="WK928" s="827"/>
      <c r="WL928" s="827"/>
      <c r="WM928" s="827"/>
      <c r="WN928" s="827"/>
      <c r="WO928" s="827"/>
      <c r="WP928" s="827"/>
      <c r="WQ928" s="827"/>
      <c r="WR928" s="827"/>
      <c r="WS928" s="827"/>
      <c r="WT928" s="827"/>
      <c r="WU928" s="827"/>
      <c r="WV928" s="827"/>
      <c r="WW928" s="827"/>
      <c r="WX928" s="827"/>
      <c r="WY928" s="827"/>
      <c r="WZ928" s="827"/>
      <c r="XA928" s="827"/>
      <c r="XB928" s="827"/>
      <c r="XC928" s="827"/>
      <c r="XD928" s="827"/>
      <c r="XE928" s="827"/>
      <c r="XF928" s="827"/>
      <c r="XG928" s="827"/>
      <c r="XH928" s="827"/>
      <c r="XI928" s="827"/>
      <c r="XJ928" s="827"/>
      <c r="XK928" s="827"/>
      <c r="XL928" s="827"/>
      <c r="XM928" s="827"/>
      <c r="XN928" s="827"/>
      <c r="XO928" s="827"/>
      <c r="XP928" s="827"/>
      <c r="XQ928" s="827"/>
      <c r="XR928" s="827"/>
      <c r="XS928" s="827"/>
      <c r="XT928" s="827"/>
      <c r="XU928" s="827"/>
      <c r="XV928" s="827"/>
      <c r="XW928" s="827"/>
      <c r="XX928" s="827"/>
      <c r="XY928" s="827"/>
      <c r="XZ928" s="827"/>
      <c r="YA928" s="827"/>
      <c r="YB928" s="827"/>
      <c r="YC928" s="827"/>
      <c r="YD928" s="827"/>
      <c r="YE928" s="827"/>
      <c r="YF928" s="827"/>
      <c r="YG928" s="827"/>
      <c r="YH928" s="827"/>
      <c r="YI928" s="827"/>
      <c r="YJ928" s="827"/>
      <c r="YK928" s="827"/>
      <c r="YL928" s="827"/>
      <c r="YM928" s="827"/>
      <c r="YN928" s="827"/>
      <c r="YO928" s="827"/>
      <c r="YP928" s="827"/>
      <c r="YQ928" s="827"/>
      <c r="YR928" s="827"/>
      <c r="YS928" s="827"/>
      <c r="YT928" s="827"/>
      <c r="YU928" s="827"/>
      <c r="YV928" s="827"/>
      <c r="YW928" s="827"/>
      <c r="YX928" s="827"/>
      <c r="YY928" s="827"/>
      <c r="YZ928" s="827"/>
      <c r="ZA928" s="827"/>
      <c r="ZB928" s="827"/>
      <c r="ZC928" s="827"/>
      <c r="ZD928" s="827"/>
      <c r="ZE928" s="827"/>
      <c r="ZF928" s="827"/>
      <c r="ZG928" s="827"/>
      <c r="ZH928" s="827"/>
      <c r="ZI928" s="827"/>
      <c r="ZJ928" s="827"/>
      <c r="ZK928" s="827"/>
      <c r="ZL928" s="827"/>
      <c r="ZM928" s="827"/>
      <c r="ZN928" s="827"/>
      <c r="ZO928" s="827"/>
      <c r="ZP928" s="827"/>
      <c r="ZQ928" s="827"/>
      <c r="ZR928" s="827"/>
      <c r="ZS928" s="827"/>
      <c r="ZT928" s="827"/>
      <c r="ZU928" s="827"/>
      <c r="ZV928" s="827"/>
      <c r="ZW928" s="827"/>
      <c r="ZX928" s="827"/>
      <c r="ZY928" s="827"/>
      <c r="ZZ928" s="827"/>
      <c r="AAA928" s="827"/>
      <c r="AAB928" s="827"/>
      <c r="AAC928" s="827"/>
      <c r="AAD928" s="827"/>
      <c r="AAE928" s="827"/>
      <c r="AAF928" s="827"/>
      <c r="AAG928" s="827"/>
      <c r="AAH928" s="827"/>
      <c r="AAI928" s="827"/>
      <c r="AAJ928" s="827"/>
      <c r="AAK928" s="827"/>
      <c r="AAL928" s="827"/>
      <c r="AAM928" s="827"/>
      <c r="AAN928" s="827"/>
      <c r="AAO928" s="827"/>
      <c r="AAP928" s="827"/>
      <c r="AAQ928" s="827"/>
      <c r="AAR928" s="827"/>
      <c r="AAS928" s="827"/>
      <c r="AAT928" s="827"/>
      <c r="AAU928" s="827"/>
      <c r="AAV928" s="827"/>
      <c r="AAW928" s="827"/>
      <c r="AAX928" s="827"/>
      <c r="AAY928" s="827"/>
      <c r="AAZ928" s="827"/>
      <c r="ABA928" s="827"/>
      <c r="ABB928" s="827"/>
      <c r="ABC928" s="827"/>
      <c r="ABD928" s="827"/>
      <c r="ABE928" s="827"/>
      <c r="ABF928" s="827"/>
      <c r="ABG928" s="827"/>
      <c r="ABH928" s="827"/>
      <c r="ABI928" s="827"/>
      <c r="ABJ928" s="827"/>
      <c r="ABK928" s="827"/>
      <c r="ABL928" s="827"/>
      <c r="ABM928" s="827"/>
      <c r="ABN928" s="827"/>
      <c r="ABO928" s="827"/>
      <c r="ABP928" s="827"/>
      <c r="ABQ928" s="827"/>
      <c r="ABR928" s="827"/>
      <c r="ABS928" s="827"/>
      <c r="ABT928" s="827"/>
      <c r="ABU928" s="827"/>
      <c r="ABV928" s="827"/>
      <c r="ABW928" s="827"/>
      <c r="ABX928" s="827"/>
      <c r="ABY928" s="827"/>
      <c r="ABZ928" s="827"/>
      <c r="ACA928" s="827"/>
      <c r="ACB928" s="827"/>
      <c r="ACC928" s="827"/>
      <c r="ACD928" s="827"/>
      <c r="ACE928" s="827"/>
      <c r="ACF928" s="827"/>
      <c r="ACG928" s="827"/>
      <c r="ACH928" s="827"/>
      <c r="ACI928" s="827"/>
      <c r="ACJ928" s="827"/>
      <c r="ACK928" s="827"/>
      <c r="ACL928" s="827"/>
      <c r="ACM928" s="827"/>
      <c r="ACN928" s="827"/>
      <c r="ACO928" s="827"/>
      <c r="ACP928" s="827"/>
      <c r="ACQ928" s="827"/>
      <c r="ACR928" s="827"/>
      <c r="ACS928" s="827"/>
      <c r="ACT928" s="827"/>
      <c r="ACU928" s="827"/>
      <c r="ACV928" s="827"/>
      <c r="ACW928" s="827"/>
      <c r="ACX928" s="827"/>
      <c r="ACY928" s="827"/>
      <c r="ACZ928" s="827"/>
      <c r="ADA928" s="827"/>
      <c r="ADB928" s="827"/>
      <c r="ADC928" s="827"/>
      <c r="ADD928" s="827"/>
      <c r="ADE928" s="827"/>
      <c r="ADF928" s="827"/>
      <c r="ADG928" s="827"/>
      <c r="ADH928" s="827"/>
      <c r="ADI928" s="827"/>
      <c r="ADJ928" s="827"/>
      <c r="ADK928" s="827"/>
      <c r="ADL928" s="827"/>
      <c r="ADM928" s="827"/>
      <c r="ADN928" s="827"/>
      <c r="ADO928" s="827"/>
      <c r="ADP928" s="827"/>
      <c r="ADQ928" s="827"/>
      <c r="ADR928" s="827"/>
      <c r="ADS928" s="827"/>
      <c r="ADT928" s="827"/>
      <c r="ADU928" s="827"/>
      <c r="ADV928" s="827"/>
      <c r="ADW928" s="827"/>
      <c r="ADX928" s="827"/>
      <c r="ADY928" s="827"/>
      <c r="ADZ928" s="827"/>
      <c r="AEA928" s="827"/>
      <c r="AEB928" s="827"/>
      <c r="AEC928" s="827"/>
      <c r="AED928" s="827"/>
      <c r="AEE928" s="827"/>
      <c r="AEF928" s="827"/>
      <c r="AEG928" s="827"/>
      <c r="AEH928" s="827"/>
      <c r="AEI928" s="827"/>
      <c r="AEJ928" s="827"/>
      <c r="AEK928" s="827"/>
      <c r="AEL928" s="827"/>
      <c r="AEM928" s="827"/>
      <c r="AEN928" s="827"/>
      <c r="AEO928" s="827"/>
      <c r="AEP928" s="827"/>
      <c r="AEQ928" s="827"/>
      <c r="AER928" s="827"/>
      <c r="AES928" s="827"/>
      <c r="AET928" s="827"/>
      <c r="AEU928" s="827"/>
      <c r="AEV928" s="827"/>
      <c r="AEW928" s="827"/>
      <c r="AEX928" s="827"/>
      <c r="AEY928" s="827"/>
      <c r="AEZ928" s="827"/>
      <c r="AFA928" s="827"/>
      <c r="AFB928" s="827"/>
      <c r="AFC928" s="827"/>
      <c r="AFD928" s="827"/>
      <c r="AFE928" s="827"/>
      <c r="AFF928" s="827"/>
      <c r="AFG928" s="827"/>
      <c r="AFH928" s="827"/>
      <c r="AFI928" s="827"/>
      <c r="AFJ928" s="827"/>
      <c r="AFK928" s="827"/>
      <c r="AFL928" s="827"/>
      <c r="AFM928" s="827"/>
      <c r="AFN928" s="827"/>
      <c r="AFO928" s="827"/>
      <c r="AFP928" s="827"/>
      <c r="AFQ928" s="827"/>
      <c r="AFR928" s="827"/>
      <c r="AFS928" s="827"/>
      <c r="AFT928" s="827"/>
      <c r="AFU928" s="827"/>
      <c r="AFV928" s="827"/>
      <c r="AFW928" s="827"/>
      <c r="AFX928" s="827"/>
      <c r="AFY928" s="827"/>
      <c r="AFZ928" s="827"/>
      <c r="AGA928" s="827"/>
      <c r="AGB928" s="827"/>
      <c r="AGC928" s="827"/>
      <c r="AGD928" s="827"/>
      <c r="AGE928" s="827"/>
      <c r="AGF928" s="827"/>
      <c r="AGG928" s="827"/>
      <c r="AGH928" s="827"/>
      <c r="AGI928" s="827"/>
      <c r="AGJ928" s="827"/>
    </row>
    <row r="929" spans="1:868" s="7" customFormat="1" hidden="1">
      <c r="A929" s="625" t="s">
        <v>118</v>
      </c>
      <c r="B929" s="59" t="s">
        <v>439</v>
      </c>
      <c r="C929" s="40" t="s">
        <v>139</v>
      </c>
      <c r="D929" s="34" t="s">
        <v>99</v>
      </c>
      <c r="E929" s="879">
        <v>8.5204579746161357E-2</v>
      </c>
      <c r="F929" s="34">
        <v>2</v>
      </c>
      <c r="G929" s="40" t="s">
        <v>433</v>
      </c>
      <c r="H929" s="29">
        <v>1</v>
      </c>
      <c r="I929" s="9">
        <v>2</v>
      </c>
      <c r="J929" s="9">
        <v>2</v>
      </c>
      <c r="K929" s="9">
        <v>1</v>
      </c>
      <c r="L929" s="9">
        <v>1</v>
      </c>
      <c r="M929" s="9">
        <v>2</v>
      </c>
      <c r="N929" s="186">
        <f t="shared" si="76"/>
        <v>0.35859414261160716</v>
      </c>
      <c r="O929" s="160">
        <f t="shared" si="75"/>
        <v>0.37356464144298934</v>
      </c>
      <c r="P929" s="63"/>
      <c r="Q929" s="827"/>
      <c r="R929" s="827"/>
      <c r="S929" s="827"/>
      <c r="T929" s="827"/>
      <c r="U929" s="827"/>
      <c r="V929" s="827"/>
      <c r="W929" s="827"/>
      <c r="X929" s="827"/>
      <c r="Y929" s="827"/>
      <c r="Z929" s="827"/>
      <c r="AA929" s="827"/>
      <c r="AB929" s="827"/>
      <c r="AC929" s="827"/>
      <c r="AD929" s="827"/>
      <c r="AE929" s="827"/>
      <c r="AF929" s="827"/>
      <c r="AG929" s="827"/>
      <c r="AH929" s="827"/>
      <c r="AI929" s="827"/>
      <c r="AJ929" s="827"/>
      <c r="AK929" s="827"/>
      <c r="AL929" s="827"/>
      <c r="AM929" s="827"/>
      <c r="AN929" s="827"/>
      <c r="AO929" s="827"/>
      <c r="AP929" s="827"/>
      <c r="AQ929" s="827"/>
      <c r="AR929" s="827"/>
      <c r="AS929" s="827"/>
      <c r="AT929" s="827"/>
      <c r="AU929" s="827"/>
      <c r="AV929" s="827"/>
      <c r="AW929" s="827"/>
      <c r="AX929" s="827"/>
      <c r="AY929" s="827"/>
      <c r="AZ929" s="827"/>
      <c r="BA929" s="827"/>
      <c r="BB929" s="827"/>
      <c r="BC929" s="827"/>
      <c r="BD929" s="827"/>
      <c r="BE929" s="827"/>
      <c r="BF929" s="827"/>
      <c r="BG929" s="827"/>
      <c r="BH929" s="827"/>
      <c r="BI929" s="827"/>
      <c r="BJ929" s="827"/>
      <c r="BK929" s="827"/>
      <c r="BL929" s="827"/>
      <c r="BM929" s="827"/>
      <c r="BN929" s="827"/>
      <c r="BO929" s="827"/>
      <c r="BP929" s="827"/>
      <c r="BQ929" s="827"/>
      <c r="BR929" s="827"/>
      <c r="BS929" s="827"/>
      <c r="BT929" s="827"/>
      <c r="BU929" s="827"/>
      <c r="BV929" s="827"/>
      <c r="BW929" s="827"/>
      <c r="BX929" s="827"/>
      <c r="BY929" s="827"/>
      <c r="BZ929" s="827"/>
      <c r="CA929" s="827"/>
      <c r="CB929" s="827"/>
      <c r="CC929" s="827"/>
      <c r="CD929" s="827"/>
      <c r="CE929" s="827"/>
      <c r="CF929" s="827"/>
      <c r="CG929" s="827"/>
      <c r="CH929" s="827"/>
      <c r="CI929" s="827"/>
      <c r="CJ929" s="827"/>
      <c r="CK929" s="827"/>
      <c r="CL929" s="827"/>
      <c r="CM929" s="827"/>
      <c r="CN929" s="827"/>
      <c r="CO929" s="827"/>
      <c r="CP929" s="827"/>
      <c r="CQ929" s="827"/>
      <c r="CR929" s="827"/>
      <c r="CS929" s="827"/>
      <c r="CT929" s="827"/>
      <c r="CU929" s="827"/>
      <c r="CV929" s="827"/>
      <c r="CW929" s="827"/>
      <c r="CX929" s="827"/>
      <c r="CY929" s="827"/>
      <c r="CZ929" s="827"/>
      <c r="DA929" s="827"/>
      <c r="DB929" s="827"/>
      <c r="DC929" s="827"/>
      <c r="DD929" s="827"/>
      <c r="DE929" s="827"/>
      <c r="DF929" s="827"/>
      <c r="DG929" s="827"/>
      <c r="DH929" s="827"/>
      <c r="DI929" s="827"/>
      <c r="DJ929" s="827"/>
      <c r="DK929" s="827"/>
      <c r="DL929" s="827"/>
      <c r="DM929" s="827"/>
      <c r="DN929" s="827"/>
      <c r="DO929" s="827"/>
      <c r="DP929" s="827"/>
      <c r="DQ929" s="827"/>
      <c r="DR929" s="827"/>
      <c r="DS929" s="827"/>
      <c r="DT929" s="827"/>
      <c r="DU929" s="827"/>
      <c r="DV929" s="827"/>
      <c r="DW929" s="827"/>
      <c r="DX929" s="827"/>
      <c r="DY929" s="827"/>
      <c r="DZ929" s="827"/>
      <c r="EA929" s="827"/>
      <c r="EB929" s="827"/>
      <c r="EC929" s="827"/>
      <c r="ED929" s="827"/>
      <c r="EE929" s="827"/>
      <c r="EF929" s="827"/>
      <c r="EG929" s="827"/>
      <c r="EH929" s="827"/>
      <c r="EI929" s="827"/>
      <c r="EJ929" s="827"/>
      <c r="EK929" s="827"/>
      <c r="EL929" s="827"/>
      <c r="EM929" s="827"/>
      <c r="EN929" s="827"/>
      <c r="EO929" s="827"/>
      <c r="EP929" s="827"/>
      <c r="EQ929" s="827"/>
      <c r="ER929" s="827"/>
      <c r="ES929" s="827"/>
      <c r="ET929" s="827"/>
      <c r="EU929" s="827"/>
      <c r="EV929" s="827"/>
      <c r="EW929" s="827"/>
      <c r="EX929" s="827"/>
      <c r="EY929" s="827"/>
      <c r="EZ929" s="827"/>
      <c r="FA929" s="827"/>
      <c r="FB929" s="827"/>
      <c r="FC929" s="827"/>
      <c r="FD929" s="827"/>
      <c r="FE929" s="827"/>
      <c r="FF929" s="827"/>
      <c r="FG929" s="827"/>
      <c r="FH929" s="827"/>
      <c r="FI929" s="827"/>
      <c r="FJ929" s="827"/>
      <c r="FK929" s="827"/>
      <c r="FL929" s="827"/>
      <c r="FM929" s="827"/>
      <c r="FN929" s="827"/>
      <c r="FO929" s="827"/>
      <c r="FP929" s="827"/>
      <c r="FQ929" s="827"/>
      <c r="FR929" s="827"/>
      <c r="FS929" s="827"/>
      <c r="FT929" s="827"/>
      <c r="FU929" s="827"/>
      <c r="FV929" s="827"/>
      <c r="FW929" s="827"/>
      <c r="FX929" s="827"/>
      <c r="FY929" s="827"/>
      <c r="FZ929" s="827"/>
      <c r="GA929" s="827"/>
      <c r="GB929" s="827"/>
      <c r="GC929" s="827"/>
      <c r="GD929" s="827"/>
      <c r="GE929" s="827"/>
      <c r="GF929" s="827"/>
      <c r="GG929" s="827"/>
      <c r="GH929" s="827"/>
      <c r="GI929" s="827"/>
      <c r="GJ929" s="827"/>
      <c r="GK929" s="827"/>
      <c r="GL929" s="827"/>
      <c r="GM929" s="827"/>
      <c r="GN929" s="827"/>
      <c r="GO929" s="827"/>
      <c r="GP929" s="827"/>
      <c r="GQ929" s="827"/>
      <c r="GR929" s="827"/>
      <c r="GS929" s="827"/>
      <c r="GT929" s="827"/>
      <c r="GU929" s="827"/>
      <c r="GV929" s="827"/>
      <c r="GW929" s="827"/>
      <c r="GX929" s="827"/>
      <c r="GY929" s="827"/>
      <c r="GZ929" s="827"/>
      <c r="HA929" s="827"/>
      <c r="HB929" s="827"/>
      <c r="HC929" s="827"/>
      <c r="HD929" s="827"/>
      <c r="HE929" s="827"/>
      <c r="HF929" s="827"/>
      <c r="HG929" s="827"/>
      <c r="HH929" s="827"/>
      <c r="HI929" s="827"/>
      <c r="HJ929" s="827"/>
      <c r="HK929" s="827"/>
      <c r="HL929" s="827"/>
      <c r="HM929" s="827"/>
      <c r="HN929" s="827"/>
      <c r="HO929" s="827"/>
      <c r="HP929" s="827"/>
      <c r="HQ929" s="827"/>
      <c r="HR929" s="827"/>
      <c r="HS929" s="827"/>
      <c r="HT929" s="827"/>
      <c r="HU929" s="827"/>
      <c r="HV929" s="827"/>
      <c r="HW929" s="827"/>
      <c r="HX929" s="827"/>
      <c r="HY929" s="827"/>
      <c r="HZ929" s="827"/>
      <c r="IA929" s="827"/>
      <c r="IB929" s="827"/>
      <c r="IC929" s="827"/>
      <c r="ID929" s="827"/>
      <c r="IE929" s="827"/>
      <c r="IF929" s="827"/>
      <c r="IG929" s="827"/>
      <c r="IH929" s="827"/>
      <c r="II929" s="827"/>
      <c r="IJ929" s="827"/>
      <c r="IK929" s="827"/>
      <c r="IL929" s="827"/>
      <c r="IM929" s="827"/>
      <c r="IN929" s="827"/>
      <c r="IO929" s="827"/>
      <c r="IP929" s="827"/>
      <c r="IQ929" s="827"/>
      <c r="IR929" s="827"/>
      <c r="IS929" s="827"/>
      <c r="IT929" s="827"/>
      <c r="IU929" s="827"/>
      <c r="IV929" s="827"/>
      <c r="IW929" s="827"/>
      <c r="IX929" s="827"/>
      <c r="IY929" s="827"/>
      <c r="IZ929" s="827"/>
      <c r="JA929" s="827"/>
      <c r="JB929" s="827"/>
      <c r="JC929" s="827"/>
      <c r="JD929" s="827"/>
      <c r="JE929" s="827"/>
      <c r="JF929" s="827"/>
      <c r="JG929" s="827"/>
      <c r="JH929" s="827"/>
      <c r="JI929" s="827"/>
      <c r="JJ929" s="827"/>
      <c r="JK929" s="827"/>
      <c r="JL929" s="827"/>
      <c r="JM929" s="827"/>
      <c r="JN929" s="827"/>
      <c r="JO929" s="827"/>
      <c r="JP929" s="827"/>
      <c r="JQ929" s="827"/>
      <c r="JR929" s="827"/>
      <c r="JS929" s="827"/>
      <c r="JT929" s="827"/>
      <c r="JU929" s="827"/>
      <c r="JV929" s="827"/>
      <c r="JW929" s="827"/>
      <c r="JX929" s="827"/>
      <c r="JY929" s="827"/>
      <c r="JZ929" s="827"/>
      <c r="KA929" s="827"/>
      <c r="KB929" s="827"/>
      <c r="KC929" s="827"/>
      <c r="KD929" s="827"/>
      <c r="KE929" s="827"/>
      <c r="KF929" s="827"/>
      <c r="KG929" s="827"/>
      <c r="KH929" s="827"/>
      <c r="KI929" s="827"/>
      <c r="KJ929" s="827"/>
      <c r="KK929" s="827"/>
      <c r="KL929" s="827"/>
      <c r="KM929" s="827"/>
      <c r="KN929" s="827"/>
      <c r="KO929" s="827"/>
      <c r="KP929" s="827"/>
      <c r="KQ929" s="827"/>
      <c r="KR929" s="827"/>
      <c r="KS929" s="827"/>
      <c r="KT929" s="827"/>
      <c r="KU929" s="827"/>
      <c r="KV929" s="827"/>
      <c r="KW929" s="827"/>
      <c r="KX929" s="827"/>
      <c r="KY929" s="827"/>
      <c r="KZ929" s="827"/>
      <c r="LA929" s="827"/>
      <c r="LB929" s="827"/>
      <c r="LC929" s="827"/>
      <c r="LD929" s="827"/>
      <c r="LE929" s="827"/>
      <c r="LF929" s="827"/>
      <c r="LG929" s="827"/>
      <c r="LH929" s="827"/>
      <c r="LI929" s="827"/>
      <c r="LJ929" s="827"/>
      <c r="LK929" s="827"/>
      <c r="LL929" s="827"/>
      <c r="LM929" s="827"/>
      <c r="LN929" s="827"/>
      <c r="LO929" s="827"/>
      <c r="LP929" s="827"/>
      <c r="LQ929" s="827"/>
      <c r="LR929" s="827"/>
      <c r="LS929" s="827"/>
      <c r="LT929" s="827"/>
      <c r="LU929" s="827"/>
      <c r="LV929" s="827"/>
      <c r="LW929" s="827"/>
      <c r="LX929" s="827"/>
      <c r="LY929" s="827"/>
      <c r="LZ929" s="827"/>
      <c r="MA929" s="827"/>
      <c r="MB929" s="827"/>
      <c r="MC929" s="827"/>
      <c r="MD929" s="827"/>
      <c r="ME929" s="827"/>
      <c r="MF929" s="827"/>
      <c r="MG929" s="827"/>
      <c r="MH929" s="827"/>
      <c r="MI929" s="827"/>
      <c r="MJ929" s="827"/>
      <c r="MK929" s="827"/>
      <c r="ML929" s="827"/>
      <c r="MM929" s="827"/>
      <c r="MN929" s="827"/>
      <c r="MO929" s="827"/>
      <c r="MP929" s="827"/>
      <c r="MQ929" s="827"/>
      <c r="MR929" s="827"/>
      <c r="MS929" s="827"/>
      <c r="MT929" s="827"/>
      <c r="MU929" s="827"/>
      <c r="MV929" s="827"/>
      <c r="MW929" s="827"/>
      <c r="MX929" s="827"/>
      <c r="MY929" s="827"/>
      <c r="MZ929" s="827"/>
      <c r="NA929" s="827"/>
      <c r="NB929" s="827"/>
      <c r="NC929" s="827"/>
      <c r="ND929" s="827"/>
      <c r="NE929" s="827"/>
      <c r="NF929" s="827"/>
      <c r="NG929" s="827"/>
      <c r="NH929" s="827"/>
      <c r="NI929" s="827"/>
      <c r="NJ929" s="827"/>
      <c r="NK929" s="827"/>
      <c r="NL929" s="827"/>
      <c r="NM929" s="827"/>
      <c r="NN929" s="827"/>
      <c r="NO929" s="827"/>
      <c r="NP929" s="827"/>
      <c r="NQ929" s="827"/>
      <c r="NR929" s="827"/>
      <c r="NS929" s="827"/>
      <c r="NT929" s="827"/>
      <c r="NU929" s="827"/>
      <c r="NV929" s="827"/>
      <c r="NW929" s="827"/>
      <c r="NX929" s="827"/>
      <c r="NY929" s="827"/>
      <c r="NZ929" s="827"/>
      <c r="OA929" s="827"/>
      <c r="OB929" s="827"/>
      <c r="OC929" s="827"/>
      <c r="OD929" s="827"/>
      <c r="OE929" s="827"/>
      <c r="OF929" s="827"/>
      <c r="OG929" s="827"/>
      <c r="OH929" s="827"/>
      <c r="OI929" s="827"/>
      <c r="OJ929" s="827"/>
      <c r="OK929" s="827"/>
      <c r="OL929" s="827"/>
      <c r="OM929" s="827"/>
      <c r="ON929" s="827"/>
      <c r="OO929" s="827"/>
      <c r="OP929" s="827"/>
      <c r="OQ929" s="827"/>
      <c r="OR929" s="827"/>
      <c r="OS929" s="827"/>
      <c r="OT929" s="827"/>
      <c r="OU929" s="827"/>
      <c r="OV929" s="827"/>
      <c r="OW929" s="827"/>
      <c r="OX929" s="827"/>
      <c r="OY929" s="827"/>
      <c r="OZ929" s="827"/>
      <c r="PA929" s="827"/>
      <c r="PB929" s="827"/>
      <c r="PC929" s="827"/>
      <c r="PD929" s="827"/>
      <c r="PE929" s="827"/>
      <c r="PF929" s="827"/>
      <c r="PG929" s="827"/>
      <c r="PH929" s="827"/>
      <c r="PI929" s="827"/>
      <c r="PJ929" s="827"/>
      <c r="PK929" s="827"/>
      <c r="PL929" s="827"/>
      <c r="PM929" s="827"/>
      <c r="PN929" s="827"/>
      <c r="PO929" s="827"/>
      <c r="PP929" s="827"/>
      <c r="PQ929" s="827"/>
      <c r="PR929" s="827"/>
      <c r="PS929" s="827"/>
      <c r="PT929" s="827"/>
      <c r="PU929" s="827"/>
      <c r="PV929" s="827"/>
      <c r="PW929" s="827"/>
      <c r="PX929" s="827"/>
      <c r="PY929" s="827"/>
      <c r="PZ929" s="827"/>
      <c r="QA929" s="827"/>
      <c r="QB929" s="827"/>
      <c r="QC929" s="827"/>
      <c r="QD929" s="827"/>
      <c r="QE929" s="827"/>
      <c r="QF929" s="827"/>
      <c r="QG929" s="827"/>
      <c r="QH929" s="827"/>
      <c r="QI929" s="827"/>
      <c r="QJ929" s="827"/>
      <c r="QK929" s="827"/>
      <c r="QL929" s="827"/>
      <c r="QM929" s="827"/>
      <c r="QN929" s="827"/>
      <c r="QO929" s="827"/>
      <c r="QP929" s="827"/>
      <c r="QQ929" s="827"/>
      <c r="QR929" s="827"/>
      <c r="QS929" s="827"/>
      <c r="QT929" s="827"/>
      <c r="QU929" s="827"/>
      <c r="QV929" s="827"/>
      <c r="QW929" s="827"/>
      <c r="QX929" s="827"/>
      <c r="QY929" s="827"/>
      <c r="QZ929" s="827"/>
      <c r="RA929" s="827"/>
      <c r="RB929" s="827"/>
      <c r="RC929" s="827"/>
      <c r="RD929" s="827"/>
      <c r="RE929" s="827"/>
      <c r="RF929" s="827"/>
      <c r="RG929" s="827"/>
      <c r="RH929" s="827"/>
      <c r="RI929" s="827"/>
      <c r="RJ929" s="827"/>
      <c r="RK929" s="827"/>
      <c r="RL929" s="827"/>
      <c r="RM929" s="827"/>
      <c r="RN929" s="827"/>
      <c r="RO929" s="827"/>
      <c r="RP929" s="827"/>
      <c r="RQ929" s="827"/>
      <c r="RR929" s="827"/>
      <c r="RS929" s="827"/>
      <c r="RT929" s="827"/>
      <c r="RU929" s="827"/>
      <c r="RV929" s="827"/>
      <c r="RW929" s="827"/>
      <c r="RX929" s="827"/>
      <c r="RY929" s="827"/>
      <c r="RZ929" s="827"/>
      <c r="SA929" s="827"/>
      <c r="SB929" s="827"/>
      <c r="SC929" s="827"/>
      <c r="SD929" s="827"/>
      <c r="SE929" s="827"/>
      <c r="SF929" s="827"/>
      <c r="SG929" s="827"/>
      <c r="SH929" s="827"/>
      <c r="SI929" s="827"/>
      <c r="SJ929" s="827"/>
      <c r="SK929" s="827"/>
      <c r="SL929" s="827"/>
      <c r="SM929" s="827"/>
      <c r="SN929" s="827"/>
      <c r="SO929" s="827"/>
      <c r="SP929" s="827"/>
      <c r="SQ929" s="827"/>
      <c r="SR929" s="827"/>
      <c r="SS929" s="827"/>
      <c r="ST929" s="827"/>
      <c r="SU929" s="827"/>
      <c r="SV929" s="827"/>
      <c r="SW929" s="827"/>
      <c r="SX929" s="827"/>
      <c r="SY929" s="827"/>
      <c r="SZ929" s="827"/>
      <c r="TA929" s="827"/>
      <c r="TB929" s="827"/>
      <c r="TC929" s="827"/>
      <c r="TD929" s="827"/>
      <c r="TE929" s="827"/>
      <c r="TF929" s="827"/>
      <c r="TG929" s="827"/>
      <c r="TH929" s="827"/>
      <c r="TI929" s="827"/>
      <c r="TJ929" s="827"/>
      <c r="TK929" s="827"/>
      <c r="TL929" s="827"/>
      <c r="TM929" s="827"/>
      <c r="TN929" s="827"/>
      <c r="TO929" s="827"/>
      <c r="TP929" s="827"/>
      <c r="TQ929" s="827"/>
      <c r="TR929" s="827"/>
      <c r="TS929" s="827"/>
      <c r="TT929" s="827"/>
      <c r="TU929" s="827"/>
      <c r="TV929" s="827"/>
      <c r="TW929" s="827"/>
      <c r="TX929" s="827"/>
      <c r="TY929" s="827"/>
      <c r="TZ929" s="827"/>
      <c r="UA929" s="827"/>
      <c r="UB929" s="827"/>
      <c r="UC929" s="827"/>
      <c r="UD929" s="827"/>
      <c r="UE929" s="827"/>
      <c r="UF929" s="827"/>
      <c r="UG929" s="827"/>
      <c r="UH929" s="827"/>
      <c r="UI929" s="827"/>
      <c r="UJ929" s="827"/>
      <c r="UK929" s="827"/>
      <c r="UL929" s="827"/>
      <c r="UM929" s="827"/>
      <c r="UN929" s="827"/>
      <c r="UO929" s="827"/>
      <c r="UP929" s="827"/>
      <c r="UQ929" s="827"/>
      <c r="UR929" s="827"/>
      <c r="US929" s="827"/>
      <c r="UT929" s="827"/>
      <c r="UU929" s="827"/>
      <c r="UV929" s="827"/>
      <c r="UW929" s="827"/>
      <c r="UX929" s="827"/>
      <c r="UY929" s="827"/>
      <c r="UZ929" s="827"/>
      <c r="VA929" s="827"/>
      <c r="VB929" s="827"/>
      <c r="VC929" s="827"/>
      <c r="VD929" s="827"/>
      <c r="VE929" s="827"/>
      <c r="VF929" s="827"/>
      <c r="VG929" s="827"/>
      <c r="VH929" s="827"/>
      <c r="VI929" s="827"/>
      <c r="VJ929" s="827"/>
      <c r="VK929" s="827"/>
      <c r="VL929" s="827"/>
      <c r="VM929" s="827"/>
      <c r="VN929" s="827"/>
      <c r="VO929" s="827"/>
      <c r="VP929" s="827"/>
      <c r="VQ929" s="827"/>
      <c r="VR929" s="827"/>
      <c r="VS929" s="827"/>
      <c r="VT929" s="827"/>
      <c r="VU929" s="827"/>
      <c r="VV929" s="827"/>
      <c r="VW929" s="827"/>
      <c r="VX929" s="827"/>
      <c r="VY929" s="827"/>
      <c r="VZ929" s="827"/>
      <c r="WA929" s="827"/>
      <c r="WB929" s="827"/>
      <c r="WC929" s="827"/>
      <c r="WD929" s="827"/>
      <c r="WE929" s="827"/>
      <c r="WF929" s="827"/>
      <c r="WG929" s="827"/>
      <c r="WH929" s="827"/>
      <c r="WI929" s="827"/>
      <c r="WJ929" s="827"/>
      <c r="WK929" s="827"/>
      <c r="WL929" s="827"/>
      <c r="WM929" s="827"/>
      <c r="WN929" s="827"/>
      <c r="WO929" s="827"/>
      <c r="WP929" s="827"/>
      <c r="WQ929" s="827"/>
      <c r="WR929" s="827"/>
      <c r="WS929" s="827"/>
      <c r="WT929" s="827"/>
      <c r="WU929" s="827"/>
      <c r="WV929" s="827"/>
      <c r="WW929" s="827"/>
      <c r="WX929" s="827"/>
      <c r="WY929" s="827"/>
      <c r="WZ929" s="827"/>
      <c r="XA929" s="827"/>
      <c r="XB929" s="827"/>
      <c r="XC929" s="827"/>
      <c r="XD929" s="827"/>
      <c r="XE929" s="827"/>
      <c r="XF929" s="827"/>
      <c r="XG929" s="827"/>
      <c r="XH929" s="827"/>
      <c r="XI929" s="827"/>
      <c r="XJ929" s="827"/>
      <c r="XK929" s="827"/>
      <c r="XL929" s="827"/>
      <c r="XM929" s="827"/>
      <c r="XN929" s="827"/>
      <c r="XO929" s="827"/>
      <c r="XP929" s="827"/>
      <c r="XQ929" s="827"/>
      <c r="XR929" s="827"/>
      <c r="XS929" s="827"/>
      <c r="XT929" s="827"/>
      <c r="XU929" s="827"/>
      <c r="XV929" s="827"/>
      <c r="XW929" s="827"/>
      <c r="XX929" s="827"/>
      <c r="XY929" s="827"/>
      <c r="XZ929" s="827"/>
      <c r="YA929" s="827"/>
      <c r="YB929" s="827"/>
      <c r="YC929" s="827"/>
      <c r="YD929" s="827"/>
      <c r="YE929" s="827"/>
      <c r="YF929" s="827"/>
      <c r="YG929" s="827"/>
      <c r="YH929" s="827"/>
      <c r="YI929" s="827"/>
      <c r="YJ929" s="827"/>
      <c r="YK929" s="827"/>
      <c r="YL929" s="827"/>
      <c r="YM929" s="827"/>
      <c r="YN929" s="827"/>
      <c r="YO929" s="827"/>
      <c r="YP929" s="827"/>
      <c r="YQ929" s="827"/>
      <c r="YR929" s="827"/>
      <c r="YS929" s="827"/>
      <c r="YT929" s="827"/>
      <c r="YU929" s="827"/>
      <c r="YV929" s="827"/>
      <c r="YW929" s="827"/>
      <c r="YX929" s="827"/>
      <c r="YY929" s="827"/>
      <c r="YZ929" s="827"/>
      <c r="ZA929" s="827"/>
      <c r="ZB929" s="827"/>
      <c r="ZC929" s="827"/>
      <c r="ZD929" s="827"/>
      <c r="ZE929" s="827"/>
      <c r="ZF929" s="827"/>
      <c r="ZG929" s="827"/>
      <c r="ZH929" s="827"/>
      <c r="ZI929" s="827"/>
      <c r="ZJ929" s="827"/>
      <c r="ZK929" s="827"/>
      <c r="ZL929" s="827"/>
      <c r="ZM929" s="827"/>
      <c r="ZN929" s="827"/>
      <c r="ZO929" s="827"/>
      <c r="ZP929" s="827"/>
      <c r="ZQ929" s="827"/>
      <c r="ZR929" s="827"/>
      <c r="ZS929" s="827"/>
      <c r="ZT929" s="827"/>
      <c r="ZU929" s="827"/>
      <c r="ZV929" s="827"/>
      <c r="ZW929" s="827"/>
      <c r="ZX929" s="827"/>
      <c r="ZY929" s="827"/>
      <c r="ZZ929" s="827"/>
      <c r="AAA929" s="827"/>
      <c r="AAB929" s="827"/>
      <c r="AAC929" s="827"/>
      <c r="AAD929" s="827"/>
      <c r="AAE929" s="827"/>
      <c r="AAF929" s="827"/>
      <c r="AAG929" s="827"/>
      <c r="AAH929" s="827"/>
      <c r="AAI929" s="827"/>
      <c r="AAJ929" s="827"/>
      <c r="AAK929" s="827"/>
      <c r="AAL929" s="827"/>
      <c r="AAM929" s="827"/>
      <c r="AAN929" s="827"/>
      <c r="AAO929" s="827"/>
      <c r="AAP929" s="827"/>
      <c r="AAQ929" s="827"/>
      <c r="AAR929" s="827"/>
      <c r="AAS929" s="827"/>
      <c r="AAT929" s="827"/>
      <c r="AAU929" s="827"/>
      <c r="AAV929" s="827"/>
      <c r="AAW929" s="827"/>
      <c r="AAX929" s="827"/>
      <c r="AAY929" s="827"/>
      <c r="AAZ929" s="827"/>
      <c r="ABA929" s="827"/>
      <c r="ABB929" s="827"/>
      <c r="ABC929" s="827"/>
      <c r="ABD929" s="827"/>
      <c r="ABE929" s="827"/>
      <c r="ABF929" s="827"/>
      <c r="ABG929" s="827"/>
      <c r="ABH929" s="827"/>
      <c r="ABI929" s="827"/>
      <c r="ABJ929" s="827"/>
      <c r="ABK929" s="827"/>
      <c r="ABL929" s="827"/>
      <c r="ABM929" s="827"/>
      <c r="ABN929" s="827"/>
      <c r="ABO929" s="827"/>
      <c r="ABP929" s="827"/>
      <c r="ABQ929" s="827"/>
      <c r="ABR929" s="827"/>
      <c r="ABS929" s="827"/>
      <c r="ABT929" s="827"/>
      <c r="ABU929" s="827"/>
      <c r="ABV929" s="827"/>
      <c r="ABW929" s="827"/>
      <c r="ABX929" s="827"/>
      <c r="ABY929" s="827"/>
      <c r="ABZ929" s="827"/>
      <c r="ACA929" s="827"/>
      <c r="ACB929" s="827"/>
      <c r="ACC929" s="827"/>
      <c r="ACD929" s="827"/>
      <c r="ACE929" s="827"/>
      <c r="ACF929" s="827"/>
      <c r="ACG929" s="827"/>
      <c r="ACH929" s="827"/>
      <c r="ACI929" s="827"/>
      <c r="ACJ929" s="827"/>
      <c r="ACK929" s="827"/>
      <c r="ACL929" s="827"/>
      <c r="ACM929" s="827"/>
      <c r="ACN929" s="827"/>
      <c r="ACO929" s="827"/>
      <c r="ACP929" s="827"/>
      <c r="ACQ929" s="827"/>
      <c r="ACR929" s="827"/>
      <c r="ACS929" s="827"/>
      <c r="ACT929" s="827"/>
      <c r="ACU929" s="827"/>
      <c r="ACV929" s="827"/>
      <c r="ACW929" s="827"/>
      <c r="ACX929" s="827"/>
      <c r="ACY929" s="827"/>
      <c r="ACZ929" s="827"/>
      <c r="ADA929" s="827"/>
      <c r="ADB929" s="827"/>
      <c r="ADC929" s="827"/>
      <c r="ADD929" s="827"/>
      <c r="ADE929" s="827"/>
      <c r="ADF929" s="827"/>
      <c r="ADG929" s="827"/>
      <c r="ADH929" s="827"/>
      <c r="ADI929" s="827"/>
      <c r="ADJ929" s="827"/>
      <c r="ADK929" s="827"/>
      <c r="ADL929" s="827"/>
      <c r="ADM929" s="827"/>
      <c r="ADN929" s="827"/>
      <c r="ADO929" s="827"/>
      <c r="ADP929" s="827"/>
      <c r="ADQ929" s="827"/>
      <c r="ADR929" s="827"/>
      <c r="ADS929" s="827"/>
      <c r="ADT929" s="827"/>
      <c r="ADU929" s="827"/>
      <c r="ADV929" s="827"/>
      <c r="ADW929" s="827"/>
      <c r="ADX929" s="827"/>
      <c r="ADY929" s="827"/>
      <c r="ADZ929" s="827"/>
      <c r="AEA929" s="827"/>
      <c r="AEB929" s="827"/>
      <c r="AEC929" s="827"/>
      <c r="AED929" s="827"/>
      <c r="AEE929" s="827"/>
      <c r="AEF929" s="827"/>
      <c r="AEG929" s="827"/>
      <c r="AEH929" s="827"/>
      <c r="AEI929" s="827"/>
      <c r="AEJ929" s="827"/>
      <c r="AEK929" s="827"/>
      <c r="AEL929" s="827"/>
      <c r="AEM929" s="827"/>
      <c r="AEN929" s="827"/>
      <c r="AEO929" s="827"/>
      <c r="AEP929" s="827"/>
      <c r="AEQ929" s="827"/>
      <c r="AER929" s="827"/>
      <c r="AES929" s="827"/>
      <c r="AET929" s="827"/>
      <c r="AEU929" s="827"/>
      <c r="AEV929" s="827"/>
      <c r="AEW929" s="827"/>
      <c r="AEX929" s="827"/>
      <c r="AEY929" s="827"/>
      <c r="AEZ929" s="827"/>
      <c r="AFA929" s="827"/>
      <c r="AFB929" s="827"/>
      <c r="AFC929" s="827"/>
      <c r="AFD929" s="827"/>
      <c r="AFE929" s="827"/>
      <c r="AFF929" s="827"/>
      <c r="AFG929" s="827"/>
      <c r="AFH929" s="827"/>
      <c r="AFI929" s="827"/>
      <c r="AFJ929" s="827"/>
      <c r="AFK929" s="827"/>
      <c r="AFL929" s="827"/>
      <c r="AFM929" s="827"/>
      <c r="AFN929" s="827"/>
      <c r="AFO929" s="827"/>
      <c r="AFP929" s="827"/>
      <c r="AFQ929" s="827"/>
      <c r="AFR929" s="827"/>
      <c r="AFS929" s="827"/>
      <c r="AFT929" s="827"/>
      <c r="AFU929" s="827"/>
      <c r="AFV929" s="827"/>
      <c r="AFW929" s="827"/>
      <c r="AFX929" s="827"/>
      <c r="AFY929" s="827"/>
      <c r="AFZ929" s="827"/>
      <c r="AGA929" s="827"/>
      <c r="AGB929" s="827"/>
      <c r="AGC929" s="827"/>
      <c r="AGD929" s="827"/>
      <c r="AGE929" s="827"/>
      <c r="AGF929" s="827"/>
      <c r="AGG929" s="827"/>
      <c r="AGH929" s="827"/>
      <c r="AGI929" s="827"/>
      <c r="AGJ929" s="827"/>
    </row>
    <row r="930" spans="1:868" s="7" customFormat="1" hidden="1">
      <c r="A930" s="625" t="s">
        <v>118</v>
      </c>
      <c r="B930" s="59" t="s">
        <v>440</v>
      </c>
      <c r="C930" s="40" t="s">
        <v>139</v>
      </c>
      <c r="D930" s="34" t="s">
        <v>99</v>
      </c>
      <c r="E930" s="879">
        <v>6.4613472974172373E-2</v>
      </c>
      <c r="F930" s="34">
        <v>2</v>
      </c>
      <c r="G930" s="40" t="s">
        <v>433</v>
      </c>
      <c r="H930" s="29">
        <v>1</v>
      </c>
      <c r="I930" s="9">
        <v>2</v>
      </c>
      <c r="J930" s="9">
        <v>2</v>
      </c>
      <c r="K930" s="9">
        <v>1</v>
      </c>
      <c r="L930" s="9">
        <v>1</v>
      </c>
      <c r="M930" s="9">
        <v>2</v>
      </c>
      <c r="N930" s="186">
        <f t="shared" si="76"/>
        <v>0.35859414261160716</v>
      </c>
      <c r="O930" s="160">
        <f t="shared" si="75"/>
        <v>0.37356464144298934</v>
      </c>
      <c r="P930" s="63"/>
      <c r="Q930" s="827"/>
      <c r="R930" s="827"/>
      <c r="S930" s="827"/>
      <c r="T930" s="827"/>
      <c r="U930" s="827"/>
      <c r="V930" s="827"/>
      <c r="W930" s="827"/>
      <c r="X930" s="827"/>
      <c r="Y930" s="827"/>
      <c r="Z930" s="827"/>
      <c r="AA930" s="827"/>
      <c r="AB930" s="827"/>
      <c r="AC930" s="827"/>
      <c r="AD930" s="827"/>
      <c r="AE930" s="827"/>
      <c r="AF930" s="827"/>
      <c r="AG930" s="827"/>
      <c r="AH930" s="827"/>
      <c r="AI930" s="827"/>
      <c r="AJ930" s="827"/>
      <c r="AK930" s="827"/>
      <c r="AL930" s="827"/>
      <c r="AM930" s="827"/>
      <c r="AN930" s="827"/>
      <c r="AO930" s="827"/>
      <c r="AP930" s="827"/>
      <c r="AQ930" s="827"/>
      <c r="AR930" s="827"/>
      <c r="AS930" s="827"/>
      <c r="AT930" s="827"/>
      <c r="AU930" s="827"/>
      <c r="AV930" s="827"/>
      <c r="AW930" s="827"/>
      <c r="AX930" s="827"/>
      <c r="AY930" s="827"/>
      <c r="AZ930" s="827"/>
      <c r="BA930" s="827"/>
      <c r="BB930" s="827"/>
      <c r="BC930" s="827"/>
      <c r="BD930" s="827"/>
      <c r="BE930" s="827"/>
      <c r="BF930" s="827"/>
      <c r="BG930" s="827"/>
      <c r="BH930" s="827"/>
      <c r="BI930" s="827"/>
      <c r="BJ930" s="827"/>
      <c r="BK930" s="827"/>
      <c r="BL930" s="827"/>
      <c r="BM930" s="827"/>
      <c r="BN930" s="827"/>
      <c r="BO930" s="827"/>
      <c r="BP930" s="827"/>
      <c r="BQ930" s="827"/>
      <c r="BR930" s="827"/>
      <c r="BS930" s="827"/>
      <c r="BT930" s="827"/>
      <c r="BU930" s="827"/>
      <c r="BV930" s="827"/>
      <c r="BW930" s="827"/>
      <c r="BX930" s="827"/>
      <c r="BY930" s="827"/>
      <c r="BZ930" s="827"/>
      <c r="CA930" s="827"/>
      <c r="CB930" s="827"/>
      <c r="CC930" s="827"/>
      <c r="CD930" s="827"/>
      <c r="CE930" s="827"/>
      <c r="CF930" s="827"/>
      <c r="CG930" s="827"/>
      <c r="CH930" s="827"/>
      <c r="CI930" s="827"/>
      <c r="CJ930" s="827"/>
      <c r="CK930" s="827"/>
      <c r="CL930" s="827"/>
      <c r="CM930" s="827"/>
      <c r="CN930" s="827"/>
      <c r="CO930" s="827"/>
      <c r="CP930" s="827"/>
      <c r="CQ930" s="827"/>
      <c r="CR930" s="827"/>
      <c r="CS930" s="827"/>
      <c r="CT930" s="827"/>
      <c r="CU930" s="827"/>
      <c r="CV930" s="827"/>
      <c r="CW930" s="827"/>
      <c r="CX930" s="827"/>
      <c r="CY930" s="827"/>
      <c r="CZ930" s="827"/>
      <c r="DA930" s="827"/>
      <c r="DB930" s="827"/>
      <c r="DC930" s="827"/>
      <c r="DD930" s="827"/>
      <c r="DE930" s="827"/>
      <c r="DF930" s="827"/>
      <c r="DG930" s="827"/>
      <c r="DH930" s="827"/>
      <c r="DI930" s="827"/>
      <c r="DJ930" s="827"/>
      <c r="DK930" s="827"/>
      <c r="DL930" s="827"/>
      <c r="DM930" s="827"/>
      <c r="DN930" s="827"/>
      <c r="DO930" s="827"/>
      <c r="DP930" s="827"/>
      <c r="DQ930" s="827"/>
      <c r="DR930" s="827"/>
      <c r="DS930" s="827"/>
      <c r="DT930" s="827"/>
      <c r="DU930" s="827"/>
      <c r="DV930" s="827"/>
      <c r="DW930" s="827"/>
      <c r="DX930" s="827"/>
      <c r="DY930" s="827"/>
      <c r="DZ930" s="827"/>
      <c r="EA930" s="827"/>
      <c r="EB930" s="827"/>
      <c r="EC930" s="827"/>
      <c r="ED930" s="827"/>
      <c r="EE930" s="827"/>
      <c r="EF930" s="827"/>
      <c r="EG930" s="827"/>
      <c r="EH930" s="827"/>
      <c r="EI930" s="827"/>
      <c r="EJ930" s="827"/>
      <c r="EK930" s="827"/>
      <c r="EL930" s="827"/>
      <c r="EM930" s="827"/>
      <c r="EN930" s="827"/>
      <c r="EO930" s="827"/>
      <c r="EP930" s="827"/>
      <c r="EQ930" s="827"/>
      <c r="ER930" s="827"/>
      <c r="ES930" s="827"/>
      <c r="ET930" s="827"/>
      <c r="EU930" s="827"/>
      <c r="EV930" s="827"/>
      <c r="EW930" s="827"/>
      <c r="EX930" s="827"/>
      <c r="EY930" s="827"/>
      <c r="EZ930" s="827"/>
      <c r="FA930" s="827"/>
      <c r="FB930" s="827"/>
      <c r="FC930" s="827"/>
      <c r="FD930" s="827"/>
      <c r="FE930" s="827"/>
      <c r="FF930" s="827"/>
      <c r="FG930" s="827"/>
      <c r="FH930" s="827"/>
      <c r="FI930" s="827"/>
      <c r="FJ930" s="827"/>
      <c r="FK930" s="827"/>
      <c r="FL930" s="827"/>
      <c r="FM930" s="827"/>
      <c r="FN930" s="827"/>
      <c r="FO930" s="827"/>
      <c r="FP930" s="827"/>
      <c r="FQ930" s="827"/>
      <c r="FR930" s="827"/>
      <c r="FS930" s="827"/>
      <c r="FT930" s="827"/>
      <c r="FU930" s="827"/>
      <c r="FV930" s="827"/>
      <c r="FW930" s="827"/>
      <c r="FX930" s="827"/>
      <c r="FY930" s="827"/>
      <c r="FZ930" s="827"/>
      <c r="GA930" s="827"/>
      <c r="GB930" s="827"/>
      <c r="GC930" s="827"/>
      <c r="GD930" s="827"/>
      <c r="GE930" s="827"/>
      <c r="GF930" s="827"/>
      <c r="GG930" s="827"/>
      <c r="GH930" s="827"/>
      <c r="GI930" s="827"/>
      <c r="GJ930" s="827"/>
      <c r="GK930" s="827"/>
      <c r="GL930" s="827"/>
      <c r="GM930" s="827"/>
      <c r="GN930" s="827"/>
      <c r="GO930" s="827"/>
      <c r="GP930" s="827"/>
      <c r="GQ930" s="827"/>
      <c r="GR930" s="827"/>
      <c r="GS930" s="827"/>
      <c r="GT930" s="827"/>
      <c r="GU930" s="827"/>
      <c r="GV930" s="827"/>
      <c r="GW930" s="827"/>
      <c r="GX930" s="827"/>
      <c r="GY930" s="827"/>
      <c r="GZ930" s="827"/>
      <c r="HA930" s="827"/>
      <c r="HB930" s="827"/>
      <c r="HC930" s="827"/>
      <c r="HD930" s="827"/>
      <c r="HE930" s="827"/>
      <c r="HF930" s="827"/>
      <c r="HG930" s="827"/>
      <c r="HH930" s="827"/>
      <c r="HI930" s="827"/>
      <c r="HJ930" s="827"/>
      <c r="HK930" s="827"/>
      <c r="HL930" s="827"/>
      <c r="HM930" s="827"/>
      <c r="HN930" s="827"/>
      <c r="HO930" s="827"/>
      <c r="HP930" s="827"/>
      <c r="HQ930" s="827"/>
      <c r="HR930" s="827"/>
      <c r="HS930" s="827"/>
      <c r="HT930" s="827"/>
      <c r="HU930" s="827"/>
      <c r="HV930" s="827"/>
      <c r="HW930" s="827"/>
      <c r="HX930" s="827"/>
      <c r="HY930" s="827"/>
      <c r="HZ930" s="827"/>
      <c r="IA930" s="827"/>
      <c r="IB930" s="827"/>
      <c r="IC930" s="827"/>
      <c r="ID930" s="827"/>
      <c r="IE930" s="827"/>
      <c r="IF930" s="827"/>
      <c r="IG930" s="827"/>
      <c r="IH930" s="827"/>
      <c r="II930" s="827"/>
      <c r="IJ930" s="827"/>
      <c r="IK930" s="827"/>
      <c r="IL930" s="827"/>
      <c r="IM930" s="827"/>
      <c r="IN930" s="827"/>
      <c r="IO930" s="827"/>
      <c r="IP930" s="827"/>
      <c r="IQ930" s="827"/>
      <c r="IR930" s="827"/>
      <c r="IS930" s="827"/>
      <c r="IT930" s="827"/>
      <c r="IU930" s="827"/>
      <c r="IV930" s="827"/>
      <c r="IW930" s="827"/>
      <c r="IX930" s="827"/>
      <c r="IY930" s="827"/>
      <c r="IZ930" s="827"/>
      <c r="JA930" s="827"/>
      <c r="JB930" s="827"/>
      <c r="JC930" s="827"/>
      <c r="JD930" s="827"/>
      <c r="JE930" s="827"/>
      <c r="JF930" s="827"/>
      <c r="JG930" s="827"/>
      <c r="JH930" s="827"/>
      <c r="JI930" s="827"/>
      <c r="JJ930" s="827"/>
      <c r="JK930" s="827"/>
      <c r="JL930" s="827"/>
      <c r="JM930" s="827"/>
      <c r="JN930" s="827"/>
      <c r="JO930" s="827"/>
      <c r="JP930" s="827"/>
      <c r="JQ930" s="827"/>
      <c r="JR930" s="827"/>
      <c r="JS930" s="827"/>
      <c r="JT930" s="827"/>
      <c r="JU930" s="827"/>
      <c r="JV930" s="827"/>
      <c r="JW930" s="827"/>
      <c r="JX930" s="827"/>
      <c r="JY930" s="827"/>
      <c r="JZ930" s="827"/>
      <c r="KA930" s="827"/>
      <c r="KB930" s="827"/>
      <c r="KC930" s="827"/>
      <c r="KD930" s="827"/>
      <c r="KE930" s="827"/>
      <c r="KF930" s="827"/>
      <c r="KG930" s="827"/>
      <c r="KH930" s="827"/>
      <c r="KI930" s="827"/>
      <c r="KJ930" s="827"/>
      <c r="KK930" s="827"/>
      <c r="KL930" s="827"/>
      <c r="KM930" s="827"/>
      <c r="KN930" s="827"/>
      <c r="KO930" s="827"/>
      <c r="KP930" s="827"/>
      <c r="KQ930" s="827"/>
      <c r="KR930" s="827"/>
      <c r="KS930" s="827"/>
      <c r="KT930" s="827"/>
      <c r="KU930" s="827"/>
      <c r="KV930" s="827"/>
      <c r="KW930" s="827"/>
      <c r="KX930" s="827"/>
      <c r="KY930" s="827"/>
      <c r="KZ930" s="827"/>
      <c r="LA930" s="827"/>
      <c r="LB930" s="827"/>
      <c r="LC930" s="827"/>
      <c r="LD930" s="827"/>
      <c r="LE930" s="827"/>
      <c r="LF930" s="827"/>
      <c r="LG930" s="827"/>
      <c r="LH930" s="827"/>
      <c r="LI930" s="827"/>
      <c r="LJ930" s="827"/>
      <c r="LK930" s="827"/>
      <c r="LL930" s="827"/>
      <c r="LM930" s="827"/>
      <c r="LN930" s="827"/>
      <c r="LO930" s="827"/>
      <c r="LP930" s="827"/>
      <c r="LQ930" s="827"/>
      <c r="LR930" s="827"/>
      <c r="LS930" s="827"/>
      <c r="LT930" s="827"/>
      <c r="LU930" s="827"/>
      <c r="LV930" s="827"/>
      <c r="LW930" s="827"/>
      <c r="LX930" s="827"/>
      <c r="LY930" s="827"/>
      <c r="LZ930" s="827"/>
      <c r="MA930" s="827"/>
      <c r="MB930" s="827"/>
      <c r="MC930" s="827"/>
      <c r="MD930" s="827"/>
      <c r="ME930" s="827"/>
      <c r="MF930" s="827"/>
      <c r="MG930" s="827"/>
      <c r="MH930" s="827"/>
      <c r="MI930" s="827"/>
      <c r="MJ930" s="827"/>
      <c r="MK930" s="827"/>
      <c r="ML930" s="827"/>
      <c r="MM930" s="827"/>
      <c r="MN930" s="827"/>
      <c r="MO930" s="827"/>
      <c r="MP930" s="827"/>
      <c r="MQ930" s="827"/>
      <c r="MR930" s="827"/>
      <c r="MS930" s="827"/>
      <c r="MT930" s="827"/>
      <c r="MU930" s="827"/>
      <c r="MV930" s="827"/>
      <c r="MW930" s="827"/>
      <c r="MX930" s="827"/>
      <c r="MY930" s="827"/>
      <c r="MZ930" s="827"/>
      <c r="NA930" s="827"/>
      <c r="NB930" s="827"/>
      <c r="NC930" s="827"/>
      <c r="ND930" s="827"/>
      <c r="NE930" s="827"/>
      <c r="NF930" s="827"/>
      <c r="NG930" s="827"/>
      <c r="NH930" s="827"/>
      <c r="NI930" s="827"/>
      <c r="NJ930" s="827"/>
      <c r="NK930" s="827"/>
      <c r="NL930" s="827"/>
      <c r="NM930" s="827"/>
      <c r="NN930" s="827"/>
      <c r="NO930" s="827"/>
      <c r="NP930" s="827"/>
      <c r="NQ930" s="827"/>
      <c r="NR930" s="827"/>
      <c r="NS930" s="827"/>
      <c r="NT930" s="827"/>
      <c r="NU930" s="827"/>
      <c r="NV930" s="827"/>
      <c r="NW930" s="827"/>
      <c r="NX930" s="827"/>
      <c r="NY930" s="827"/>
      <c r="NZ930" s="827"/>
      <c r="OA930" s="827"/>
      <c r="OB930" s="827"/>
      <c r="OC930" s="827"/>
      <c r="OD930" s="827"/>
      <c r="OE930" s="827"/>
      <c r="OF930" s="827"/>
      <c r="OG930" s="827"/>
      <c r="OH930" s="827"/>
      <c r="OI930" s="827"/>
      <c r="OJ930" s="827"/>
      <c r="OK930" s="827"/>
      <c r="OL930" s="827"/>
      <c r="OM930" s="827"/>
      <c r="ON930" s="827"/>
      <c r="OO930" s="827"/>
      <c r="OP930" s="827"/>
      <c r="OQ930" s="827"/>
      <c r="OR930" s="827"/>
      <c r="OS930" s="827"/>
      <c r="OT930" s="827"/>
      <c r="OU930" s="827"/>
      <c r="OV930" s="827"/>
      <c r="OW930" s="827"/>
      <c r="OX930" s="827"/>
      <c r="OY930" s="827"/>
      <c r="OZ930" s="827"/>
      <c r="PA930" s="827"/>
      <c r="PB930" s="827"/>
      <c r="PC930" s="827"/>
      <c r="PD930" s="827"/>
      <c r="PE930" s="827"/>
      <c r="PF930" s="827"/>
      <c r="PG930" s="827"/>
      <c r="PH930" s="827"/>
      <c r="PI930" s="827"/>
      <c r="PJ930" s="827"/>
      <c r="PK930" s="827"/>
      <c r="PL930" s="827"/>
      <c r="PM930" s="827"/>
      <c r="PN930" s="827"/>
      <c r="PO930" s="827"/>
      <c r="PP930" s="827"/>
      <c r="PQ930" s="827"/>
      <c r="PR930" s="827"/>
      <c r="PS930" s="827"/>
      <c r="PT930" s="827"/>
      <c r="PU930" s="827"/>
      <c r="PV930" s="827"/>
      <c r="PW930" s="827"/>
      <c r="PX930" s="827"/>
      <c r="PY930" s="827"/>
      <c r="PZ930" s="827"/>
      <c r="QA930" s="827"/>
      <c r="QB930" s="827"/>
      <c r="QC930" s="827"/>
      <c r="QD930" s="827"/>
      <c r="QE930" s="827"/>
      <c r="QF930" s="827"/>
      <c r="QG930" s="827"/>
      <c r="QH930" s="827"/>
      <c r="QI930" s="827"/>
      <c r="QJ930" s="827"/>
      <c r="QK930" s="827"/>
      <c r="QL930" s="827"/>
      <c r="QM930" s="827"/>
      <c r="QN930" s="827"/>
      <c r="QO930" s="827"/>
      <c r="QP930" s="827"/>
      <c r="QQ930" s="827"/>
      <c r="QR930" s="827"/>
      <c r="QS930" s="827"/>
      <c r="QT930" s="827"/>
      <c r="QU930" s="827"/>
      <c r="QV930" s="827"/>
      <c r="QW930" s="827"/>
      <c r="QX930" s="827"/>
      <c r="QY930" s="827"/>
      <c r="QZ930" s="827"/>
      <c r="RA930" s="827"/>
      <c r="RB930" s="827"/>
      <c r="RC930" s="827"/>
      <c r="RD930" s="827"/>
      <c r="RE930" s="827"/>
      <c r="RF930" s="827"/>
      <c r="RG930" s="827"/>
      <c r="RH930" s="827"/>
      <c r="RI930" s="827"/>
      <c r="RJ930" s="827"/>
      <c r="RK930" s="827"/>
      <c r="RL930" s="827"/>
      <c r="RM930" s="827"/>
      <c r="RN930" s="827"/>
      <c r="RO930" s="827"/>
      <c r="RP930" s="827"/>
      <c r="RQ930" s="827"/>
      <c r="RR930" s="827"/>
      <c r="RS930" s="827"/>
      <c r="RT930" s="827"/>
      <c r="RU930" s="827"/>
      <c r="RV930" s="827"/>
      <c r="RW930" s="827"/>
      <c r="RX930" s="827"/>
      <c r="RY930" s="827"/>
      <c r="RZ930" s="827"/>
      <c r="SA930" s="827"/>
      <c r="SB930" s="827"/>
      <c r="SC930" s="827"/>
      <c r="SD930" s="827"/>
      <c r="SE930" s="827"/>
      <c r="SF930" s="827"/>
      <c r="SG930" s="827"/>
      <c r="SH930" s="827"/>
      <c r="SI930" s="827"/>
      <c r="SJ930" s="827"/>
      <c r="SK930" s="827"/>
      <c r="SL930" s="827"/>
      <c r="SM930" s="827"/>
      <c r="SN930" s="827"/>
      <c r="SO930" s="827"/>
      <c r="SP930" s="827"/>
      <c r="SQ930" s="827"/>
      <c r="SR930" s="827"/>
      <c r="SS930" s="827"/>
      <c r="ST930" s="827"/>
      <c r="SU930" s="827"/>
      <c r="SV930" s="827"/>
      <c r="SW930" s="827"/>
      <c r="SX930" s="827"/>
      <c r="SY930" s="827"/>
      <c r="SZ930" s="827"/>
      <c r="TA930" s="827"/>
      <c r="TB930" s="827"/>
      <c r="TC930" s="827"/>
      <c r="TD930" s="827"/>
      <c r="TE930" s="827"/>
      <c r="TF930" s="827"/>
      <c r="TG930" s="827"/>
      <c r="TH930" s="827"/>
      <c r="TI930" s="827"/>
      <c r="TJ930" s="827"/>
      <c r="TK930" s="827"/>
      <c r="TL930" s="827"/>
      <c r="TM930" s="827"/>
      <c r="TN930" s="827"/>
      <c r="TO930" s="827"/>
      <c r="TP930" s="827"/>
      <c r="TQ930" s="827"/>
      <c r="TR930" s="827"/>
      <c r="TS930" s="827"/>
      <c r="TT930" s="827"/>
      <c r="TU930" s="827"/>
      <c r="TV930" s="827"/>
      <c r="TW930" s="827"/>
      <c r="TX930" s="827"/>
      <c r="TY930" s="827"/>
      <c r="TZ930" s="827"/>
      <c r="UA930" s="827"/>
      <c r="UB930" s="827"/>
      <c r="UC930" s="827"/>
      <c r="UD930" s="827"/>
      <c r="UE930" s="827"/>
      <c r="UF930" s="827"/>
      <c r="UG930" s="827"/>
      <c r="UH930" s="827"/>
      <c r="UI930" s="827"/>
      <c r="UJ930" s="827"/>
      <c r="UK930" s="827"/>
      <c r="UL930" s="827"/>
      <c r="UM930" s="827"/>
      <c r="UN930" s="827"/>
      <c r="UO930" s="827"/>
      <c r="UP930" s="827"/>
      <c r="UQ930" s="827"/>
      <c r="UR930" s="827"/>
      <c r="US930" s="827"/>
      <c r="UT930" s="827"/>
      <c r="UU930" s="827"/>
      <c r="UV930" s="827"/>
      <c r="UW930" s="827"/>
      <c r="UX930" s="827"/>
      <c r="UY930" s="827"/>
      <c r="UZ930" s="827"/>
      <c r="VA930" s="827"/>
      <c r="VB930" s="827"/>
      <c r="VC930" s="827"/>
      <c r="VD930" s="827"/>
      <c r="VE930" s="827"/>
      <c r="VF930" s="827"/>
      <c r="VG930" s="827"/>
      <c r="VH930" s="827"/>
      <c r="VI930" s="827"/>
      <c r="VJ930" s="827"/>
      <c r="VK930" s="827"/>
      <c r="VL930" s="827"/>
      <c r="VM930" s="827"/>
      <c r="VN930" s="827"/>
      <c r="VO930" s="827"/>
      <c r="VP930" s="827"/>
      <c r="VQ930" s="827"/>
      <c r="VR930" s="827"/>
      <c r="VS930" s="827"/>
      <c r="VT930" s="827"/>
      <c r="VU930" s="827"/>
      <c r="VV930" s="827"/>
      <c r="VW930" s="827"/>
      <c r="VX930" s="827"/>
      <c r="VY930" s="827"/>
      <c r="VZ930" s="827"/>
      <c r="WA930" s="827"/>
      <c r="WB930" s="827"/>
      <c r="WC930" s="827"/>
      <c r="WD930" s="827"/>
      <c r="WE930" s="827"/>
      <c r="WF930" s="827"/>
      <c r="WG930" s="827"/>
      <c r="WH930" s="827"/>
      <c r="WI930" s="827"/>
      <c r="WJ930" s="827"/>
      <c r="WK930" s="827"/>
      <c r="WL930" s="827"/>
      <c r="WM930" s="827"/>
      <c r="WN930" s="827"/>
      <c r="WO930" s="827"/>
      <c r="WP930" s="827"/>
      <c r="WQ930" s="827"/>
      <c r="WR930" s="827"/>
      <c r="WS930" s="827"/>
      <c r="WT930" s="827"/>
      <c r="WU930" s="827"/>
      <c r="WV930" s="827"/>
      <c r="WW930" s="827"/>
      <c r="WX930" s="827"/>
      <c r="WY930" s="827"/>
      <c r="WZ930" s="827"/>
      <c r="XA930" s="827"/>
      <c r="XB930" s="827"/>
      <c r="XC930" s="827"/>
      <c r="XD930" s="827"/>
      <c r="XE930" s="827"/>
      <c r="XF930" s="827"/>
      <c r="XG930" s="827"/>
      <c r="XH930" s="827"/>
      <c r="XI930" s="827"/>
      <c r="XJ930" s="827"/>
      <c r="XK930" s="827"/>
      <c r="XL930" s="827"/>
      <c r="XM930" s="827"/>
      <c r="XN930" s="827"/>
      <c r="XO930" s="827"/>
      <c r="XP930" s="827"/>
      <c r="XQ930" s="827"/>
      <c r="XR930" s="827"/>
      <c r="XS930" s="827"/>
      <c r="XT930" s="827"/>
      <c r="XU930" s="827"/>
      <c r="XV930" s="827"/>
      <c r="XW930" s="827"/>
      <c r="XX930" s="827"/>
      <c r="XY930" s="827"/>
      <c r="XZ930" s="827"/>
      <c r="YA930" s="827"/>
      <c r="YB930" s="827"/>
      <c r="YC930" s="827"/>
      <c r="YD930" s="827"/>
      <c r="YE930" s="827"/>
      <c r="YF930" s="827"/>
      <c r="YG930" s="827"/>
      <c r="YH930" s="827"/>
      <c r="YI930" s="827"/>
      <c r="YJ930" s="827"/>
      <c r="YK930" s="827"/>
      <c r="YL930" s="827"/>
      <c r="YM930" s="827"/>
      <c r="YN930" s="827"/>
      <c r="YO930" s="827"/>
      <c r="YP930" s="827"/>
      <c r="YQ930" s="827"/>
      <c r="YR930" s="827"/>
      <c r="YS930" s="827"/>
      <c r="YT930" s="827"/>
      <c r="YU930" s="827"/>
      <c r="YV930" s="827"/>
      <c r="YW930" s="827"/>
      <c r="YX930" s="827"/>
      <c r="YY930" s="827"/>
      <c r="YZ930" s="827"/>
      <c r="ZA930" s="827"/>
      <c r="ZB930" s="827"/>
      <c r="ZC930" s="827"/>
      <c r="ZD930" s="827"/>
      <c r="ZE930" s="827"/>
      <c r="ZF930" s="827"/>
      <c r="ZG930" s="827"/>
      <c r="ZH930" s="827"/>
      <c r="ZI930" s="827"/>
      <c r="ZJ930" s="827"/>
      <c r="ZK930" s="827"/>
      <c r="ZL930" s="827"/>
      <c r="ZM930" s="827"/>
      <c r="ZN930" s="827"/>
      <c r="ZO930" s="827"/>
      <c r="ZP930" s="827"/>
      <c r="ZQ930" s="827"/>
      <c r="ZR930" s="827"/>
      <c r="ZS930" s="827"/>
      <c r="ZT930" s="827"/>
      <c r="ZU930" s="827"/>
      <c r="ZV930" s="827"/>
      <c r="ZW930" s="827"/>
      <c r="ZX930" s="827"/>
      <c r="ZY930" s="827"/>
      <c r="ZZ930" s="827"/>
      <c r="AAA930" s="827"/>
      <c r="AAB930" s="827"/>
      <c r="AAC930" s="827"/>
      <c r="AAD930" s="827"/>
      <c r="AAE930" s="827"/>
      <c r="AAF930" s="827"/>
      <c r="AAG930" s="827"/>
      <c r="AAH930" s="827"/>
      <c r="AAI930" s="827"/>
      <c r="AAJ930" s="827"/>
      <c r="AAK930" s="827"/>
      <c r="AAL930" s="827"/>
      <c r="AAM930" s="827"/>
      <c r="AAN930" s="827"/>
      <c r="AAO930" s="827"/>
      <c r="AAP930" s="827"/>
      <c r="AAQ930" s="827"/>
      <c r="AAR930" s="827"/>
      <c r="AAS930" s="827"/>
      <c r="AAT930" s="827"/>
      <c r="AAU930" s="827"/>
      <c r="AAV930" s="827"/>
      <c r="AAW930" s="827"/>
      <c r="AAX930" s="827"/>
      <c r="AAY930" s="827"/>
      <c r="AAZ930" s="827"/>
      <c r="ABA930" s="827"/>
      <c r="ABB930" s="827"/>
      <c r="ABC930" s="827"/>
      <c r="ABD930" s="827"/>
      <c r="ABE930" s="827"/>
      <c r="ABF930" s="827"/>
      <c r="ABG930" s="827"/>
      <c r="ABH930" s="827"/>
      <c r="ABI930" s="827"/>
      <c r="ABJ930" s="827"/>
      <c r="ABK930" s="827"/>
      <c r="ABL930" s="827"/>
      <c r="ABM930" s="827"/>
      <c r="ABN930" s="827"/>
      <c r="ABO930" s="827"/>
      <c r="ABP930" s="827"/>
      <c r="ABQ930" s="827"/>
      <c r="ABR930" s="827"/>
      <c r="ABS930" s="827"/>
      <c r="ABT930" s="827"/>
      <c r="ABU930" s="827"/>
      <c r="ABV930" s="827"/>
      <c r="ABW930" s="827"/>
      <c r="ABX930" s="827"/>
      <c r="ABY930" s="827"/>
      <c r="ABZ930" s="827"/>
      <c r="ACA930" s="827"/>
      <c r="ACB930" s="827"/>
      <c r="ACC930" s="827"/>
      <c r="ACD930" s="827"/>
      <c r="ACE930" s="827"/>
      <c r="ACF930" s="827"/>
      <c r="ACG930" s="827"/>
      <c r="ACH930" s="827"/>
      <c r="ACI930" s="827"/>
      <c r="ACJ930" s="827"/>
      <c r="ACK930" s="827"/>
      <c r="ACL930" s="827"/>
      <c r="ACM930" s="827"/>
      <c r="ACN930" s="827"/>
      <c r="ACO930" s="827"/>
      <c r="ACP930" s="827"/>
      <c r="ACQ930" s="827"/>
      <c r="ACR930" s="827"/>
      <c r="ACS930" s="827"/>
      <c r="ACT930" s="827"/>
      <c r="ACU930" s="827"/>
      <c r="ACV930" s="827"/>
      <c r="ACW930" s="827"/>
      <c r="ACX930" s="827"/>
      <c r="ACY930" s="827"/>
      <c r="ACZ930" s="827"/>
      <c r="ADA930" s="827"/>
      <c r="ADB930" s="827"/>
      <c r="ADC930" s="827"/>
      <c r="ADD930" s="827"/>
      <c r="ADE930" s="827"/>
      <c r="ADF930" s="827"/>
      <c r="ADG930" s="827"/>
      <c r="ADH930" s="827"/>
      <c r="ADI930" s="827"/>
      <c r="ADJ930" s="827"/>
      <c r="ADK930" s="827"/>
      <c r="ADL930" s="827"/>
      <c r="ADM930" s="827"/>
      <c r="ADN930" s="827"/>
      <c r="ADO930" s="827"/>
      <c r="ADP930" s="827"/>
      <c r="ADQ930" s="827"/>
      <c r="ADR930" s="827"/>
      <c r="ADS930" s="827"/>
      <c r="ADT930" s="827"/>
      <c r="ADU930" s="827"/>
      <c r="ADV930" s="827"/>
      <c r="ADW930" s="827"/>
      <c r="ADX930" s="827"/>
      <c r="ADY930" s="827"/>
      <c r="ADZ930" s="827"/>
      <c r="AEA930" s="827"/>
      <c r="AEB930" s="827"/>
      <c r="AEC930" s="827"/>
      <c r="AED930" s="827"/>
      <c r="AEE930" s="827"/>
      <c r="AEF930" s="827"/>
      <c r="AEG930" s="827"/>
      <c r="AEH930" s="827"/>
      <c r="AEI930" s="827"/>
      <c r="AEJ930" s="827"/>
      <c r="AEK930" s="827"/>
      <c r="AEL930" s="827"/>
      <c r="AEM930" s="827"/>
      <c r="AEN930" s="827"/>
      <c r="AEO930" s="827"/>
      <c r="AEP930" s="827"/>
      <c r="AEQ930" s="827"/>
      <c r="AER930" s="827"/>
      <c r="AES930" s="827"/>
      <c r="AET930" s="827"/>
      <c r="AEU930" s="827"/>
      <c r="AEV930" s="827"/>
      <c r="AEW930" s="827"/>
      <c r="AEX930" s="827"/>
      <c r="AEY930" s="827"/>
      <c r="AEZ930" s="827"/>
      <c r="AFA930" s="827"/>
      <c r="AFB930" s="827"/>
      <c r="AFC930" s="827"/>
      <c r="AFD930" s="827"/>
      <c r="AFE930" s="827"/>
      <c r="AFF930" s="827"/>
      <c r="AFG930" s="827"/>
      <c r="AFH930" s="827"/>
      <c r="AFI930" s="827"/>
      <c r="AFJ930" s="827"/>
      <c r="AFK930" s="827"/>
      <c r="AFL930" s="827"/>
      <c r="AFM930" s="827"/>
      <c r="AFN930" s="827"/>
      <c r="AFO930" s="827"/>
      <c r="AFP930" s="827"/>
      <c r="AFQ930" s="827"/>
      <c r="AFR930" s="827"/>
      <c r="AFS930" s="827"/>
      <c r="AFT930" s="827"/>
      <c r="AFU930" s="827"/>
      <c r="AFV930" s="827"/>
      <c r="AFW930" s="827"/>
      <c r="AFX930" s="827"/>
      <c r="AFY930" s="827"/>
      <c r="AFZ930" s="827"/>
      <c r="AGA930" s="827"/>
      <c r="AGB930" s="827"/>
      <c r="AGC930" s="827"/>
      <c r="AGD930" s="827"/>
      <c r="AGE930" s="827"/>
      <c r="AGF930" s="827"/>
      <c r="AGG930" s="827"/>
      <c r="AGH930" s="827"/>
      <c r="AGI930" s="827"/>
      <c r="AGJ930" s="827"/>
    </row>
    <row r="931" spans="1:868" s="7" customFormat="1" hidden="1">
      <c r="A931" s="625" t="s">
        <v>118</v>
      </c>
      <c r="B931" s="59" t="s">
        <v>441</v>
      </c>
      <c r="C931" s="40" t="s">
        <v>139</v>
      </c>
      <c r="D931" s="34" t="s">
        <v>99</v>
      </c>
      <c r="E931" s="879">
        <v>1.9881068607437654E-2</v>
      </c>
      <c r="F931" s="34">
        <v>2</v>
      </c>
      <c r="G931" s="40" t="s">
        <v>433</v>
      </c>
      <c r="H931" s="29">
        <v>1</v>
      </c>
      <c r="I931" s="9">
        <v>2</v>
      </c>
      <c r="J931" s="9">
        <v>2</v>
      </c>
      <c r="K931" s="9">
        <v>1</v>
      </c>
      <c r="L931" s="9">
        <v>1</v>
      </c>
      <c r="M931" s="9">
        <v>2</v>
      </c>
      <c r="N931" s="186">
        <f t="shared" si="76"/>
        <v>0.35859414261160716</v>
      </c>
      <c r="O931" s="160">
        <f t="shared" si="75"/>
        <v>0.37356464144298934</v>
      </c>
      <c r="P931" s="862"/>
      <c r="Q931" s="827"/>
      <c r="R931" s="827"/>
      <c r="S931" s="827"/>
      <c r="T931" s="827"/>
      <c r="U931" s="827"/>
      <c r="V931" s="827"/>
      <c r="W931" s="827"/>
      <c r="X931" s="827"/>
      <c r="Y931" s="827"/>
      <c r="Z931" s="827"/>
      <c r="AA931" s="827"/>
      <c r="AB931" s="827"/>
      <c r="AC931" s="827"/>
      <c r="AD931" s="827"/>
      <c r="AE931" s="827"/>
      <c r="AF931" s="827"/>
      <c r="AG931" s="827"/>
      <c r="AH931" s="827"/>
      <c r="AI931" s="827"/>
      <c r="AJ931" s="827"/>
      <c r="AK931" s="827"/>
      <c r="AL931" s="827"/>
      <c r="AM931" s="827"/>
      <c r="AN931" s="827"/>
      <c r="AO931" s="827"/>
      <c r="AP931" s="827"/>
      <c r="AQ931" s="827"/>
      <c r="AR931" s="827"/>
      <c r="AS931" s="827"/>
      <c r="AT931" s="827"/>
      <c r="AU931" s="827"/>
      <c r="AV931" s="827"/>
      <c r="AW931" s="827"/>
      <c r="AX931" s="827"/>
      <c r="AY931" s="827"/>
      <c r="AZ931" s="827"/>
      <c r="BA931" s="827"/>
      <c r="BB931" s="827"/>
      <c r="BC931" s="827"/>
      <c r="BD931" s="827"/>
      <c r="BE931" s="827"/>
      <c r="BF931" s="827"/>
      <c r="BG931" s="827"/>
      <c r="BH931" s="827"/>
      <c r="BI931" s="827"/>
      <c r="BJ931" s="827"/>
      <c r="BK931" s="827"/>
      <c r="BL931" s="827"/>
      <c r="BM931" s="827"/>
      <c r="BN931" s="827"/>
      <c r="BO931" s="827"/>
      <c r="BP931" s="827"/>
      <c r="BQ931" s="827"/>
      <c r="BR931" s="827"/>
      <c r="BS931" s="827"/>
      <c r="BT931" s="827"/>
      <c r="BU931" s="827"/>
      <c r="BV931" s="827"/>
      <c r="BW931" s="827"/>
      <c r="BX931" s="827"/>
      <c r="BY931" s="827"/>
      <c r="BZ931" s="827"/>
      <c r="CA931" s="827"/>
      <c r="CB931" s="827"/>
      <c r="CC931" s="827"/>
      <c r="CD931" s="827"/>
      <c r="CE931" s="827"/>
      <c r="CF931" s="827"/>
      <c r="CG931" s="827"/>
      <c r="CH931" s="827"/>
      <c r="CI931" s="827"/>
      <c r="CJ931" s="827"/>
      <c r="CK931" s="827"/>
      <c r="CL931" s="827"/>
      <c r="CM931" s="827"/>
      <c r="CN931" s="827"/>
      <c r="CO931" s="827"/>
      <c r="CP931" s="827"/>
      <c r="CQ931" s="827"/>
      <c r="CR931" s="827"/>
      <c r="CS931" s="827"/>
      <c r="CT931" s="827"/>
      <c r="CU931" s="827"/>
      <c r="CV931" s="827"/>
      <c r="CW931" s="827"/>
      <c r="CX931" s="827"/>
      <c r="CY931" s="827"/>
      <c r="CZ931" s="827"/>
      <c r="DA931" s="827"/>
      <c r="DB931" s="827"/>
      <c r="DC931" s="827"/>
      <c r="DD931" s="827"/>
      <c r="DE931" s="827"/>
      <c r="DF931" s="827"/>
      <c r="DG931" s="827"/>
      <c r="DH931" s="827"/>
      <c r="DI931" s="827"/>
      <c r="DJ931" s="827"/>
      <c r="DK931" s="827"/>
      <c r="DL931" s="827"/>
      <c r="DM931" s="827"/>
      <c r="DN931" s="827"/>
      <c r="DO931" s="827"/>
      <c r="DP931" s="827"/>
      <c r="DQ931" s="827"/>
      <c r="DR931" s="827"/>
      <c r="DS931" s="827"/>
      <c r="DT931" s="827"/>
      <c r="DU931" s="827"/>
      <c r="DV931" s="827"/>
      <c r="DW931" s="827"/>
      <c r="DX931" s="827"/>
      <c r="DY931" s="827"/>
      <c r="DZ931" s="827"/>
      <c r="EA931" s="827"/>
      <c r="EB931" s="827"/>
      <c r="EC931" s="827"/>
      <c r="ED931" s="827"/>
      <c r="EE931" s="827"/>
      <c r="EF931" s="827"/>
      <c r="EG931" s="827"/>
      <c r="EH931" s="827"/>
      <c r="EI931" s="827"/>
      <c r="EJ931" s="827"/>
      <c r="EK931" s="827"/>
      <c r="EL931" s="827"/>
      <c r="EM931" s="827"/>
      <c r="EN931" s="827"/>
      <c r="EO931" s="827"/>
      <c r="EP931" s="827"/>
      <c r="EQ931" s="827"/>
      <c r="ER931" s="827"/>
      <c r="ES931" s="827"/>
      <c r="ET931" s="827"/>
      <c r="EU931" s="827"/>
      <c r="EV931" s="827"/>
      <c r="EW931" s="827"/>
      <c r="EX931" s="827"/>
      <c r="EY931" s="827"/>
      <c r="EZ931" s="827"/>
      <c r="FA931" s="827"/>
      <c r="FB931" s="827"/>
      <c r="FC931" s="827"/>
      <c r="FD931" s="827"/>
      <c r="FE931" s="827"/>
      <c r="FF931" s="827"/>
      <c r="FG931" s="827"/>
      <c r="FH931" s="827"/>
      <c r="FI931" s="827"/>
      <c r="FJ931" s="827"/>
      <c r="FK931" s="827"/>
      <c r="FL931" s="827"/>
      <c r="FM931" s="827"/>
      <c r="FN931" s="827"/>
      <c r="FO931" s="827"/>
      <c r="FP931" s="827"/>
      <c r="FQ931" s="827"/>
      <c r="FR931" s="827"/>
      <c r="FS931" s="827"/>
      <c r="FT931" s="827"/>
      <c r="FU931" s="827"/>
      <c r="FV931" s="827"/>
      <c r="FW931" s="827"/>
      <c r="FX931" s="827"/>
      <c r="FY931" s="827"/>
      <c r="FZ931" s="827"/>
      <c r="GA931" s="827"/>
      <c r="GB931" s="827"/>
      <c r="GC931" s="827"/>
      <c r="GD931" s="827"/>
      <c r="GE931" s="827"/>
      <c r="GF931" s="827"/>
      <c r="GG931" s="827"/>
      <c r="GH931" s="827"/>
      <c r="GI931" s="827"/>
      <c r="GJ931" s="827"/>
      <c r="GK931" s="827"/>
      <c r="GL931" s="827"/>
      <c r="GM931" s="827"/>
      <c r="GN931" s="827"/>
      <c r="GO931" s="827"/>
      <c r="GP931" s="827"/>
      <c r="GQ931" s="827"/>
      <c r="GR931" s="827"/>
      <c r="GS931" s="827"/>
      <c r="GT931" s="827"/>
      <c r="GU931" s="827"/>
      <c r="GV931" s="827"/>
      <c r="GW931" s="827"/>
      <c r="GX931" s="827"/>
      <c r="GY931" s="827"/>
      <c r="GZ931" s="827"/>
      <c r="HA931" s="827"/>
      <c r="HB931" s="827"/>
      <c r="HC931" s="827"/>
      <c r="HD931" s="827"/>
      <c r="HE931" s="827"/>
      <c r="HF931" s="827"/>
      <c r="HG931" s="827"/>
      <c r="HH931" s="827"/>
      <c r="HI931" s="827"/>
      <c r="HJ931" s="827"/>
      <c r="HK931" s="827"/>
      <c r="HL931" s="827"/>
      <c r="HM931" s="827"/>
      <c r="HN931" s="827"/>
      <c r="HO931" s="827"/>
      <c r="HP931" s="827"/>
      <c r="HQ931" s="827"/>
      <c r="HR931" s="827"/>
      <c r="HS931" s="827"/>
      <c r="HT931" s="827"/>
      <c r="HU931" s="827"/>
      <c r="HV931" s="827"/>
      <c r="HW931" s="827"/>
      <c r="HX931" s="827"/>
      <c r="HY931" s="827"/>
      <c r="HZ931" s="827"/>
      <c r="IA931" s="827"/>
      <c r="IB931" s="827"/>
      <c r="IC931" s="827"/>
      <c r="ID931" s="827"/>
      <c r="IE931" s="827"/>
      <c r="IF931" s="827"/>
      <c r="IG931" s="827"/>
      <c r="IH931" s="827"/>
      <c r="II931" s="827"/>
      <c r="IJ931" s="827"/>
      <c r="IK931" s="827"/>
      <c r="IL931" s="827"/>
      <c r="IM931" s="827"/>
      <c r="IN931" s="827"/>
      <c r="IO931" s="827"/>
      <c r="IP931" s="827"/>
      <c r="IQ931" s="827"/>
      <c r="IR931" s="827"/>
      <c r="IS931" s="827"/>
      <c r="IT931" s="827"/>
      <c r="IU931" s="827"/>
      <c r="IV931" s="827"/>
      <c r="IW931" s="827"/>
      <c r="IX931" s="827"/>
      <c r="IY931" s="827"/>
      <c r="IZ931" s="827"/>
      <c r="JA931" s="827"/>
      <c r="JB931" s="827"/>
      <c r="JC931" s="827"/>
      <c r="JD931" s="827"/>
      <c r="JE931" s="827"/>
      <c r="JF931" s="827"/>
      <c r="JG931" s="827"/>
      <c r="JH931" s="827"/>
      <c r="JI931" s="827"/>
      <c r="JJ931" s="827"/>
      <c r="JK931" s="827"/>
      <c r="JL931" s="827"/>
      <c r="JM931" s="827"/>
      <c r="JN931" s="827"/>
      <c r="JO931" s="827"/>
      <c r="JP931" s="827"/>
      <c r="JQ931" s="827"/>
      <c r="JR931" s="827"/>
      <c r="JS931" s="827"/>
      <c r="JT931" s="827"/>
      <c r="JU931" s="827"/>
      <c r="JV931" s="827"/>
      <c r="JW931" s="827"/>
      <c r="JX931" s="827"/>
      <c r="JY931" s="827"/>
      <c r="JZ931" s="827"/>
      <c r="KA931" s="827"/>
      <c r="KB931" s="827"/>
      <c r="KC931" s="827"/>
      <c r="KD931" s="827"/>
      <c r="KE931" s="827"/>
      <c r="KF931" s="827"/>
      <c r="KG931" s="827"/>
      <c r="KH931" s="827"/>
      <c r="KI931" s="827"/>
      <c r="KJ931" s="827"/>
      <c r="KK931" s="827"/>
      <c r="KL931" s="827"/>
      <c r="KM931" s="827"/>
      <c r="KN931" s="827"/>
      <c r="KO931" s="827"/>
      <c r="KP931" s="827"/>
      <c r="KQ931" s="827"/>
      <c r="KR931" s="827"/>
      <c r="KS931" s="827"/>
      <c r="KT931" s="827"/>
      <c r="KU931" s="827"/>
      <c r="KV931" s="827"/>
      <c r="KW931" s="827"/>
      <c r="KX931" s="827"/>
      <c r="KY931" s="827"/>
      <c r="KZ931" s="827"/>
      <c r="LA931" s="827"/>
      <c r="LB931" s="827"/>
      <c r="LC931" s="827"/>
      <c r="LD931" s="827"/>
      <c r="LE931" s="827"/>
      <c r="LF931" s="827"/>
      <c r="LG931" s="827"/>
      <c r="LH931" s="827"/>
      <c r="LI931" s="827"/>
      <c r="LJ931" s="827"/>
      <c r="LK931" s="827"/>
      <c r="LL931" s="827"/>
      <c r="LM931" s="827"/>
      <c r="LN931" s="827"/>
      <c r="LO931" s="827"/>
      <c r="LP931" s="827"/>
      <c r="LQ931" s="827"/>
      <c r="LR931" s="827"/>
      <c r="LS931" s="827"/>
      <c r="LT931" s="827"/>
      <c r="LU931" s="827"/>
      <c r="LV931" s="827"/>
      <c r="LW931" s="827"/>
      <c r="LX931" s="827"/>
      <c r="LY931" s="827"/>
      <c r="LZ931" s="827"/>
      <c r="MA931" s="827"/>
      <c r="MB931" s="827"/>
      <c r="MC931" s="827"/>
      <c r="MD931" s="827"/>
      <c r="ME931" s="827"/>
      <c r="MF931" s="827"/>
      <c r="MG931" s="827"/>
      <c r="MH931" s="827"/>
      <c r="MI931" s="827"/>
      <c r="MJ931" s="827"/>
      <c r="MK931" s="827"/>
      <c r="ML931" s="827"/>
      <c r="MM931" s="827"/>
      <c r="MN931" s="827"/>
      <c r="MO931" s="827"/>
      <c r="MP931" s="827"/>
      <c r="MQ931" s="827"/>
      <c r="MR931" s="827"/>
      <c r="MS931" s="827"/>
      <c r="MT931" s="827"/>
      <c r="MU931" s="827"/>
      <c r="MV931" s="827"/>
      <c r="MW931" s="827"/>
      <c r="MX931" s="827"/>
      <c r="MY931" s="827"/>
      <c r="MZ931" s="827"/>
      <c r="NA931" s="827"/>
      <c r="NB931" s="827"/>
      <c r="NC931" s="827"/>
      <c r="ND931" s="827"/>
      <c r="NE931" s="827"/>
      <c r="NF931" s="827"/>
      <c r="NG931" s="827"/>
      <c r="NH931" s="827"/>
      <c r="NI931" s="827"/>
      <c r="NJ931" s="827"/>
      <c r="NK931" s="827"/>
      <c r="NL931" s="827"/>
      <c r="NM931" s="827"/>
      <c r="NN931" s="827"/>
      <c r="NO931" s="827"/>
      <c r="NP931" s="827"/>
      <c r="NQ931" s="827"/>
      <c r="NR931" s="827"/>
      <c r="NS931" s="827"/>
      <c r="NT931" s="827"/>
      <c r="NU931" s="827"/>
      <c r="NV931" s="827"/>
      <c r="NW931" s="827"/>
      <c r="NX931" s="827"/>
      <c r="NY931" s="827"/>
      <c r="NZ931" s="827"/>
      <c r="OA931" s="827"/>
      <c r="OB931" s="827"/>
      <c r="OC931" s="827"/>
      <c r="OD931" s="827"/>
      <c r="OE931" s="827"/>
      <c r="OF931" s="827"/>
      <c r="OG931" s="827"/>
      <c r="OH931" s="827"/>
      <c r="OI931" s="827"/>
      <c r="OJ931" s="827"/>
      <c r="OK931" s="827"/>
      <c r="OL931" s="827"/>
      <c r="OM931" s="827"/>
      <c r="ON931" s="827"/>
      <c r="OO931" s="827"/>
      <c r="OP931" s="827"/>
      <c r="OQ931" s="827"/>
      <c r="OR931" s="827"/>
      <c r="OS931" s="827"/>
      <c r="OT931" s="827"/>
      <c r="OU931" s="827"/>
      <c r="OV931" s="827"/>
      <c r="OW931" s="827"/>
      <c r="OX931" s="827"/>
      <c r="OY931" s="827"/>
      <c r="OZ931" s="827"/>
      <c r="PA931" s="827"/>
      <c r="PB931" s="827"/>
      <c r="PC931" s="827"/>
      <c r="PD931" s="827"/>
      <c r="PE931" s="827"/>
      <c r="PF931" s="827"/>
      <c r="PG931" s="827"/>
      <c r="PH931" s="827"/>
      <c r="PI931" s="827"/>
      <c r="PJ931" s="827"/>
      <c r="PK931" s="827"/>
      <c r="PL931" s="827"/>
      <c r="PM931" s="827"/>
      <c r="PN931" s="827"/>
      <c r="PO931" s="827"/>
      <c r="PP931" s="827"/>
      <c r="PQ931" s="827"/>
      <c r="PR931" s="827"/>
      <c r="PS931" s="827"/>
      <c r="PT931" s="827"/>
      <c r="PU931" s="827"/>
      <c r="PV931" s="827"/>
      <c r="PW931" s="827"/>
      <c r="PX931" s="827"/>
      <c r="PY931" s="827"/>
      <c r="PZ931" s="827"/>
      <c r="QA931" s="827"/>
      <c r="QB931" s="827"/>
      <c r="QC931" s="827"/>
      <c r="QD931" s="827"/>
      <c r="QE931" s="827"/>
      <c r="QF931" s="827"/>
      <c r="QG931" s="827"/>
      <c r="QH931" s="827"/>
      <c r="QI931" s="827"/>
      <c r="QJ931" s="827"/>
      <c r="QK931" s="827"/>
      <c r="QL931" s="827"/>
      <c r="QM931" s="827"/>
      <c r="QN931" s="827"/>
      <c r="QO931" s="827"/>
      <c r="QP931" s="827"/>
      <c r="QQ931" s="827"/>
      <c r="QR931" s="827"/>
      <c r="QS931" s="827"/>
      <c r="QT931" s="827"/>
      <c r="QU931" s="827"/>
      <c r="QV931" s="827"/>
      <c r="QW931" s="827"/>
      <c r="QX931" s="827"/>
      <c r="QY931" s="827"/>
      <c r="QZ931" s="827"/>
      <c r="RA931" s="827"/>
      <c r="RB931" s="827"/>
      <c r="RC931" s="827"/>
      <c r="RD931" s="827"/>
      <c r="RE931" s="827"/>
      <c r="RF931" s="827"/>
      <c r="RG931" s="827"/>
      <c r="RH931" s="827"/>
      <c r="RI931" s="827"/>
      <c r="RJ931" s="827"/>
      <c r="RK931" s="827"/>
      <c r="RL931" s="827"/>
      <c r="RM931" s="827"/>
      <c r="RN931" s="827"/>
      <c r="RO931" s="827"/>
      <c r="RP931" s="827"/>
      <c r="RQ931" s="827"/>
      <c r="RR931" s="827"/>
      <c r="RS931" s="827"/>
      <c r="RT931" s="827"/>
      <c r="RU931" s="827"/>
      <c r="RV931" s="827"/>
      <c r="RW931" s="827"/>
      <c r="RX931" s="827"/>
      <c r="RY931" s="827"/>
      <c r="RZ931" s="827"/>
      <c r="SA931" s="827"/>
      <c r="SB931" s="827"/>
      <c r="SC931" s="827"/>
      <c r="SD931" s="827"/>
      <c r="SE931" s="827"/>
      <c r="SF931" s="827"/>
      <c r="SG931" s="827"/>
      <c r="SH931" s="827"/>
      <c r="SI931" s="827"/>
      <c r="SJ931" s="827"/>
      <c r="SK931" s="827"/>
      <c r="SL931" s="827"/>
      <c r="SM931" s="827"/>
      <c r="SN931" s="827"/>
      <c r="SO931" s="827"/>
      <c r="SP931" s="827"/>
      <c r="SQ931" s="827"/>
      <c r="SR931" s="827"/>
      <c r="SS931" s="827"/>
      <c r="ST931" s="827"/>
      <c r="SU931" s="827"/>
      <c r="SV931" s="827"/>
      <c r="SW931" s="827"/>
      <c r="SX931" s="827"/>
      <c r="SY931" s="827"/>
      <c r="SZ931" s="827"/>
      <c r="TA931" s="827"/>
      <c r="TB931" s="827"/>
      <c r="TC931" s="827"/>
      <c r="TD931" s="827"/>
      <c r="TE931" s="827"/>
      <c r="TF931" s="827"/>
      <c r="TG931" s="827"/>
      <c r="TH931" s="827"/>
      <c r="TI931" s="827"/>
      <c r="TJ931" s="827"/>
      <c r="TK931" s="827"/>
      <c r="TL931" s="827"/>
      <c r="TM931" s="827"/>
      <c r="TN931" s="827"/>
      <c r="TO931" s="827"/>
      <c r="TP931" s="827"/>
      <c r="TQ931" s="827"/>
      <c r="TR931" s="827"/>
      <c r="TS931" s="827"/>
      <c r="TT931" s="827"/>
      <c r="TU931" s="827"/>
      <c r="TV931" s="827"/>
      <c r="TW931" s="827"/>
      <c r="TX931" s="827"/>
      <c r="TY931" s="827"/>
      <c r="TZ931" s="827"/>
      <c r="UA931" s="827"/>
      <c r="UB931" s="827"/>
      <c r="UC931" s="827"/>
      <c r="UD931" s="827"/>
      <c r="UE931" s="827"/>
      <c r="UF931" s="827"/>
      <c r="UG931" s="827"/>
      <c r="UH931" s="827"/>
      <c r="UI931" s="827"/>
      <c r="UJ931" s="827"/>
      <c r="UK931" s="827"/>
      <c r="UL931" s="827"/>
      <c r="UM931" s="827"/>
      <c r="UN931" s="827"/>
      <c r="UO931" s="827"/>
      <c r="UP931" s="827"/>
      <c r="UQ931" s="827"/>
      <c r="UR931" s="827"/>
      <c r="US931" s="827"/>
      <c r="UT931" s="827"/>
      <c r="UU931" s="827"/>
      <c r="UV931" s="827"/>
      <c r="UW931" s="827"/>
      <c r="UX931" s="827"/>
      <c r="UY931" s="827"/>
      <c r="UZ931" s="827"/>
      <c r="VA931" s="827"/>
      <c r="VB931" s="827"/>
      <c r="VC931" s="827"/>
      <c r="VD931" s="827"/>
      <c r="VE931" s="827"/>
      <c r="VF931" s="827"/>
      <c r="VG931" s="827"/>
      <c r="VH931" s="827"/>
      <c r="VI931" s="827"/>
      <c r="VJ931" s="827"/>
      <c r="VK931" s="827"/>
      <c r="VL931" s="827"/>
      <c r="VM931" s="827"/>
      <c r="VN931" s="827"/>
      <c r="VO931" s="827"/>
      <c r="VP931" s="827"/>
      <c r="VQ931" s="827"/>
      <c r="VR931" s="827"/>
      <c r="VS931" s="827"/>
      <c r="VT931" s="827"/>
      <c r="VU931" s="827"/>
      <c r="VV931" s="827"/>
      <c r="VW931" s="827"/>
      <c r="VX931" s="827"/>
      <c r="VY931" s="827"/>
      <c r="VZ931" s="827"/>
      <c r="WA931" s="827"/>
      <c r="WB931" s="827"/>
      <c r="WC931" s="827"/>
      <c r="WD931" s="827"/>
      <c r="WE931" s="827"/>
      <c r="WF931" s="827"/>
      <c r="WG931" s="827"/>
      <c r="WH931" s="827"/>
      <c r="WI931" s="827"/>
      <c r="WJ931" s="827"/>
      <c r="WK931" s="827"/>
      <c r="WL931" s="827"/>
      <c r="WM931" s="827"/>
      <c r="WN931" s="827"/>
      <c r="WO931" s="827"/>
      <c r="WP931" s="827"/>
      <c r="WQ931" s="827"/>
      <c r="WR931" s="827"/>
      <c r="WS931" s="827"/>
      <c r="WT931" s="827"/>
      <c r="WU931" s="827"/>
      <c r="WV931" s="827"/>
      <c r="WW931" s="827"/>
      <c r="WX931" s="827"/>
      <c r="WY931" s="827"/>
      <c r="WZ931" s="827"/>
      <c r="XA931" s="827"/>
      <c r="XB931" s="827"/>
      <c r="XC931" s="827"/>
      <c r="XD931" s="827"/>
      <c r="XE931" s="827"/>
      <c r="XF931" s="827"/>
      <c r="XG931" s="827"/>
      <c r="XH931" s="827"/>
      <c r="XI931" s="827"/>
      <c r="XJ931" s="827"/>
      <c r="XK931" s="827"/>
      <c r="XL931" s="827"/>
      <c r="XM931" s="827"/>
      <c r="XN931" s="827"/>
      <c r="XO931" s="827"/>
      <c r="XP931" s="827"/>
      <c r="XQ931" s="827"/>
      <c r="XR931" s="827"/>
      <c r="XS931" s="827"/>
      <c r="XT931" s="827"/>
      <c r="XU931" s="827"/>
      <c r="XV931" s="827"/>
      <c r="XW931" s="827"/>
      <c r="XX931" s="827"/>
      <c r="XY931" s="827"/>
      <c r="XZ931" s="827"/>
      <c r="YA931" s="827"/>
      <c r="YB931" s="827"/>
      <c r="YC931" s="827"/>
      <c r="YD931" s="827"/>
      <c r="YE931" s="827"/>
      <c r="YF931" s="827"/>
      <c r="YG931" s="827"/>
      <c r="YH931" s="827"/>
      <c r="YI931" s="827"/>
      <c r="YJ931" s="827"/>
      <c r="YK931" s="827"/>
      <c r="YL931" s="827"/>
      <c r="YM931" s="827"/>
      <c r="YN931" s="827"/>
      <c r="YO931" s="827"/>
      <c r="YP931" s="827"/>
      <c r="YQ931" s="827"/>
      <c r="YR931" s="827"/>
      <c r="YS931" s="827"/>
      <c r="YT931" s="827"/>
      <c r="YU931" s="827"/>
      <c r="YV931" s="827"/>
      <c r="YW931" s="827"/>
      <c r="YX931" s="827"/>
      <c r="YY931" s="827"/>
      <c r="YZ931" s="827"/>
      <c r="ZA931" s="827"/>
      <c r="ZB931" s="827"/>
      <c r="ZC931" s="827"/>
      <c r="ZD931" s="827"/>
      <c r="ZE931" s="827"/>
      <c r="ZF931" s="827"/>
      <c r="ZG931" s="827"/>
      <c r="ZH931" s="827"/>
      <c r="ZI931" s="827"/>
      <c r="ZJ931" s="827"/>
      <c r="ZK931" s="827"/>
      <c r="ZL931" s="827"/>
      <c r="ZM931" s="827"/>
      <c r="ZN931" s="827"/>
      <c r="ZO931" s="827"/>
      <c r="ZP931" s="827"/>
      <c r="ZQ931" s="827"/>
      <c r="ZR931" s="827"/>
      <c r="ZS931" s="827"/>
      <c r="ZT931" s="827"/>
      <c r="ZU931" s="827"/>
      <c r="ZV931" s="827"/>
      <c r="ZW931" s="827"/>
      <c r="ZX931" s="827"/>
      <c r="ZY931" s="827"/>
      <c r="ZZ931" s="827"/>
      <c r="AAA931" s="827"/>
      <c r="AAB931" s="827"/>
      <c r="AAC931" s="827"/>
      <c r="AAD931" s="827"/>
      <c r="AAE931" s="827"/>
      <c r="AAF931" s="827"/>
      <c r="AAG931" s="827"/>
      <c r="AAH931" s="827"/>
      <c r="AAI931" s="827"/>
      <c r="AAJ931" s="827"/>
      <c r="AAK931" s="827"/>
      <c r="AAL931" s="827"/>
      <c r="AAM931" s="827"/>
      <c r="AAN931" s="827"/>
      <c r="AAO931" s="827"/>
      <c r="AAP931" s="827"/>
      <c r="AAQ931" s="827"/>
      <c r="AAR931" s="827"/>
      <c r="AAS931" s="827"/>
      <c r="AAT931" s="827"/>
      <c r="AAU931" s="827"/>
      <c r="AAV931" s="827"/>
      <c r="AAW931" s="827"/>
      <c r="AAX931" s="827"/>
      <c r="AAY931" s="827"/>
      <c r="AAZ931" s="827"/>
      <c r="ABA931" s="827"/>
      <c r="ABB931" s="827"/>
      <c r="ABC931" s="827"/>
      <c r="ABD931" s="827"/>
      <c r="ABE931" s="827"/>
      <c r="ABF931" s="827"/>
      <c r="ABG931" s="827"/>
      <c r="ABH931" s="827"/>
      <c r="ABI931" s="827"/>
      <c r="ABJ931" s="827"/>
      <c r="ABK931" s="827"/>
      <c r="ABL931" s="827"/>
      <c r="ABM931" s="827"/>
      <c r="ABN931" s="827"/>
      <c r="ABO931" s="827"/>
      <c r="ABP931" s="827"/>
      <c r="ABQ931" s="827"/>
      <c r="ABR931" s="827"/>
      <c r="ABS931" s="827"/>
      <c r="ABT931" s="827"/>
      <c r="ABU931" s="827"/>
      <c r="ABV931" s="827"/>
      <c r="ABW931" s="827"/>
      <c r="ABX931" s="827"/>
      <c r="ABY931" s="827"/>
      <c r="ABZ931" s="827"/>
      <c r="ACA931" s="827"/>
      <c r="ACB931" s="827"/>
      <c r="ACC931" s="827"/>
      <c r="ACD931" s="827"/>
      <c r="ACE931" s="827"/>
      <c r="ACF931" s="827"/>
      <c r="ACG931" s="827"/>
      <c r="ACH931" s="827"/>
      <c r="ACI931" s="827"/>
      <c r="ACJ931" s="827"/>
      <c r="ACK931" s="827"/>
      <c r="ACL931" s="827"/>
      <c r="ACM931" s="827"/>
      <c r="ACN931" s="827"/>
      <c r="ACO931" s="827"/>
      <c r="ACP931" s="827"/>
      <c r="ACQ931" s="827"/>
      <c r="ACR931" s="827"/>
      <c r="ACS931" s="827"/>
      <c r="ACT931" s="827"/>
      <c r="ACU931" s="827"/>
      <c r="ACV931" s="827"/>
      <c r="ACW931" s="827"/>
      <c r="ACX931" s="827"/>
      <c r="ACY931" s="827"/>
      <c r="ACZ931" s="827"/>
      <c r="ADA931" s="827"/>
      <c r="ADB931" s="827"/>
      <c r="ADC931" s="827"/>
      <c r="ADD931" s="827"/>
      <c r="ADE931" s="827"/>
      <c r="ADF931" s="827"/>
      <c r="ADG931" s="827"/>
      <c r="ADH931" s="827"/>
      <c r="ADI931" s="827"/>
      <c r="ADJ931" s="827"/>
      <c r="ADK931" s="827"/>
      <c r="ADL931" s="827"/>
      <c r="ADM931" s="827"/>
      <c r="ADN931" s="827"/>
      <c r="ADO931" s="827"/>
      <c r="ADP931" s="827"/>
      <c r="ADQ931" s="827"/>
      <c r="ADR931" s="827"/>
      <c r="ADS931" s="827"/>
      <c r="ADT931" s="827"/>
      <c r="ADU931" s="827"/>
      <c r="ADV931" s="827"/>
      <c r="ADW931" s="827"/>
      <c r="ADX931" s="827"/>
      <c r="ADY931" s="827"/>
      <c r="ADZ931" s="827"/>
      <c r="AEA931" s="827"/>
      <c r="AEB931" s="827"/>
      <c r="AEC931" s="827"/>
      <c r="AED931" s="827"/>
      <c r="AEE931" s="827"/>
      <c r="AEF931" s="827"/>
      <c r="AEG931" s="827"/>
      <c r="AEH931" s="827"/>
      <c r="AEI931" s="827"/>
      <c r="AEJ931" s="827"/>
      <c r="AEK931" s="827"/>
      <c r="AEL931" s="827"/>
      <c r="AEM931" s="827"/>
      <c r="AEN931" s="827"/>
      <c r="AEO931" s="827"/>
      <c r="AEP931" s="827"/>
      <c r="AEQ931" s="827"/>
      <c r="AER931" s="827"/>
      <c r="AES931" s="827"/>
      <c r="AET931" s="827"/>
      <c r="AEU931" s="827"/>
      <c r="AEV931" s="827"/>
      <c r="AEW931" s="827"/>
      <c r="AEX931" s="827"/>
      <c r="AEY931" s="827"/>
      <c r="AEZ931" s="827"/>
      <c r="AFA931" s="827"/>
      <c r="AFB931" s="827"/>
      <c r="AFC931" s="827"/>
      <c r="AFD931" s="827"/>
      <c r="AFE931" s="827"/>
      <c r="AFF931" s="827"/>
      <c r="AFG931" s="827"/>
      <c r="AFH931" s="827"/>
      <c r="AFI931" s="827"/>
      <c r="AFJ931" s="827"/>
      <c r="AFK931" s="827"/>
      <c r="AFL931" s="827"/>
      <c r="AFM931" s="827"/>
      <c r="AFN931" s="827"/>
      <c r="AFO931" s="827"/>
      <c r="AFP931" s="827"/>
      <c r="AFQ931" s="827"/>
      <c r="AFR931" s="827"/>
      <c r="AFS931" s="827"/>
      <c r="AFT931" s="827"/>
      <c r="AFU931" s="827"/>
      <c r="AFV931" s="827"/>
      <c r="AFW931" s="827"/>
      <c r="AFX931" s="827"/>
      <c r="AFY931" s="827"/>
      <c r="AFZ931" s="827"/>
      <c r="AGA931" s="827"/>
      <c r="AGB931" s="827"/>
      <c r="AGC931" s="827"/>
      <c r="AGD931" s="827"/>
      <c r="AGE931" s="827"/>
      <c r="AGF931" s="827"/>
      <c r="AGG931" s="827"/>
      <c r="AGH931" s="827"/>
      <c r="AGI931" s="827"/>
      <c r="AGJ931" s="827"/>
    </row>
    <row r="932" spans="1:868" s="7" customFormat="1" hidden="1">
      <c r="A932" s="625" t="s">
        <v>118</v>
      </c>
      <c r="B932" s="59" t="s">
        <v>442</v>
      </c>
      <c r="C932" s="40" t="s">
        <v>139</v>
      </c>
      <c r="D932" s="34" t="s">
        <v>99</v>
      </c>
      <c r="E932" s="879">
        <v>5.4672938670453558E-2</v>
      </c>
      <c r="F932" s="34">
        <v>2</v>
      </c>
      <c r="G932" s="40" t="s">
        <v>433</v>
      </c>
      <c r="H932" s="29">
        <v>1</v>
      </c>
      <c r="I932" s="9">
        <v>2</v>
      </c>
      <c r="J932" s="9">
        <v>2</v>
      </c>
      <c r="K932" s="9">
        <v>1</v>
      </c>
      <c r="L932" s="9">
        <v>1</v>
      </c>
      <c r="M932" s="9">
        <v>2</v>
      </c>
      <c r="N932" s="186">
        <f t="shared" si="76"/>
        <v>0.35859414261160716</v>
      </c>
      <c r="O932" s="160">
        <f t="shared" si="75"/>
        <v>0.37356464144298934</v>
      </c>
      <c r="P932" s="863"/>
      <c r="Q932" s="827"/>
      <c r="R932" s="827"/>
      <c r="S932" s="827"/>
      <c r="T932" s="827"/>
      <c r="U932" s="827"/>
      <c r="V932" s="827"/>
      <c r="W932" s="827"/>
      <c r="X932" s="827"/>
      <c r="Y932" s="827"/>
      <c r="Z932" s="827"/>
      <c r="AA932" s="827"/>
      <c r="AB932" s="827"/>
      <c r="AC932" s="827"/>
      <c r="AD932" s="827"/>
      <c r="AE932" s="827"/>
      <c r="AF932" s="827"/>
      <c r="AG932" s="827"/>
      <c r="AH932" s="827"/>
      <c r="AI932" s="827"/>
      <c r="AJ932" s="827"/>
      <c r="AK932" s="827"/>
      <c r="AL932" s="827"/>
      <c r="AM932" s="827"/>
      <c r="AN932" s="827"/>
      <c r="AO932" s="827"/>
      <c r="AP932" s="827"/>
      <c r="AQ932" s="827"/>
      <c r="AR932" s="827"/>
      <c r="AS932" s="827"/>
      <c r="AT932" s="827"/>
      <c r="AU932" s="827"/>
      <c r="AV932" s="827"/>
      <c r="AW932" s="827"/>
      <c r="AX932" s="827"/>
      <c r="AY932" s="827"/>
      <c r="AZ932" s="827"/>
      <c r="BA932" s="827"/>
      <c r="BB932" s="827"/>
      <c r="BC932" s="827"/>
      <c r="BD932" s="827"/>
      <c r="BE932" s="827"/>
      <c r="BF932" s="827"/>
      <c r="BG932" s="827"/>
      <c r="BH932" s="827"/>
      <c r="BI932" s="827"/>
      <c r="BJ932" s="827"/>
      <c r="BK932" s="827"/>
      <c r="BL932" s="827"/>
      <c r="BM932" s="827"/>
      <c r="BN932" s="827"/>
      <c r="BO932" s="827"/>
      <c r="BP932" s="827"/>
      <c r="BQ932" s="827"/>
      <c r="BR932" s="827"/>
      <c r="BS932" s="827"/>
      <c r="BT932" s="827"/>
      <c r="BU932" s="827"/>
      <c r="BV932" s="827"/>
      <c r="BW932" s="827"/>
      <c r="BX932" s="827"/>
      <c r="BY932" s="827"/>
      <c r="BZ932" s="827"/>
      <c r="CA932" s="827"/>
      <c r="CB932" s="827"/>
      <c r="CC932" s="827"/>
      <c r="CD932" s="827"/>
      <c r="CE932" s="827"/>
      <c r="CF932" s="827"/>
      <c r="CG932" s="827"/>
      <c r="CH932" s="827"/>
      <c r="CI932" s="827"/>
      <c r="CJ932" s="827"/>
      <c r="CK932" s="827"/>
      <c r="CL932" s="827"/>
      <c r="CM932" s="827"/>
      <c r="CN932" s="827"/>
      <c r="CO932" s="827"/>
      <c r="CP932" s="827"/>
      <c r="CQ932" s="827"/>
      <c r="CR932" s="827"/>
      <c r="CS932" s="827"/>
      <c r="CT932" s="827"/>
      <c r="CU932" s="827"/>
      <c r="CV932" s="827"/>
      <c r="CW932" s="827"/>
      <c r="CX932" s="827"/>
      <c r="CY932" s="827"/>
      <c r="CZ932" s="827"/>
      <c r="DA932" s="827"/>
      <c r="DB932" s="827"/>
      <c r="DC932" s="827"/>
      <c r="DD932" s="827"/>
      <c r="DE932" s="827"/>
      <c r="DF932" s="827"/>
      <c r="DG932" s="827"/>
      <c r="DH932" s="827"/>
      <c r="DI932" s="827"/>
      <c r="DJ932" s="827"/>
      <c r="DK932" s="827"/>
      <c r="DL932" s="827"/>
      <c r="DM932" s="827"/>
      <c r="DN932" s="827"/>
      <c r="DO932" s="827"/>
      <c r="DP932" s="827"/>
      <c r="DQ932" s="827"/>
      <c r="DR932" s="827"/>
      <c r="DS932" s="827"/>
      <c r="DT932" s="827"/>
      <c r="DU932" s="827"/>
      <c r="DV932" s="827"/>
      <c r="DW932" s="827"/>
      <c r="DX932" s="827"/>
      <c r="DY932" s="827"/>
      <c r="DZ932" s="827"/>
      <c r="EA932" s="827"/>
      <c r="EB932" s="827"/>
      <c r="EC932" s="827"/>
      <c r="ED932" s="827"/>
      <c r="EE932" s="827"/>
      <c r="EF932" s="827"/>
      <c r="EG932" s="827"/>
      <c r="EH932" s="827"/>
      <c r="EI932" s="827"/>
      <c r="EJ932" s="827"/>
      <c r="EK932" s="827"/>
      <c r="EL932" s="827"/>
      <c r="EM932" s="827"/>
      <c r="EN932" s="827"/>
      <c r="EO932" s="827"/>
      <c r="EP932" s="827"/>
      <c r="EQ932" s="827"/>
      <c r="ER932" s="827"/>
      <c r="ES932" s="827"/>
      <c r="ET932" s="827"/>
      <c r="EU932" s="827"/>
      <c r="EV932" s="827"/>
      <c r="EW932" s="827"/>
      <c r="EX932" s="827"/>
      <c r="EY932" s="827"/>
      <c r="EZ932" s="827"/>
      <c r="FA932" s="827"/>
      <c r="FB932" s="827"/>
      <c r="FC932" s="827"/>
      <c r="FD932" s="827"/>
      <c r="FE932" s="827"/>
      <c r="FF932" s="827"/>
      <c r="FG932" s="827"/>
      <c r="FH932" s="827"/>
      <c r="FI932" s="827"/>
      <c r="FJ932" s="827"/>
      <c r="FK932" s="827"/>
      <c r="FL932" s="827"/>
      <c r="FM932" s="827"/>
      <c r="FN932" s="827"/>
      <c r="FO932" s="827"/>
      <c r="FP932" s="827"/>
      <c r="FQ932" s="827"/>
      <c r="FR932" s="827"/>
      <c r="FS932" s="827"/>
      <c r="FT932" s="827"/>
      <c r="FU932" s="827"/>
      <c r="FV932" s="827"/>
      <c r="FW932" s="827"/>
      <c r="FX932" s="827"/>
      <c r="FY932" s="827"/>
      <c r="FZ932" s="827"/>
      <c r="GA932" s="827"/>
      <c r="GB932" s="827"/>
      <c r="GC932" s="827"/>
      <c r="GD932" s="827"/>
      <c r="GE932" s="827"/>
      <c r="GF932" s="827"/>
      <c r="GG932" s="827"/>
      <c r="GH932" s="827"/>
      <c r="GI932" s="827"/>
      <c r="GJ932" s="827"/>
      <c r="GK932" s="827"/>
      <c r="GL932" s="827"/>
      <c r="GM932" s="827"/>
      <c r="GN932" s="827"/>
      <c r="GO932" s="827"/>
      <c r="GP932" s="827"/>
      <c r="GQ932" s="827"/>
      <c r="GR932" s="827"/>
      <c r="GS932" s="827"/>
      <c r="GT932" s="827"/>
      <c r="GU932" s="827"/>
      <c r="GV932" s="827"/>
      <c r="GW932" s="827"/>
      <c r="GX932" s="827"/>
      <c r="GY932" s="827"/>
      <c r="GZ932" s="827"/>
      <c r="HA932" s="827"/>
      <c r="HB932" s="827"/>
      <c r="HC932" s="827"/>
      <c r="HD932" s="827"/>
      <c r="HE932" s="827"/>
      <c r="HF932" s="827"/>
      <c r="HG932" s="827"/>
      <c r="HH932" s="827"/>
      <c r="HI932" s="827"/>
      <c r="HJ932" s="827"/>
      <c r="HK932" s="827"/>
      <c r="HL932" s="827"/>
      <c r="HM932" s="827"/>
      <c r="HN932" s="827"/>
      <c r="HO932" s="827"/>
      <c r="HP932" s="827"/>
      <c r="HQ932" s="827"/>
      <c r="HR932" s="827"/>
      <c r="HS932" s="827"/>
      <c r="HT932" s="827"/>
      <c r="HU932" s="827"/>
      <c r="HV932" s="827"/>
      <c r="HW932" s="827"/>
      <c r="HX932" s="827"/>
      <c r="HY932" s="827"/>
      <c r="HZ932" s="827"/>
      <c r="IA932" s="827"/>
      <c r="IB932" s="827"/>
      <c r="IC932" s="827"/>
      <c r="ID932" s="827"/>
      <c r="IE932" s="827"/>
      <c r="IF932" s="827"/>
      <c r="IG932" s="827"/>
      <c r="IH932" s="827"/>
      <c r="II932" s="827"/>
      <c r="IJ932" s="827"/>
      <c r="IK932" s="827"/>
      <c r="IL932" s="827"/>
      <c r="IM932" s="827"/>
      <c r="IN932" s="827"/>
      <c r="IO932" s="827"/>
      <c r="IP932" s="827"/>
      <c r="IQ932" s="827"/>
      <c r="IR932" s="827"/>
      <c r="IS932" s="827"/>
      <c r="IT932" s="827"/>
      <c r="IU932" s="827"/>
      <c r="IV932" s="827"/>
      <c r="IW932" s="827"/>
      <c r="IX932" s="827"/>
      <c r="IY932" s="827"/>
      <c r="IZ932" s="827"/>
      <c r="JA932" s="827"/>
      <c r="JB932" s="827"/>
      <c r="JC932" s="827"/>
      <c r="JD932" s="827"/>
      <c r="JE932" s="827"/>
      <c r="JF932" s="827"/>
      <c r="JG932" s="827"/>
      <c r="JH932" s="827"/>
      <c r="JI932" s="827"/>
      <c r="JJ932" s="827"/>
      <c r="JK932" s="827"/>
      <c r="JL932" s="827"/>
      <c r="JM932" s="827"/>
      <c r="JN932" s="827"/>
      <c r="JO932" s="827"/>
      <c r="JP932" s="827"/>
      <c r="JQ932" s="827"/>
      <c r="JR932" s="827"/>
      <c r="JS932" s="827"/>
      <c r="JT932" s="827"/>
      <c r="JU932" s="827"/>
      <c r="JV932" s="827"/>
      <c r="JW932" s="827"/>
      <c r="JX932" s="827"/>
      <c r="JY932" s="827"/>
      <c r="JZ932" s="827"/>
      <c r="KA932" s="827"/>
      <c r="KB932" s="827"/>
      <c r="KC932" s="827"/>
      <c r="KD932" s="827"/>
      <c r="KE932" s="827"/>
      <c r="KF932" s="827"/>
      <c r="KG932" s="827"/>
      <c r="KH932" s="827"/>
      <c r="KI932" s="827"/>
      <c r="KJ932" s="827"/>
      <c r="KK932" s="827"/>
      <c r="KL932" s="827"/>
      <c r="KM932" s="827"/>
      <c r="KN932" s="827"/>
      <c r="KO932" s="827"/>
      <c r="KP932" s="827"/>
      <c r="KQ932" s="827"/>
      <c r="KR932" s="827"/>
      <c r="KS932" s="827"/>
      <c r="KT932" s="827"/>
      <c r="KU932" s="827"/>
      <c r="KV932" s="827"/>
      <c r="KW932" s="827"/>
      <c r="KX932" s="827"/>
      <c r="KY932" s="827"/>
      <c r="KZ932" s="827"/>
      <c r="LA932" s="827"/>
      <c r="LB932" s="827"/>
      <c r="LC932" s="827"/>
      <c r="LD932" s="827"/>
      <c r="LE932" s="827"/>
      <c r="LF932" s="827"/>
      <c r="LG932" s="827"/>
      <c r="LH932" s="827"/>
      <c r="LI932" s="827"/>
      <c r="LJ932" s="827"/>
      <c r="LK932" s="827"/>
      <c r="LL932" s="827"/>
      <c r="LM932" s="827"/>
      <c r="LN932" s="827"/>
      <c r="LO932" s="827"/>
      <c r="LP932" s="827"/>
      <c r="LQ932" s="827"/>
      <c r="LR932" s="827"/>
      <c r="LS932" s="827"/>
      <c r="LT932" s="827"/>
      <c r="LU932" s="827"/>
      <c r="LV932" s="827"/>
      <c r="LW932" s="827"/>
      <c r="LX932" s="827"/>
      <c r="LY932" s="827"/>
      <c r="LZ932" s="827"/>
      <c r="MA932" s="827"/>
      <c r="MB932" s="827"/>
      <c r="MC932" s="827"/>
      <c r="MD932" s="827"/>
      <c r="ME932" s="827"/>
      <c r="MF932" s="827"/>
      <c r="MG932" s="827"/>
      <c r="MH932" s="827"/>
      <c r="MI932" s="827"/>
      <c r="MJ932" s="827"/>
      <c r="MK932" s="827"/>
      <c r="ML932" s="827"/>
      <c r="MM932" s="827"/>
      <c r="MN932" s="827"/>
      <c r="MO932" s="827"/>
      <c r="MP932" s="827"/>
      <c r="MQ932" s="827"/>
      <c r="MR932" s="827"/>
      <c r="MS932" s="827"/>
      <c r="MT932" s="827"/>
      <c r="MU932" s="827"/>
      <c r="MV932" s="827"/>
      <c r="MW932" s="827"/>
      <c r="MX932" s="827"/>
      <c r="MY932" s="827"/>
      <c r="MZ932" s="827"/>
      <c r="NA932" s="827"/>
      <c r="NB932" s="827"/>
      <c r="NC932" s="827"/>
      <c r="ND932" s="827"/>
      <c r="NE932" s="827"/>
      <c r="NF932" s="827"/>
      <c r="NG932" s="827"/>
      <c r="NH932" s="827"/>
      <c r="NI932" s="827"/>
      <c r="NJ932" s="827"/>
      <c r="NK932" s="827"/>
      <c r="NL932" s="827"/>
      <c r="NM932" s="827"/>
      <c r="NN932" s="827"/>
      <c r="NO932" s="827"/>
      <c r="NP932" s="827"/>
      <c r="NQ932" s="827"/>
      <c r="NR932" s="827"/>
      <c r="NS932" s="827"/>
      <c r="NT932" s="827"/>
      <c r="NU932" s="827"/>
      <c r="NV932" s="827"/>
      <c r="NW932" s="827"/>
      <c r="NX932" s="827"/>
      <c r="NY932" s="827"/>
      <c r="NZ932" s="827"/>
      <c r="OA932" s="827"/>
      <c r="OB932" s="827"/>
      <c r="OC932" s="827"/>
      <c r="OD932" s="827"/>
      <c r="OE932" s="827"/>
      <c r="OF932" s="827"/>
      <c r="OG932" s="827"/>
      <c r="OH932" s="827"/>
      <c r="OI932" s="827"/>
      <c r="OJ932" s="827"/>
      <c r="OK932" s="827"/>
      <c r="OL932" s="827"/>
      <c r="OM932" s="827"/>
      <c r="ON932" s="827"/>
      <c r="OO932" s="827"/>
      <c r="OP932" s="827"/>
      <c r="OQ932" s="827"/>
      <c r="OR932" s="827"/>
      <c r="OS932" s="827"/>
      <c r="OT932" s="827"/>
      <c r="OU932" s="827"/>
      <c r="OV932" s="827"/>
      <c r="OW932" s="827"/>
      <c r="OX932" s="827"/>
      <c r="OY932" s="827"/>
      <c r="OZ932" s="827"/>
      <c r="PA932" s="827"/>
      <c r="PB932" s="827"/>
      <c r="PC932" s="827"/>
      <c r="PD932" s="827"/>
      <c r="PE932" s="827"/>
      <c r="PF932" s="827"/>
      <c r="PG932" s="827"/>
      <c r="PH932" s="827"/>
      <c r="PI932" s="827"/>
      <c r="PJ932" s="827"/>
      <c r="PK932" s="827"/>
      <c r="PL932" s="827"/>
      <c r="PM932" s="827"/>
      <c r="PN932" s="827"/>
      <c r="PO932" s="827"/>
      <c r="PP932" s="827"/>
      <c r="PQ932" s="827"/>
      <c r="PR932" s="827"/>
      <c r="PS932" s="827"/>
      <c r="PT932" s="827"/>
      <c r="PU932" s="827"/>
      <c r="PV932" s="827"/>
      <c r="PW932" s="827"/>
      <c r="PX932" s="827"/>
      <c r="PY932" s="827"/>
      <c r="PZ932" s="827"/>
      <c r="QA932" s="827"/>
      <c r="QB932" s="827"/>
      <c r="QC932" s="827"/>
      <c r="QD932" s="827"/>
      <c r="QE932" s="827"/>
      <c r="QF932" s="827"/>
      <c r="QG932" s="827"/>
      <c r="QH932" s="827"/>
      <c r="QI932" s="827"/>
      <c r="QJ932" s="827"/>
      <c r="QK932" s="827"/>
      <c r="QL932" s="827"/>
      <c r="QM932" s="827"/>
      <c r="QN932" s="827"/>
      <c r="QO932" s="827"/>
      <c r="QP932" s="827"/>
      <c r="QQ932" s="827"/>
      <c r="QR932" s="827"/>
      <c r="QS932" s="827"/>
      <c r="QT932" s="827"/>
      <c r="QU932" s="827"/>
      <c r="QV932" s="827"/>
      <c r="QW932" s="827"/>
      <c r="QX932" s="827"/>
      <c r="QY932" s="827"/>
      <c r="QZ932" s="827"/>
      <c r="RA932" s="827"/>
      <c r="RB932" s="827"/>
      <c r="RC932" s="827"/>
      <c r="RD932" s="827"/>
      <c r="RE932" s="827"/>
      <c r="RF932" s="827"/>
      <c r="RG932" s="827"/>
      <c r="RH932" s="827"/>
      <c r="RI932" s="827"/>
      <c r="RJ932" s="827"/>
      <c r="RK932" s="827"/>
      <c r="RL932" s="827"/>
      <c r="RM932" s="827"/>
      <c r="RN932" s="827"/>
      <c r="RO932" s="827"/>
      <c r="RP932" s="827"/>
      <c r="RQ932" s="827"/>
      <c r="RR932" s="827"/>
      <c r="RS932" s="827"/>
      <c r="RT932" s="827"/>
      <c r="RU932" s="827"/>
      <c r="RV932" s="827"/>
      <c r="RW932" s="827"/>
      <c r="RX932" s="827"/>
      <c r="RY932" s="827"/>
      <c r="RZ932" s="827"/>
      <c r="SA932" s="827"/>
      <c r="SB932" s="827"/>
      <c r="SC932" s="827"/>
      <c r="SD932" s="827"/>
      <c r="SE932" s="827"/>
      <c r="SF932" s="827"/>
      <c r="SG932" s="827"/>
      <c r="SH932" s="827"/>
      <c r="SI932" s="827"/>
      <c r="SJ932" s="827"/>
      <c r="SK932" s="827"/>
      <c r="SL932" s="827"/>
      <c r="SM932" s="827"/>
      <c r="SN932" s="827"/>
      <c r="SO932" s="827"/>
      <c r="SP932" s="827"/>
      <c r="SQ932" s="827"/>
      <c r="SR932" s="827"/>
      <c r="SS932" s="827"/>
      <c r="ST932" s="827"/>
      <c r="SU932" s="827"/>
      <c r="SV932" s="827"/>
      <c r="SW932" s="827"/>
      <c r="SX932" s="827"/>
      <c r="SY932" s="827"/>
      <c r="SZ932" s="827"/>
      <c r="TA932" s="827"/>
      <c r="TB932" s="827"/>
      <c r="TC932" s="827"/>
      <c r="TD932" s="827"/>
      <c r="TE932" s="827"/>
      <c r="TF932" s="827"/>
      <c r="TG932" s="827"/>
      <c r="TH932" s="827"/>
      <c r="TI932" s="827"/>
      <c r="TJ932" s="827"/>
      <c r="TK932" s="827"/>
      <c r="TL932" s="827"/>
      <c r="TM932" s="827"/>
      <c r="TN932" s="827"/>
      <c r="TO932" s="827"/>
      <c r="TP932" s="827"/>
      <c r="TQ932" s="827"/>
      <c r="TR932" s="827"/>
      <c r="TS932" s="827"/>
      <c r="TT932" s="827"/>
      <c r="TU932" s="827"/>
      <c r="TV932" s="827"/>
      <c r="TW932" s="827"/>
      <c r="TX932" s="827"/>
      <c r="TY932" s="827"/>
      <c r="TZ932" s="827"/>
      <c r="UA932" s="827"/>
      <c r="UB932" s="827"/>
      <c r="UC932" s="827"/>
      <c r="UD932" s="827"/>
      <c r="UE932" s="827"/>
      <c r="UF932" s="827"/>
      <c r="UG932" s="827"/>
      <c r="UH932" s="827"/>
      <c r="UI932" s="827"/>
      <c r="UJ932" s="827"/>
      <c r="UK932" s="827"/>
      <c r="UL932" s="827"/>
      <c r="UM932" s="827"/>
      <c r="UN932" s="827"/>
      <c r="UO932" s="827"/>
      <c r="UP932" s="827"/>
      <c r="UQ932" s="827"/>
      <c r="UR932" s="827"/>
      <c r="US932" s="827"/>
      <c r="UT932" s="827"/>
      <c r="UU932" s="827"/>
      <c r="UV932" s="827"/>
      <c r="UW932" s="827"/>
      <c r="UX932" s="827"/>
      <c r="UY932" s="827"/>
      <c r="UZ932" s="827"/>
      <c r="VA932" s="827"/>
      <c r="VB932" s="827"/>
      <c r="VC932" s="827"/>
      <c r="VD932" s="827"/>
      <c r="VE932" s="827"/>
      <c r="VF932" s="827"/>
      <c r="VG932" s="827"/>
      <c r="VH932" s="827"/>
      <c r="VI932" s="827"/>
      <c r="VJ932" s="827"/>
      <c r="VK932" s="827"/>
      <c r="VL932" s="827"/>
      <c r="VM932" s="827"/>
      <c r="VN932" s="827"/>
      <c r="VO932" s="827"/>
      <c r="VP932" s="827"/>
      <c r="VQ932" s="827"/>
      <c r="VR932" s="827"/>
      <c r="VS932" s="827"/>
      <c r="VT932" s="827"/>
      <c r="VU932" s="827"/>
      <c r="VV932" s="827"/>
      <c r="VW932" s="827"/>
      <c r="VX932" s="827"/>
      <c r="VY932" s="827"/>
      <c r="VZ932" s="827"/>
      <c r="WA932" s="827"/>
      <c r="WB932" s="827"/>
      <c r="WC932" s="827"/>
      <c r="WD932" s="827"/>
      <c r="WE932" s="827"/>
      <c r="WF932" s="827"/>
      <c r="WG932" s="827"/>
      <c r="WH932" s="827"/>
      <c r="WI932" s="827"/>
      <c r="WJ932" s="827"/>
      <c r="WK932" s="827"/>
      <c r="WL932" s="827"/>
      <c r="WM932" s="827"/>
      <c r="WN932" s="827"/>
      <c r="WO932" s="827"/>
      <c r="WP932" s="827"/>
      <c r="WQ932" s="827"/>
      <c r="WR932" s="827"/>
      <c r="WS932" s="827"/>
      <c r="WT932" s="827"/>
      <c r="WU932" s="827"/>
      <c r="WV932" s="827"/>
      <c r="WW932" s="827"/>
      <c r="WX932" s="827"/>
      <c r="WY932" s="827"/>
      <c r="WZ932" s="827"/>
      <c r="XA932" s="827"/>
      <c r="XB932" s="827"/>
      <c r="XC932" s="827"/>
      <c r="XD932" s="827"/>
      <c r="XE932" s="827"/>
      <c r="XF932" s="827"/>
      <c r="XG932" s="827"/>
      <c r="XH932" s="827"/>
      <c r="XI932" s="827"/>
      <c r="XJ932" s="827"/>
      <c r="XK932" s="827"/>
      <c r="XL932" s="827"/>
      <c r="XM932" s="827"/>
      <c r="XN932" s="827"/>
      <c r="XO932" s="827"/>
      <c r="XP932" s="827"/>
      <c r="XQ932" s="827"/>
      <c r="XR932" s="827"/>
      <c r="XS932" s="827"/>
      <c r="XT932" s="827"/>
      <c r="XU932" s="827"/>
      <c r="XV932" s="827"/>
      <c r="XW932" s="827"/>
      <c r="XX932" s="827"/>
      <c r="XY932" s="827"/>
      <c r="XZ932" s="827"/>
      <c r="YA932" s="827"/>
      <c r="YB932" s="827"/>
      <c r="YC932" s="827"/>
      <c r="YD932" s="827"/>
      <c r="YE932" s="827"/>
      <c r="YF932" s="827"/>
      <c r="YG932" s="827"/>
      <c r="YH932" s="827"/>
      <c r="YI932" s="827"/>
      <c r="YJ932" s="827"/>
      <c r="YK932" s="827"/>
      <c r="YL932" s="827"/>
      <c r="YM932" s="827"/>
      <c r="YN932" s="827"/>
      <c r="YO932" s="827"/>
      <c r="YP932" s="827"/>
      <c r="YQ932" s="827"/>
      <c r="YR932" s="827"/>
      <c r="YS932" s="827"/>
      <c r="YT932" s="827"/>
      <c r="YU932" s="827"/>
      <c r="YV932" s="827"/>
      <c r="YW932" s="827"/>
      <c r="YX932" s="827"/>
      <c r="YY932" s="827"/>
      <c r="YZ932" s="827"/>
      <c r="ZA932" s="827"/>
      <c r="ZB932" s="827"/>
      <c r="ZC932" s="827"/>
      <c r="ZD932" s="827"/>
      <c r="ZE932" s="827"/>
      <c r="ZF932" s="827"/>
      <c r="ZG932" s="827"/>
      <c r="ZH932" s="827"/>
      <c r="ZI932" s="827"/>
      <c r="ZJ932" s="827"/>
      <c r="ZK932" s="827"/>
      <c r="ZL932" s="827"/>
      <c r="ZM932" s="827"/>
      <c r="ZN932" s="827"/>
      <c r="ZO932" s="827"/>
      <c r="ZP932" s="827"/>
      <c r="ZQ932" s="827"/>
      <c r="ZR932" s="827"/>
      <c r="ZS932" s="827"/>
      <c r="ZT932" s="827"/>
      <c r="ZU932" s="827"/>
      <c r="ZV932" s="827"/>
      <c r="ZW932" s="827"/>
      <c r="ZX932" s="827"/>
      <c r="ZY932" s="827"/>
      <c r="ZZ932" s="827"/>
      <c r="AAA932" s="827"/>
      <c r="AAB932" s="827"/>
      <c r="AAC932" s="827"/>
      <c r="AAD932" s="827"/>
      <c r="AAE932" s="827"/>
      <c r="AAF932" s="827"/>
      <c r="AAG932" s="827"/>
      <c r="AAH932" s="827"/>
      <c r="AAI932" s="827"/>
      <c r="AAJ932" s="827"/>
      <c r="AAK932" s="827"/>
      <c r="AAL932" s="827"/>
      <c r="AAM932" s="827"/>
      <c r="AAN932" s="827"/>
      <c r="AAO932" s="827"/>
      <c r="AAP932" s="827"/>
      <c r="AAQ932" s="827"/>
      <c r="AAR932" s="827"/>
      <c r="AAS932" s="827"/>
      <c r="AAT932" s="827"/>
      <c r="AAU932" s="827"/>
      <c r="AAV932" s="827"/>
      <c r="AAW932" s="827"/>
      <c r="AAX932" s="827"/>
      <c r="AAY932" s="827"/>
      <c r="AAZ932" s="827"/>
      <c r="ABA932" s="827"/>
      <c r="ABB932" s="827"/>
      <c r="ABC932" s="827"/>
      <c r="ABD932" s="827"/>
      <c r="ABE932" s="827"/>
      <c r="ABF932" s="827"/>
      <c r="ABG932" s="827"/>
      <c r="ABH932" s="827"/>
      <c r="ABI932" s="827"/>
      <c r="ABJ932" s="827"/>
      <c r="ABK932" s="827"/>
      <c r="ABL932" s="827"/>
      <c r="ABM932" s="827"/>
      <c r="ABN932" s="827"/>
      <c r="ABO932" s="827"/>
      <c r="ABP932" s="827"/>
      <c r="ABQ932" s="827"/>
      <c r="ABR932" s="827"/>
      <c r="ABS932" s="827"/>
      <c r="ABT932" s="827"/>
      <c r="ABU932" s="827"/>
      <c r="ABV932" s="827"/>
      <c r="ABW932" s="827"/>
      <c r="ABX932" s="827"/>
      <c r="ABY932" s="827"/>
      <c r="ABZ932" s="827"/>
      <c r="ACA932" s="827"/>
      <c r="ACB932" s="827"/>
      <c r="ACC932" s="827"/>
      <c r="ACD932" s="827"/>
      <c r="ACE932" s="827"/>
      <c r="ACF932" s="827"/>
      <c r="ACG932" s="827"/>
      <c r="ACH932" s="827"/>
      <c r="ACI932" s="827"/>
      <c r="ACJ932" s="827"/>
      <c r="ACK932" s="827"/>
      <c r="ACL932" s="827"/>
      <c r="ACM932" s="827"/>
      <c r="ACN932" s="827"/>
      <c r="ACO932" s="827"/>
      <c r="ACP932" s="827"/>
      <c r="ACQ932" s="827"/>
      <c r="ACR932" s="827"/>
      <c r="ACS932" s="827"/>
      <c r="ACT932" s="827"/>
      <c r="ACU932" s="827"/>
      <c r="ACV932" s="827"/>
      <c r="ACW932" s="827"/>
      <c r="ACX932" s="827"/>
      <c r="ACY932" s="827"/>
      <c r="ACZ932" s="827"/>
      <c r="ADA932" s="827"/>
      <c r="ADB932" s="827"/>
      <c r="ADC932" s="827"/>
      <c r="ADD932" s="827"/>
      <c r="ADE932" s="827"/>
      <c r="ADF932" s="827"/>
      <c r="ADG932" s="827"/>
      <c r="ADH932" s="827"/>
      <c r="ADI932" s="827"/>
      <c r="ADJ932" s="827"/>
      <c r="ADK932" s="827"/>
      <c r="ADL932" s="827"/>
      <c r="ADM932" s="827"/>
      <c r="ADN932" s="827"/>
      <c r="ADO932" s="827"/>
      <c r="ADP932" s="827"/>
      <c r="ADQ932" s="827"/>
      <c r="ADR932" s="827"/>
      <c r="ADS932" s="827"/>
      <c r="ADT932" s="827"/>
      <c r="ADU932" s="827"/>
      <c r="ADV932" s="827"/>
      <c r="ADW932" s="827"/>
      <c r="ADX932" s="827"/>
      <c r="ADY932" s="827"/>
      <c r="ADZ932" s="827"/>
      <c r="AEA932" s="827"/>
      <c r="AEB932" s="827"/>
      <c r="AEC932" s="827"/>
      <c r="AED932" s="827"/>
      <c r="AEE932" s="827"/>
      <c r="AEF932" s="827"/>
      <c r="AEG932" s="827"/>
      <c r="AEH932" s="827"/>
      <c r="AEI932" s="827"/>
      <c r="AEJ932" s="827"/>
      <c r="AEK932" s="827"/>
      <c r="AEL932" s="827"/>
      <c r="AEM932" s="827"/>
      <c r="AEN932" s="827"/>
      <c r="AEO932" s="827"/>
      <c r="AEP932" s="827"/>
      <c r="AEQ932" s="827"/>
      <c r="AER932" s="827"/>
      <c r="AES932" s="827"/>
      <c r="AET932" s="827"/>
      <c r="AEU932" s="827"/>
      <c r="AEV932" s="827"/>
      <c r="AEW932" s="827"/>
      <c r="AEX932" s="827"/>
      <c r="AEY932" s="827"/>
      <c r="AEZ932" s="827"/>
      <c r="AFA932" s="827"/>
      <c r="AFB932" s="827"/>
      <c r="AFC932" s="827"/>
      <c r="AFD932" s="827"/>
      <c r="AFE932" s="827"/>
      <c r="AFF932" s="827"/>
      <c r="AFG932" s="827"/>
      <c r="AFH932" s="827"/>
      <c r="AFI932" s="827"/>
      <c r="AFJ932" s="827"/>
      <c r="AFK932" s="827"/>
      <c r="AFL932" s="827"/>
      <c r="AFM932" s="827"/>
      <c r="AFN932" s="827"/>
      <c r="AFO932" s="827"/>
      <c r="AFP932" s="827"/>
      <c r="AFQ932" s="827"/>
      <c r="AFR932" s="827"/>
      <c r="AFS932" s="827"/>
      <c r="AFT932" s="827"/>
      <c r="AFU932" s="827"/>
      <c r="AFV932" s="827"/>
      <c r="AFW932" s="827"/>
      <c r="AFX932" s="827"/>
      <c r="AFY932" s="827"/>
      <c r="AFZ932" s="827"/>
      <c r="AGA932" s="827"/>
      <c r="AGB932" s="827"/>
      <c r="AGC932" s="827"/>
      <c r="AGD932" s="827"/>
      <c r="AGE932" s="827"/>
      <c r="AGF932" s="827"/>
      <c r="AGG932" s="827"/>
      <c r="AGH932" s="827"/>
      <c r="AGI932" s="827"/>
      <c r="AGJ932" s="827"/>
    </row>
    <row r="933" spans="1:868" s="7" customFormat="1" hidden="1">
      <c r="A933" s="625" t="s">
        <v>118</v>
      </c>
      <c r="B933" s="59" t="s">
        <v>443</v>
      </c>
      <c r="C933" s="40" t="s">
        <v>139</v>
      </c>
      <c r="D933" s="34" t="s">
        <v>99</v>
      </c>
      <c r="E933" s="879">
        <v>5.4672938670453558E-2</v>
      </c>
      <c r="F933" s="34">
        <v>2</v>
      </c>
      <c r="G933" s="40" t="s">
        <v>433</v>
      </c>
      <c r="H933" s="29">
        <v>1</v>
      </c>
      <c r="I933" s="9">
        <v>2</v>
      </c>
      <c r="J933" s="9">
        <v>2</v>
      </c>
      <c r="K933" s="9">
        <v>1</v>
      </c>
      <c r="L933" s="9">
        <v>1</v>
      </c>
      <c r="M933" s="9">
        <v>2</v>
      </c>
      <c r="N933" s="186">
        <f t="shared" si="76"/>
        <v>0.35859414261160716</v>
      </c>
      <c r="O933" s="160">
        <f t="shared" si="75"/>
        <v>0.37356464144298934</v>
      </c>
      <c r="P933" s="63"/>
      <c r="Q933" s="827"/>
      <c r="R933" s="827"/>
      <c r="S933" s="827"/>
      <c r="T933" s="827"/>
      <c r="U933" s="827"/>
      <c r="V933" s="827"/>
      <c r="W933" s="827"/>
      <c r="X933" s="827"/>
      <c r="Y933" s="827"/>
      <c r="Z933" s="827"/>
      <c r="AA933" s="827"/>
      <c r="AB933" s="827"/>
      <c r="AC933" s="827"/>
      <c r="AD933" s="827"/>
      <c r="AE933" s="827"/>
      <c r="AF933" s="827"/>
      <c r="AG933" s="827"/>
      <c r="AH933" s="827"/>
      <c r="AI933" s="827"/>
      <c r="AJ933" s="827"/>
      <c r="AK933" s="827"/>
      <c r="AL933" s="827"/>
      <c r="AM933" s="827"/>
      <c r="AN933" s="827"/>
      <c r="AO933" s="827"/>
      <c r="AP933" s="827"/>
      <c r="AQ933" s="827"/>
      <c r="AR933" s="827"/>
      <c r="AS933" s="827"/>
      <c r="AT933" s="827"/>
      <c r="AU933" s="827"/>
      <c r="AV933" s="827"/>
      <c r="AW933" s="827"/>
      <c r="AX933" s="827"/>
      <c r="AY933" s="827"/>
      <c r="AZ933" s="827"/>
      <c r="BA933" s="827"/>
      <c r="BB933" s="827"/>
      <c r="BC933" s="827"/>
      <c r="BD933" s="827"/>
      <c r="BE933" s="827"/>
      <c r="BF933" s="827"/>
      <c r="BG933" s="827"/>
      <c r="BH933" s="827"/>
      <c r="BI933" s="827"/>
      <c r="BJ933" s="827"/>
      <c r="BK933" s="827"/>
      <c r="BL933" s="827"/>
      <c r="BM933" s="827"/>
      <c r="BN933" s="827"/>
      <c r="BO933" s="827"/>
      <c r="BP933" s="827"/>
      <c r="BQ933" s="827"/>
      <c r="BR933" s="827"/>
      <c r="BS933" s="827"/>
      <c r="BT933" s="827"/>
      <c r="BU933" s="827"/>
      <c r="BV933" s="827"/>
      <c r="BW933" s="827"/>
      <c r="BX933" s="827"/>
      <c r="BY933" s="827"/>
      <c r="BZ933" s="827"/>
      <c r="CA933" s="827"/>
      <c r="CB933" s="827"/>
      <c r="CC933" s="827"/>
      <c r="CD933" s="827"/>
      <c r="CE933" s="827"/>
      <c r="CF933" s="827"/>
      <c r="CG933" s="827"/>
      <c r="CH933" s="827"/>
      <c r="CI933" s="827"/>
      <c r="CJ933" s="827"/>
      <c r="CK933" s="827"/>
      <c r="CL933" s="827"/>
      <c r="CM933" s="827"/>
      <c r="CN933" s="827"/>
      <c r="CO933" s="827"/>
      <c r="CP933" s="827"/>
      <c r="CQ933" s="827"/>
      <c r="CR933" s="827"/>
      <c r="CS933" s="827"/>
      <c r="CT933" s="827"/>
      <c r="CU933" s="827"/>
      <c r="CV933" s="827"/>
      <c r="CW933" s="827"/>
      <c r="CX933" s="827"/>
      <c r="CY933" s="827"/>
      <c r="CZ933" s="827"/>
      <c r="DA933" s="827"/>
      <c r="DB933" s="827"/>
      <c r="DC933" s="827"/>
      <c r="DD933" s="827"/>
      <c r="DE933" s="827"/>
      <c r="DF933" s="827"/>
      <c r="DG933" s="827"/>
      <c r="DH933" s="827"/>
      <c r="DI933" s="827"/>
      <c r="DJ933" s="827"/>
      <c r="DK933" s="827"/>
      <c r="DL933" s="827"/>
      <c r="DM933" s="827"/>
      <c r="DN933" s="827"/>
      <c r="DO933" s="827"/>
      <c r="DP933" s="827"/>
      <c r="DQ933" s="827"/>
      <c r="DR933" s="827"/>
      <c r="DS933" s="827"/>
      <c r="DT933" s="827"/>
      <c r="DU933" s="827"/>
      <c r="DV933" s="827"/>
      <c r="DW933" s="827"/>
      <c r="DX933" s="827"/>
      <c r="DY933" s="827"/>
      <c r="DZ933" s="827"/>
      <c r="EA933" s="827"/>
      <c r="EB933" s="827"/>
      <c r="EC933" s="827"/>
      <c r="ED933" s="827"/>
      <c r="EE933" s="827"/>
      <c r="EF933" s="827"/>
      <c r="EG933" s="827"/>
      <c r="EH933" s="827"/>
      <c r="EI933" s="827"/>
      <c r="EJ933" s="827"/>
      <c r="EK933" s="827"/>
      <c r="EL933" s="827"/>
      <c r="EM933" s="827"/>
      <c r="EN933" s="827"/>
      <c r="EO933" s="827"/>
      <c r="EP933" s="827"/>
      <c r="EQ933" s="827"/>
      <c r="ER933" s="827"/>
      <c r="ES933" s="827"/>
      <c r="ET933" s="827"/>
      <c r="EU933" s="827"/>
      <c r="EV933" s="827"/>
      <c r="EW933" s="827"/>
      <c r="EX933" s="827"/>
      <c r="EY933" s="827"/>
      <c r="EZ933" s="827"/>
      <c r="FA933" s="827"/>
      <c r="FB933" s="827"/>
      <c r="FC933" s="827"/>
      <c r="FD933" s="827"/>
      <c r="FE933" s="827"/>
      <c r="FF933" s="827"/>
      <c r="FG933" s="827"/>
      <c r="FH933" s="827"/>
      <c r="FI933" s="827"/>
      <c r="FJ933" s="827"/>
      <c r="FK933" s="827"/>
      <c r="FL933" s="827"/>
      <c r="FM933" s="827"/>
      <c r="FN933" s="827"/>
      <c r="FO933" s="827"/>
      <c r="FP933" s="827"/>
      <c r="FQ933" s="827"/>
      <c r="FR933" s="827"/>
      <c r="FS933" s="827"/>
      <c r="FT933" s="827"/>
      <c r="FU933" s="827"/>
      <c r="FV933" s="827"/>
      <c r="FW933" s="827"/>
      <c r="FX933" s="827"/>
      <c r="FY933" s="827"/>
      <c r="FZ933" s="827"/>
      <c r="GA933" s="827"/>
      <c r="GB933" s="827"/>
      <c r="GC933" s="827"/>
      <c r="GD933" s="827"/>
      <c r="GE933" s="827"/>
      <c r="GF933" s="827"/>
      <c r="GG933" s="827"/>
      <c r="GH933" s="827"/>
      <c r="GI933" s="827"/>
      <c r="GJ933" s="827"/>
      <c r="GK933" s="827"/>
      <c r="GL933" s="827"/>
      <c r="GM933" s="827"/>
      <c r="GN933" s="827"/>
      <c r="GO933" s="827"/>
      <c r="GP933" s="827"/>
      <c r="GQ933" s="827"/>
      <c r="GR933" s="827"/>
      <c r="GS933" s="827"/>
      <c r="GT933" s="827"/>
      <c r="GU933" s="827"/>
      <c r="GV933" s="827"/>
      <c r="GW933" s="827"/>
      <c r="GX933" s="827"/>
      <c r="GY933" s="827"/>
      <c r="GZ933" s="827"/>
      <c r="HA933" s="827"/>
      <c r="HB933" s="827"/>
      <c r="HC933" s="827"/>
      <c r="HD933" s="827"/>
      <c r="HE933" s="827"/>
      <c r="HF933" s="827"/>
      <c r="HG933" s="827"/>
      <c r="HH933" s="827"/>
      <c r="HI933" s="827"/>
      <c r="HJ933" s="827"/>
      <c r="HK933" s="827"/>
      <c r="HL933" s="827"/>
      <c r="HM933" s="827"/>
      <c r="HN933" s="827"/>
      <c r="HO933" s="827"/>
      <c r="HP933" s="827"/>
      <c r="HQ933" s="827"/>
      <c r="HR933" s="827"/>
      <c r="HS933" s="827"/>
      <c r="HT933" s="827"/>
      <c r="HU933" s="827"/>
      <c r="HV933" s="827"/>
      <c r="HW933" s="827"/>
      <c r="HX933" s="827"/>
      <c r="HY933" s="827"/>
      <c r="HZ933" s="827"/>
      <c r="IA933" s="827"/>
      <c r="IB933" s="827"/>
      <c r="IC933" s="827"/>
      <c r="ID933" s="827"/>
      <c r="IE933" s="827"/>
      <c r="IF933" s="827"/>
      <c r="IG933" s="827"/>
      <c r="IH933" s="827"/>
      <c r="II933" s="827"/>
      <c r="IJ933" s="827"/>
      <c r="IK933" s="827"/>
      <c r="IL933" s="827"/>
      <c r="IM933" s="827"/>
      <c r="IN933" s="827"/>
      <c r="IO933" s="827"/>
      <c r="IP933" s="827"/>
      <c r="IQ933" s="827"/>
      <c r="IR933" s="827"/>
      <c r="IS933" s="827"/>
      <c r="IT933" s="827"/>
      <c r="IU933" s="827"/>
      <c r="IV933" s="827"/>
      <c r="IW933" s="827"/>
      <c r="IX933" s="827"/>
      <c r="IY933" s="827"/>
      <c r="IZ933" s="827"/>
      <c r="JA933" s="827"/>
      <c r="JB933" s="827"/>
      <c r="JC933" s="827"/>
      <c r="JD933" s="827"/>
      <c r="JE933" s="827"/>
      <c r="JF933" s="827"/>
      <c r="JG933" s="827"/>
      <c r="JH933" s="827"/>
      <c r="JI933" s="827"/>
      <c r="JJ933" s="827"/>
      <c r="JK933" s="827"/>
      <c r="JL933" s="827"/>
      <c r="JM933" s="827"/>
      <c r="JN933" s="827"/>
      <c r="JO933" s="827"/>
      <c r="JP933" s="827"/>
      <c r="JQ933" s="827"/>
      <c r="JR933" s="827"/>
      <c r="JS933" s="827"/>
      <c r="JT933" s="827"/>
      <c r="JU933" s="827"/>
      <c r="JV933" s="827"/>
      <c r="JW933" s="827"/>
      <c r="JX933" s="827"/>
      <c r="JY933" s="827"/>
      <c r="JZ933" s="827"/>
      <c r="KA933" s="827"/>
      <c r="KB933" s="827"/>
      <c r="KC933" s="827"/>
      <c r="KD933" s="827"/>
      <c r="KE933" s="827"/>
      <c r="KF933" s="827"/>
      <c r="KG933" s="827"/>
      <c r="KH933" s="827"/>
      <c r="KI933" s="827"/>
      <c r="KJ933" s="827"/>
      <c r="KK933" s="827"/>
      <c r="KL933" s="827"/>
      <c r="KM933" s="827"/>
      <c r="KN933" s="827"/>
      <c r="KO933" s="827"/>
      <c r="KP933" s="827"/>
      <c r="KQ933" s="827"/>
      <c r="KR933" s="827"/>
      <c r="KS933" s="827"/>
      <c r="KT933" s="827"/>
      <c r="KU933" s="827"/>
      <c r="KV933" s="827"/>
      <c r="KW933" s="827"/>
      <c r="KX933" s="827"/>
      <c r="KY933" s="827"/>
      <c r="KZ933" s="827"/>
      <c r="LA933" s="827"/>
      <c r="LB933" s="827"/>
      <c r="LC933" s="827"/>
      <c r="LD933" s="827"/>
      <c r="LE933" s="827"/>
      <c r="LF933" s="827"/>
      <c r="LG933" s="827"/>
      <c r="LH933" s="827"/>
      <c r="LI933" s="827"/>
      <c r="LJ933" s="827"/>
      <c r="LK933" s="827"/>
      <c r="LL933" s="827"/>
      <c r="LM933" s="827"/>
      <c r="LN933" s="827"/>
      <c r="LO933" s="827"/>
      <c r="LP933" s="827"/>
      <c r="LQ933" s="827"/>
      <c r="LR933" s="827"/>
      <c r="LS933" s="827"/>
      <c r="LT933" s="827"/>
      <c r="LU933" s="827"/>
      <c r="LV933" s="827"/>
      <c r="LW933" s="827"/>
      <c r="LX933" s="827"/>
      <c r="LY933" s="827"/>
      <c r="LZ933" s="827"/>
      <c r="MA933" s="827"/>
      <c r="MB933" s="827"/>
      <c r="MC933" s="827"/>
      <c r="MD933" s="827"/>
      <c r="ME933" s="827"/>
      <c r="MF933" s="827"/>
      <c r="MG933" s="827"/>
      <c r="MH933" s="827"/>
      <c r="MI933" s="827"/>
      <c r="MJ933" s="827"/>
      <c r="MK933" s="827"/>
      <c r="ML933" s="827"/>
      <c r="MM933" s="827"/>
      <c r="MN933" s="827"/>
      <c r="MO933" s="827"/>
      <c r="MP933" s="827"/>
      <c r="MQ933" s="827"/>
      <c r="MR933" s="827"/>
      <c r="MS933" s="827"/>
      <c r="MT933" s="827"/>
      <c r="MU933" s="827"/>
      <c r="MV933" s="827"/>
      <c r="MW933" s="827"/>
      <c r="MX933" s="827"/>
      <c r="MY933" s="827"/>
      <c r="MZ933" s="827"/>
      <c r="NA933" s="827"/>
      <c r="NB933" s="827"/>
      <c r="NC933" s="827"/>
      <c r="ND933" s="827"/>
      <c r="NE933" s="827"/>
      <c r="NF933" s="827"/>
      <c r="NG933" s="827"/>
      <c r="NH933" s="827"/>
      <c r="NI933" s="827"/>
      <c r="NJ933" s="827"/>
      <c r="NK933" s="827"/>
      <c r="NL933" s="827"/>
      <c r="NM933" s="827"/>
      <c r="NN933" s="827"/>
      <c r="NO933" s="827"/>
      <c r="NP933" s="827"/>
      <c r="NQ933" s="827"/>
      <c r="NR933" s="827"/>
      <c r="NS933" s="827"/>
      <c r="NT933" s="827"/>
      <c r="NU933" s="827"/>
      <c r="NV933" s="827"/>
      <c r="NW933" s="827"/>
      <c r="NX933" s="827"/>
      <c r="NY933" s="827"/>
      <c r="NZ933" s="827"/>
      <c r="OA933" s="827"/>
      <c r="OB933" s="827"/>
      <c r="OC933" s="827"/>
      <c r="OD933" s="827"/>
      <c r="OE933" s="827"/>
      <c r="OF933" s="827"/>
      <c r="OG933" s="827"/>
      <c r="OH933" s="827"/>
      <c r="OI933" s="827"/>
      <c r="OJ933" s="827"/>
      <c r="OK933" s="827"/>
      <c r="OL933" s="827"/>
      <c r="OM933" s="827"/>
      <c r="ON933" s="827"/>
      <c r="OO933" s="827"/>
      <c r="OP933" s="827"/>
      <c r="OQ933" s="827"/>
      <c r="OR933" s="827"/>
      <c r="OS933" s="827"/>
      <c r="OT933" s="827"/>
      <c r="OU933" s="827"/>
      <c r="OV933" s="827"/>
      <c r="OW933" s="827"/>
      <c r="OX933" s="827"/>
      <c r="OY933" s="827"/>
      <c r="OZ933" s="827"/>
      <c r="PA933" s="827"/>
      <c r="PB933" s="827"/>
      <c r="PC933" s="827"/>
      <c r="PD933" s="827"/>
      <c r="PE933" s="827"/>
      <c r="PF933" s="827"/>
      <c r="PG933" s="827"/>
      <c r="PH933" s="827"/>
      <c r="PI933" s="827"/>
      <c r="PJ933" s="827"/>
      <c r="PK933" s="827"/>
      <c r="PL933" s="827"/>
      <c r="PM933" s="827"/>
      <c r="PN933" s="827"/>
      <c r="PO933" s="827"/>
      <c r="PP933" s="827"/>
      <c r="PQ933" s="827"/>
      <c r="PR933" s="827"/>
      <c r="PS933" s="827"/>
      <c r="PT933" s="827"/>
      <c r="PU933" s="827"/>
      <c r="PV933" s="827"/>
      <c r="PW933" s="827"/>
      <c r="PX933" s="827"/>
      <c r="PY933" s="827"/>
      <c r="PZ933" s="827"/>
      <c r="QA933" s="827"/>
      <c r="QB933" s="827"/>
      <c r="QC933" s="827"/>
      <c r="QD933" s="827"/>
      <c r="QE933" s="827"/>
      <c r="QF933" s="827"/>
      <c r="QG933" s="827"/>
      <c r="QH933" s="827"/>
      <c r="QI933" s="827"/>
      <c r="QJ933" s="827"/>
      <c r="QK933" s="827"/>
      <c r="QL933" s="827"/>
      <c r="QM933" s="827"/>
      <c r="QN933" s="827"/>
      <c r="QO933" s="827"/>
      <c r="QP933" s="827"/>
      <c r="QQ933" s="827"/>
      <c r="QR933" s="827"/>
      <c r="QS933" s="827"/>
      <c r="QT933" s="827"/>
      <c r="QU933" s="827"/>
      <c r="QV933" s="827"/>
      <c r="QW933" s="827"/>
      <c r="QX933" s="827"/>
      <c r="QY933" s="827"/>
      <c r="QZ933" s="827"/>
      <c r="RA933" s="827"/>
      <c r="RB933" s="827"/>
      <c r="RC933" s="827"/>
      <c r="RD933" s="827"/>
      <c r="RE933" s="827"/>
      <c r="RF933" s="827"/>
      <c r="RG933" s="827"/>
      <c r="RH933" s="827"/>
      <c r="RI933" s="827"/>
      <c r="RJ933" s="827"/>
      <c r="RK933" s="827"/>
      <c r="RL933" s="827"/>
      <c r="RM933" s="827"/>
      <c r="RN933" s="827"/>
      <c r="RO933" s="827"/>
      <c r="RP933" s="827"/>
      <c r="RQ933" s="827"/>
      <c r="RR933" s="827"/>
      <c r="RS933" s="827"/>
      <c r="RT933" s="827"/>
      <c r="RU933" s="827"/>
      <c r="RV933" s="827"/>
      <c r="RW933" s="827"/>
      <c r="RX933" s="827"/>
      <c r="RY933" s="827"/>
      <c r="RZ933" s="827"/>
      <c r="SA933" s="827"/>
      <c r="SB933" s="827"/>
      <c r="SC933" s="827"/>
      <c r="SD933" s="827"/>
      <c r="SE933" s="827"/>
      <c r="SF933" s="827"/>
      <c r="SG933" s="827"/>
      <c r="SH933" s="827"/>
      <c r="SI933" s="827"/>
      <c r="SJ933" s="827"/>
      <c r="SK933" s="827"/>
      <c r="SL933" s="827"/>
      <c r="SM933" s="827"/>
      <c r="SN933" s="827"/>
      <c r="SO933" s="827"/>
      <c r="SP933" s="827"/>
      <c r="SQ933" s="827"/>
      <c r="SR933" s="827"/>
      <c r="SS933" s="827"/>
      <c r="ST933" s="827"/>
      <c r="SU933" s="827"/>
      <c r="SV933" s="827"/>
      <c r="SW933" s="827"/>
      <c r="SX933" s="827"/>
      <c r="SY933" s="827"/>
      <c r="SZ933" s="827"/>
      <c r="TA933" s="827"/>
      <c r="TB933" s="827"/>
      <c r="TC933" s="827"/>
      <c r="TD933" s="827"/>
      <c r="TE933" s="827"/>
      <c r="TF933" s="827"/>
      <c r="TG933" s="827"/>
      <c r="TH933" s="827"/>
      <c r="TI933" s="827"/>
      <c r="TJ933" s="827"/>
      <c r="TK933" s="827"/>
      <c r="TL933" s="827"/>
      <c r="TM933" s="827"/>
      <c r="TN933" s="827"/>
      <c r="TO933" s="827"/>
      <c r="TP933" s="827"/>
      <c r="TQ933" s="827"/>
      <c r="TR933" s="827"/>
      <c r="TS933" s="827"/>
      <c r="TT933" s="827"/>
      <c r="TU933" s="827"/>
      <c r="TV933" s="827"/>
      <c r="TW933" s="827"/>
      <c r="TX933" s="827"/>
      <c r="TY933" s="827"/>
      <c r="TZ933" s="827"/>
      <c r="UA933" s="827"/>
      <c r="UB933" s="827"/>
      <c r="UC933" s="827"/>
      <c r="UD933" s="827"/>
      <c r="UE933" s="827"/>
      <c r="UF933" s="827"/>
      <c r="UG933" s="827"/>
      <c r="UH933" s="827"/>
      <c r="UI933" s="827"/>
      <c r="UJ933" s="827"/>
      <c r="UK933" s="827"/>
      <c r="UL933" s="827"/>
      <c r="UM933" s="827"/>
      <c r="UN933" s="827"/>
      <c r="UO933" s="827"/>
      <c r="UP933" s="827"/>
      <c r="UQ933" s="827"/>
      <c r="UR933" s="827"/>
      <c r="US933" s="827"/>
      <c r="UT933" s="827"/>
      <c r="UU933" s="827"/>
      <c r="UV933" s="827"/>
      <c r="UW933" s="827"/>
      <c r="UX933" s="827"/>
      <c r="UY933" s="827"/>
      <c r="UZ933" s="827"/>
      <c r="VA933" s="827"/>
      <c r="VB933" s="827"/>
      <c r="VC933" s="827"/>
      <c r="VD933" s="827"/>
      <c r="VE933" s="827"/>
      <c r="VF933" s="827"/>
      <c r="VG933" s="827"/>
      <c r="VH933" s="827"/>
      <c r="VI933" s="827"/>
      <c r="VJ933" s="827"/>
      <c r="VK933" s="827"/>
      <c r="VL933" s="827"/>
      <c r="VM933" s="827"/>
      <c r="VN933" s="827"/>
      <c r="VO933" s="827"/>
      <c r="VP933" s="827"/>
      <c r="VQ933" s="827"/>
      <c r="VR933" s="827"/>
      <c r="VS933" s="827"/>
      <c r="VT933" s="827"/>
      <c r="VU933" s="827"/>
      <c r="VV933" s="827"/>
      <c r="VW933" s="827"/>
      <c r="VX933" s="827"/>
      <c r="VY933" s="827"/>
      <c r="VZ933" s="827"/>
      <c r="WA933" s="827"/>
      <c r="WB933" s="827"/>
      <c r="WC933" s="827"/>
      <c r="WD933" s="827"/>
      <c r="WE933" s="827"/>
      <c r="WF933" s="827"/>
      <c r="WG933" s="827"/>
      <c r="WH933" s="827"/>
      <c r="WI933" s="827"/>
      <c r="WJ933" s="827"/>
      <c r="WK933" s="827"/>
      <c r="WL933" s="827"/>
      <c r="WM933" s="827"/>
      <c r="WN933" s="827"/>
      <c r="WO933" s="827"/>
      <c r="WP933" s="827"/>
      <c r="WQ933" s="827"/>
      <c r="WR933" s="827"/>
      <c r="WS933" s="827"/>
      <c r="WT933" s="827"/>
      <c r="WU933" s="827"/>
      <c r="WV933" s="827"/>
      <c r="WW933" s="827"/>
      <c r="WX933" s="827"/>
      <c r="WY933" s="827"/>
      <c r="WZ933" s="827"/>
      <c r="XA933" s="827"/>
      <c r="XB933" s="827"/>
      <c r="XC933" s="827"/>
      <c r="XD933" s="827"/>
      <c r="XE933" s="827"/>
      <c r="XF933" s="827"/>
      <c r="XG933" s="827"/>
      <c r="XH933" s="827"/>
      <c r="XI933" s="827"/>
      <c r="XJ933" s="827"/>
      <c r="XK933" s="827"/>
      <c r="XL933" s="827"/>
      <c r="XM933" s="827"/>
      <c r="XN933" s="827"/>
      <c r="XO933" s="827"/>
      <c r="XP933" s="827"/>
      <c r="XQ933" s="827"/>
      <c r="XR933" s="827"/>
      <c r="XS933" s="827"/>
      <c r="XT933" s="827"/>
      <c r="XU933" s="827"/>
      <c r="XV933" s="827"/>
      <c r="XW933" s="827"/>
      <c r="XX933" s="827"/>
      <c r="XY933" s="827"/>
      <c r="XZ933" s="827"/>
      <c r="YA933" s="827"/>
      <c r="YB933" s="827"/>
      <c r="YC933" s="827"/>
      <c r="YD933" s="827"/>
      <c r="YE933" s="827"/>
      <c r="YF933" s="827"/>
      <c r="YG933" s="827"/>
      <c r="YH933" s="827"/>
      <c r="YI933" s="827"/>
      <c r="YJ933" s="827"/>
      <c r="YK933" s="827"/>
      <c r="YL933" s="827"/>
      <c r="YM933" s="827"/>
      <c r="YN933" s="827"/>
      <c r="YO933" s="827"/>
      <c r="YP933" s="827"/>
      <c r="YQ933" s="827"/>
      <c r="YR933" s="827"/>
      <c r="YS933" s="827"/>
      <c r="YT933" s="827"/>
      <c r="YU933" s="827"/>
      <c r="YV933" s="827"/>
      <c r="YW933" s="827"/>
      <c r="YX933" s="827"/>
      <c r="YY933" s="827"/>
      <c r="YZ933" s="827"/>
      <c r="ZA933" s="827"/>
      <c r="ZB933" s="827"/>
      <c r="ZC933" s="827"/>
      <c r="ZD933" s="827"/>
      <c r="ZE933" s="827"/>
      <c r="ZF933" s="827"/>
      <c r="ZG933" s="827"/>
      <c r="ZH933" s="827"/>
      <c r="ZI933" s="827"/>
      <c r="ZJ933" s="827"/>
      <c r="ZK933" s="827"/>
      <c r="ZL933" s="827"/>
      <c r="ZM933" s="827"/>
      <c r="ZN933" s="827"/>
      <c r="ZO933" s="827"/>
      <c r="ZP933" s="827"/>
      <c r="ZQ933" s="827"/>
      <c r="ZR933" s="827"/>
      <c r="ZS933" s="827"/>
      <c r="ZT933" s="827"/>
      <c r="ZU933" s="827"/>
      <c r="ZV933" s="827"/>
      <c r="ZW933" s="827"/>
      <c r="ZX933" s="827"/>
      <c r="ZY933" s="827"/>
      <c r="ZZ933" s="827"/>
      <c r="AAA933" s="827"/>
      <c r="AAB933" s="827"/>
      <c r="AAC933" s="827"/>
      <c r="AAD933" s="827"/>
      <c r="AAE933" s="827"/>
      <c r="AAF933" s="827"/>
      <c r="AAG933" s="827"/>
      <c r="AAH933" s="827"/>
      <c r="AAI933" s="827"/>
      <c r="AAJ933" s="827"/>
      <c r="AAK933" s="827"/>
      <c r="AAL933" s="827"/>
      <c r="AAM933" s="827"/>
      <c r="AAN933" s="827"/>
      <c r="AAO933" s="827"/>
      <c r="AAP933" s="827"/>
      <c r="AAQ933" s="827"/>
      <c r="AAR933" s="827"/>
      <c r="AAS933" s="827"/>
      <c r="AAT933" s="827"/>
      <c r="AAU933" s="827"/>
      <c r="AAV933" s="827"/>
      <c r="AAW933" s="827"/>
      <c r="AAX933" s="827"/>
      <c r="AAY933" s="827"/>
      <c r="AAZ933" s="827"/>
      <c r="ABA933" s="827"/>
      <c r="ABB933" s="827"/>
      <c r="ABC933" s="827"/>
      <c r="ABD933" s="827"/>
      <c r="ABE933" s="827"/>
      <c r="ABF933" s="827"/>
      <c r="ABG933" s="827"/>
      <c r="ABH933" s="827"/>
      <c r="ABI933" s="827"/>
      <c r="ABJ933" s="827"/>
      <c r="ABK933" s="827"/>
      <c r="ABL933" s="827"/>
      <c r="ABM933" s="827"/>
      <c r="ABN933" s="827"/>
      <c r="ABO933" s="827"/>
      <c r="ABP933" s="827"/>
      <c r="ABQ933" s="827"/>
      <c r="ABR933" s="827"/>
      <c r="ABS933" s="827"/>
      <c r="ABT933" s="827"/>
      <c r="ABU933" s="827"/>
      <c r="ABV933" s="827"/>
      <c r="ABW933" s="827"/>
      <c r="ABX933" s="827"/>
      <c r="ABY933" s="827"/>
      <c r="ABZ933" s="827"/>
      <c r="ACA933" s="827"/>
      <c r="ACB933" s="827"/>
      <c r="ACC933" s="827"/>
      <c r="ACD933" s="827"/>
      <c r="ACE933" s="827"/>
      <c r="ACF933" s="827"/>
      <c r="ACG933" s="827"/>
      <c r="ACH933" s="827"/>
      <c r="ACI933" s="827"/>
      <c r="ACJ933" s="827"/>
      <c r="ACK933" s="827"/>
      <c r="ACL933" s="827"/>
      <c r="ACM933" s="827"/>
      <c r="ACN933" s="827"/>
      <c r="ACO933" s="827"/>
      <c r="ACP933" s="827"/>
      <c r="ACQ933" s="827"/>
      <c r="ACR933" s="827"/>
      <c r="ACS933" s="827"/>
      <c r="ACT933" s="827"/>
      <c r="ACU933" s="827"/>
      <c r="ACV933" s="827"/>
      <c r="ACW933" s="827"/>
      <c r="ACX933" s="827"/>
      <c r="ACY933" s="827"/>
      <c r="ACZ933" s="827"/>
      <c r="ADA933" s="827"/>
      <c r="ADB933" s="827"/>
      <c r="ADC933" s="827"/>
      <c r="ADD933" s="827"/>
      <c r="ADE933" s="827"/>
      <c r="ADF933" s="827"/>
      <c r="ADG933" s="827"/>
      <c r="ADH933" s="827"/>
      <c r="ADI933" s="827"/>
      <c r="ADJ933" s="827"/>
      <c r="ADK933" s="827"/>
      <c r="ADL933" s="827"/>
      <c r="ADM933" s="827"/>
      <c r="ADN933" s="827"/>
      <c r="ADO933" s="827"/>
      <c r="ADP933" s="827"/>
      <c r="ADQ933" s="827"/>
      <c r="ADR933" s="827"/>
      <c r="ADS933" s="827"/>
      <c r="ADT933" s="827"/>
      <c r="ADU933" s="827"/>
      <c r="ADV933" s="827"/>
      <c r="ADW933" s="827"/>
      <c r="ADX933" s="827"/>
      <c r="ADY933" s="827"/>
      <c r="ADZ933" s="827"/>
      <c r="AEA933" s="827"/>
      <c r="AEB933" s="827"/>
      <c r="AEC933" s="827"/>
      <c r="AED933" s="827"/>
      <c r="AEE933" s="827"/>
      <c r="AEF933" s="827"/>
      <c r="AEG933" s="827"/>
      <c r="AEH933" s="827"/>
      <c r="AEI933" s="827"/>
      <c r="AEJ933" s="827"/>
      <c r="AEK933" s="827"/>
      <c r="AEL933" s="827"/>
      <c r="AEM933" s="827"/>
      <c r="AEN933" s="827"/>
      <c r="AEO933" s="827"/>
      <c r="AEP933" s="827"/>
      <c r="AEQ933" s="827"/>
      <c r="AER933" s="827"/>
      <c r="AES933" s="827"/>
      <c r="AET933" s="827"/>
      <c r="AEU933" s="827"/>
      <c r="AEV933" s="827"/>
      <c r="AEW933" s="827"/>
      <c r="AEX933" s="827"/>
      <c r="AEY933" s="827"/>
      <c r="AEZ933" s="827"/>
      <c r="AFA933" s="827"/>
      <c r="AFB933" s="827"/>
      <c r="AFC933" s="827"/>
      <c r="AFD933" s="827"/>
      <c r="AFE933" s="827"/>
      <c r="AFF933" s="827"/>
      <c r="AFG933" s="827"/>
      <c r="AFH933" s="827"/>
      <c r="AFI933" s="827"/>
      <c r="AFJ933" s="827"/>
      <c r="AFK933" s="827"/>
      <c r="AFL933" s="827"/>
      <c r="AFM933" s="827"/>
      <c r="AFN933" s="827"/>
      <c r="AFO933" s="827"/>
      <c r="AFP933" s="827"/>
      <c r="AFQ933" s="827"/>
      <c r="AFR933" s="827"/>
      <c r="AFS933" s="827"/>
      <c r="AFT933" s="827"/>
      <c r="AFU933" s="827"/>
      <c r="AFV933" s="827"/>
      <c r="AFW933" s="827"/>
      <c r="AFX933" s="827"/>
      <c r="AFY933" s="827"/>
      <c r="AFZ933" s="827"/>
      <c r="AGA933" s="827"/>
      <c r="AGB933" s="827"/>
      <c r="AGC933" s="827"/>
      <c r="AGD933" s="827"/>
      <c r="AGE933" s="827"/>
      <c r="AGF933" s="827"/>
      <c r="AGG933" s="827"/>
      <c r="AGH933" s="827"/>
      <c r="AGI933" s="827"/>
      <c r="AGJ933" s="827"/>
    </row>
    <row r="934" spans="1:868" s="7" customFormat="1" hidden="1">
      <c r="A934" s="625" t="s">
        <v>118</v>
      </c>
      <c r="B934" s="59" t="s">
        <v>444</v>
      </c>
      <c r="C934" s="40" t="s">
        <v>139</v>
      </c>
      <c r="D934" s="34" t="s">
        <v>99</v>
      </c>
      <c r="E934" s="879">
        <v>6.4613472974172373E-2</v>
      </c>
      <c r="F934" s="34">
        <v>2</v>
      </c>
      <c r="G934" s="40" t="s">
        <v>433</v>
      </c>
      <c r="H934" s="29">
        <v>1</v>
      </c>
      <c r="I934" s="9">
        <v>2</v>
      </c>
      <c r="J934" s="9">
        <v>2</v>
      </c>
      <c r="K934" s="9">
        <v>1</v>
      </c>
      <c r="L934" s="9">
        <v>1</v>
      </c>
      <c r="M934" s="9">
        <v>2</v>
      </c>
      <c r="N934" s="186">
        <f t="shared" si="76"/>
        <v>0.35859414261160716</v>
      </c>
      <c r="O934" s="160">
        <f t="shared" si="75"/>
        <v>0.37356464144298934</v>
      </c>
      <c r="P934" s="63"/>
      <c r="Q934" s="827"/>
      <c r="R934" s="827"/>
      <c r="S934" s="827"/>
      <c r="T934" s="827"/>
      <c r="U934" s="827"/>
      <c r="V934" s="827"/>
      <c r="W934" s="827"/>
      <c r="X934" s="827"/>
      <c r="Y934" s="827"/>
      <c r="Z934" s="827"/>
      <c r="AA934" s="827"/>
      <c r="AB934" s="827"/>
      <c r="AC934" s="827"/>
      <c r="AD934" s="827"/>
      <c r="AE934" s="827"/>
      <c r="AF934" s="827"/>
      <c r="AG934" s="827"/>
      <c r="AH934" s="827"/>
      <c r="AI934" s="827"/>
      <c r="AJ934" s="827"/>
      <c r="AK934" s="827"/>
      <c r="AL934" s="827"/>
      <c r="AM934" s="827"/>
      <c r="AN934" s="827"/>
      <c r="AO934" s="827"/>
      <c r="AP934" s="827"/>
      <c r="AQ934" s="827"/>
      <c r="AR934" s="827"/>
      <c r="AS934" s="827"/>
      <c r="AT934" s="827"/>
      <c r="AU934" s="827"/>
      <c r="AV934" s="827"/>
      <c r="AW934" s="827"/>
      <c r="AX934" s="827"/>
      <c r="AY934" s="827"/>
      <c r="AZ934" s="827"/>
      <c r="BA934" s="827"/>
      <c r="BB934" s="827"/>
      <c r="BC934" s="827"/>
      <c r="BD934" s="827"/>
      <c r="BE934" s="827"/>
      <c r="BF934" s="827"/>
      <c r="BG934" s="827"/>
      <c r="BH934" s="827"/>
      <c r="BI934" s="827"/>
      <c r="BJ934" s="827"/>
      <c r="BK934" s="827"/>
      <c r="BL934" s="827"/>
      <c r="BM934" s="827"/>
      <c r="BN934" s="827"/>
      <c r="BO934" s="827"/>
      <c r="BP934" s="827"/>
      <c r="BQ934" s="827"/>
      <c r="BR934" s="827"/>
      <c r="BS934" s="827"/>
      <c r="BT934" s="827"/>
      <c r="BU934" s="827"/>
      <c r="BV934" s="827"/>
      <c r="BW934" s="827"/>
      <c r="BX934" s="827"/>
      <c r="BY934" s="827"/>
      <c r="BZ934" s="827"/>
      <c r="CA934" s="827"/>
      <c r="CB934" s="827"/>
      <c r="CC934" s="827"/>
      <c r="CD934" s="827"/>
      <c r="CE934" s="827"/>
      <c r="CF934" s="827"/>
      <c r="CG934" s="827"/>
      <c r="CH934" s="827"/>
      <c r="CI934" s="827"/>
      <c r="CJ934" s="827"/>
      <c r="CK934" s="827"/>
      <c r="CL934" s="827"/>
      <c r="CM934" s="827"/>
      <c r="CN934" s="827"/>
      <c r="CO934" s="827"/>
      <c r="CP934" s="827"/>
      <c r="CQ934" s="827"/>
      <c r="CR934" s="827"/>
      <c r="CS934" s="827"/>
      <c r="CT934" s="827"/>
      <c r="CU934" s="827"/>
      <c r="CV934" s="827"/>
      <c r="CW934" s="827"/>
      <c r="CX934" s="827"/>
      <c r="CY934" s="827"/>
      <c r="CZ934" s="827"/>
      <c r="DA934" s="827"/>
      <c r="DB934" s="827"/>
      <c r="DC934" s="827"/>
      <c r="DD934" s="827"/>
      <c r="DE934" s="827"/>
      <c r="DF934" s="827"/>
      <c r="DG934" s="827"/>
      <c r="DH934" s="827"/>
      <c r="DI934" s="827"/>
      <c r="DJ934" s="827"/>
      <c r="DK934" s="827"/>
      <c r="DL934" s="827"/>
      <c r="DM934" s="827"/>
      <c r="DN934" s="827"/>
      <c r="DO934" s="827"/>
      <c r="DP934" s="827"/>
      <c r="DQ934" s="827"/>
      <c r="DR934" s="827"/>
      <c r="DS934" s="827"/>
      <c r="DT934" s="827"/>
      <c r="DU934" s="827"/>
      <c r="DV934" s="827"/>
      <c r="DW934" s="827"/>
      <c r="DX934" s="827"/>
      <c r="DY934" s="827"/>
      <c r="DZ934" s="827"/>
      <c r="EA934" s="827"/>
      <c r="EB934" s="827"/>
      <c r="EC934" s="827"/>
      <c r="ED934" s="827"/>
      <c r="EE934" s="827"/>
      <c r="EF934" s="827"/>
      <c r="EG934" s="827"/>
      <c r="EH934" s="827"/>
      <c r="EI934" s="827"/>
      <c r="EJ934" s="827"/>
      <c r="EK934" s="827"/>
      <c r="EL934" s="827"/>
      <c r="EM934" s="827"/>
      <c r="EN934" s="827"/>
      <c r="EO934" s="827"/>
      <c r="EP934" s="827"/>
      <c r="EQ934" s="827"/>
      <c r="ER934" s="827"/>
      <c r="ES934" s="827"/>
      <c r="ET934" s="827"/>
      <c r="EU934" s="827"/>
      <c r="EV934" s="827"/>
      <c r="EW934" s="827"/>
      <c r="EX934" s="827"/>
      <c r="EY934" s="827"/>
      <c r="EZ934" s="827"/>
      <c r="FA934" s="827"/>
      <c r="FB934" s="827"/>
      <c r="FC934" s="827"/>
      <c r="FD934" s="827"/>
      <c r="FE934" s="827"/>
      <c r="FF934" s="827"/>
      <c r="FG934" s="827"/>
      <c r="FH934" s="827"/>
      <c r="FI934" s="827"/>
      <c r="FJ934" s="827"/>
      <c r="FK934" s="827"/>
      <c r="FL934" s="827"/>
      <c r="FM934" s="827"/>
      <c r="FN934" s="827"/>
      <c r="FO934" s="827"/>
      <c r="FP934" s="827"/>
      <c r="FQ934" s="827"/>
      <c r="FR934" s="827"/>
      <c r="FS934" s="827"/>
      <c r="FT934" s="827"/>
      <c r="FU934" s="827"/>
      <c r="FV934" s="827"/>
      <c r="FW934" s="827"/>
      <c r="FX934" s="827"/>
      <c r="FY934" s="827"/>
      <c r="FZ934" s="827"/>
      <c r="GA934" s="827"/>
      <c r="GB934" s="827"/>
      <c r="GC934" s="827"/>
      <c r="GD934" s="827"/>
      <c r="GE934" s="827"/>
      <c r="GF934" s="827"/>
      <c r="GG934" s="827"/>
      <c r="GH934" s="827"/>
      <c r="GI934" s="827"/>
      <c r="GJ934" s="827"/>
      <c r="GK934" s="827"/>
      <c r="GL934" s="827"/>
      <c r="GM934" s="827"/>
      <c r="GN934" s="827"/>
      <c r="GO934" s="827"/>
      <c r="GP934" s="827"/>
      <c r="GQ934" s="827"/>
      <c r="GR934" s="827"/>
      <c r="GS934" s="827"/>
      <c r="GT934" s="827"/>
      <c r="GU934" s="827"/>
      <c r="GV934" s="827"/>
      <c r="GW934" s="827"/>
      <c r="GX934" s="827"/>
      <c r="GY934" s="827"/>
      <c r="GZ934" s="827"/>
      <c r="HA934" s="827"/>
      <c r="HB934" s="827"/>
      <c r="HC934" s="827"/>
      <c r="HD934" s="827"/>
      <c r="HE934" s="827"/>
      <c r="HF934" s="827"/>
      <c r="HG934" s="827"/>
      <c r="HH934" s="827"/>
      <c r="HI934" s="827"/>
      <c r="HJ934" s="827"/>
      <c r="HK934" s="827"/>
      <c r="HL934" s="827"/>
      <c r="HM934" s="827"/>
      <c r="HN934" s="827"/>
      <c r="HO934" s="827"/>
      <c r="HP934" s="827"/>
      <c r="HQ934" s="827"/>
      <c r="HR934" s="827"/>
      <c r="HS934" s="827"/>
      <c r="HT934" s="827"/>
      <c r="HU934" s="827"/>
      <c r="HV934" s="827"/>
      <c r="HW934" s="827"/>
      <c r="HX934" s="827"/>
      <c r="HY934" s="827"/>
      <c r="HZ934" s="827"/>
      <c r="IA934" s="827"/>
      <c r="IB934" s="827"/>
      <c r="IC934" s="827"/>
      <c r="ID934" s="827"/>
      <c r="IE934" s="827"/>
      <c r="IF934" s="827"/>
      <c r="IG934" s="827"/>
      <c r="IH934" s="827"/>
      <c r="II934" s="827"/>
      <c r="IJ934" s="827"/>
      <c r="IK934" s="827"/>
      <c r="IL934" s="827"/>
      <c r="IM934" s="827"/>
      <c r="IN934" s="827"/>
      <c r="IO934" s="827"/>
      <c r="IP934" s="827"/>
      <c r="IQ934" s="827"/>
      <c r="IR934" s="827"/>
      <c r="IS934" s="827"/>
      <c r="IT934" s="827"/>
      <c r="IU934" s="827"/>
      <c r="IV934" s="827"/>
      <c r="IW934" s="827"/>
      <c r="IX934" s="827"/>
      <c r="IY934" s="827"/>
      <c r="IZ934" s="827"/>
      <c r="JA934" s="827"/>
      <c r="JB934" s="827"/>
      <c r="JC934" s="827"/>
      <c r="JD934" s="827"/>
      <c r="JE934" s="827"/>
      <c r="JF934" s="827"/>
      <c r="JG934" s="827"/>
      <c r="JH934" s="827"/>
      <c r="JI934" s="827"/>
      <c r="JJ934" s="827"/>
      <c r="JK934" s="827"/>
      <c r="JL934" s="827"/>
      <c r="JM934" s="827"/>
      <c r="JN934" s="827"/>
      <c r="JO934" s="827"/>
      <c r="JP934" s="827"/>
      <c r="JQ934" s="827"/>
      <c r="JR934" s="827"/>
      <c r="JS934" s="827"/>
      <c r="JT934" s="827"/>
      <c r="JU934" s="827"/>
      <c r="JV934" s="827"/>
      <c r="JW934" s="827"/>
      <c r="JX934" s="827"/>
      <c r="JY934" s="827"/>
      <c r="JZ934" s="827"/>
      <c r="KA934" s="827"/>
      <c r="KB934" s="827"/>
      <c r="KC934" s="827"/>
      <c r="KD934" s="827"/>
      <c r="KE934" s="827"/>
      <c r="KF934" s="827"/>
      <c r="KG934" s="827"/>
      <c r="KH934" s="827"/>
      <c r="KI934" s="827"/>
      <c r="KJ934" s="827"/>
      <c r="KK934" s="827"/>
      <c r="KL934" s="827"/>
      <c r="KM934" s="827"/>
      <c r="KN934" s="827"/>
      <c r="KO934" s="827"/>
      <c r="KP934" s="827"/>
      <c r="KQ934" s="827"/>
      <c r="KR934" s="827"/>
      <c r="KS934" s="827"/>
      <c r="KT934" s="827"/>
      <c r="KU934" s="827"/>
      <c r="KV934" s="827"/>
      <c r="KW934" s="827"/>
      <c r="KX934" s="827"/>
      <c r="KY934" s="827"/>
      <c r="KZ934" s="827"/>
      <c r="LA934" s="827"/>
      <c r="LB934" s="827"/>
      <c r="LC934" s="827"/>
      <c r="LD934" s="827"/>
      <c r="LE934" s="827"/>
      <c r="LF934" s="827"/>
      <c r="LG934" s="827"/>
      <c r="LH934" s="827"/>
      <c r="LI934" s="827"/>
      <c r="LJ934" s="827"/>
      <c r="LK934" s="827"/>
      <c r="LL934" s="827"/>
      <c r="LM934" s="827"/>
      <c r="LN934" s="827"/>
      <c r="LO934" s="827"/>
      <c r="LP934" s="827"/>
      <c r="LQ934" s="827"/>
      <c r="LR934" s="827"/>
      <c r="LS934" s="827"/>
      <c r="LT934" s="827"/>
      <c r="LU934" s="827"/>
      <c r="LV934" s="827"/>
      <c r="LW934" s="827"/>
      <c r="LX934" s="827"/>
      <c r="LY934" s="827"/>
      <c r="LZ934" s="827"/>
      <c r="MA934" s="827"/>
      <c r="MB934" s="827"/>
      <c r="MC934" s="827"/>
      <c r="MD934" s="827"/>
      <c r="ME934" s="827"/>
      <c r="MF934" s="827"/>
      <c r="MG934" s="827"/>
      <c r="MH934" s="827"/>
      <c r="MI934" s="827"/>
      <c r="MJ934" s="827"/>
      <c r="MK934" s="827"/>
      <c r="ML934" s="827"/>
      <c r="MM934" s="827"/>
      <c r="MN934" s="827"/>
      <c r="MO934" s="827"/>
      <c r="MP934" s="827"/>
      <c r="MQ934" s="827"/>
      <c r="MR934" s="827"/>
      <c r="MS934" s="827"/>
      <c r="MT934" s="827"/>
      <c r="MU934" s="827"/>
      <c r="MV934" s="827"/>
      <c r="MW934" s="827"/>
      <c r="MX934" s="827"/>
      <c r="MY934" s="827"/>
      <c r="MZ934" s="827"/>
      <c r="NA934" s="827"/>
      <c r="NB934" s="827"/>
      <c r="NC934" s="827"/>
      <c r="ND934" s="827"/>
      <c r="NE934" s="827"/>
      <c r="NF934" s="827"/>
      <c r="NG934" s="827"/>
      <c r="NH934" s="827"/>
      <c r="NI934" s="827"/>
      <c r="NJ934" s="827"/>
      <c r="NK934" s="827"/>
      <c r="NL934" s="827"/>
      <c r="NM934" s="827"/>
      <c r="NN934" s="827"/>
      <c r="NO934" s="827"/>
      <c r="NP934" s="827"/>
      <c r="NQ934" s="827"/>
      <c r="NR934" s="827"/>
      <c r="NS934" s="827"/>
      <c r="NT934" s="827"/>
      <c r="NU934" s="827"/>
      <c r="NV934" s="827"/>
      <c r="NW934" s="827"/>
      <c r="NX934" s="827"/>
      <c r="NY934" s="827"/>
      <c r="NZ934" s="827"/>
      <c r="OA934" s="827"/>
      <c r="OB934" s="827"/>
      <c r="OC934" s="827"/>
      <c r="OD934" s="827"/>
      <c r="OE934" s="827"/>
      <c r="OF934" s="827"/>
      <c r="OG934" s="827"/>
      <c r="OH934" s="827"/>
      <c r="OI934" s="827"/>
      <c r="OJ934" s="827"/>
      <c r="OK934" s="827"/>
      <c r="OL934" s="827"/>
      <c r="OM934" s="827"/>
      <c r="ON934" s="827"/>
      <c r="OO934" s="827"/>
      <c r="OP934" s="827"/>
      <c r="OQ934" s="827"/>
      <c r="OR934" s="827"/>
      <c r="OS934" s="827"/>
      <c r="OT934" s="827"/>
      <c r="OU934" s="827"/>
      <c r="OV934" s="827"/>
      <c r="OW934" s="827"/>
      <c r="OX934" s="827"/>
      <c r="OY934" s="827"/>
      <c r="OZ934" s="827"/>
      <c r="PA934" s="827"/>
      <c r="PB934" s="827"/>
      <c r="PC934" s="827"/>
      <c r="PD934" s="827"/>
      <c r="PE934" s="827"/>
      <c r="PF934" s="827"/>
      <c r="PG934" s="827"/>
      <c r="PH934" s="827"/>
      <c r="PI934" s="827"/>
      <c r="PJ934" s="827"/>
      <c r="PK934" s="827"/>
      <c r="PL934" s="827"/>
      <c r="PM934" s="827"/>
      <c r="PN934" s="827"/>
      <c r="PO934" s="827"/>
      <c r="PP934" s="827"/>
      <c r="PQ934" s="827"/>
      <c r="PR934" s="827"/>
      <c r="PS934" s="827"/>
      <c r="PT934" s="827"/>
      <c r="PU934" s="827"/>
      <c r="PV934" s="827"/>
      <c r="PW934" s="827"/>
      <c r="PX934" s="827"/>
      <c r="PY934" s="827"/>
      <c r="PZ934" s="827"/>
      <c r="QA934" s="827"/>
      <c r="QB934" s="827"/>
      <c r="QC934" s="827"/>
      <c r="QD934" s="827"/>
      <c r="QE934" s="827"/>
      <c r="QF934" s="827"/>
      <c r="QG934" s="827"/>
      <c r="QH934" s="827"/>
      <c r="QI934" s="827"/>
      <c r="QJ934" s="827"/>
      <c r="QK934" s="827"/>
      <c r="QL934" s="827"/>
      <c r="QM934" s="827"/>
      <c r="QN934" s="827"/>
      <c r="QO934" s="827"/>
      <c r="QP934" s="827"/>
      <c r="QQ934" s="827"/>
      <c r="QR934" s="827"/>
      <c r="QS934" s="827"/>
      <c r="QT934" s="827"/>
      <c r="QU934" s="827"/>
      <c r="QV934" s="827"/>
      <c r="QW934" s="827"/>
      <c r="QX934" s="827"/>
      <c r="QY934" s="827"/>
      <c r="QZ934" s="827"/>
      <c r="RA934" s="827"/>
      <c r="RB934" s="827"/>
      <c r="RC934" s="827"/>
      <c r="RD934" s="827"/>
      <c r="RE934" s="827"/>
      <c r="RF934" s="827"/>
      <c r="RG934" s="827"/>
      <c r="RH934" s="827"/>
      <c r="RI934" s="827"/>
      <c r="RJ934" s="827"/>
      <c r="RK934" s="827"/>
      <c r="RL934" s="827"/>
      <c r="RM934" s="827"/>
      <c r="RN934" s="827"/>
      <c r="RO934" s="827"/>
      <c r="RP934" s="827"/>
      <c r="RQ934" s="827"/>
      <c r="RR934" s="827"/>
      <c r="RS934" s="827"/>
      <c r="RT934" s="827"/>
      <c r="RU934" s="827"/>
      <c r="RV934" s="827"/>
      <c r="RW934" s="827"/>
      <c r="RX934" s="827"/>
      <c r="RY934" s="827"/>
      <c r="RZ934" s="827"/>
      <c r="SA934" s="827"/>
      <c r="SB934" s="827"/>
      <c r="SC934" s="827"/>
      <c r="SD934" s="827"/>
      <c r="SE934" s="827"/>
      <c r="SF934" s="827"/>
      <c r="SG934" s="827"/>
      <c r="SH934" s="827"/>
      <c r="SI934" s="827"/>
      <c r="SJ934" s="827"/>
      <c r="SK934" s="827"/>
      <c r="SL934" s="827"/>
      <c r="SM934" s="827"/>
      <c r="SN934" s="827"/>
      <c r="SO934" s="827"/>
      <c r="SP934" s="827"/>
      <c r="SQ934" s="827"/>
      <c r="SR934" s="827"/>
      <c r="SS934" s="827"/>
      <c r="ST934" s="827"/>
      <c r="SU934" s="827"/>
      <c r="SV934" s="827"/>
      <c r="SW934" s="827"/>
      <c r="SX934" s="827"/>
      <c r="SY934" s="827"/>
      <c r="SZ934" s="827"/>
      <c r="TA934" s="827"/>
      <c r="TB934" s="827"/>
      <c r="TC934" s="827"/>
      <c r="TD934" s="827"/>
      <c r="TE934" s="827"/>
      <c r="TF934" s="827"/>
      <c r="TG934" s="827"/>
      <c r="TH934" s="827"/>
      <c r="TI934" s="827"/>
      <c r="TJ934" s="827"/>
      <c r="TK934" s="827"/>
      <c r="TL934" s="827"/>
      <c r="TM934" s="827"/>
      <c r="TN934" s="827"/>
      <c r="TO934" s="827"/>
      <c r="TP934" s="827"/>
      <c r="TQ934" s="827"/>
      <c r="TR934" s="827"/>
      <c r="TS934" s="827"/>
      <c r="TT934" s="827"/>
      <c r="TU934" s="827"/>
      <c r="TV934" s="827"/>
      <c r="TW934" s="827"/>
      <c r="TX934" s="827"/>
      <c r="TY934" s="827"/>
      <c r="TZ934" s="827"/>
      <c r="UA934" s="827"/>
      <c r="UB934" s="827"/>
      <c r="UC934" s="827"/>
      <c r="UD934" s="827"/>
      <c r="UE934" s="827"/>
      <c r="UF934" s="827"/>
      <c r="UG934" s="827"/>
      <c r="UH934" s="827"/>
      <c r="UI934" s="827"/>
      <c r="UJ934" s="827"/>
      <c r="UK934" s="827"/>
      <c r="UL934" s="827"/>
      <c r="UM934" s="827"/>
      <c r="UN934" s="827"/>
      <c r="UO934" s="827"/>
      <c r="UP934" s="827"/>
      <c r="UQ934" s="827"/>
      <c r="UR934" s="827"/>
      <c r="US934" s="827"/>
      <c r="UT934" s="827"/>
      <c r="UU934" s="827"/>
      <c r="UV934" s="827"/>
      <c r="UW934" s="827"/>
      <c r="UX934" s="827"/>
      <c r="UY934" s="827"/>
      <c r="UZ934" s="827"/>
      <c r="VA934" s="827"/>
      <c r="VB934" s="827"/>
      <c r="VC934" s="827"/>
      <c r="VD934" s="827"/>
      <c r="VE934" s="827"/>
      <c r="VF934" s="827"/>
      <c r="VG934" s="827"/>
      <c r="VH934" s="827"/>
      <c r="VI934" s="827"/>
      <c r="VJ934" s="827"/>
      <c r="VK934" s="827"/>
      <c r="VL934" s="827"/>
      <c r="VM934" s="827"/>
      <c r="VN934" s="827"/>
      <c r="VO934" s="827"/>
      <c r="VP934" s="827"/>
      <c r="VQ934" s="827"/>
      <c r="VR934" s="827"/>
      <c r="VS934" s="827"/>
      <c r="VT934" s="827"/>
      <c r="VU934" s="827"/>
      <c r="VV934" s="827"/>
      <c r="VW934" s="827"/>
      <c r="VX934" s="827"/>
      <c r="VY934" s="827"/>
      <c r="VZ934" s="827"/>
      <c r="WA934" s="827"/>
      <c r="WB934" s="827"/>
      <c r="WC934" s="827"/>
      <c r="WD934" s="827"/>
      <c r="WE934" s="827"/>
      <c r="WF934" s="827"/>
      <c r="WG934" s="827"/>
      <c r="WH934" s="827"/>
      <c r="WI934" s="827"/>
      <c r="WJ934" s="827"/>
      <c r="WK934" s="827"/>
      <c r="WL934" s="827"/>
      <c r="WM934" s="827"/>
      <c r="WN934" s="827"/>
      <c r="WO934" s="827"/>
      <c r="WP934" s="827"/>
      <c r="WQ934" s="827"/>
      <c r="WR934" s="827"/>
      <c r="WS934" s="827"/>
      <c r="WT934" s="827"/>
      <c r="WU934" s="827"/>
      <c r="WV934" s="827"/>
      <c r="WW934" s="827"/>
      <c r="WX934" s="827"/>
      <c r="WY934" s="827"/>
      <c r="WZ934" s="827"/>
      <c r="XA934" s="827"/>
      <c r="XB934" s="827"/>
      <c r="XC934" s="827"/>
      <c r="XD934" s="827"/>
      <c r="XE934" s="827"/>
      <c r="XF934" s="827"/>
      <c r="XG934" s="827"/>
      <c r="XH934" s="827"/>
      <c r="XI934" s="827"/>
      <c r="XJ934" s="827"/>
      <c r="XK934" s="827"/>
      <c r="XL934" s="827"/>
      <c r="XM934" s="827"/>
      <c r="XN934" s="827"/>
      <c r="XO934" s="827"/>
      <c r="XP934" s="827"/>
      <c r="XQ934" s="827"/>
      <c r="XR934" s="827"/>
      <c r="XS934" s="827"/>
      <c r="XT934" s="827"/>
      <c r="XU934" s="827"/>
      <c r="XV934" s="827"/>
      <c r="XW934" s="827"/>
      <c r="XX934" s="827"/>
      <c r="XY934" s="827"/>
      <c r="XZ934" s="827"/>
      <c r="YA934" s="827"/>
      <c r="YB934" s="827"/>
      <c r="YC934" s="827"/>
      <c r="YD934" s="827"/>
      <c r="YE934" s="827"/>
      <c r="YF934" s="827"/>
      <c r="YG934" s="827"/>
      <c r="YH934" s="827"/>
      <c r="YI934" s="827"/>
      <c r="YJ934" s="827"/>
      <c r="YK934" s="827"/>
      <c r="YL934" s="827"/>
      <c r="YM934" s="827"/>
      <c r="YN934" s="827"/>
      <c r="YO934" s="827"/>
      <c r="YP934" s="827"/>
      <c r="YQ934" s="827"/>
      <c r="YR934" s="827"/>
      <c r="YS934" s="827"/>
      <c r="YT934" s="827"/>
      <c r="YU934" s="827"/>
      <c r="YV934" s="827"/>
      <c r="YW934" s="827"/>
      <c r="YX934" s="827"/>
      <c r="YY934" s="827"/>
      <c r="YZ934" s="827"/>
      <c r="ZA934" s="827"/>
      <c r="ZB934" s="827"/>
      <c r="ZC934" s="827"/>
      <c r="ZD934" s="827"/>
      <c r="ZE934" s="827"/>
      <c r="ZF934" s="827"/>
      <c r="ZG934" s="827"/>
      <c r="ZH934" s="827"/>
      <c r="ZI934" s="827"/>
      <c r="ZJ934" s="827"/>
      <c r="ZK934" s="827"/>
      <c r="ZL934" s="827"/>
      <c r="ZM934" s="827"/>
      <c r="ZN934" s="827"/>
      <c r="ZO934" s="827"/>
      <c r="ZP934" s="827"/>
      <c r="ZQ934" s="827"/>
      <c r="ZR934" s="827"/>
      <c r="ZS934" s="827"/>
      <c r="ZT934" s="827"/>
      <c r="ZU934" s="827"/>
      <c r="ZV934" s="827"/>
      <c r="ZW934" s="827"/>
      <c r="ZX934" s="827"/>
      <c r="ZY934" s="827"/>
      <c r="ZZ934" s="827"/>
      <c r="AAA934" s="827"/>
      <c r="AAB934" s="827"/>
      <c r="AAC934" s="827"/>
      <c r="AAD934" s="827"/>
      <c r="AAE934" s="827"/>
      <c r="AAF934" s="827"/>
      <c r="AAG934" s="827"/>
      <c r="AAH934" s="827"/>
      <c r="AAI934" s="827"/>
      <c r="AAJ934" s="827"/>
      <c r="AAK934" s="827"/>
      <c r="AAL934" s="827"/>
      <c r="AAM934" s="827"/>
      <c r="AAN934" s="827"/>
      <c r="AAO934" s="827"/>
      <c r="AAP934" s="827"/>
      <c r="AAQ934" s="827"/>
      <c r="AAR934" s="827"/>
      <c r="AAS934" s="827"/>
      <c r="AAT934" s="827"/>
      <c r="AAU934" s="827"/>
      <c r="AAV934" s="827"/>
      <c r="AAW934" s="827"/>
      <c r="AAX934" s="827"/>
      <c r="AAY934" s="827"/>
      <c r="AAZ934" s="827"/>
      <c r="ABA934" s="827"/>
      <c r="ABB934" s="827"/>
      <c r="ABC934" s="827"/>
      <c r="ABD934" s="827"/>
      <c r="ABE934" s="827"/>
      <c r="ABF934" s="827"/>
      <c r="ABG934" s="827"/>
      <c r="ABH934" s="827"/>
      <c r="ABI934" s="827"/>
      <c r="ABJ934" s="827"/>
      <c r="ABK934" s="827"/>
      <c r="ABL934" s="827"/>
      <c r="ABM934" s="827"/>
      <c r="ABN934" s="827"/>
      <c r="ABO934" s="827"/>
      <c r="ABP934" s="827"/>
      <c r="ABQ934" s="827"/>
      <c r="ABR934" s="827"/>
      <c r="ABS934" s="827"/>
      <c r="ABT934" s="827"/>
      <c r="ABU934" s="827"/>
      <c r="ABV934" s="827"/>
      <c r="ABW934" s="827"/>
      <c r="ABX934" s="827"/>
      <c r="ABY934" s="827"/>
      <c r="ABZ934" s="827"/>
      <c r="ACA934" s="827"/>
      <c r="ACB934" s="827"/>
      <c r="ACC934" s="827"/>
      <c r="ACD934" s="827"/>
      <c r="ACE934" s="827"/>
      <c r="ACF934" s="827"/>
      <c r="ACG934" s="827"/>
      <c r="ACH934" s="827"/>
      <c r="ACI934" s="827"/>
      <c r="ACJ934" s="827"/>
      <c r="ACK934" s="827"/>
      <c r="ACL934" s="827"/>
      <c r="ACM934" s="827"/>
      <c r="ACN934" s="827"/>
      <c r="ACO934" s="827"/>
      <c r="ACP934" s="827"/>
      <c r="ACQ934" s="827"/>
      <c r="ACR934" s="827"/>
      <c r="ACS934" s="827"/>
      <c r="ACT934" s="827"/>
      <c r="ACU934" s="827"/>
      <c r="ACV934" s="827"/>
      <c r="ACW934" s="827"/>
      <c r="ACX934" s="827"/>
      <c r="ACY934" s="827"/>
      <c r="ACZ934" s="827"/>
      <c r="ADA934" s="827"/>
      <c r="ADB934" s="827"/>
      <c r="ADC934" s="827"/>
      <c r="ADD934" s="827"/>
      <c r="ADE934" s="827"/>
      <c r="ADF934" s="827"/>
      <c r="ADG934" s="827"/>
      <c r="ADH934" s="827"/>
      <c r="ADI934" s="827"/>
      <c r="ADJ934" s="827"/>
      <c r="ADK934" s="827"/>
      <c r="ADL934" s="827"/>
      <c r="ADM934" s="827"/>
      <c r="ADN934" s="827"/>
      <c r="ADO934" s="827"/>
      <c r="ADP934" s="827"/>
      <c r="ADQ934" s="827"/>
      <c r="ADR934" s="827"/>
      <c r="ADS934" s="827"/>
      <c r="ADT934" s="827"/>
      <c r="ADU934" s="827"/>
      <c r="ADV934" s="827"/>
      <c r="ADW934" s="827"/>
      <c r="ADX934" s="827"/>
      <c r="ADY934" s="827"/>
      <c r="ADZ934" s="827"/>
      <c r="AEA934" s="827"/>
      <c r="AEB934" s="827"/>
      <c r="AEC934" s="827"/>
      <c r="AED934" s="827"/>
      <c r="AEE934" s="827"/>
      <c r="AEF934" s="827"/>
      <c r="AEG934" s="827"/>
      <c r="AEH934" s="827"/>
      <c r="AEI934" s="827"/>
      <c r="AEJ934" s="827"/>
      <c r="AEK934" s="827"/>
      <c r="AEL934" s="827"/>
      <c r="AEM934" s="827"/>
      <c r="AEN934" s="827"/>
      <c r="AEO934" s="827"/>
      <c r="AEP934" s="827"/>
      <c r="AEQ934" s="827"/>
      <c r="AER934" s="827"/>
      <c r="AES934" s="827"/>
      <c r="AET934" s="827"/>
      <c r="AEU934" s="827"/>
      <c r="AEV934" s="827"/>
      <c r="AEW934" s="827"/>
      <c r="AEX934" s="827"/>
      <c r="AEY934" s="827"/>
      <c r="AEZ934" s="827"/>
      <c r="AFA934" s="827"/>
      <c r="AFB934" s="827"/>
      <c r="AFC934" s="827"/>
      <c r="AFD934" s="827"/>
      <c r="AFE934" s="827"/>
      <c r="AFF934" s="827"/>
      <c r="AFG934" s="827"/>
      <c r="AFH934" s="827"/>
      <c r="AFI934" s="827"/>
      <c r="AFJ934" s="827"/>
      <c r="AFK934" s="827"/>
      <c r="AFL934" s="827"/>
      <c r="AFM934" s="827"/>
      <c r="AFN934" s="827"/>
      <c r="AFO934" s="827"/>
      <c r="AFP934" s="827"/>
      <c r="AFQ934" s="827"/>
      <c r="AFR934" s="827"/>
      <c r="AFS934" s="827"/>
      <c r="AFT934" s="827"/>
      <c r="AFU934" s="827"/>
      <c r="AFV934" s="827"/>
      <c r="AFW934" s="827"/>
      <c r="AFX934" s="827"/>
      <c r="AFY934" s="827"/>
      <c r="AFZ934" s="827"/>
      <c r="AGA934" s="827"/>
      <c r="AGB934" s="827"/>
      <c r="AGC934" s="827"/>
      <c r="AGD934" s="827"/>
      <c r="AGE934" s="827"/>
      <c r="AGF934" s="827"/>
      <c r="AGG934" s="827"/>
      <c r="AGH934" s="827"/>
      <c r="AGI934" s="827"/>
      <c r="AGJ934" s="827"/>
    </row>
    <row r="935" spans="1:868" s="7" customFormat="1" hidden="1">
      <c r="A935" s="625" t="s">
        <v>118</v>
      </c>
      <c r="B935" s="59" t="s">
        <v>445</v>
      </c>
      <c r="C935" s="40" t="s">
        <v>139</v>
      </c>
      <c r="D935" s="34" t="s">
        <v>99</v>
      </c>
      <c r="E935" s="879">
        <v>4.6596254548681999E-2</v>
      </c>
      <c r="F935" s="34">
        <v>2</v>
      </c>
      <c r="G935" s="40" t="s">
        <v>433</v>
      </c>
      <c r="H935" s="29">
        <v>1</v>
      </c>
      <c r="I935" s="9">
        <v>2</v>
      </c>
      <c r="J935" s="9">
        <v>2</v>
      </c>
      <c r="K935" s="9">
        <v>1</v>
      </c>
      <c r="L935" s="9">
        <v>1</v>
      </c>
      <c r="M935" s="9">
        <v>2</v>
      </c>
      <c r="N935" s="186">
        <f t="shared" si="76"/>
        <v>0.35859414261160716</v>
      </c>
      <c r="O935" s="160">
        <f t="shared" si="75"/>
        <v>0.37356464144298934</v>
      </c>
      <c r="P935" s="63"/>
      <c r="Q935" s="827"/>
      <c r="R935" s="827"/>
      <c r="S935" s="827"/>
      <c r="T935" s="827"/>
      <c r="U935" s="827"/>
      <c r="V935" s="827"/>
      <c r="W935" s="827"/>
      <c r="X935" s="827"/>
      <c r="Y935" s="827"/>
      <c r="Z935" s="827"/>
      <c r="AA935" s="827"/>
      <c r="AB935" s="827"/>
      <c r="AC935" s="827"/>
      <c r="AD935" s="827"/>
      <c r="AE935" s="827"/>
      <c r="AF935" s="827"/>
      <c r="AG935" s="827"/>
      <c r="AH935" s="827"/>
      <c r="AI935" s="827"/>
      <c r="AJ935" s="827"/>
      <c r="AK935" s="827"/>
      <c r="AL935" s="827"/>
      <c r="AM935" s="827"/>
      <c r="AN935" s="827"/>
      <c r="AO935" s="827"/>
      <c r="AP935" s="827"/>
      <c r="AQ935" s="827"/>
      <c r="AR935" s="827"/>
      <c r="AS935" s="827"/>
      <c r="AT935" s="827"/>
      <c r="AU935" s="827"/>
      <c r="AV935" s="827"/>
      <c r="AW935" s="827"/>
      <c r="AX935" s="827"/>
      <c r="AY935" s="827"/>
      <c r="AZ935" s="827"/>
      <c r="BA935" s="827"/>
      <c r="BB935" s="827"/>
      <c r="BC935" s="827"/>
      <c r="BD935" s="827"/>
      <c r="BE935" s="827"/>
      <c r="BF935" s="827"/>
      <c r="BG935" s="827"/>
      <c r="BH935" s="827"/>
      <c r="BI935" s="827"/>
      <c r="BJ935" s="827"/>
      <c r="BK935" s="827"/>
      <c r="BL935" s="827"/>
      <c r="BM935" s="827"/>
      <c r="BN935" s="827"/>
      <c r="BO935" s="827"/>
      <c r="BP935" s="827"/>
      <c r="BQ935" s="827"/>
      <c r="BR935" s="827"/>
      <c r="BS935" s="827"/>
      <c r="BT935" s="827"/>
      <c r="BU935" s="827"/>
      <c r="BV935" s="827"/>
      <c r="BW935" s="827"/>
      <c r="BX935" s="827"/>
      <c r="BY935" s="827"/>
      <c r="BZ935" s="827"/>
      <c r="CA935" s="827"/>
      <c r="CB935" s="827"/>
      <c r="CC935" s="827"/>
      <c r="CD935" s="827"/>
      <c r="CE935" s="827"/>
      <c r="CF935" s="827"/>
      <c r="CG935" s="827"/>
      <c r="CH935" s="827"/>
      <c r="CI935" s="827"/>
      <c r="CJ935" s="827"/>
      <c r="CK935" s="827"/>
      <c r="CL935" s="827"/>
      <c r="CM935" s="827"/>
      <c r="CN935" s="827"/>
      <c r="CO935" s="827"/>
      <c r="CP935" s="827"/>
      <c r="CQ935" s="827"/>
      <c r="CR935" s="827"/>
      <c r="CS935" s="827"/>
      <c r="CT935" s="827"/>
      <c r="CU935" s="827"/>
      <c r="CV935" s="827"/>
      <c r="CW935" s="827"/>
      <c r="CX935" s="827"/>
      <c r="CY935" s="827"/>
      <c r="CZ935" s="827"/>
      <c r="DA935" s="827"/>
      <c r="DB935" s="827"/>
      <c r="DC935" s="827"/>
      <c r="DD935" s="827"/>
      <c r="DE935" s="827"/>
      <c r="DF935" s="827"/>
      <c r="DG935" s="827"/>
      <c r="DH935" s="827"/>
      <c r="DI935" s="827"/>
      <c r="DJ935" s="827"/>
      <c r="DK935" s="827"/>
      <c r="DL935" s="827"/>
      <c r="DM935" s="827"/>
      <c r="DN935" s="827"/>
      <c r="DO935" s="827"/>
      <c r="DP935" s="827"/>
      <c r="DQ935" s="827"/>
      <c r="DR935" s="827"/>
      <c r="DS935" s="827"/>
      <c r="DT935" s="827"/>
      <c r="DU935" s="827"/>
      <c r="DV935" s="827"/>
      <c r="DW935" s="827"/>
      <c r="DX935" s="827"/>
      <c r="DY935" s="827"/>
      <c r="DZ935" s="827"/>
      <c r="EA935" s="827"/>
      <c r="EB935" s="827"/>
      <c r="EC935" s="827"/>
      <c r="ED935" s="827"/>
      <c r="EE935" s="827"/>
      <c r="EF935" s="827"/>
      <c r="EG935" s="827"/>
      <c r="EH935" s="827"/>
      <c r="EI935" s="827"/>
      <c r="EJ935" s="827"/>
      <c r="EK935" s="827"/>
      <c r="EL935" s="827"/>
      <c r="EM935" s="827"/>
      <c r="EN935" s="827"/>
      <c r="EO935" s="827"/>
      <c r="EP935" s="827"/>
      <c r="EQ935" s="827"/>
      <c r="ER935" s="827"/>
      <c r="ES935" s="827"/>
      <c r="ET935" s="827"/>
      <c r="EU935" s="827"/>
      <c r="EV935" s="827"/>
      <c r="EW935" s="827"/>
      <c r="EX935" s="827"/>
      <c r="EY935" s="827"/>
      <c r="EZ935" s="827"/>
      <c r="FA935" s="827"/>
      <c r="FB935" s="827"/>
      <c r="FC935" s="827"/>
      <c r="FD935" s="827"/>
      <c r="FE935" s="827"/>
      <c r="FF935" s="827"/>
      <c r="FG935" s="827"/>
      <c r="FH935" s="827"/>
      <c r="FI935" s="827"/>
      <c r="FJ935" s="827"/>
      <c r="FK935" s="827"/>
      <c r="FL935" s="827"/>
      <c r="FM935" s="827"/>
      <c r="FN935" s="827"/>
      <c r="FO935" s="827"/>
      <c r="FP935" s="827"/>
      <c r="FQ935" s="827"/>
      <c r="FR935" s="827"/>
      <c r="FS935" s="827"/>
      <c r="FT935" s="827"/>
      <c r="FU935" s="827"/>
      <c r="FV935" s="827"/>
      <c r="FW935" s="827"/>
      <c r="FX935" s="827"/>
      <c r="FY935" s="827"/>
      <c r="FZ935" s="827"/>
      <c r="GA935" s="827"/>
      <c r="GB935" s="827"/>
      <c r="GC935" s="827"/>
      <c r="GD935" s="827"/>
      <c r="GE935" s="827"/>
      <c r="GF935" s="827"/>
      <c r="GG935" s="827"/>
      <c r="GH935" s="827"/>
      <c r="GI935" s="827"/>
      <c r="GJ935" s="827"/>
      <c r="GK935" s="827"/>
      <c r="GL935" s="827"/>
      <c r="GM935" s="827"/>
      <c r="GN935" s="827"/>
      <c r="GO935" s="827"/>
      <c r="GP935" s="827"/>
      <c r="GQ935" s="827"/>
      <c r="GR935" s="827"/>
      <c r="GS935" s="827"/>
      <c r="GT935" s="827"/>
      <c r="GU935" s="827"/>
      <c r="GV935" s="827"/>
      <c r="GW935" s="827"/>
      <c r="GX935" s="827"/>
      <c r="GY935" s="827"/>
      <c r="GZ935" s="827"/>
      <c r="HA935" s="827"/>
      <c r="HB935" s="827"/>
      <c r="HC935" s="827"/>
      <c r="HD935" s="827"/>
      <c r="HE935" s="827"/>
      <c r="HF935" s="827"/>
      <c r="HG935" s="827"/>
      <c r="HH935" s="827"/>
      <c r="HI935" s="827"/>
      <c r="HJ935" s="827"/>
      <c r="HK935" s="827"/>
      <c r="HL935" s="827"/>
      <c r="HM935" s="827"/>
      <c r="HN935" s="827"/>
      <c r="HO935" s="827"/>
      <c r="HP935" s="827"/>
      <c r="HQ935" s="827"/>
      <c r="HR935" s="827"/>
      <c r="HS935" s="827"/>
      <c r="HT935" s="827"/>
      <c r="HU935" s="827"/>
      <c r="HV935" s="827"/>
      <c r="HW935" s="827"/>
      <c r="HX935" s="827"/>
      <c r="HY935" s="827"/>
      <c r="HZ935" s="827"/>
      <c r="IA935" s="827"/>
      <c r="IB935" s="827"/>
      <c r="IC935" s="827"/>
      <c r="ID935" s="827"/>
      <c r="IE935" s="827"/>
      <c r="IF935" s="827"/>
      <c r="IG935" s="827"/>
      <c r="IH935" s="827"/>
      <c r="II935" s="827"/>
      <c r="IJ935" s="827"/>
      <c r="IK935" s="827"/>
      <c r="IL935" s="827"/>
      <c r="IM935" s="827"/>
      <c r="IN935" s="827"/>
      <c r="IO935" s="827"/>
      <c r="IP935" s="827"/>
      <c r="IQ935" s="827"/>
      <c r="IR935" s="827"/>
      <c r="IS935" s="827"/>
      <c r="IT935" s="827"/>
      <c r="IU935" s="827"/>
      <c r="IV935" s="827"/>
      <c r="IW935" s="827"/>
      <c r="IX935" s="827"/>
      <c r="IY935" s="827"/>
      <c r="IZ935" s="827"/>
      <c r="JA935" s="827"/>
      <c r="JB935" s="827"/>
      <c r="JC935" s="827"/>
      <c r="JD935" s="827"/>
      <c r="JE935" s="827"/>
      <c r="JF935" s="827"/>
      <c r="JG935" s="827"/>
      <c r="JH935" s="827"/>
      <c r="JI935" s="827"/>
      <c r="JJ935" s="827"/>
      <c r="JK935" s="827"/>
      <c r="JL935" s="827"/>
      <c r="JM935" s="827"/>
      <c r="JN935" s="827"/>
      <c r="JO935" s="827"/>
      <c r="JP935" s="827"/>
      <c r="JQ935" s="827"/>
      <c r="JR935" s="827"/>
      <c r="JS935" s="827"/>
      <c r="JT935" s="827"/>
      <c r="JU935" s="827"/>
      <c r="JV935" s="827"/>
      <c r="JW935" s="827"/>
      <c r="JX935" s="827"/>
      <c r="JY935" s="827"/>
      <c r="JZ935" s="827"/>
      <c r="KA935" s="827"/>
      <c r="KB935" s="827"/>
      <c r="KC935" s="827"/>
      <c r="KD935" s="827"/>
      <c r="KE935" s="827"/>
      <c r="KF935" s="827"/>
      <c r="KG935" s="827"/>
      <c r="KH935" s="827"/>
      <c r="KI935" s="827"/>
      <c r="KJ935" s="827"/>
      <c r="KK935" s="827"/>
      <c r="KL935" s="827"/>
      <c r="KM935" s="827"/>
      <c r="KN935" s="827"/>
      <c r="KO935" s="827"/>
      <c r="KP935" s="827"/>
      <c r="KQ935" s="827"/>
      <c r="KR935" s="827"/>
      <c r="KS935" s="827"/>
      <c r="KT935" s="827"/>
      <c r="KU935" s="827"/>
      <c r="KV935" s="827"/>
      <c r="KW935" s="827"/>
      <c r="KX935" s="827"/>
      <c r="KY935" s="827"/>
      <c r="KZ935" s="827"/>
      <c r="LA935" s="827"/>
      <c r="LB935" s="827"/>
      <c r="LC935" s="827"/>
      <c r="LD935" s="827"/>
      <c r="LE935" s="827"/>
      <c r="LF935" s="827"/>
      <c r="LG935" s="827"/>
      <c r="LH935" s="827"/>
      <c r="LI935" s="827"/>
      <c r="LJ935" s="827"/>
      <c r="LK935" s="827"/>
      <c r="LL935" s="827"/>
      <c r="LM935" s="827"/>
      <c r="LN935" s="827"/>
      <c r="LO935" s="827"/>
      <c r="LP935" s="827"/>
      <c r="LQ935" s="827"/>
      <c r="LR935" s="827"/>
      <c r="LS935" s="827"/>
      <c r="LT935" s="827"/>
      <c r="LU935" s="827"/>
      <c r="LV935" s="827"/>
      <c r="LW935" s="827"/>
      <c r="LX935" s="827"/>
      <c r="LY935" s="827"/>
      <c r="LZ935" s="827"/>
      <c r="MA935" s="827"/>
      <c r="MB935" s="827"/>
      <c r="MC935" s="827"/>
      <c r="MD935" s="827"/>
      <c r="ME935" s="827"/>
      <c r="MF935" s="827"/>
      <c r="MG935" s="827"/>
      <c r="MH935" s="827"/>
      <c r="MI935" s="827"/>
      <c r="MJ935" s="827"/>
      <c r="MK935" s="827"/>
      <c r="ML935" s="827"/>
      <c r="MM935" s="827"/>
      <c r="MN935" s="827"/>
      <c r="MO935" s="827"/>
      <c r="MP935" s="827"/>
      <c r="MQ935" s="827"/>
      <c r="MR935" s="827"/>
      <c r="MS935" s="827"/>
      <c r="MT935" s="827"/>
      <c r="MU935" s="827"/>
      <c r="MV935" s="827"/>
      <c r="MW935" s="827"/>
      <c r="MX935" s="827"/>
      <c r="MY935" s="827"/>
      <c r="MZ935" s="827"/>
      <c r="NA935" s="827"/>
      <c r="NB935" s="827"/>
      <c r="NC935" s="827"/>
      <c r="ND935" s="827"/>
      <c r="NE935" s="827"/>
      <c r="NF935" s="827"/>
      <c r="NG935" s="827"/>
      <c r="NH935" s="827"/>
      <c r="NI935" s="827"/>
      <c r="NJ935" s="827"/>
      <c r="NK935" s="827"/>
      <c r="NL935" s="827"/>
      <c r="NM935" s="827"/>
      <c r="NN935" s="827"/>
      <c r="NO935" s="827"/>
      <c r="NP935" s="827"/>
      <c r="NQ935" s="827"/>
      <c r="NR935" s="827"/>
      <c r="NS935" s="827"/>
      <c r="NT935" s="827"/>
      <c r="NU935" s="827"/>
      <c r="NV935" s="827"/>
      <c r="NW935" s="827"/>
      <c r="NX935" s="827"/>
      <c r="NY935" s="827"/>
      <c r="NZ935" s="827"/>
      <c r="OA935" s="827"/>
      <c r="OB935" s="827"/>
      <c r="OC935" s="827"/>
      <c r="OD935" s="827"/>
      <c r="OE935" s="827"/>
      <c r="OF935" s="827"/>
      <c r="OG935" s="827"/>
      <c r="OH935" s="827"/>
      <c r="OI935" s="827"/>
      <c r="OJ935" s="827"/>
      <c r="OK935" s="827"/>
      <c r="OL935" s="827"/>
      <c r="OM935" s="827"/>
      <c r="ON935" s="827"/>
      <c r="OO935" s="827"/>
      <c r="OP935" s="827"/>
      <c r="OQ935" s="827"/>
      <c r="OR935" s="827"/>
      <c r="OS935" s="827"/>
      <c r="OT935" s="827"/>
      <c r="OU935" s="827"/>
      <c r="OV935" s="827"/>
      <c r="OW935" s="827"/>
      <c r="OX935" s="827"/>
      <c r="OY935" s="827"/>
      <c r="OZ935" s="827"/>
      <c r="PA935" s="827"/>
      <c r="PB935" s="827"/>
      <c r="PC935" s="827"/>
      <c r="PD935" s="827"/>
      <c r="PE935" s="827"/>
      <c r="PF935" s="827"/>
      <c r="PG935" s="827"/>
      <c r="PH935" s="827"/>
      <c r="PI935" s="827"/>
      <c r="PJ935" s="827"/>
      <c r="PK935" s="827"/>
      <c r="PL935" s="827"/>
      <c r="PM935" s="827"/>
      <c r="PN935" s="827"/>
      <c r="PO935" s="827"/>
      <c r="PP935" s="827"/>
      <c r="PQ935" s="827"/>
      <c r="PR935" s="827"/>
      <c r="PS935" s="827"/>
      <c r="PT935" s="827"/>
      <c r="PU935" s="827"/>
      <c r="PV935" s="827"/>
      <c r="PW935" s="827"/>
      <c r="PX935" s="827"/>
      <c r="PY935" s="827"/>
      <c r="PZ935" s="827"/>
      <c r="QA935" s="827"/>
      <c r="QB935" s="827"/>
      <c r="QC935" s="827"/>
      <c r="QD935" s="827"/>
      <c r="QE935" s="827"/>
      <c r="QF935" s="827"/>
      <c r="QG935" s="827"/>
      <c r="QH935" s="827"/>
      <c r="QI935" s="827"/>
      <c r="QJ935" s="827"/>
      <c r="QK935" s="827"/>
      <c r="QL935" s="827"/>
      <c r="QM935" s="827"/>
      <c r="QN935" s="827"/>
      <c r="QO935" s="827"/>
      <c r="QP935" s="827"/>
      <c r="QQ935" s="827"/>
      <c r="QR935" s="827"/>
      <c r="QS935" s="827"/>
      <c r="QT935" s="827"/>
      <c r="QU935" s="827"/>
      <c r="QV935" s="827"/>
      <c r="QW935" s="827"/>
      <c r="QX935" s="827"/>
      <c r="QY935" s="827"/>
      <c r="QZ935" s="827"/>
      <c r="RA935" s="827"/>
      <c r="RB935" s="827"/>
      <c r="RC935" s="827"/>
      <c r="RD935" s="827"/>
      <c r="RE935" s="827"/>
      <c r="RF935" s="827"/>
      <c r="RG935" s="827"/>
      <c r="RH935" s="827"/>
      <c r="RI935" s="827"/>
      <c r="RJ935" s="827"/>
      <c r="RK935" s="827"/>
      <c r="RL935" s="827"/>
      <c r="RM935" s="827"/>
      <c r="RN935" s="827"/>
      <c r="RO935" s="827"/>
      <c r="RP935" s="827"/>
      <c r="RQ935" s="827"/>
      <c r="RR935" s="827"/>
      <c r="RS935" s="827"/>
      <c r="RT935" s="827"/>
      <c r="RU935" s="827"/>
      <c r="RV935" s="827"/>
      <c r="RW935" s="827"/>
      <c r="RX935" s="827"/>
      <c r="RY935" s="827"/>
      <c r="RZ935" s="827"/>
      <c r="SA935" s="827"/>
      <c r="SB935" s="827"/>
      <c r="SC935" s="827"/>
      <c r="SD935" s="827"/>
      <c r="SE935" s="827"/>
      <c r="SF935" s="827"/>
      <c r="SG935" s="827"/>
      <c r="SH935" s="827"/>
      <c r="SI935" s="827"/>
      <c r="SJ935" s="827"/>
      <c r="SK935" s="827"/>
      <c r="SL935" s="827"/>
      <c r="SM935" s="827"/>
      <c r="SN935" s="827"/>
      <c r="SO935" s="827"/>
      <c r="SP935" s="827"/>
      <c r="SQ935" s="827"/>
      <c r="SR935" s="827"/>
      <c r="SS935" s="827"/>
      <c r="ST935" s="827"/>
      <c r="SU935" s="827"/>
      <c r="SV935" s="827"/>
      <c r="SW935" s="827"/>
      <c r="SX935" s="827"/>
      <c r="SY935" s="827"/>
      <c r="SZ935" s="827"/>
      <c r="TA935" s="827"/>
      <c r="TB935" s="827"/>
      <c r="TC935" s="827"/>
      <c r="TD935" s="827"/>
      <c r="TE935" s="827"/>
      <c r="TF935" s="827"/>
      <c r="TG935" s="827"/>
      <c r="TH935" s="827"/>
      <c r="TI935" s="827"/>
      <c r="TJ935" s="827"/>
      <c r="TK935" s="827"/>
      <c r="TL935" s="827"/>
      <c r="TM935" s="827"/>
      <c r="TN935" s="827"/>
      <c r="TO935" s="827"/>
      <c r="TP935" s="827"/>
      <c r="TQ935" s="827"/>
      <c r="TR935" s="827"/>
      <c r="TS935" s="827"/>
      <c r="TT935" s="827"/>
      <c r="TU935" s="827"/>
      <c r="TV935" s="827"/>
      <c r="TW935" s="827"/>
      <c r="TX935" s="827"/>
      <c r="TY935" s="827"/>
      <c r="TZ935" s="827"/>
      <c r="UA935" s="827"/>
      <c r="UB935" s="827"/>
      <c r="UC935" s="827"/>
      <c r="UD935" s="827"/>
      <c r="UE935" s="827"/>
      <c r="UF935" s="827"/>
      <c r="UG935" s="827"/>
      <c r="UH935" s="827"/>
      <c r="UI935" s="827"/>
      <c r="UJ935" s="827"/>
      <c r="UK935" s="827"/>
      <c r="UL935" s="827"/>
      <c r="UM935" s="827"/>
      <c r="UN935" s="827"/>
      <c r="UO935" s="827"/>
      <c r="UP935" s="827"/>
      <c r="UQ935" s="827"/>
      <c r="UR935" s="827"/>
      <c r="US935" s="827"/>
      <c r="UT935" s="827"/>
      <c r="UU935" s="827"/>
      <c r="UV935" s="827"/>
      <c r="UW935" s="827"/>
      <c r="UX935" s="827"/>
      <c r="UY935" s="827"/>
      <c r="UZ935" s="827"/>
      <c r="VA935" s="827"/>
      <c r="VB935" s="827"/>
      <c r="VC935" s="827"/>
      <c r="VD935" s="827"/>
      <c r="VE935" s="827"/>
      <c r="VF935" s="827"/>
      <c r="VG935" s="827"/>
      <c r="VH935" s="827"/>
      <c r="VI935" s="827"/>
      <c r="VJ935" s="827"/>
      <c r="VK935" s="827"/>
      <c r="VL935" s="827"/>
      <c r="VM935" s="827"/>
      <c r="VN935" s="827"/>
      <c r="VO935" s="827"/>
      <c r="VP935" s="827"/>
      <c r="VQ935" s="827"/>
      <c r="VR935" s="827"/>
      <c r="VS935" s="827"/>
      <c r="VT935" s="827"/>
      <c r="VU935" s="827"/>
      <c r="VV935" s="827"/>
      <c r="VW935" s="827"/>
      <c r="VX935" s="827"/>
      <c r="VY935" s="827"/>
      <c r="VZ935" s="827"/>
      <c r="WA935" s="827"/>
      <c r="WB935" s="827"/>
      <c r="WC935" s="827"/>
      <c r="WD935" s="827"/>
      <c r="WE935" s="827"/>
      <c r="WF935" s="827"/>
      <c r="WG935" s="827"/>
      <c r="WH935" s="827"/>
      <c r="WI935" s="827"/>
      <c r="WJ935" s="827"/>
      <c r="WK935" s="827"/>
      <c r="WL935" s="827"/>
      <c r="WM935" s="827"/>
      <c r="WN935" s="827"/>
      <c r="WO935" s="827"/>
      <c r="WP935" s="827"/>
      <c r="WQ935" s="827"/>
      <c r="WR935" s="827"/>
      <c r="WS935" s="827"/>
      <c r="WT935" s="827"/>
      <c r="WU935" s="827"/>
      <c r="WV935" s="827"/>
      <c r="WW935" s="827"/>
      <c r="WX935" s="827"/>
      <c r="WY935" s="827"/>
      <c r="WZ935" s="827"/>
      <c r="XA935" s="827"/>
      <c r="XB935" s="827"/>
      <c r="XC935" s="827"/>
      <c r="XD935" s="827"/>
      <c r="XE935" s="827"/>
      <c r="XF935" s="827"/>
      <c r="XG935" s="827"/>
      <c r="XH935" s="827"/>
      <c r="XI935" s="827"/>
      <c r="XJ935" s="827"/>
      <c r="XK935" s="827"/>
      <c r="XL935" s="827"/>
      <c r="XM935" s="827"/>
      <c r="XN935" s="827"/>
      <c r="XO935" s="827"/>
      <c r="XP935" s="827"/>
      <c r="XQ935" s="827"/>
      <c r="XR935" s="827"/>
      <c r="XS935" s="827"/>
      <c r="XT935" s="827"/>
      <c r="XU935" s="827"/>
      <c r="XV935" s="827"/>
      <c r="XW935" s="827"/>
      <c r="XX935" s="827"/>
      <c r="XY935" s="827"/>
      <c r="XZ935" s="827"/>
      <c r="YA935" s="827"/>
      <c r="YB935" s="827"/>
      <c r="YC935" s="827"/>
      <c r="YD935" s="827"/>
      <c r="YE935" s="827"/>
      <c r="YF935" s="827"/>
      <c r="YG935" s="827"/>
      <c r="YH935" s="827"/>
      <c r="YI935" s="827"/>
      <c r="YJ935" s="827"/>
      <c r="YK935" s="827"/>
      <c r="YL935" s="827"/>
      <c r="YM935" s="827"/>
      <c r="YN935" s="827"/>
      <c r="YO935" s="827"/>
      <c r="YP935" s="827"/>
      <c r="YQ935" s="827"/>
      <c r="YR935" s="827"/>
      <c r="YS935" s="827"/>
      <c r="YT935" s="827"/>
      <c r="YU935" s="827"/>
      <c r="YV935" s="827"/>
      <c r="YW935" s="827"/>
      <c r="YX935" s="827"/>
      <c r="YY935" s="827"/>
      <c r="YZ935" s="827"/>
      <c r="ZA935" s="827"/>
      <c r="ZB935" s="827"/>
      <c r="ZC935" s="827"/>
      <c r="ZD935" s="827"/>
      <c r="ZE935" s="827"/>
      <c r="ZF935" s="827"/>
      <c r="ZG935" s="827"/>
      <c r="ZH935" s="827"/>
      <c r="ZI935" s="827"/>
      <c r="ZJ935" s="827"/>
      <c r="ZK935" s="827"/>
      <c r="ZL935" s="827"/>
      <c r="ZM935" s="827"/>
      <c r="ZN935" s="827"/>
      <c r="ZO935" s="827"/>
      <c r="ZP935" s="827"/>
      <c r="ZQ935" s="827"/>
      <c r="ZR935" s="827"/>
      <c r="ZS935" s="827"/>
      <c r="ZT935" s="827"/>
      <c r="ZU935" s="827"/>
      <c r="ZV935" s="827"/>
      <c r="ZW935" s="827"/>
      <c r="ZX935" s="827"/>
      <c r="ZY935" s="827"/>
      <c r="ZZ935" s="827"/>
      <c r="AAA935" s="827"/>
      <c r="AAB935" s="827"/>
      <c r="AAC935" s="827"/>
      <c r="AAD935" s="827"/>
      <c r="AAE935" s="827"/>
      <c r="AAF935" s="827"/>
      <c r="AAG935" s="827"/>
      <c r="AAH935" s="827"/>
      <c r="AAI935" s="827"/>
      <c r="AAJ935" s="827"/>
      <c r="AAK935" s="827"/>
      <c r="AAL935" s="827"/>
      <c r="AAM935" s="827"/>
      <c r="AAN935" s="827"/>
      <c r="AAO935" s="827"/>
      <c r="AAP935" s="827"/>
      <c r="AAQ935" s="827"/>
      <c r="AAR935" s="827"/>
      <c r="AAS935" s="827"/>
      <c r="AAT935" s="827"/>
      <c r="AAU935" s="827"/>
      <c r="AAV935" s="827"/>
      <c r="AAW935" s="827"/>
      <c r="AAX935" s="827"/>
      <c r="AAY935" s="827"/>
      <c r="AAZ935" s="827"/>
      <c r="ABA935" s="827"/>
      <c r="ABB935" s="827"/>
      <c r="ABC935" s="827"/>
      <c r="ABD935" s="827"/>
      <c r="ABE935" s="827"/>
      <c r="ABF935" s="827"/>
      <c r="ABG935" s="827"/>
      <c r="ABH935" s="827"/>
      <c r="ABI935" s="827"/>
      <c r="ABJ935" s="827"/>
      <c r="ABK935" s="827"/>
      <c r="ABL935" s="827"/>
      <c r="ABM935" s="827"/>
      <c r="ABN935" s="827"/>
      <c r="ABO935" s="827"/>
      <c r="ABP935" s="827"/>
      <c r="ABQ935" s="827"/>
      <c r="ABR935" s="827"/>
      <c r="ABS935" s="827"/>
      <c r="ABT935" s="827"/>
      <c r="ABU935" s="827"/>
      <c r="ABV935" s="827"/>
      <c r="ABW935" s="827"/>
      <c r="ABX935" s="827"/>
      <c r="ABY935" s="827"/>
      <c r="ABZ935" s="827"/>
      <c r="ACA935" s="827"/>
      <c r="ACB935" s="827"/>
      <c r="ACC935" s="827"/>
      <c r="ACD935" s="827"/>
      <c r="ACE935" s="827"/>
      <c r="ACF935" s="827"/>
      <c r="ACG935" s="827"/>
      <c r="ACH935" s="827"/>
      <c r="ACI935" s="827"/>
      <c r="ACJ935" s="827"/>
      <c r="ACK935" s="827"/>
      <c r="ACL935" s="827"/>
      <c r="ACM935" s="827"/>
      <c r="ACN935" s="827"/>
      <c r="ACO935" s="827"/>
      <c r="ACP935" s="827"/>
      <c r="ACQ935" s="827"/>
      <c r="ACR935" s="827"/>
      <c r="ACS935" s="827"/>
      <c r="ACT935" s="827"/>
      <c r="ACU935" s="827"/>
      <c r="ACV935" s="827"/>
      <c r="ACW935" s="827"/>
      <c r="ACX935" s="827"/>
      <c r="ACY935" s="827"/>
      <c r="ACZ935" s="827"/>
      <c r="ADA935" s="827"/>
      <c r="ADB935" s="827"/>
      <c r="ADC935" s="827"/>
      <c r="ADD935" s="827"/>
      <c r="ADE935" s="827"/>
      <c r="ADF935" s="827"/>
      <c r="ADG935" s="827"/>
      <c r="ADH935" s="827"/>
      <c r="ADI935" s="827"/>
      <c r="ADJ935" s="827"/>
      <c r="ADK935" s="827"/>
      <c r="ADL935" s="827"/>
      <c r="ADM935" s="827"/>
      <c r="ADN935" s="827"/>
      <c r="ADO935" s="827"/>
      <c r="ADP935" s="827"/>
      <c r="ADQ935" s="827"/>
      <c r="ADR935" s="827"/>
      <c r="ADS935" s="827"/>
      <c r="ADT935" s="827"/>
      <c r="ADU935" s="827"/>
      <c r="ADV935" s="827"/>
      <c r="ADW935" s="827"/>
      <c r="ADX935" s="827"/>
      <c r="ADY935" s="827"/>
      <c r="ADZ935" s="827"/>
      <c r="AEA935" s="827"/>
      <c r="AEB935" s="827"/>
      <c r="AEC935" s="827"/>
      <c r="AED935" s="827"/>
      <c r="AEE935" s="827"/>
      <c r="AEF935" s="827"/>
      <c r="AEG935" s="827"/>
      <c r="AEH935" s="827"/>
      <c r="AEI935" s="827"/>
      <c r="AEJ935" s="827"/>
      <c r="AEK935" s="827"/>
      <c r="AEL935" s="827"/>
      <c r="AEM935" s="827"/>
      <c r="AEN935" s="827"/>
      <c r="AEO935" s="827"/>
      <c r="AEP935" s="827"/>
      <c r="AEQ935" s="827"/>
      <c r="AER935" s="827"/>
      <c r="AES935" s="827"/>
      <c r="AET935" s="827"/>
      <c r="AEU935" s="827"/>
      <c r="AEV935" s="827"/>
      <c r="AEW935" s="827"/>
      <c r="AEX935" s="827"/>
      <c r="AEY935" s="827"/>
      <c r="AEZ935" s="827"/>
      <c r="AFA935" s="827"/>
      <c r="AFB935" s="827"/>
      <c r="AFC935" s="827"/>
      <c r="AFD935" s="827"/>
      <c r="AFE935" s="827"/>
      <c r="AFF935" s="827"/>
      <c r="AFG935" s="827"/>
      <c r="AFH935" s="827"/>
      <c r="AFI935" s="827"/>
      <c r="AFJ935" s="827"/>
      <c r="AFK935" s="827"/>
      <c r="AFL935" s="827"/>
      <c r="AFM935" s="827"/>
      <c r="AFN935" s="827"/>
      <c r="AFO935" s="827"/>
      <c r="AFP935" s="827"/>
      <c r="AFQ935" s="827"/>
      <c r="AFR935" s="827"/>
      <c r="AFS935" s="827"/>
      <c r="AFT935" s="827"/>
      <c r="AFU935" s="827"/>
      <c r="AFV935" s="827"/>
      <c r="AFW935" s="827"/>
      <c r="AFX935" s="827"/>
      <c r="AFY935" s="827"/>
      <c r="AFZ935" s="827"/>
      <c r="AGA935" s="827"/>
      <c r="AGB935" s="827"/>
      <c r="AGC935" s="827"/>
      <c r="AGD935" s="827"/>
      <c r="AGE935" s="827"/>
      <c r="AGF935" s="827"/>
      <c r="AGG935" s="827"/>
      <c r="AGH935" s="827"/>
      <c r="AGI935" s="827"/>
      <c r="AGJ935" s="827"/>
    </row>
    <row r="936" spans="1:868" s="7" customFormat="1" hidden="1">
      <c r="A936" s="625" t="s">
        <v>118</v>
      </c>
      <c r="B936" s="59" t="s">
        <v>446</v>
      </c>
      <c r="C936" s="40" t="s">
        <v>139</v>
      </c>
      <c r="D936" s="34" t="s">
        <v>99</v>
      </c>
      <c r="E936" s="879">
        <v>5.5915505458418391E-2</v>
      </c>
      <c r="F936" s="34">
        <v>2</v>
      </c>
      <c r="G936" s="40" t="s">
        <v>433</v>
      </c>
      <c r="H936" s="29">
        <v>1</v>
      </c>
      <c r="I936" s="9">
        <v>2</v>
      </c>
      <c r="J936" s="9">
        <v>2</v>
      </c>
      <c r="K936" s="9">
        <v>1</v>
      </c>
      <c r="L936" s="9">
        <v>1</v>
      </c>
      <c r="M936" s="9">
        <v>2</v>
      </c>
      <c r="N936" s="186">
        <f t="shared" si="76"/>
        <v>0.35859414261160716</v>
      </c>
      <c r="O936" s="160">
        <f t="shared" si="75"/>
        <v>0.37356464144298934</v>
      </c>
      <c r="P936" s="63"/>
      <c r="Q936" s="827"/>
      <c r="R936" s="827"/>
      <c r="S936" s="827"/>
      <c r="T936" s="827"/>
      <c r="U936" s="827"/>
      <c r="V936" s="827"/>
      <c r="W936" s="827"/>
      <c r="X936" s="827"/>
      <c r="Y936" s="827"/>
      <c r="Z936" s="827"/>
      <c r="AA936" s="827"/>
      <c r="AB936" s="827"/>
      <c r="AC936" s="827"/>
      <c r="AD936" s="827"/>
      <c r="AE936" s="827"/>
      <c r="AF936" s="827"/>
      <c r="AG936" s="827"/>
      <c r="AH936" s="827"/>
      <c r="AI936" s="827"/>
      <c r="AJ936" s="827"/>
      <c r="AK936" s="827"/>
      <c r="AL936" s="827"/>
      <c r="AM936" s="827"/>
      <c r="AN936" s="827"/>
      <c r="AO936" s="827"/>
      <c r="AP936" s="827"/>
      <c r="AQ936" s="827"/>
      <c r="AR936" s="827"/>
      <c r="AS936" s="827"/>
      <c r="AT936" s="827"/>
      <c r="AU936" s="827"/>
      <c r="AV936" s="827"/>
      <c r="AW936" s="827"/>
      <c r="AX936" s="827"/>
      <c r="AY936" s="827"/>
      <c r="AZ936" s="827"/>
      <c r="BA936" s="827"/>
      <c r="BB936" s="827"/>
      <c r="BC936" s="827"/>
      <c r="BD936" s="827"/>
      <c r="BE936" s="827"/>
      <c r="BF936" s="827"/>
      <c r="BG936" s="827"/>
      <c r="BH936" s="827"/>
      <c r="BI936" s="827"/>
      <c r="BJ936" s="827"/>
      <c r="BK936" s="827"/>
      <c r="BL936" s="827"/>
      <c r="BM936" s="827"/>
      <c r="BN936" s="827"/>
      <c r="BO936" s="827"/>
      <c r="BP936" s="827"/>
      <c r="BQ936" s="827"/>
      <c r="BR936" s="827"/>
      <c r="BS936" s="827"/>
      <c r="BT936" s="827"/>
      <c r="BU936" s="827"/>
      <c r="BV936" s="827"/>
      <c r="BW936" s="827"/>
      <c r="BX936" s="827"/>
      <c r="BY936" s="827"/>
      <c r="BZ936" s="827"/>
      <c r="CA936" s="827"/>
      <c r="CB936" s="827"/>
      <c r="CC936" s="827"/>
      <c r="CD936" s="827"/>
      <c r="CE936" s="827"/>
      <c r="CF936" s="827"/>
      <c r="CG936" s="827"/>
      <c r="CH936" s="827"/>
      <c r="CI936" s="827"/>
      <c r="CJ936" s="827"/>
      <c r="CK936" s="827"/>
      <c r="CL936" s="827"/>
      <c r="CM936" s="827"/>
      <c r="CN936" s="827"/>
      <c r="CO936" s="827"/>
      <c r="CP936" s="827"/>
      <c r="CQ936" s="827"/>
      <c r="CR936" s="827"/>
      <c r="CS936" s="827"/>
      <c r="CT936" s="827"/>
      <c r="CU936" s="827"/>
      <c r="CV936" s="827"/>
      <c r="CW936" s="827"/>
      <c r="CX936" s="827"/>
      <c r="CY936" s="827"/>
      <c r="CZ936" s="827"/>
      <c r="DA936" s="827"/>
      <c r="DB936" s="827"/>
      <c r="DC936" s="827"/>
      <c r="DD936" s="827"/>
      <c r="DE936" s="827"/>
      <c r="DF936" s="827"/>
      <c r="DG936" s="827"/>
      <c r="DH936" s="827"/>
      <c r="DI936" s="827"/>
      <c r="DJ936" s="827"/>
      <c r="DK936" s="827"/>
      <c r="DL936" s="827"/>
      <c r="DM936" s="827"/>
      <c r="DN936" s="827"/>
      <c r="DO936" s="827"/>
      <c r="DP936" s="827"/>
      <c r="DQ936" s="827"/>
      <c r="DR936" s="827"/>
      <c r="DS936" s="827"/>
      <c r="DT936" s="827"/>
      <c r="DU936" s="827"/>
      <c r="DV936" s="827"/>
      <c r="DW936" s="827"/>
      <c r="DX936" s="827"/>
      <c r="DY936" s="827"/>
      <c r="DZ936" s="827"/>
      <c r="EA936" s="827"/>
      <c r="EB936" s="827"/>
      <c r="EC936" s="827"/>
      <c r="ED936" s="827"/>
      <c r="EE936" s="827"/>
      <c r="EF936" s="827"/>
      <c r="EG936" s="827"/>
      <c r="EH936" s="827"/>
      <c r="EI936" s="827"/>
      <c r="EJ936" s="827"/>
      <c r="EK936" s="827"/>
      <c r="EL936" s="827"/>
      <c r="EM936" s="827"/>
      <c r="EN936" s="827"/>
      <c r="EO936" s="827"/>
      <c r="EP936" s="827"/>
      <c r="EQ936" s="827"/>
      <c r="ER936" s="827"/>
      <c r="ES936" s="827"/>
      <c r="ET936" s="827"/>
      <c r="EU936" s="827"/>
      <c r="EV936" s="827"/>
      <c r="EW936" s="827"/>
      <c r="EX936" s="827"/>
      <c r="EY936" s="827"/>
      <c r="EZ936" s="827"/>
      <c r="FA936" s="827"/>
      <c r="FB936" s="827"/>
      <c r="FC936" s="827"/>
      <c r="FD936" s="827"/>
      <c r="FE936" s="827"/>
      <c r="FF936" s="827"/>
      <c r="FG936" s="827"/>
      <c r="FH936" s="827"/>
      <c r="FI936" s="827"/>
      <c r="FJ936" s="827"/>
      <c r="FK936" s="827"/>
      <c r="FL936" s="827"/>
      <c r="FM936" s="827"/>
      <c r="FN936" s="827"/>
      <c r="FO936" s="827"/>
      <c r="FP936" s="827"/>
      <c r="FQ936" s="827"/>
      <c r="FR936" s="827"/>
      <c r="FS936" s="827"/>
      <c r="FT936" s="827"/>
      <c r="FU936" s="827"/>
      <c r="FV936" s="827"/>
      <c r="FW936" s="827"/>
      <c r="FX936" s="827"/>
      <c r="FY936" s="827"/>
      <c r="FZ936" s="827"/>
      <c r="GA936" s="827"/>
      <c r="GB936" s="827"/>
      <c r="GC936" s="827"/>
      <c r="GD936" s="827"/>
      <c r="GE936" s="827"/>
      <c r="GF936" s="827"/>
      <c r="GG936" s="827"/>
      <c r="GH936" s="827"/>
      <c r="GI936" s="827"/>
      <c r="GJ936" s="827"/>
      <c r="GK936" s="827"/>
      <c r="GL936" s="827"/>
      <c r="GM936" s="827"/>
      <c r="GN936" s="827"/>
      <c r="GO936" s="827"/>
      <c r="GP936" s="827"/>
      <c r="GQ936" s="827"/>
      <c r="GR936" s="827"/>
      <c r="GS936" s="827"/>
      <c r="GT936" s="827"/>
      <c r="GU936" s="827"/>
      <c r="GV936" s="827"/>
      <c r="GW936" s="827"/>
      <c r="GX936" s="827"/>
      <c r="GY936" s="827"/>
      <c r="GZ936" s="827"/>
      <c r="HA936" s="827"/>
      <c r="HB936" s="827"/>
      <c r="HC936" s="827"/>
      <c r="HD936" s="827"/>
      <c r="HE936" s="827"/>
      <c r="HF936" s="827"/>
      <c r="HG936" s="827"/>
      <c r="HH936" s="827"/>
      <c r="HI936" s="827"/>
      <c r="HJ936" s="827"/>
      <c r="HK936" s="827"/>
      <c r="HL936" s="827"/>
      <c r="HM936" s="827"/>
      <c r="HN936" s="827"/>
      <c r="HO936" s="827"/>
      <c r="HP936" s="827"/>
      <c r="HQ936" s="827"/>
      <c r="HR936" s="827"/>
      <c r="HS936" s="827"/>
      <c r="HT936" s="827"/>
      <c r="HU936" s="827"/>
      <c r="HV936" s="827"/>
      <c r="HW936" s="827"/>
      <c r="HX936" s="827"/>
      <c r="HY936" s="827"/>
      <c r="HZ936" s="827"/>
      <c r="IA936" s="827"/>
      <c r="IB936" s="827"/>
      <c r="IC936" s="827"/>
      <c r="ID936" s="827"/>
      <c r="IE936" s="827"/>
      <c r="IF936" s="827"/>
      <c r="IG936" s="827"/>
      <c r="IH936" s="827"/>
      <c r="II936" s="827"/>
      <c r="IJ936" s="827"/>
      <c r="IK936" s="827"/>
      <c r="IL936" s="827"/>
      <c r="IM936" s="827"/>
      <c r="IN936" s="827"/>
      <c r="IO936" s="827"/>
      <c r="IP936" s="827"/>
      <c r="IQ936" s="827"/>
      <c r="IR936" s="827"/>
      <c r="IS936" s="827"/>
      <c r="IT936" s="827"/>
      <c r="IU936" s="827"/>
      <c r="IV936" s="827"/>
      <c r="IW936" s="827"/>
      <c r="IX936" s="827"/>
      <c r="IY936" s="827"/>
      <c r="IZ936" s="827"/>
      <c r="JA936" s="827"/>
      <c r="JB936" s="827"/>
      <c r="JC936" s="827"/>
      <c r="JD936" s="827"/>
      <c r="JE936" s="827"/>
      <c r="JF936" s="827"/>
      <c r="JG936" s="827"/>
      <c r="JH936" s="827"/>
      <c r="JI936" s="827"/>
      <c r="JJ936" s="827"/>
      <c r="JK936" s="827"/>
      <c r="JL936" s="827"/>
      <c r="JM936" s="827"/>
      <c r="JN936" s="827"/>
      <c r="JO936" s="827"/>
      <c r="JP936" s="827"/>
      <c r="JQ936" s="827"/>
      <c r="JR936" s="827"/>
      <c r="JS936" s="827"/>
      <c r="JT936" s="827"/>
      <c r="JU936" s="827"/>
      <c r="JV936" s="827"/>
      <c r="JW936" s="827"/>
      <c r="JX936" s="827"/>
      <c r="JY936" s="827"/>
      <c r="JZ936" s="827"/>
      <c r="KA936" s="827"/>
      <c r="KB936" s="827"/>
      <c r="KC936" s="827"/>
      <c r="KD936" s="827"/>
      <c r="KE936" s="827"/>
      <c r="KF936" s="827"/>
      <c r="KG936" s="827"/>
      <c r="KH936" s="827"/>
      <c r="KI936" s="827"/>
      <c r="KJ936" s="827"/>
      <c r="KK936" s="827"/>
      <c r="KL936" s="827"/>
      <c r="KM936" s="827"/>
      <c r="KN936" s="827"/>
      <c r="KO936" s="827"/>
      <c r="KP936" s="827"/>
      <c r="KQ936" s="827"/>
      <c r="KR936" s="827"/>
      <c r="KS936" s="827"/>
      <c r="KT936" s="827"/>
      <c r="KU936" s="827"/>
      <c r="KV936" s="827"/>
      <c r="KW936" s="827"/>
      <c r="KX936" s="827"/>
      <c r="KY936" s="827"/>
      <c r="KZ936" s="827"/>
      <c r="LA936" s="827"/>
      <c r="LB936" s="827"/>
      <c r="LC936" s="827"/>
      <c r="LD936" s="827"/>
      <c r="LE936" s="827"/>
      <c r="LF936" s="827"/>
      <c r="LG936" s="827"/>
      <c r="LH936" s="827"/>
      <c r="LI936" s="827"/>
      <c r="LJ936" s="827"/>
      <c r="LK936" s="827"/>
      <c r="LL936" s="827"/>
      <c r="LM936" s="827"/>
      <c r="LN936" s="827"/>
      <c r="LO936" s="827"/>
      <c r="LP936" s="827"/>
      <c r="LQ936" s="827"/>
      <c r="LR936" s="827"/>
      <c r="LS936" s="827"/>
      <c r="LT936" s="827"/>
      <c r="LU936" s="827"/>
      <c r="LV936" s="827"/>
      <c r="LW936" s="827"/>
      <c r="LX936" s="827"/>
      <c r="LY936" s="827"/>
      <c r="LZ936" s="827"/>
      <c r="MA936" s="827"/>
      <c r="MB936" s="827"/>
      <c r="MC936" s="827"/>
      <c r="MD936" s="827"/>
      <c r="ME936" s="827"/>
      <c r="MF936" s="827"/>
      <c r="MG936" s="827"/>
      <c r="MH936" s="827"/>
      <c r="MI936" s="827"/>
      <c r="MJ936" s="827"/>
      <c r="MK936" s="827"/>
      <c r="ML936" s="827"/>
      <c r="MM936" s="827"/>
      <c r="MN936" s="827"/>
      <c r="MO936" s="827"/>
      <c r="MP936" s="827"/>
      <c r="MQ936" s="827"/>
      <c r="MR936" s="827"/>
      <c r="MS936" s="827"/>
      <c r="MT936" s="827"/>
      <c r="MU936" s="827"/>
      <c r="MV936" s="827"/>
      <c r="MW936" s="827"/>
      <c r="MX936" s="827"/>
      <c r="MY936" s="827"/>
      <c r="MZ936" s="827"/>
      <c r="NA936" s="827"/>
      <c r="NB936" s="827"/>
      <c r="NC936" s="827"/>
      <c r="ND936" s="827"/>
      <c r="NE936" s="827"/>
      <c r="NF936" s="827"/>
      <c r="NG936" s="827"/>
      <c r="NH936" s="827"/>
      <c r="NI936" s="827"/>
      <c r="NJ936" s="827"/>
      <c r="NK936" s="827"/>
      <c r="NL936" s="827"/>
      <c r="NM936" s="827"/>
      <c r="NN936" s="827"/>
      <c r="NO936" s="827"/>
      <c r="NP936" s="827"/>
      <c r="NQ936" s="827"/>
      <c r="NR936" s="827"/>
      <c r="NS936" s="827"/>
      <c r="NT936" s="827"/>
      <c r="NU936" s="827"/>
      <c r="NV936" s="827"/>
      <c r="NW936" s="827"/>
      <c r="NX936" s="827"/>
      <c r="NY936" s="827"/>
      <c r="NZ936" s="827"/>
      <c r="OA936" s="827"/>
      <c r="OB936" s="827"/>
      <c r="OC936" s="827"/>
      <c r="OD936" s="827"/>
      <c r="OE936" s="827"/>
      <c r="OF936" s="827"/>
      <c r="OG936" s="827"/>
      <c r="OH936" s="827"/>
      <c r="OI936" s="827"/>
      <c r="OJ936" s="827"/>
      <c r="OK936" s="827"/>
      <c r="OL936" s="827"/>
      <c r="OM936" s="827"/>
      <c r="ON936" s="827"/>
      <c r="OO936" s="827"/>
      <c r="OP936" s="827"/>
      <c r="OQ936" s="827"/>
      <c r="OR936" s="827"/>
      <c r="OS936" s="827"/>
      <c r="OT936" s="827"/>
      <c r="OU936" s="827"/>
      <c r="OV936" s="827"/>
      <c r="OW936" s="827"/>
      <c r="OX936" s="827"/>
      <c r="OY936" s="827"/>
      <c r="OZ936" s="827"/>
      <c r="PA936" s="827"/>
      <c r="PB936" s="827"/>
      <c r="PC936" s="827"/>
      <c r="PD936" s="827"/>
      <c r="PE936" s="827"/>
      <c r="PF936" s="827"/>
      <c r="PG936" s="827"/>
      <c r="PH936" s="827"/>
      <c r="PI936" s="827"/>
      <c r="PJ936" s="827"/>
      <c r="PK936" s="827"/>
      <c r="PL936" s="827"/>
      <c r="PM936" s="827"/>
      <c r="PN936" s="827"/>
      <c r="PO936" s="827"/>
      <c r="PP936" s="827"/>
      <c r="PQ936" s="827"/>
      <c r="PR936" s="827"/>
      <c r="PS936" s="827"/>
      <c r="PT936" s="827"/>
      <c r="PU936" s="827"/>
      <c r="PV936" s="827"/>
      <c r="PW936" s="827"/>
      <c r="PX936" s="827"/>
      <c r="PY936" s="827"/>
      <c r="PZ936" s="827"/>
      <c r="QA936" s="827"/>
      <c r="QB936" s="827"/>
      <c r="QC936" s="827"/>
      <c r="QD936" s="827"/>
      <c r="QE936" s="827"/>
      <c r="QF936" s="827"/>
      <c r="QG936" s="827"/>
      <c r="QH936" s="827"/>
      <c r="QI936" s="827"/>
      <c r="QJ936" s="827"/>
      <c r="QK936" s="827"/>
      <c r="QL936" s="827"/>
      <c r="QM936" s="827"/>
      <c r="QN936" s="827"/>
      <c r="QO936" s="827"/>
      <c r="QP936" s="827"/>
      <c r="QQ936" s="827"/>
      <c r="QR936" s="827"/>
      <c r="QS936" s="827"/>
      <c r="QT936" s="827"/>
      <c r="QU936" s="827"/>
      <c r="QV936" s="827"/>
      <c r="QW936" s="827"/>
      <c r="QX936" s="827"/>
      <c r="QY936" s="827"/>
      <c r="QZ936" s="827"/>
      <c r="RA936" s="827"/>
      <c r="RB936" s="827"/>
      <c r="RC936" s="827"/>
      <c r="RD936" s="827"/>
      <c r="RE936" s="827"/>
      <c r="RF936" s="827"/>
      <c r="RG936" s="827"/>
      <c r="RH936" s="827"/>
      <c r="RI936" s="827"/>
      <c r="RJ936" s="827"/>
      <c r="RK936" s="827"/>
      <c r="RL936" s="827"/>
      <c r="RM936" s="827"/>
      <c r="RN936" s="827"/>
      <c r="RO936" s="827"/>
      <c r="RP936" s="827"/>
      <c r="RQ936" s="827"/>
      <c r="RR936" s="827"/>
      <c r="RS936" s="827"/>
      <c r="RT936" s="827"/>
      <c r="RU936" s="827"/>
      <c r="RV936" s="827"/>
      <c r="RW936" s="827"/>
      <c r="RX936" s="827"/>
      <c r="RY936" s="827"/>
      <c r="RZ936" s="827"/>
      <c r="SA936" s="827"/>
      <c r="SB936" s="827"/>
      <c r="SC936" s="827"/>
      <c r="SD936" s="827"/>
      <c r="SE936" s="827"/>
      <c r="SF936" s="827"/>
      <c r="SG936" s="827"/>
      <c r="SH936" s="827"/>
      <c r="SI936" s="827"/>
      <c r="SJ936" s="827"/>
      <c r="SK936" s="827"/>
      <c r="SL936" s="827"/>
      <c r="SM936" s="827"/>
      <c r="SN936" s="827"/>
      <c r="SO936" s="827"/>
      <c r="SP936" s="827"/>
      <c r="SQ936" s="827"/>
      <c r="SR936" s="827"/>
      <c r="SS936" s="827"/>
      <c r="ST936" s="827"/>
      <c r="SU936" s="827"/>
      <c r="SV936" s="827"/>
      <c r="SW936" s="827"/>
      <c r="SX936" s="827"/>
      <c r="SY936" s="827"/>
      <c r="SZ936" s="827"/>
      <c r="TA936" s="827"/>
      <c r="TB936" s="827"/>
      <c r="TC936" s="827"/>
      <c r="TD936" s="827"/>
      <c r="TE936" s="827"/>
      <c r="TF936" s="827"/>
      <c r="TG936" s="827"/>
      <c r="TH936" s="827"/>
      <c r="TI936" s="827"/>
      <c r="TJ936" s="827"/>
      <c r="TK936" s="827"/>
      <c r="TL936" s="827"/>
      <c r="TM936" s="827"/>
      <c r="TN936" s="827"/>
      <c r="TO936" s="827"/>
      <c r="TP936" s="827"/>
      <c r="TQ936" s="827"/>
      <c r="TR936" s="827"/>
      <c r="TS936" s="827"/>
      <c r="TT936" s="827"/>
      <c r="TU936" s="827"/>
      <c r="TV936" s="827"/>
      <c r="TW936" s="827"/>
      <c r="TX936" s="827"/>
      <c r="TY936" s="827"/>
      <c r="TZ936" s="827"/>
      <c r="UA936" s="827"/>
      <c r="UB936" s="827"/>
      <c r="UC936" s="827"/>
      <c r="UD936" s="827"/>
      <c r="UE936" s="827"/>
      <c r="UF936" s="827"/>
      <c r="UG936" s="827"/>
      <c r="UH936" s="827"/>
      <c r="UI936" s="827"/>
      <c r="UJ936" s="827"/>
      <c r="UK936" s="827"/>
      <c r="UL936" s="827"/>
      <c r="UM936" s="827"/>
      <c r="UN936" s="827"/>
      <c r="UO936" s="827"/>
      <c r="UP936" s="827"/>
      <c r="UQ936" s="827"/>
      <c r="UR936" s="827"/>
      <c r="US936" s="827"/>
      <c r="UT936" s="827"/>
      <c r="UU936" s="827"/>
      <c r="UV936" s="827"/>
      <c r="UW936" s="827"/>
      <c r="UX936" s="827"/>
      <c r="UY936" s="827"/>
      <c r="UZ936" s="827"/>
      <c r="VA936" s="827"/>
      <c r="VB936" s="827"/>
      <c r="VC936" s="827"/>
      <c r="VD936" s="827"/>
      <c r="VE936" s="827"/>
      <c r="VF936" s="827"/>
      <c r="VG936" s="827"/>
      <c r="VH936" s="827"/>
      <c r="VI936" s="827"/>
      <c r="VJ936" s="827"/>
      <c r="VK936" s="827"/>
      <c r="VL936" s="827"/>
      <c r="VM936" s="827"/>
      <c r="VN936" s="827"/>
      <c r="VO936" s="827"/>
      <c r="VP936" s="827"/>
      <c r="VQ936" s="827"/>
      <c r="VR936" s="827"/>
      <c r="VS936" s="827"/>
      <c r="VT936" s="827"/>
      <c r="VU936" s="827"/>
      <c r="VV936" s="827"/>
      <c r="VW936" s="827"/>
      <c r="VX936" s="827"/>
      <c r="VY936" s="827"/>
      <c r="VZ936" s="827"/>
      <c r="WA936" s="827"/>
      <c r="WB936" s="827"/>
      <c r="WC936" s="827"/>
      <c r="WD936" s="827"/>
      <c r="WE936" s="827"/>
      <c r="WF936" s="827"/>
      <c r="WG936" s="827"/>
      <c r="WH936" s="827"/>
      <c r="WI936" s="827"/>
      <c r="WJ936" s="827"/>
      <c r="WK936" s="827"/>
      <c r="WL936" s="827"/>
      <c r="WM936" s="827"/>
      <c r="WN936" s="827"/>
      <c r="WO936" s="827"/>
      <c r="WP936" s="827"/>
      <c r="WQ936" s="827"/>
      <c r="WR936" s="827"/>
      <c r="WS936" s="827"/>
      <c r="WT936" s="827"/>
      <c r="WU936" s="827"/>
      <c r="WV936" s="827"/>
      <c r="WW936" s="827"/>
      <c r="WX936" s="827"/>
      <c r="WY936" s="827"/>
      <c r="WZ936" s="827"/>
      <c r="XA936" s="827"/>
      <c r="XB936" s="827"/>
      <c r="XC936" s="827"/>
      <c r="XD936" s="827"/>
      <c r="XE936" s="827"/>
      <c r="XF936" s="827"/>
      <c r="XG936" s="827"/>
      <c r="XH936" s="827"/>
      <c r="XI936" s="827"/>
      <c r="XJ936" s="827"/>
      <c r="XK936" s="827"/>
      <c r="XL936" s="827"/>
      <c r="XM936" s="827"/>
      <c r="XN936" s="827"/>
      <c r="XO936" s="827"/>
      <c r="XP936" s="827"/>
      <c r="XQ936" s="827"/>
      <c r="XR936" s="827"/>
      <c r="XS936" s="827"/>
      <c r="XT936" s="827"/>
      <c r="XU936" s="827"/>
      <c r="XV936" s="827"/>
      <c r="XW936" s="827"/>
      <c r="XX936" s="827"/>
      <c r="XY936" s="827"/>
      <c r="XZ936" s="827"/>
      <c r="YA936" s="827"/>
      <c r="YB936" s="827"/>
      <c r="YC936" s="827"/>
      <c r="YD936" s="827"/>
      <c r="YE936" s="827"/>
      <c r="YF936" s="827"/>
      <c r="YG936" s="827"/>
      <c r="YH936" s="827"/>
      <c r="YI936" s="827"/>
      <c r="YJ936" s="827"/>
      <c r="YK936" s="827"/>
      <c r="YL936" s="827"/>
      <c r="YM936" s="827"/>
      <c r="YN936" s="827"/>
      <c r="YO936" s="827"/>
      <c r="YP936" s="827"/>
      <c r="YQ936" s="827"/>
      <c r="YR936" s="827"/>
      <c r="YS936" s="827"/>
      <c r="YT936" s="827"/>
      <c r="YU936" s="827"/>
      <c r="YV936" s="827"/>
      <c r="YW936" s="827"/>
      <c r="YX936" s="827"/>
      <c r="YY936" s="827"/>
      <c r="YZ936" s="827"/>
      <c r="ZA936" s="827"/>
      <c r="ZB936" s="827"/>
      <c r="ZC936" s="827"/>
      <c r="ZD936" s="827"/>
      <c r="ZE936" s="827"/>
      <c r="ZF936" s="827"/>
      <c r="ZG936" s="827"/>
      <c r="ZH936" s="827"/>
      <c r="ZI936" s="827"/>
      <c r="ZJ936" s="827"/>
      <c r="ZK936" s="827"/>
      <c r="ZL936" s="827"/>
      <c r="ZM936" s="827"/>
      <c r="ZN936" s="827"/>
      <c r="ZO936" s="827"/>
      <c r="ZP936" s="827"/>
      <c r="ZQ936" s="827"/>
      <c r="ZR936" s="827"/>
      <c r="ZS936" s="827"/>
      <c r="ZT936" s="827"/>
      <c r="ZU936" s="827"/>
      <c r="ZV936" s="827"/>
      <c r="ZW936" s="827"/>
      <c r="ZX936" s="827"/>
      <c r="ZY936" s="827"/>
      <c r="ZZ936" s="827"/>
      <c r="AAA936" s="827"/>
      <c r="AAB936" s="827"/>
      <c r="AAC936" s="827"/>
      <c r="AAD936" s="827"/>
      <c r="AAE936" s="827"/>
      <c r="AAF936" s="827"/>
      <c r="AAG936" s="827"/>
      <c r="AAH936" s="827"/>
      <c r="AAI936" s="827"/>
      <c r="AAJ936" s="827"/>
      <c r="AAK936" s="827"/>
      <c r="AAL936" s="827"/>
      <c r="AAM936" s="827"/>
      <c r="AAN936" s="827"/>
      <c r="AAO936" s="827"/>
      <c r="AAP936" s="827"/>
      <c r="AAQ936" s="827"/>
      <c r="AAR936" s="827"/>
      <c r="AAS936" s="827"/>
      <c r="AAT936" s="827"/>
      <c r="AAU936" s="827"/>
      <c r="AAV936" s="827"/>
      <c r="AAW936" s="827"/>
      <c r="AAX936" s="827"/>
      <c r="AAY936" s="827"/>
      <c r="AAZ936" s="827"/>
      <c r="ABA936" s="827"/>
      <c r="ABB936" s="827"/>
      <c r="ABC936" s="827"/>
      <c r="ABD936" s="827"/>
      <c r="ABE936" s="827"/>
      <c r="ABF936" s="827"/>
      <c r="ABG936" s="827"/>
      <c r="ABH936" s="827"/>
      <c r="ABI936" s="827"/>
      <c r="ABJ936" s="827"/>
      <c r="ABK936" s="827"/>
      <c r="ABL936" s="827"/>
      <c r="ABM936" s="827"/>
      <c r="ABN936" s="827"/>
      <c r="ABO936" s="827"/>
      <c r="ABP936" s="827"/>
      <c r="ABQ936" s="827"/>
      <c r="ABR936" s="827"/>
      <c r="ABS936" s="827"/>
      <c r="ABT936" s="827"/>
      <c r="ABU936" s="827"/>
      <c r="ABV936" s="827"/>
      <c r="ABW936" s="827"/>
      <c r="ABX936" s="827"/>
      <c r="ABY936" s="827"/>
      <c r="ABZ936" s="827"/>
      <c r="ACA936" s="827"/>
      <c r="ACB936" s="827"/>
      <c r="ACC936" s="827"/>
      <c r="ACD936" s="827"/>
      <c r="ACE936" s="827"/>
      <c r="ACF936" s="827"/>
      <c r="ACG936" s="827"/>
      <c r="ACH936" s="827"/>
      <c r="ACI936" s="827"/>
      <c r="ACJ936" s="827"/>
      <c r="ACK936" s="827"/>
      <c r="ACL936" s="827"/>
      <c r="ACM936" s="827"/>
      <c r="ACN936" s="827"/>
      <c r="ACO936" s="827"/>
      <c r="ACP936" s="827"/>
      <c r="ACQ936" s="827"/>
      <c r="ACR936" s="827"/>
      <c r="ACS936" s="827"/>
      <c r="ACT936" s="827"/>
      <c r="ACU936" s="827"/>
      <c r="ACV936" s="827"/>
      <c r="ACW936" s="827"/>
      <c r="ACX936" s="827"/>
      <c r="ACY936" s="827"/>
      <c r="ACZ936" s="827"/>
      <c r="ADA936" s="827"/>
      <c r="ADB936" s="827"/>
      <c r="ADC936" s="827"/>
      <c r="ADD936" s="827"/>
      <c r="ADE936" s="827"/>
      <c r="ADF936" s="827"/>
      <c r="ADG936" s="827"/>
      <c r="ADH936" s="827"/>
      <c r="ADI936" s="827"/>
      <c r="ADJ936" s="827"/>
      <c r="ADK936" s="827"/>
      <c r="ADL936" s="827"/>
      <c r="ADM936" s="827"/>
      <c r="ADN936" s="827"/>
      <c r="ADO936" s="827"/>
      <c r="ADP936" s="827"/>
      <c r="ADQ936" s="827"/>
      <c r="ADR936" s="827"/>
      <c r="ADS936" s="827"/>
      <c r="ADT936" s="827"/>
      <c r="ADU936" s="827"/>
      <c r="ADV936" s="827"/>
      <c r="ADW936" s="827"/>
      <c r="ADX936" s="827"/>
      <c r="ADY936" s="827"/>
      <c r="ADZ936" s="827"/>
      <c r="AEA936" s="827"/>
      <c r="AEB936" s="827"/>
      <c r="AEC936" s="827"/>
      <c r="AED936" s="827"/>
      <c r="AEE936" s="827"/>
      <c r="AEF936" s="827"/>
      <c r="AEG936" s="827"/>
      <c r="AEH936" s="827"/>
      <c r="AEI936" s="827"/>
      <c r="AEJ936" s="827"/>
      <c r="AEK936" s="827"/>
      <c r="AEL936" s="827"/>
      <c r="AEM936" s="827"/>
      <c r="AEN936" s="827"/>
      <c r="AEO936" s="827"/>
      <c r="AEP936" s="827"/>
      <c r="AEQ936" s="827"/>
      <c r="AER936" s="827"/>
      <c r="AES936" s="827"/>
      <c r="AET936" s="827"/>
      <c r="AEU936" s="827"/>
      <c r="AEV936" s="827"/>
      <c r="AEW936" s="827"/>
      <c r="AEX936" s="827"/>
      <c r="AEY936" s="827"/>
      <c r="AEZ936" s="827"/>
      <c r="AFA936" s="827"/>
      <c r="AFB936" s="827"/>
      <c r="AFC936" s="827"/>
      <c r="AFD936" s="827"/>
      <c r="AFE936" s="827"/>
      <c r="AFF936" s="827"/>
      <c r="AFG936" s="827"/>
      <c r="AFH936" s="827"/>
      <c r="AFI936" s="827"/>
      <c r="AFJ936" s="827"/>
      <c r="AFK936" s="827"/>
      <c r="AFL936" s="827"/>
      <c r="AFM936" s="827"/>
      <c r="AFN936" s="827"/>
      <c r="AFO936" s="827"/>
      <c r="AFP936" s="827"/>
      <c r="AFQ936" s="827"/>
      <c r="AFR936" s="827"/>
      <c r="AFS936" s="827"/>
      <c r="AFT936" s="827"/>
      <c r="AFU936" s="827"/>
      <c r="AFV936" s="827"/>
      <c r="AFW936" s="827"/>
      <c r="AFX936" s="827"/>
      <c r="AFY936" s="827"/>
      <c r="AFZ936" s="827"/>
      <c r="AGA936" s="827"/>
      <c r="AGB936" s="827"/>
      <c r="AGC936" s="827"/>
      <c r="AGD936" s="827"/>
      <c r="AGE936" s="827"/>
      <c r="AGF936" s="827"/>
      <c r="AGG936" s="827"/>
      <c r="AGH936" s="827"/>
      <c r="AGI936" s="827"/>
      <c r="AGJ936" s="827"/>
    </row>
    <row r="937" spans="1:868" s="827" customFormat="1" hidden="1">
      <c r="A937" s="625" t="s">
        <v>445</v>
      </c>
      <c r="B937" s="59" t="s">
        <v>447</v>
      </c>
      <c r="C937" s="40" t="s">
        <v>139</v>
      </c>
      <c r="D937" s="34" t="s">
        <v>99</v>
      </c>
      <c r="E937" s="260">
        <v>0.01</v>
      </c>
      <c r="F937" s="34">
        <v>2</v>
      </c>
      <c r="G937" s="40" t="s">
        <v>433</v>
      </c>
      <c r="H937" s="29">
        <v>1</v>
      </c>
      <c r="I937" s="9">
        <v>2</v>
      </c>
      <c r="J937" s="9">
        <v>2</v>
      </c>
      <c r="K937" s="9">
        <v>1</v>
      </c>
      <c r="L937" s="9">
        <v>1</v>
      </c>
      <c r="M937" s="9">
        <v>1</v>
      </c>
      <c r="N937" s="186">
        <f t="shared" si="76"/>
        <v>0.16933510251023262</v>
      </c>
      <c r="O937" s="160">
        <f t="shared" si="75"/>
        <v>0.19908580854301616</v>
      </c>
      <c r="P937" s="63" t="s">
        <v>847</v>
      </c>
    </row>
    <row r="938" spans="1:868" s="827" customFormat="1" hidden="1">
      <c r="A938" s="625" t="s">
        <v>445</v>
      </c>
      <c r="B938" s="59" t="s">
        <v>448</v>
      </c>
      <c r="C938" s="40" t="s">
        <v>139</v>
      </c>
      <c r="D938" s="34" t="s">
        <v>99</v>
      </c>
      <c r="E938" s="260" t="s">
        <v>150</v>
      </c>
      <c r="F938" s="34">
        <v>1</v>
      </c>
      <c r="G938" s="40" t="s">
        <v>433</v>
      </c>
      <c r="H938" s="29"/>
      <c r="I938" s="9"/>
      <c r="J938" s="9"/>
      <c r="K938" s="9"/>
      <c r="L938" s="9"/>
      <c r="M938" s="9"/>
      <c r="N938" s="186" t="str">
        <f t="shared" si="76"/>
        <v/>
      </c>
      <c r="O938" s="160" t="str">
        <f t="shared" si="75"/>
        <v/>
      </c>
      <c r="P938" s="63"/>
    </row>
    <row r="939" spans="1:868" s="827" customFormat="1" hidden="1">
      <c r="A939" s="625" t="s">
        <v>447</v>
      </c>
      <c r="B939" s="59" t="s">
        <v>258</v>
      </c>
      <c r="C939" s="40" t="s">
        <v>139</v>
      </c>
      <c r="D939" s="34" t="s">
        <v>99</v>
      </c>
      <c r="E939" s="260">
        <v>1</v>
      </c>
      <c r="F939" s="34">
        <v>2</v>
      </c>
      <c r="G939" s="40" t="s">
        <v>433</v>
      </c>
      <c r="H939" s="29">
        <v>1</v>
      </c>
      <c r="I939" s="9">
        <v>2</v>
      </c>
      <c r="J939" s="9">
        <v>2</v>
      </c>
      <c r="K939" s="9">
        <v>1</v>
      </c>
      <c r="L939" s="9">
        <v>1</v>
      </c>
      <c r="M939" s="9">
        <v>1</v>
      </c>
      <c r="N939" s="186">
        <f t="shared" si="76"/>
        <v>0.16933510251023262</v>
      </c>
      <c r="O939" s="160">
        <f t="shared" si="75"/>
        <v>0.19908580854301616</v>
      </c>
      <c r="P939" s="63" t="s">
        <v>848</v>
      </c>
    </row>
    <row r="940" spans="1:868" s="827" customFormat="1" hidden="1">
      <c r="A940" s="625" t="s">
        <v>446</v>
      </c>
      <c r="B940" s="59" t="s">
        <v>449</v>
      </c>
      <c r="C940" s="40" t="s">
        <v>139</v>
      </c>
      <c r="D940" s="34" t="s">
        <v>99</v>
      </c>
      <c r="E940" s="260">
        <v>0.01</v>
      </c>
      <c r="F940" s="34">
        <v>2</v>
      </c>
      <c r="G940" s="40" t="s">
        <v>433</v>
      </c>
      <c r="H940" s="29">
        <v>1</v>
      </c>
      <c r="I940" s="9">
        <v>2</v>
      </c>
      <c r="J940" s="9">
        <v>2</v>
      </c>
      <c r="K940" s="9">
        <v>1</v>
      </c>
      <c r="L940" s="9">
        <v>1</v>
      </c>
      <c r="M940" s="9">
        <v>1</v>
      </c>
      <c r="N940" s="186">
        <f t="shared" si="76"/>
        <v>0.16933510251023262</v>
      </c>
      <c r="O940" s="160">
        <f t="shared" si="75"/>
        <v>0.19908580854301616</v>
      </c>
      <c r="P940" s="63" t="s">
        <v>849</v>
      </c>
    </row>
    <row r="941" spans="1:868" s="827" customFormat="1" hidden="1">
      <c r="A941" s="625" t="s">
        <v>446</v>
      </c>
      <c r="B941" s="59" t="s">
        <v>450</v>
      </c>
      <c r="C941" s="40" t="s">
        <v>139</v>
      </c>
      <c r="D941" s="34" t="s">
        <v>99</v>
      </c>
      <c r="E941" s="260" t="s">
        <v>150</v>
      </c>
      <c r="F941" s="34">
        <v>1</v>
      </c>
      <c r="G941" s="40" t="s">
        <v>433</v>
      </c>
      <c r="H941" s="29"/>
      <c r="I941" s="9"/>
      <c r="J941" s="9"/>
      <c r="K941" s="9"/>
      <c r="L941" s="9"/>
      <c r="M941" s="9"/>
      <c r="N941" s="186" t="str">
        <f t="shared" si="76"/>
        <v/>
      </c>
      <c r="O941" s="160" t="str">
        <f t="shared" si="75"/>
        <v/>
      </c>
      <c r="P941" s="63"/>
    </row>
    <row r="942" spans="1:868" s="827" customFormat="1" hidden="1">
      <c r="A942" s="625" t="s">
        <v>449</v>
      </c>
      <c r="B942" s="59" t="s">
        <v>258</v>
      </c>
      <c r="C942" s="40" t="s">
        <v>139</v>
      </c>
      <c r="D942" s="34" t="s">
        <v>99</v>
      </c>
      <c r="E942" s="260">
        <v>1</v>
      </c>
      <c r="F942" s="34">
        <v>2</v>
      </c>
      <c r="G942" s="40" t="s">
        <v>433</v>
      </c>
      <c r="H942" s="29">
        <v>1</v>
      </c>
      <c r="I942" s="9">
        <v>2</v>
      </c>
      <c r="J942" s="9">
        <v>2</v>
      </c>
      <c r="K942" s="9">
        <v>1</v>
      </c>
      <c r="L942" s="9">
        <v>1</v>
      </c>
      <c r="M942" s="9">
        <v>1</v>
      </c>
      <c r="N942" s="186">
        <f t="shared" si="76"/>
        <v>0.16933510251023262</v>
      </c>
      <c r="O942" s="160">
        <f t="shared" si="75"/>
        <v>0.19908580854301616</v>
      </c>
      <c r="P942" s="63" t="s">
        <v>848</v>
      </c>
    </row>
    <row r="943" spans="1:868" s="827" customFormat="1" hidden="1">
      <c r="A943" s="625" t="s">
        <v>448</v>
      </c>
      <c r="B943" s="59" t="s">
        <v>258</v>
      </c>
      <c r="C943" s="40" t="s">
        <v>139</v>
      </c>
      <c r="D943" s="34" t="s">
        <v>99</v>
      </c>
      <c r="E943" s="260">
        <v>0.01</v>
      </c>
      <c r="F943" s="34">
        <v>2</v>
      </c>
      <c r="G943" s="40" t="s">
        <v>433</v>
      </c>
      <c r="H943" s="29">
        <v>1</v>
      </c>
      <c r="I943" s="9">
        <v>2</v>
      </c>
      <c r="J943" s="9">
        <v>2</v>
      </c>
      <c r="K943" s="9">
        <v>1</v>
      </c>
      <c r="L943" s="9">
        <v>1</v>
      </c>
      <c r="M943" s="9">
        <v>1</v>
      </c>
      <c r="N943" s="186">
        <f t="shared" si="76"/>
        <v>0.16933510251023262</v>
      </c>
      <c r="O943" s="160">
        <f t="shared" ref="O943:O974" si="77">IF( OR( ISBLANK(I943),ISBLANK(J943), ISBLANK(K943), ISBLANK(L943), ISBLANK(M943) ), "", 1.5*SQRT( EXP(2.21*(I943-1)) + EXP(2.21*(J943-1)) + EXP(2.21*(K943-1)) + EXP(2.21*(L943-1)) + EXP(2.21*M943)   )/100*2.45 )</f>
        <v>0.19908580854301616</v>
      </c>
      <c r="P943" s="63" t="s">
        <v>850</v>
      </c>
    </row>
    <row r="944" spans="1:868" s="827" customFormat="1" hidden="1">
      <c r="A944" s="625" t="s">
        <v>448</v>
      </c>
      <c r="B944" s="59" t="s">
        <v>334</v>
      </c>
      <c r="C944" s="40" t="s">
        <v>139</v>
      </c>
      <c r="D944" s="34" t="s">
        <v>99</v>
      </c>
      <c r="E944" s="260" t="s">
        <v>150</v>
      </c>
      <c r="F944" s="34">
        <v>1</v>
      </c>
      <c r="G944" s="40" t="s">
        <v>433</v>
      </c>
      <c r="H944" s="29"/>
      <c r="I944" s="9"/>
      <c r="J944" s="9"/>
      <c r="K944" s="9"/>
      <c r="L944" s="9"/>
      <c r="M944" s="9"/>
      <c r="N944" s="186" t="str">
        <f t="shared" si="76"/>
        <v/>
      </c>
      <c r="O944" s="160" t="str">
        <f t="shared" si="77"/>
        <v/>
      </c>
      <c r="P944" s="63"/>
    </row>
    <row r="945" spans="1:18" s="827" customFormat="1" hidden="1">
      <c r="A945" s="625" t="s">
        <v>450</v>
      </c>
      <c r="B945" s="59" t="s">
        <v>258</v>
      </c>
      <c r="C945" s="40" t="s">
        <v>139</v>
      </c>
      <c r="D945" s="34" t="s">
        <v>99</v>
      </c>
      <c r="E945" s="260">
        <v>0.05</v>
      </c>
      <c r="F945" s="34">
        <v>2</v>
      </c>
      <c r="G945" s="40" t="s">
        <v>433</v>
      </c>
      <c r="H945" s="29">
        <v>1</v>
      </c>
      <c r="I945" s="9">
        <v>2</v>
      </c>
      <c r="J945" s="9">
        <v>2</v>
      </c>
      <c r="K945" s="9">
        <v>1</v>
      </c>
      <c r="L945" s="9">
        <v>1</v>
      </c>
      <c r="M945" s="9">
        <v>1</v>
      </c>
      <c r="N945" s="186">
        <f t="shared" si="76"/>
        <v>0.16933510251023262</v>
      </c>
      <c r="O945" s="160">
        <f t="shared" si="77"/>
        <v>0.19908580854301616</v>
      </c>
      <c r="P945" s="63" t="s">
        <v>851</v>
      </c>
    </row>
    <row r="946" spans="1:18" s="827" customFormat="1" hidden="1">
      <c r="A946" s="625" t="s">
        <v>450</v>
      </c>
      <c r="B946" s="59" t="s">
        <v>334</v>
      </c>
      <c r="C946" s="40" t="s">
        <v>139</v>
      </c>
      <c r="D946" s="34" t="s">
        <v>99</v>
      </c>
      <c r="E946" s="260" t="s">
        <v>150</v>
      </c>
      <c r="F946" s="34">
        <v>1</v>
      </c>
      <c r="G946" s="40" t="s">
        <v>433</v>
      </c>
      <c r="H946" s="29"/>
      <c r="I946" s="9"/>
      <c r="J946" s="9"/>
      <c r="K946" s="9"/>
      <c r="L946" s="9"/>
      <c r="M946" s="9"/>
      <c r="N946" s="186" t="str">
        <f t="shared" si="76"/>
        <v/>
      </c>
      <c r="O946" s="160" t="str">
        <f t="shared" si="77"/>
        <v/>
      </c>
      <c r="P946" s="63"/>
    </row>
    <row r="947" spans="1:18" s="827" customFormat="1" hidden="1">
      <c r="A947" s="625" t="s">
        <v>432</v>
      </c>
      <c r="B947" s="59" t="s">
        <v>452</v>
      </c>
      <c r="C947" s="40" t="s">
        <v>139</v>
      </c>
      <c r="D947" s="34" t="s">
        <v>99</v>
      </c>
      <c r="E947" s="260">
        <f>0.5*0.97</f>
        <v>0.48499999999999999</v>
      </c>
      <c r="F947" s="34">
        <v>2</v>
      </c>
      <c r="G947" s="40" t="s">
        <v>433</v>
      </c>
      <c r="H947" s="29">
        <v>1</v>
      </c>
      <c r="I947" s="9">
        <v>2</v>
      </c>
      <c r="J947" s="9">
        <v>2</v>
      </c>
      <c r="K947" s="9">
        <v>1</v>
      </c>
      <c r="L947" s="9">
        <v>1</v>
      </c>
      <c r="M947" s="9">
        <v>1</v>
      </c>
      <c r="N947" s="186">
        <f t="shared" si="76"/>
        <v>0.16933510251023262</v>
      </c>
      <c r="O947" s="160">
        <f t="shared" si="77"/>
        <v>0.19908580854301616</v>
      </c>
      <c r="P947" s="63" t="s">
        <v>852</v>
      </c>
    </row>
    <row r="948" spans="1:18" s="827" customFormat="1" hidden="1">
      <c r="A948" s="625" t="s">
        <v>432</v>
      </c>
      <c r="B948" s="59" t="s">
        <v>453</v>
      </c>
      <c r="C948" s="40" t="s">
        <v>139</v>
      </c>
      <c r="D948" s="34" t="s">
        <v>99</v>
      </c>
      <c r="E948" s="260">
        <f>0.5*0.97</f>
        <v>0.48499999999999999</v>
      </c>
      <c r="F948" s="34">
        <v>2</v>
      </c>
      <c r="G948" s="40" t="s">
        <v>433</v>
      </c>
      <c r="H948" s="29">
        <v>1</v>
      </c>
      <c r="I948" s="9">
        <v>2</v>
      </c>
      <c r="J948" s="9">
        <v>2</v>
      </c>
      <c r="K948" s="9">
        <v>1</v>
      </c>
      <c r="L948" s="9">
        <v>1</v>
      </c>
      <c r="M948" s="9">
        <v>1</v>
      </c>
      <c r="N948" s="186">
        <f t="shared" si="76"/>
        <v>0.16933510251023262</v>
      </c>
      <c r="O948" s="160">
        <f t="shared" si="77"/>
        <v>0.19908580854301616</v>
      </c>
      <c r="P948" s="63" t="s">
        <v>853</v>
      </c>
    </row>
    <row r="949" spans="1:18" s="827" customFormat="1" hidden="1">
      <c r="A949" s="625" t="s">
        <v>432</v>
      </c>
      <c r="B949" s="59" t="s">
        <v>223</v>
      </c>
      <c r="C949" s="40" t="s">
        <v>139</v>
      </c>
      <c r="D949" s="34" t="s">
        <v>99</v>
      </c>
      <c r="E949" s="260">
        <v>0.03</v>
      </c>
      <c r="F949" s="34">
        <v>1</v>
      </c>
      <c r="G949" s="40" t="s">
        <v>433</v>
      </c>
      <c r="H949" s="29">
        <v>1</v>
      </c>
      <c r="I949" s="9">
        <v>2</v>
      </c>
      <c r="J949" s="9">
        <v>2</v>
      </c>
      <c r="K949" s="9">
        <v>1</v>
      </c>
      <c r="L949" s="9">
        <v>1</v>
      </c>
      <c r="M949" s="9">
        <v>1</v>
      </c>
      <c r="N949" s="186">
        <f t="shared" si="76"/>
        <v>0.16933510251023262</v>
      </c>
      <c r="O949" s="160">
        <f t="shared" si="77"/>
        <v>0.19908580854301616</v>
      </c>
      <c r="P949" s="63" t="s">
        <v>854</v>
      </c>
    </row>
    <row r="950" spans="1:18" s="827" customFormat="1" hidden="1">
      <c r="A950" s="625" t="s">
        <v>452</v>
      </c>
      <c r="B950" s="59" t="s">
        <v>455</v>
      </c>
      <c r="C950" s="40" t="s">
        <v>139</v>
      </c>
      <c r="D950" s="34" t="s">
        <v>99</v>
      </c>
      <c r="E950" s="260">
        <v>0.03</v>
      </c>
      <c r="F950" s="34">
        <v>2</v>
      </c>
      <c r="G950" s="40" t="s">
        <v>433</v>
      </c>
      <c r="H950" s="29">
        <v>1</v>
      </c>
      <c r="I950" s="9">
        <v>2</v>
      </c>
      <c r="J950" s="9">
        <v>2</v>
      </c>
      <c r="K950" s="9">
        <v>1</v>
      </c>
      <c r="L950" s="9">
        <v>1</v>
      </c>
      <c r="M950" s="9">
        <v>1</v>
      </c>
      <c r="N950" s="186">
        <f t="shared" si="76"/>
        <v>0.16933510251023262</v>
      </c>
      <c r="O950" s="160">
        <f t="shared" si="77"/>
        <v>0.19908580854301616</v>
      </c>
      <c r="P950" s="63" t="s">
        <v>855</v>
      </c>
    </row>
    <row r="951" spans="1:18" s="827" customFormat="1" hidden="1">
      <c r="A951" s="625" t="s">
        <v>452</v>
      </c>
      <c r="B951" s="59" t="s">
        <v>454</v>
      </c>
      <c r="C951" s="40" t="s">
        <v>139</v>
      </c>
      <c r="D951" s="34" t="s">
        <v>99</v>
      </c>
      <c r="E951" s="260" t="s">
        <v>150</v>
      </c>
      <c r="F951" s="34">
        <v>1</v>
      </c>
      <c r="G951" s="40" t="s">
        <v>433</v>
      </c>
      <c r="H951" s="29"/>
      <c r="I951" s="9"/>
      <c r="J951" s="9"/>
      <c r="K951" s="9"/>
      <c r="L951" s="9"/>
      <c r="M951" s="9"/>
      <c r="N951" s="186" t="str">
        <f t="shared" si="76"/>
        <v/>
      </c>
      <c r="O951" s="160" t="str">
        <f t="shared" si="77"/>
        <v/>
      </c>
      <c r="P951" s="63"/>
    </row>
    <row r="952" spans="1:18" s="827" customFormat="1" hidden="1">
      <c r="A952" s="625" t="s">
        <v>455</v>
      </c>
      <c r="B952" s="59" t="s">
        <v>231</v>
      </c>
      <c r="C952" s="40" t="s">
        <v>139</v>
      </c>
      <c r="D952" s="34" t="s">
        <v>99</v>
      </c>
      <c r="E952" s="260">
        <v>0.05</v>
      </c>
      <c r="F952" s="34">
        <v>2</v>
      </c>
      <c r="G952" s="40" t="s">
        <v>157</v>
      </c>
      <c r="H952" s="29">
        <v>1</v>
      </c>
      <c r="I952" s="9">
        <v>2</v>
      </c>
      <c r="J952" s="9">
        <v>2</v>
      </c>
      <c r="K952" s="9">
        <v>1</v>
      </c>
      <c r="L952" s="9">
        <v>3</v>
      </c>
      <c r="M952" s="9">
        <v>3</v>
      </c>
      <c r="N952" s="186">
        <f t="shared" si="76"/>
        <v>1.0725046436742278</v>
      </c>
      <c r="O952" s="160">
        <f t="shared" si="77"/>
        <v>1.0776024280428556</v>
      </c>
      <c r="P952" s="63" t="s">
        <v>1937</v>
      </c>
      <c r="R952" s="855"/>
    </row>
    <row r="953" spans="1:18" s="827" customFormat="1" hidden="1">
      <c r="A953" s="625" t="s">
        <v>455</v>
      </c>
      <c r="B953" s="59" t="s">
        <v>232</v>
      </c>
      <c r="C953" s="40" t="s">
        <v>139</v>
      </c>
      <c r="D953" s="34" t="s">
        <v>99</v>
      </c>
      <c r="E953" s="260">
        <v>0.39400000000000002</v>
      </c>
      <c r="F953" s="34">
        <v>2</v>
      </c>
      <c r="G953" s="40" t="s">
        <v>433</v>
      </c>
      <c r="H953" s="29">
        <v>1</v>
      </c>
      <c r="I953" s="9">
        <v>2</v>
      </c>
      <c r="J953" s="9">
        <v>2</v>
      </c>
      <c r="K953" s="9">
        <v>1</v>
      </c>
      <c r="L953" s="9">
        <v>1</v>
      </c>
      <c r="M953" s="9">
        <v>1</v>
      </c>
      <c r="N953" s="186">
        <f t="shared" si="76"/>
        <v>0.16933510251023262</v>
      </c>
      <c r="O953" s="160">
        <f t="shared" si="77"/>
        <v>0.19908580854301616</v>
      </c>
      <c r="P953" s="63" t="s">
        <v>1961</v>
      </c>
    </row>
    <row r="954" spans="1:18" s="827" customFormat="1" hidden="1">
      <c r="A954" s="625" t="s">
        <v>455</v>
      </c>
      <c r="B954" s="59" t="s">
        <v>251</v>
      </c>
      <c r="C954" s="40" t="s">
        <v>139</v>
      </c>
      <c r="D954" s="34" t="s">
        <v>99</v>
      </c>
      <c r="E954" s="260">
        <v>0.52200000000000002</v>
      </c>
      <c r="F954" s="34">
        <v>1</v>
      </c>
      <c r="G954" s="40" t="s">
        <v>433</v>
      </c>
      <c r="H954" s="29">
        <v>1</v>
      </c>
      <c r="I954" s="9">
        <v>2</v>
      </c>
      <c r="J954" s="9">
        <v>2</v>
      </c>
      <c r="K954" s="9">
        <v>1</v>
      </c>
      <c r="L954" s="9">
        <v>1</v>
      </c>
      <c r="M954" s="9">
        <v>1</v>
      </c>
      <c r="N954" s="186">
        <f t="shared" si="76"/>
        <v>0.16933510251023262</v>
      </c>
      <c r="O954" s="160">
        <f t="shared" si="77"/>
        <v>0.19908580854301616</v>
      </c>
      <c r="P954" s="63" t="s">
        <v>1962</v>
      </c>
    </row>
    <row r="955" spans="1:18" s="827" customFormat="1" hidden="1">
      <c r="A955" s="625" t="s">
        <v>455</v>
      </c>
      <c r="B955" s="59" t="s">
        <v>258</v>
      </c>
      <c r="C955" s="40" t="s">
        <v>139</v>
      </c>
      <c r="D955" s="34" t="s">
        <v>99</v>
      </c>
      <c r="E955" s="260">
        <v>3.4000000000000002E-2</v>
      </c>
      <c r="F955" s="34">
        <v>2</v>
      </c>
      <c r="G955" s="40" t="s">
        <v>433</v>
      </c>
      <c r="H955" s="29">
        <v>1</v>
      </c>
      <c r="I955" s="9">
        <v>2</v>
      </c>
      <c r="J955" s="9">
        <v>2</v>
      </c>
      <c r="K955" s="9">
        <v>1</v>
      </c>
      <c r="L955" s="9">
        <v>1</v>
      </c>
      <c r="M955" s="9">
        <v>1</v>
      </c>
      <c r="N955" s="186">
        <f t="shared" si="76"/>
        <v>0.16933510251023262</v>
      </c>
      <c r="O955" s="160">
        <f t="shared" si="77"/>
        <v>0.19908580854301616</v>
      </c>
      <c r="P955" s="63" t="s">
        <v>1963</v>
      </c>
    </row>
    <row r="956" spans="1:18" s="827" customFormat="1" hidden="1">
      <c r="A956" s="625" t="s">
        <v>453</v>
      </c>
      <c r="B956" s="59" t="s">
        <v>456</v>
      </c>
      <c r="C956" s="40" t="s">
        <v>139</v>
      </c>
      <c r="D956" s="34" t="s">
        <v>99</v>
      </c>
      <c r="E956" s="260">
        <f>0.1*E950</f>
        <v>3.0000000000000001E-3</v>
      </c>
      <c r="F956" s="34">
        <v>2</v>
      </c>
      <c r="G956" s="40" t="s">
        <v>433</v>
      </c>
      <c r="H956" s="29">
        <v>1</v>
      </c>
      <c r="I956" s="9">
        <v>2</v>
      </c>
      <c r="J956" s="9">
        <v>2</v>
      </c>
      <c r="K956" s="9">
        <v>1</v>
      </c>
      <c r="L956" s="9">
        <v>1</v>
      </c>
      <c r="M956" s="9">
        <v>1</v>
      </c>
      <c r="N956" s="186">
        <f t="shared" si="76"/>
        <v>0.16933510251023262</v>
      </c>
      <c r="O956" s="160">
        <f t="shared" si="77"/>
        <v>0.19908580854301616</v>
      </c>
      <c r="P956" s="63" t="s">
        <v>856</v>
      </c>
    </row>
    <row r="957" spans="1:18" s="827" customFormat="1" hidden="1">
      <c r="A957" s="625" t="s">
        <v>453</v>
      </c>
      <c r="B957" s="59" t="s">
        <v>451</v>
      </c>
      <c r="C957" s="40" t="s">
        <v>139</v>
      </c>
      <c r="D957" s="34" t="s">
        <v>99</v>
      </c>
      <c r="E957" s="260" t="s">
        <v>150</v>
      </c>
      <c r="F957" s="34">
        <v>1</v>
      </c>
      <c r="G957" s="40" t="s">
        <v>433</v>
      </c>
      <c r="H957" s="29"/>
      <c r="I957" s="9"/>
      <c r="J957" s="9"/>
      <c r="K957" s="9"/>
      <c r="L957" s="9"/>
      <c r="M957" s="9"/>
      <c r="N957" s="186" t="str">
        <f t="shared" ref="N957:N988" si="78">IF( OR( ISBLANK(H957),ISBLANK(J957), ISBLANK(K957), ISBLANK(L957), ISBLANK(M957) ), "", 1.5*SQRT(   EXP(2.21*(H957-1)) + EXP(2.21*(J957-1)) + EXP(2.21*(K957-1)) + EXP(2.21*(L957-1)) + EXP(2.21*M957)   )/100*2.45 )</f>
        <v/>
      </c>
      <c r="O957" s="160" t="str">
        <f t="shared" si="77"/>
        <v/>
      </c>
      <c r="P957" s="63" t="s">
        <v>1938</v>
      </c>
    </row>
    <row r="958" spans="1:18" s="827" customFormat="1" hidden="1">
      <c r="A958" s="625" t="s">
        <v>456</v>
      </c>
      <c r="B958" s="59" t="s">
        <v>228</v>
      </c>
      <c r="C958" s="40" t="s">
        <v>139</v>
      </c>
      <c r="D958" s="34" t="s">
        <v>99</v>
      </c>
      <c r="E958" s="260">
        <v>1</v>
      </c>
      <c r="F958" s="34">
        <v>2</v>
      </c>
      <c r="G958" s="40" t="s">
        <v>433</v>
      </c>
      <c r="H958" s="29">
        <v>1</v>
      </c>
      <c r="I958" s="9">
        <v>2</v>
      </c>
      <c r="J958" s="9">
        <v>2</v>
      </c>
      <c r="K958" s="9">
        <v>1</v>
      </c>
      <c r="L958" s="9">
        <v>1</v>
      </c>
      <c r="M958" s="9">
        <v>1</v>
      </c>
      <c r="N958" s="186">
        <f t="shared" si="78"/>
        <v>0.16933510251023262</v>
      </c>
      <c r="O958" s="160">
        <f t="shared" si="77"/>
        <v>0.19908580854301616</v>
      </c>
      <c r="P958" s="63" t="s">
        <v>857</v>
      </c>
    </row>
    <row r="959" spans="1:18" s="827" customFormat="1" hidden="1">
      <c r="A959" s="625" t="s">
        <v>454</v>
      </c>
      <c r="B959" s="59" t="s">
        <v>231</v>
      </c>
      <c r="C959" s="40" t="s">
        <v>139</v>
      </c>
      <c r="D959" s="34" t="s">
        <v>99</v>
      </c>
      <c r="E959" s="260">
        <v>0</v>
      </c>
      <c r="F959" s="34">
        <v>2</v>
      </c>
      <c r="G959" s="40" t="s">
        <v>433</v>
      </c>
      <c r="H959" s="29">
        <v>1</v>
      </c>
      <c r="I959" s="9">
        <v>2</v>
      </c>
      <c r="J959" s="9">
        <v>2</v>
      </c>
      <c r="K959" s="9">
        <v>1</v>
      </c>
      <c r="L959" s="9">
        <v>1</v>
      </c>
      <c r="M959" s="9">
        <v>1</v>
      </c>
      <c r="N959" s="186">
        <f t="shared" si="78"/>
        <v>0.16933510251023262</v>
      </c>
      <c r="O959" s="160">
        <f t="shared" si="77"/>
        <v>0.19908580854301616</v>
      </c>
      <c r="P959" s="63" t="s">
        <v>1979</v>
      </c>
    </row>
    <row r="960" spans="1:18" s="827" customFormat="1" hidden="1">
      <c r="A960" s="625" t="s">
        <v>454</v>
      </c>
      <c r="B960" s="59" t="s">
        <v>232</v>
      </c>
      <c r="C960" s="40" t="s">
        <v>139</v>
      </c>
      <c r="D960" s="34" t="s">
        <v>99</v>
      </c>
      <c r="E960" s="260">
        <v>0</v>
      </c>
      <c r="F960" s="34">
        <v>2</v>
      </c>
      <c r="G960" s="40" t="s">
        <v>433</v>
      </c>
      <c r="H960" s="29">
        <v>1</v>
      </c>
      <c r="I960" s="9">
        <v>2</v>
      </c>
      <c r="J960" s="9">
        <v>2</v>
      </c>
      <c r="K960" s="9">
        <v>1</v>
      </c>
      <c r="L960" s="9">
        <v>1</v>
      </c>
      <c r="M960" s="9">
        <v>1</v>
      </c>
      <c r="N960" s="186">
        <f t="shared" si="78"/>
        <v>0.16933510251023262</v>
      </c>
      <c r="O960" s="160">
        <f t="shared" si="77"/>
        <v>0.19908580854301616</v>
      </c>
      <c r="P960" s="63" t="s">
        <v>1979</v>
      </c>
    </row>
    <row r="961" spans="1:16" s="827" customFormat="1" hidden="1">
      <c r="A961" s="625" t="s">
        <v>454</v>
      </c>
      <c r="B961" s="59" t="s">
        <v>251</v>
      </c>
      <c r="C961" s="40" t="s">
        <v>139</v>
      </c>
      <c r="D961" s="34" t="s">
        <v>99</v>
      </c>
      <c r="E961" s="260">
        <v>0</v>
      </c>
      <c r="F961" s="34">
        <v>2</v>
      </c>
      <c r="G961" s="40" t="s">
        <v>433</v>
      </c>
      <c r="H961" s="29">
        <v>1</v>
      </c>
      <c r="I961" s="9">
        <v>2</v>
      </c>
      <c r="J961" s="9">
        <v>2</v>
      </c>
      <c r="K961" s="9">
        <v>1</v>
      </c>
      <c r="L961" s="9">
        <v>1</v>
      </c>
      <c r="M961" s="9">
        <v>1</v>
      </c>
      <c r="N961" s="186">
        <f t="shared" si="78"/>
        <v>0.16933510251023262</v>
      </c>
      <c r="O961" s="160">
        <f t="shared" si="77"/>
        <v>0.19908580854301616</v>
      </c>
      <c r="P961" s="63" t="s">
        <v>1979</v>
      </c>
    </row>
    <row r="962" spans="1:16" s="827" customFormat="1" hidden="1">
      <c r="A962" s="625" t="s">
        <v>454</v>
      </c>
      <c r="B962" s="59" t="s">
        <v>258</v>
      </c>
      <c r="C962" s="40" t="s">
        <v>139</v>
      </c>
      <c r="D962" s="34" t="s">
        <v>99</v>
      </c>
      <c r="E962" s="260">
        <v>0</v>
      </c>
      <c r="F962" s="34">
        <v>2</v>
      </c>
      <c r="G962" s="40" t="s">
        <v>433</v>
      </c>
      <c r="H962" s="29">
        <v>1</v>
      </c>
      <c r="I962" s="9">
        <v>2</v>
      </c>
      <c r="J962" s="9">
        <v>2</v>
      </c>
      <c r="K962" s="9">
        <v>1</v>
      </c>
      <c r="L962" s="9">
        <v>1</v>
      </c>
      <c r="M962" s="9">
        <v>1</v>
      </c>
      <c r="N962" s="186">
        <f t="shared" si="78"/>
        <v>0.16933510251023262</v>
      </c>
      <c r="O962" s="160">
        <f t="shared" si="77"/>
        <v>0.19908580854301616</v>
      </c>
      <c r="P962" s="63" t="s">
        <v>1979</v>
      </c>
    </row>
    <row r="963" spans="1:16" s="827" customFormat="1" hidden="1">
      <c r="A963" s="625" t="s">
        <v>454</v>
      </c>
      <c r="B963" s="59" t="s">
        <v>334</v>
      </c>
      <c r="C963" s="40" t="s">
        <v>139</v>
      </c>
      <c r="D963" s="34" t="s">
        <v>99</v>
      </c>
      <c r="E963" s="260" t="s">
        <v>150</v>
      </c>
      <c r="F963" s="34">
        <v>1</v>
      </c>
      <c r="G963" s="40" t="s">
        <v>433</v>
      </c>
      <c r="H963" s="29"/>
      <c r="I963" s="9"/>
      <c r="J963" s="9"/>
      <c r="K963" s="9"/>
      <c r="L963" s="9"/>
      <c r="M963" s="9"/>
      <c r="N963" s="186" t="str">
        <f t="shared" si="78"/>
        <v/>
      </c>
      <c r="O963" s="160" t="str">
        <f t="shared" si="77"/>
        <v/>
      </c>
      <c r="P963" s="63"/>
    </row>
    <row r="964" spans="1:16" s="827" customFormat="1" hidden="1">
      <c r="A964" s="625" t="s">
        <v>451</v>
      </c>
      <c r="B964" s="59" t="s">
        <v>228</v>
      </c>
      <c r="C964" s="40" t="s">
        <v>139</v>
      </c>
      <c r="D964" s="34" t="s">
        <v>99</v>
      </c>
      <c r="E964" s="260">
        <v>0</v>
      </c>
      <c r="F964" s="34">
        <v>2</v>
      </c>
      <c r="G964" s="40" t="s">
        <v>433</v>
      </c>
      <c r="H964" s="29">
        <v>1</v>
      </c>
      <c r="I964" s="9">
        <v>2</v>
      </c>
      <c r="J964" s="9">
        <v>2</v>
      </c>
      <c r="K964" s="9">
        <v>1</v>
      </c>
      <c r="L964" s="9">
        <v>1</v>
      </c>
      <c r="M964" s="9">
        <v>1</v>
      </c>
      <c r="N964" s="186">
        <f t="shared" si="78"/>
        <v>0.16933510251023262</v>
      </c>
      <c r="O964" s="160">
        <f t="shared" si="77"/>
        <v>0.19908580854301616</v>
      </c>
      <c r="P964" s="63" t="s">
        <v>858</v>
      </c>
    </row>
    <row r="965" spans="1:16" s="827" customFormat="1" hidden="1">
      <c r="A965" s="625" t="s">
        <v>451</v>
      </c>
      <c r="B965" s="59" t="s">
        <v>334</v>
      </c>
      <c r="C965" s="40" t="s">
        <v>139</v>
      </c>
      <c r="D965" s="34" t="s">
        <v>99</v>
      </c>
      <c r="E965" s="260" t="s">
        <v>150</v>
      </c>
      <c r="F965" s="34">
        <v>1</v>
      </c>
      <c r="G965" s="40" t="s">
        <v>433</v>
      </c>
      <c r="H965" s="29"/>
      <c r="I965" s="9"/>
      <c r="J965" s="9"/>
      <c r="K965" s="9"/>
      <c r="L965" s="9"/>
      <c r="M965" s="9"/>
      <c r="N965" s="186" t="str">
        <f t="shared" si="78"/>
        <v/>
      </c>
      <c r="O965" s="160" t="str">
        <f t="shared" si="77"/>
        <v/>
      </c>
      <c r="P965" s="63" t="s">
        <v>1939</v>
      </c>
    </row>
    <row r="966" spans="1:16" s="827" customFormat="1" hidden="1">
      <c r="A966" s="625" t="s">
        <v>434</v>
      </c>
      <c r="B966" s="59" t="s">
        <v>457</v>
      </c>
      <c r="C966" s="40" t="s">
        <v>139</v>
      </c>
      <c r="D966" s="34" t="s">
        <v>99</v>
      </c>
      <c r="E966" s="260">
        <f>0.97*0.4</f>
        <v>0.38800000000000001</v>
      </c>
      <c r="F966" s="34">
        <v>2</v>
      </c>
      <c r="G966" s="40" t="s">
        <v>433</v>
      </c>
      <c r="H966" s="29">
        <v>1</v>
      </c>
      <c r="I966" s="9">
        <v>2</v>
      </c>
      <c r="J966" s="9">
        <v>2</v>
      </c>
      <c r="K966" s="9">
        <v>1</v>
      </c>
      <c r="L966" s="9">
        <v>1</v>
      </c>
      <c r="M966" s="9">
        <v>1</v>
      </c>
      <c r="N966" s="186">
        <f t="shared" si="78"/>
        <v>0.16933510251023262</v>
      </c>
      <c r="O966" s="160">
        <f t="shared" si="77"/>
        <v>0.19908580854301616</v>
      </c>
      <c r="P966" s="63" t="s">
        <v>859</v>
      </c>
    </row>
    <row r="967" spans="1:16" s="827" customFormat="1" hidden="1">
      <c r="A967" s="625" t="s">
        <v>434</v>
      </c>
      <c r="B967" s="59" t="s">
        <v>458</v>
      </c>
      <c r="C967" s="40" t="s">
        <v>139</v>
      </c>
      <c r="D967" s="34" t="s">
        <v>99</v>
      </c>
      <c r="E967" s="260">
        <f>0.97*0.6</f>
        <v>0.58199999999999996</v>
      </c>
      <c r="F967" s="34">
        <v>2</v>
      </c>
      <c r="G967" s="40" t="s">
        <v>433</v>
      </c>
      <c r="H967" s="29">
        <v>1</v>
      </c>
      <c r="I967" s="9">
        <v>2</v>
      </c>
      <c r="J967" s="9">
        <v>2</v>
      </c>
      <c r="K967" s="9">
        <v>1</v>
      </c>
      <c r="L967" s="9">
        <v>1</v>
      </c>
      <c r="M967" s="9">
        <v>1</v>
      </c>
      <c r="N967" s="186">
        <f t="shared" si="78"/>
        <v>0.16933510251023262</v>
      </c>
      <c r="O967" s="160">
        <f t="shared" si="77"/>
        <v>0.19908580854301616</v>
      </c>
      <c r="P967" s="63" t="s">
        <v>860</v>
      </c>
    </row>
    <row r="968" spans="1:16" s="827" customFormat="1" hidden="1">
      <c r="A968" s="625" t="s">
        <v>434</v>
      </c>
      <c r="B968" s="59" t="s">
        <v>223</v>
      </c>
      <c r="C968" s="40" t="s">
        <v>139</v>
      </c>
      <c r="D968" s="34" t="s">
        <v>99</v>
      </c>
      <c r="E968" s="1161" t="s">
        <v>150</v>
      </c>
      <c r="F968" s="34">
        <v>1</v>
      </c>
      <c r="G968" s="40" t="s">
        <v>433</v>
      </c>
      <c r="H968" s="29">
        <v>1</v>
      </c>
      <c r="I968" s="9">
        <v>2</v>
      </c>
      <c r="J968" s="9">
        <v>2</v>
      </c>
      <c r="K968" s="9">
        <v>1</v>
      </c>
      <c r="L968" s="9">
        <v>1</v>
      </c>
      <c r="M968" s="9">
        <v>1</v>
      </c>
      <c r="N968" s="186">
        <f t="shared" si="78"/>
        <v>0.16933510251023262</v>
      </c>
      <c r="O968" s="160">
        <f t="shared" si="77"/>
        <v>0.19908580854301616</v>
      </c>
      <c r="P968" s="63" t="s">
        <v>854</v>
      </c>
    </row>
    <row r="969" spans="1:16" s="827" customFormat="1" hidden="1">
      <c r="A969" s="625" t="s">
        <v>457</v>
      </c>
      <c r="B969" s="59" t="s">
        <v>459</v>
      </c>
      <c r="C969" s="40" t="s">
        <v>139</v>
      </c>
      <c r="D969" s="34" t="s">
        <v>99</v>
      </c>
      <c r="E969" s="260">
        <v>0.03</v>
      </c>
      <c r="F969" s="34">
        <v>2</v>
      </c>
      <c r="G969" s="40" t="s">
        <v>433</v>
      </c>
      <c r="H969" s="29">
        <v>1</v>
      </c>
      <c r="I969" s="9">
        <v>2</v>
      </c>
      <c r="J969" s="9">
        <v>2</v>
      </c>
      <c r="K969" s="9">
        <v>1</v>
      </c>
      <c r="L969" s="9">
        <v>1</v>
      </c>
      <c r="M969" s="9">
        <v>1</v>
      </c>
      <c r="N969" s="186">
        <f t="shared" si="78"/>
        <v>0.16933510251023262</v>
      </c>
      <c r="O969" s="160">
        <f t="shared" si="77"/>
        <v>0.19908580854301616</v>
      </c>
      <c r="P969" s="63" t="s">
        <v>855</v>
      </c>
    </row>
    <row r="970" spans="1:16" s="827" customFormat="1" hidden="1">
      <c r="A970" s="625" t="s">
        <v>457</v>
      </c>
      <c r="B970" s="59" t="s">
        <v>460</v>
      </c>
      <c r="C970" s="40" t="s">
        <v>139</v>
      </c>
      <c r="D970" s="34" t="s">
        <v>99</v>
      </c>
      <c r="E970" s="260" t="s">
        <v>150</v>
      </c>
      <c r="F970" s="34">
        <v>1</v>
      </c>
      <c r="G970" s="40" t="s">
        <v>433</v>
      </c>
      <c r="H970" s="29"/>
      <c r="I970" s="9"/>
      <c r="J970" s="9"/>
      <c r="K970" s="9"/>
      <c r="L970" s="9"/>
      <c r="M970" s="9"/>
      <c r="N970" s="186" t="str">
        <f t="shared" si="78"/>
        <v/>
      </c>
      <c r="O970" s="160" t="str">
        <f t="shared" si="77"/>
        <v/>
      </c>
      <c r="P970" s="63" t="s">
        <v>1940</v>
      </c>
    </row>
    <row r="971" spans="1:16" s="827" customFormat="1" hidden="1">
      <c r="A971" s="625" t="s">
        <v>459</v>
      </c>
      <c r="B971" s="59" t="s">
        <v>231</v>
      </c>
      <c r="C971" s="40" t="s">
        <v>139</v>
      </c>
      <c r="D971" s="34" t="s">
        <v>99</v>
      </c>
      <c r="E971" s="260">
        <v>0.05</v>
      </c>
      <c r="F971" s="34">
        <v>2</v>
      </c>
      <c r="G971" s="40" t="s">
        <v>157</v>
      </c>
      <c r="H971" s="29">
        <v>1</v>
      </c>
      <c r="I971" s="9">
        <v>2</v>
      </c>
      <c r="J971" s="9">
        <v>2</v>
      </c>
      <c r="K971" s="9">
        <v>1</v>
      </c>
      <c r="L971" s="9">
        <v>3</v>
      </c>
      <c r="M971" s="9">
        <v>3</v>
      </c>
      <c r="N971" s="186">
        <f t="shared" si="78"/>
        <v>1.0725046436742278</v>
      </c>
      <c r="O971" s="160">
        <f t="shared" si="77"/>
        <v>1.0776024280428556</v>
      </c>
      <c r="P971" s="63" t="s">
        <v>1937</v>
      </c>
    </row>
    <row r="972" spans="1:16" s="827" customFormat="1" hidden="1">
      <c r="A972" s="625" t="s">
        <v>459</v>
      </c>
      <c r="B972" s="59" t="s">
        <v>232</v>
      </c>
      <c r="C972" s="40" t="s">
        <v>139</v>
      </c>
      <c r="D972" s="34" t="s">
        <v>99</v>
      </c>
      <c r="E972" s="260">
        <v>0.39400000000000002</v>
      </c>
      <c r="F972" s="34">
        <v>2</v>
      </c>
      <c r="G972" s="40" t="s">
        <v>433</v>
      </c>
      <c r="H972" s="29">
        <v>1</v>
      </c>
      <c r="I972" s="9">
        <v>2</v>
      </c>
      <c r="J972" s="9">
        <v>2</v>
      </c>
      <c r="K972" s="9">
        <v>1</v>
      </c>
      <c r="L972" s="9">
        <v>1</v>
      </c>
      <c r="M972" s="9">
        <v>1</v>
      </c>
      <c r="N972" s="186">
        <f t="shared" si="78"/>
        <v>0.16933510251023262</v>
      </c>
      <c r="O972" s="160">
        <f t="shared" si="77"/>
        <v>0.19908580854301616</v>
      </c>
      <c r="P972" s="63" t="s">
        <v>1961</v>
      </c>
    </row>
    <row r="973" spans="1:16" s="827" customFormat="1" hidden="1">
      <c r="A973" s="625" t="s">
        <v>459</v>
      </c>
      <c r="B973" s="59" t="s">
        <v>251</v>
      </c>
      <c r="C973" s="40" t="s">
        <v>139</v>
      </c>
      <c r="D973" s="34" t="s">
        <v>99</v>
      </c>
      <c r="E973" s="260">
        <v>0.52200000000000002</v>
      </c>
      <c r="F973" s="34">
        <v>1</v>
      </c>
      <c r="G973" s="40" t="s">
        <v>433</v>
      </c>
      <c r="H973" s="29">
        <v>1</v>
      </c>
      <c r="I973" s="9">
        <v>2</v>
      </c>
      <c r="J973" s="9">
        <v>2</v>
      </c>
      <c r="K973" s="9">
        <v>1</v>
      </c>
      <c r="L973" s="9">
        <v>1</v>
      </c>
      <c r="M973" s="9">
        <v>1</v>
      </c>
      <c r="N973" s="186">
        <f t="shared" si="78"/>
        <v>0.16933510251023262</v>
      </c>
      <c r="O973" s="160">
        <f t="shared" si="77"/>
        <v>0.19908580854301616</v>
      </c>
      <c r="P973" s="63" t="s">
        <v>1962</v>
      </c>
    </row>
    <row r="974" spans="1:16" s="827" customFormat="1" hidden="1">
      <c r="A974" s="625" t="s">
        <v>459</v>
      </c>
      <c r="B974" s="59" t="s">
        <v>258</v>
      </c>
      <c r="C974" s="40" t="s">
        <v>139</v>
      </c>
      <c r="D974" s="34" t="s">
        <v>99</v>
      </c>
      <c r="E974" s="260">
        <v>3.4000000000000002E-2</v>
      </c>
      <c r="F974" s="34">
        <v>2</v>
      </c>
      <c r="G974" s="40" t="s">
        <v>433</v>
      </c>
      <c r="H974" s="29">
        <v>1</v>
      </c>
      <c r="I974" s="9">
        <v>2</v>
      </c>
      <c r="J974" s="9">
        <v>2</v>
      </c>
      <c r="K974" s="9">
        <v>1</v>
      </c>
      <c r="L974" s="9">
        <v>1</v>
      </c>
      <c r="M974" s="9">
        <v>1</v>
      </c>
      <c r="N974" s="186">
        <f t="shared" si="78"/>
        <v>0.16933510251023262</v>
      </c>
      <c r="O974" s="160">
        <f t="shared" si="77"/>
        <v>0.19908580854301616</v>
      </c>
      <c r="P974" s="63" t="s">
        <v>1963</v>
      </c>
    </row>
    <row r="975" spans="1:16" s="827" customFormat="1" hidden="1">
      <c r="A975" s="625" t="s">
        <v>458</v>
      </c>
      <c r="B975" s="59" t="s">
        <v>461</v>
      </c>
      <c r="C975" s="40" t="s">
        <v>139</v>
      </c>
      <c r="D975" s="34" t="s">
        <v>99</v>
      </c>
      <c r="E975" s="260">
        <f>0.1*E969</f>
        <v>3.0000000000000001E-3</v>
      </c>
      <c r="F975" s="34">
        <v>2</v>
      </c>
      <c r="G975" s="40" t="s">
        <v>433</v>
      </c>
      <c r="H975" s="29">
        <v>1</v>
      </c>
      <c r="I975" s="9">
        <v>2</v>
      </c>
      <c r="J975" s="9">
        <v>2</v>
      </c>
      <c r="K975" s="9">
        <v>1</v>
      </c>
      <c r="L975" s="9">
        <v>1</v>
      </c>
      <c r="M975" s="9">
        <v>1</v>
      </c>
      <c r="N975" s="186">
        <f t="shared" si="78"/>
        <v>0.16933510251023262</v>
      </c>
      <c r="O975" s="160">
        <f t="shared" ref="O975:O1011" si="79">IF( OR( ISBLANK(I975),ISBLANK(J975), ISBLANK(K975), ISBLANK(L975), ISBLANK(M975) ), "", 1.5*SQRT( EXP(2.21*(I975-1)) + EXP(2.21*(J975-1)) + EXP(2.21*(K975-1)) + EXP(2.21*(L975-1)) + EXP(2.21*M975)   )/100*2.45 )</f>
        <v>0.19908580854301616</v>
      </c>
      <c r="P975" s="63" t="s">
        <v>856</v>
      </c>
    </row>
    <row r="976" spans="1:16" s="827" customFormat="1" hidden="1">
      <c r="A976" s="625" t="s">
        <v>458</v>
      </c>
      <c r="B976" s="59" t="s">
        <v>462</v>
      </c>
      <c r="C976" s="40" t="s">
        <v>139</v>
      </c>
      <c r="D976" s="34" t="s">
        <v>99</v>
      </c>
      <c r="E976" s="260" t="s">
        <v>150</v>
      </c>
      <c r="F976" s="34">
        <v>1</v>
      </c>
      <c r="G976" s="40" t="s">
        <v>433</v>
      </c>
      <c r="H976" s="29"/>
      <c r="I976" s="9"/>
      <c r="J976" s="9"/>
      <c r="K976" s="9"/>
      <c r="L976" s="9"/>
      <c r="M976" s="9"/>
      <c r="N976" s="186" t="str">
        <f t="shared" si="78"/>
        <v/>
      </c>
      <c r="O976" s="160" t="str">
        <f t="shared" si="79"/>
        <v/>
      </c>
      <c r="P976" s="63" t="s">
        <v>1940</v>
      </c>
    </row>
    <row r="977" spans="1:16" s="827" customFormat="1" hidden="1">
      <c r="A977" s="625" t="s">
        <v>461</v>
      </c>
      <c r="B977" s="59" t="s">
        <v>228</v>
      </c>
      <c r="C977" s="40" t="s">
        <v>139</v>
      </c>
      <c r="D977" s="34" t="s">
        <v>99</v>
      </c>
      <c r="E977" s="260">
        <v>1</v>
      </c>
      <c r="F977" s="34">
        <v>2</v>
      </c>
      <c r="G977" s="40" t="s">
        <v>433</v>
      </c>
      <c r="H977" s="29">
        <v>1</v>
      </c>
      <c r="I977" s="9">
        <v>2</v>
      </c>
      <c r="J977" s="9">
        <v>2</v>
      </c>
      <c r="K977" s="9">
        <v>1</v>
      </c>
      <c r="L977" s="9">
        <v>1</v>
      </c>
      <c r="M977" s="9">
        <v>1</v>
      </c>
      <c r="N977" s="186">
        <f t="shared" si="78"/>
        <v>0.16933510251023262</v>
      </c>
      <c r="O977" s="160">
        <f t="shared" si="79"/>
        <v>0.19908580854301616</v>
      </c>
      <c r="P977" s="63" t="s">
        <v>857</v>
      </c>
    </row>
    <row r="978" spans="1:16" s="827" customFormat="1" hidden="1">
      <c r="A978" s="625" t="s">
        <v>460</v>
      </c>
      <c r="B978" s="59" t="s">
        <v>231</v>
      </c>
      <c r="C978" s="40" t="s">
        <v>139</v>
      </c>
      <c r="D978" s="34" t="s">
        <v>99</v>
      </c>
      <c r="E978" s="260">
        <v>1.6000000000000001E-3</v>
      </c>
      <c r="F978" s="34">
        <v>2</v>
      </c>
      <c r="G978" s="40" t="s">
        <v>1997</v>
      </c>
      <c r="H978" s="29">
        <v>1</v>
      </c>
      <c r="I978" s="9">
        <v>2</v>
      </c>
      <c r="J978" s="9">
        <v>2</v>
      </c>
      <c r="K978" s="9">
        <v>1</v>
      </c>
      <c r="L978" s="9">
        <v>3</v>
      </c>
      <c r="M978" s="9">
        <v>3</v>
      </c>
      <c r="N978" s="186">
        <f t="shared" si="78"/>
        <v>1.0725046436742278</v>
      </c>
      <c r="O978" s="160">
        <f t="shared" si="79"/>
        <v>1.0776024280428556</v>
      </c>
      <c r="P978" s="63" t="s">
        <v>1976</v>
      </c>
    </row>
    <row r="979" spans="1:16" s="827" customFormat="1" hidden="1">
      <c r="A979" s="625" t="s">
        <v>460</v>
      </c>
      <c r="B979" s="59" t="s">
        <v>232</v>
      </c>
      <c r="C979" s="40" t="s">
        <v>139</v>
      </c>
      <c r="D979" s="34" t="s">
        <v>99</v>
      </c>
      <c r="E979" s="260">
        <v>1.26E-2</v>
      </c>
      <c r="F979" s="34">
        <v>2</v>
      </c>
      <c r="G979" s="40" t="s">
        <v>433</v>
      </c>
      <c r="H979" s="29">
        <v>1</v>
      </c>
      <c r="I979" s="9">
        <v>2</v>
      </c>
      <c r="J979" s="9">
        <v>2</v>
      </c>
      <c r="K979" s="9">
        <v>1</v>
      </c>
      <c r="L979" s="9">
        <v>1</v>
      </c>
      <c r="M979" s="9">
        <v>1</v>
      </c>
      <c r="N979" s="186">
        <f t="shared" si="78"/>
        <v>0.16933510251023262</v>
      </c>
      <c r="O979" s="160">
        <f t="shared" si="79"/>
        <v>0.19908580854301616</v>
      </c>
      <c r="P979" s="63" t="s">
        <v>1977</v>
      </c>
    </row>
    <row r="980" spans="1:16" s="827" customFormat="1" hidden="1">
      <c r="A980" s="625" t="s">
        <v>460</v>
      </c>
      <c r="B980" s="59" t="s">
        <v>251</v>
      </c>
      <c r="C980" s="40" t="s">
        <v>139</v>
      </c>
      <c r="D980" s="34" t="s">
        <v>99</v>
      </c>
      <c r="E980" s="260">
        <v>1.67E-2</v>
      </c>
      <c r="F980" s="34">
        <v>2</v>
      </c>
      <c r="G980" s="40" t="s">
        <v>433</v>
      </c>
      <c r="H980" s="29">
        <v>1</v>
      </c>
      <c r="I980" s="9">
        <v>2</v>
      </c>
      <c r="J980" s="9">
        <v>2</v>
      </c>
      <c r="K980" s="9">
        <v>1</v>
      </c>
      <c r="L980" s="9">
        <v>1</v>
      </c>
      <c r="M980" s="9">
        <v>1</v>
      </c>
      <c r="N980" s="186">
        <f t="shared" si="78"/>
        <v>0.16933510251023262</v>
      </c>
      <c r="O980" s="160">
        <f t="shared" si="79"/>
        <v>0.19908580854301616</v>
      </c>
      <c r="P980" s="63" t="s">
        <v>1981</v>
      </c>
    </row>
    <row r="981" spans="1:16" s="827" customFormat="1" hidden="1">
      <c r="A981" s="625" t="s">
        <v>460</v>
      </c>
      <c r="B981" s="59" t="s">
        <v>258</v>
      </c>
      <c r="C981" s="40" t="s">
        <v>139</v>
      </c>
      <c r="D981" s="34" t="s">
        <v>99</v>
      </c>
      <c r="E981" s="260">
        <v>1.1000000000000001E-3</v>
      </c>
      <c r="F981" s="34">
        <v>2</v>
      </c>
      <c r="G981" s="40" t="s">
        <v>433</v>
      </c>
      <c r="H981" s="29">
        <v>1</v>
      </c>
      <c r="I981" s="9">
        <v>2</v>
      </c>
      <c r="J981" s="9">
        <v>2</v>
      </c>
      <c r="K981" s="9">
        <v>1</v>
      </c>
      <c r="L981" s="9">
        <v>1</v>
      </c>
      <c r="M981" s="9">
        <v>1</v>
      </c>
      <c r="N981" s="186">
        <f t="shared" si="78"/>
        <v>0.16933510251023262</v>
      </c>
      <c r="O981" s="160">
        <f t="shared" si="79"/>
        <v>0.19908580854301616</v>
      </c>
      <c r="P981" s="63" t="s">
        <v>1978</v>
      </c>
    </row>
    <row r="982" spans="1:16" s="827" customFormat="1" hidden="1">
      <c r="A982" s="625" t="s">
        <v>460</v>
      </c>
      <c r="B982" s="59" t="s">
        <v>334</v>
      </c>
      <c r="C982" s="40" t="s">
        <v>139</v>
      </c>
      <c r="D982" s="34" t="s">
        <v>99</v>
      </c>
      <c r="E982" s="260" t="s">
        <v>150</v>
      </c>
      <c r="F982" s="34">
        <v>1</v>
      </c>
      <c r="G982" s="40" t="s">
        <v>433</v>
      </c>
      <c r="H982" s="29"/>
      <c r="I982" s="9"/>
      <c r="J982" s="9"/>
      <c r="K982" s="9"/>
      <c r="L982" s="9"/>
      <c r="M982" s="9"/>
      <c r="N982" s="186" t="str">
        <f t="shared" si="78"/>
        <v/>
      </c>
      <c r="O982" s="160" t="str">
        <f t="shared" si="79"/>
        <v/>
      </c>
      <c r="P982" s="63"/>
    </row>
    <row r="983" spans="1:16" s="827" customFormat="1" hidden="1">
      <c r="A983" s="625" t="s">
        <v>462</v>
      </c>
      <c r="B983" s="59" t="s">
        <v>228</v>
      </c>
      <c r="C983" s="40" t="s">
        <v>139</v>
      </c>
      <c r="D983" s="34" t="s">
        <v>99</v>
      </c>
      <c r="E983" s="260">
        <v>3.2000000000000001E-2</v>
      </c>
      <c r="F983" s="34">
        <v>2</v>
      </c>
      <c r="G983" s="40" t="s">
        <v>433</v>
      </c>
      <c r="H983" s="29">
        <v>1</v>
      </c>
      <c r="I983" s="9">
        <v>2</v>
      </c>
      <c r="J983" s="9">
        <v>2</v>
      </c>
      <c r="K983" s="9">
        <v>1</v>
      </c>
      <c r="L983" s="9">
        <v>1</v>
      </c>
      <c r="M983" s="9">
        <v>1</v>
      </c>
      <c r="N983" s="186">
        <f t="shared" si="78"/>
        <v>0.16933510251023262</v>
      </c>
      <c r="O983" s="160">
        <f t="shared" si="79"/>
        <v>0.19908580854301616</v>
      </c>
      <c r="P983" s="63" t="s">
        <v>861</v>
      </c>
    </row>
    <row r="984" spans="1:16" s="827" customFormat="1" hidden="1">
      <c r="A984" s="625" t="s">
        <v>462</v>
      </c>
      <c r="B984" s="59" t="s">
        <v>334</v>
      </c>
      <c r="C984" s="40" t="s">
        <v>139</v>
      </c>
      <c r="D984" s="34" t="s">
        <v>99</v>
      </c>
      <c r="E984" s="260" t="s">
        <v>150</v>
      </c>
      <c r="F984" s="34">
        <v>1</v>
      </c>
      <c r="G984" s="40" t="s">
        <v>433</v>
      </c>
      <c r="H984" s="29"/>
      <c r="I984" s="9"/>
      <c r="J984" s="9"/>
      <c r="K984" s="9"/>
      <c r="L984" s="9"/>
      <c r="M984" s="9"/>
      <c r="N984" s="186" t="str">
        <f t="shared" si="78"/>
        <v/>
      </c>
      <c r="O984" s="160" t="str">
        <f t="shared" si="79"/>
        <v/>
      </c>
      <c r="P984" s="63" t="s">
        <v>1941</v>
      </c>
    </row>
    <row r="985" spans="1:16" s="827" customFormat="1" hidden="1">
      <c r="A985" s="625" t="s">
        <v>435</v>
      </c>
      <c r="B985" s="59" t="s">
        <v>463</v>
      </c>
      <c r="C985" s="40" t="s">
        <v>139</v>
      </c>
      <c r="D985" s="34" t="s">
        <v>99</v>
      </c>
      <c r="E985" s="260">
        <f>0.97*0.25</f>
        <v>0.24249999999999999</v>
      </c>
      <c r="F985" s="34">
        <v>2</v>
      </c>
      <c r="G985" s="40" t="s">
        <v>433</v>
      </c>
      <c r="H985" s="29">
        <v>1</v>
      </c>
      <c r="I985" s="9">
        <v>2</v>
      </c>
      <c r="J985" s="9">
        <v>2</v>
      </c>
      <c r="K985" s="9">
        <v>1</v>
      </c>
      <c r="L985" s="9">
        <v>1</v>
      </c>
      <c r="M985" s="9">
        <v>1</v>
      </c>
      <c r="N985" s="186">
        <f t="shared" si="78"/>
        <v>0.16933510251023262</v>
      </c>
      <c r="O985" s="160">
        <f t="shared" si="79"/>
        <v>0.19908580854301616</v>
      </c>
      <c r="P985" s="63" t="s">
        <v>862</v>
      </c>
    </row>
    <row r="986" spans="1:16" s="827" customFormat="1" hidden="1">
      <c r="A986" s="625" t="s">
        <v>435</v>
      </c>
      <c r="B986" s="59" t="s">
        <v>464</v>
      </c>
      <c r="C986" s="40" t="s">
        <v>139</v>
      </c>
      <c r="D986" s="34" t="s">
        <v>99</v>
      </c>
      <c r="E986" s="260">
        <f>0.97*0.75</f>
        <v>0.72750000000000004</v>
      </c>
      <c r="F986" s="34">
        <v>2</v>
      </c>
      <c r="G986" s="40" t="s">
        <v>433</v>
      </c>
      <c r="H986" s="29">
        <v>1</v>
      </c>
      <c r="I986" s="9">
        <v>2</v>
      </c>
      <c r="J986" s="9">
        <v>2</v>
      </c>
      <c r="K986" s="9">
        <v>1</v>
      </c>
      <c r="L986" s="9">
        <v>1</v>
      </c>
      <c r="M986" s="9">
        <v>1</v>
      </c>
      <c r="N986" s="186">
        <f t="shared" si="78"/>
        <v>0.16933510251023262</v>
      </c>
      <c r="O986" s="160">
        <f t="shared" si="79"/>
        <v>0.19908580854301616</v>
      </c>
      <c r="P986" s="63" t="s">
        <v>863</v>
      </c>
    </row>
    <row r="987" spans="1:16" s="827" customFormat="1" hidden="1">
      <c r="A987" s="625" t="s">
        <v>435</v>
      </c>
      <c r="B987" s="59" t="s">
        <v>223</v>
      </c>
      <c r="C987" s="40" t="s">
        <v>139</v>
      </c>
      <c r="D987" s="34" t="s">
        <v>99</v>
      </c>
      <c r="E987" s="260">
        <v>0.03</v>
      </c>
      <c r="F987" s="34">
        <v>1</v>
      </c>
      <c r="G987" s="40" t="s">
        <v>433</v>
      </c>
      <c r="H987" s="29">
        <v>1</v>
      </c>
      <c r="I987" s="9">
        <v>2</v>
      </c>
      <c r="J987" s="9">
        <v>2</v>
      </c>
      <c r="K987" s="9">
        <v>1</v>
      </c>
      <c r="L987" s="9">
        <v>1</v>
      </c>
      <c r="M987" s="9">
        <v>1</v>
      </c>
      <c r="N987" s="186">
        <f t="shared" si="78"/>
        <v>0.16933510251023262</v>
      </c>
      <c r="O987" s="160">
        <f t="shared" si="79"/>
        <v>0.19908580854301616</v>
      </c>
      <c r="P987" s="63" t="s">
        <v>854</v>
      </c>
    </row>
    <row r="988" spans="1:16" s="827" customFormat="1" hidden="1">
      <c r="A988" s="625" t="s">
        <v>463</v>
      </c>
      <c r="B988" s="59" t="s">
        <v>466</v>
      </c>
      <c r="C988" s="40" t="s">
        <v>139</v>
      </c>
      <c r="D988" s="34" t="s">
        <v>99</v>
      </c>
      <c r="E988" s="260">
        <v>0.03</v>
      </c>
      <c r="F988" s="34">
        <v>2</v>
      </c>
      <c r="G988" s="40" t="s">
        <v>433</v>
      </c>
      <c r="H988" s="29">
        <v>1</v>
      </c>
      <c r="I988" s="9">
        <v>2</v>
      </c>
      <c r="J988" s="9">
        <v>2</v>
      </c>
      <c r="K988" s="9">
        <v>1</v>
      </c>
      <c r="L988" s="9">
        <v>1</v>
      </c>
      <c r="M988" s="9">
        <v>1</v>
      </c>
      <c r="N988" s="186">
        <f t="shared" si="78"/>
        <v>0.16933510251023262</v>
      </c>
      <c r="O988" s="160">
        <f t="shared" si="79"/>
        <v>0.19908580854301616</v>
      </c>
      <c r="P988" s="63" t="s">
        <v>855</v>
      </c>
    </row>
    <row r="989" spans="1:16" s="827" customFormat="1" hidden="1">
      <c r="A989" s="625" t="s">
        <v>463</v>
      </c>
      <c r="B989" s="59" t="s">
        <v>467</v>
      </c>
      <c r="C989" s="40" t="s">
        <v>139</v>
      </c>
      <c r="D989" s="34" t="s">
        <v>99</v>
      </c>
      <c r="E989" s="260" t="s">
        <v>150</v>
      </c>
      <c r="F989" s="34">
        <v>1</v>
      </c>
      <c r="G989" s="40" t="s">
        <v>433</v>
      </c>
      <c r="H989" s="29"/>
      <c r="I989" s="9"/>
      <c r="J989" s="9"/>
      <c r="K989" s="9"/>
      <c r="L989" s="9"/>
      <c r="M989" s="9"/>
      <c r="N989" s="186" t="str">
        <f t="shared" ref="N989:N1011" si="80">IF( OR( ISBLANK(H989),ISBLANK(J989), ISBLANK(K989), ISBLANK(L989), ISBLANK(M989) ), "", 1.5*SQRT(   EXP(2.21*(H989-1)) + EXP(2.21*(J989-1)) + EXP(2.21*(K989-1)) + EXP(2.21*(L989-1)) + EXP(2.21*M989)   )/100*2.45 )</f>
        <v/>
      </c>
      <c r="O989" s="160" t="str">
        <f t="shared" si="79"/>
        <v/>
      </c>
      <c r="P989" s="63" t="s">
        <v>1942</v>
      </c>
    </row>
    <row r="990" spans="1:16" s="827" customFormat="1" hidden="1">
      <c r="A990" s="625" t="s">
        <v>466</v>
      </c>
      <c r="B990" s="59" t="s">
        <v>231</v>
      </c>
      <c r="C990" s="40" t="s">
        <v>139</v>
      </c>
      <c r="D990" s="34" t="s">
        <v>99</v>
      </c>
      <c r="E990" s="260">
        <v>0.05</v>
      </c>
      <c r="F990" s="34">
        <v>2</v>
      </c>
      <c r="G990" s="40" t="s">
        <v>157</v>
      </c>
      <c r="H990" s="29">
        <v>1</v>
      </c>
      <c r="I990" s="9">
        <v>2</v>
      </c>
      <c r="J990" s="9">
        <v>2</v>
      </c>
      <c r="K990" s="9">
        <v>1</v>
      </c>
      <c r="L990" s="9">
        <v>3</v>
      </c>
      <c r="M990" s="9">
        <v>3</v>
      </c>
      <c r="N990" s="186">
        <f t="shared" si="80"/>
        <v>1.0725046436742278</v>
      </c>
      <c r="O990" s="160">
        <f t="shared" si="79"/>
        <v>1.0776024280428556</v>
      </c>
      <c r="P990" s="63" t="s">
        <v>1937</v>
      </c>
    </row>
    <row r="991" spans="1:16" s="827" customFormat="1" hidden="1">
      <c r="A991" s="625" t="s">
        <v>466</v>
      </c>
      <c r="B991" s="59" t="s">
        <v>232</v>
      </c>
      <c r="C991" s="40" t="s">
        <v>139</v>
      </c>
      <c r="D991" s="34" t="s">
        <v>99</v>
      </c>
      <c r="E991" s="260">
        <v>0.39400000000000002</v>
      </c>
      <c r="F991" s="34">
        <v>2</v>
      </c>
      <c r="G991" s="40" t="s">
        <v>433</v>
      </c>
      <c r="H991" s="29">
        <v>1</v>
      </c>
      <c r="I991" s="9">
        <v>2</v>
      </c>
      <c r="J991" s="9">
        <v>2</v>
      </c>
      <c r="K991" s="9">
        <v>1</v>
      </c>
      <c r="L991" s="9">
        <v>1</v>
      </c>
      <c r="M991" s="9">
        <v>1</v>
      </c>
      <c r="N991" s="186">
        <f t="shared" si="80"/>
        <v>0.16933510251023262</v>
      </c>
      <c r="O991" s="160">
        <f t="shared" si="79"/>
        <v>0.19908580854301616</v>
      </c>
      <c r="P991" s="63" t="s">
        <v>1961</v>
      </c>
    </row>
    <row r="992" spans="1:16" s="827" customFormat="1" hidden="1">
      <c r="A992" s="625" t="s">
        <v>466</v>
      </c>
      <c r="B992" s="59" t="s">
        <v>251</v>
      </c>
      <c r="C992" s="40" t="s">
        <v>139</v>
      </c>
      <c r="D992" s="34" t="s">
        <v>99</v>
      </c>
      <c r="E992" s="260">
        <v>0.52200000000000002</v>
      </c>
      <c r="F992" s="34">
        <v>1</v>
      </c>
      <c r="G992" s="40" t="s">
        <v>433</v>
      </c>
      <c r="H992" s="29">
        <v>1</v>
      </c>
      <c r="I992" s="9">
        <v>2</v>
      </c>
      <c r="J992" s="9">
        <v>2</v>
      </c>
      <c r="K992" s="9">
        <v>1</v>
      </c>
      <c r="L992" s="9">
        <v>1</v>
      </c>
      <c r="M992" s="9">
        <v>1</v>
      </c>
      <c r="N992" s="186">
        <f t="shared" si="80"/>
        <v>0.16933510251023262</v>
      </c>
      <c r="O992" s="160">
        <f t="shared" si="79"/>
        <v>0.19908580854301616</v>
      </c>
      <c r="P992" s="63" t="s">
        <v>1962</v>
      </c>
    </row>
    <row r="993" spans="1:16" s="827" customFormat="1" hidden="1">
      <c r="A993" s="625" t="s">
        <v>466</v>
      </c>
      <c r="B993" s="59" t="s">
        <v>258</v>
      </c>
      <c r="C993" s="40" t="s">
        <v>139</v>
      </c>
      <c r="D993" s="34" t="s">
        <v>99</v>
      </c>
      <c r="E993" s="260">
        <v>3.4000000000000002E-2</v>
      </c>
      <c r="F993" s="34">
        <v>2</v>
      </c>
      <c r="G993" s="40" t="s">
        <v>433</v>
      </c>
      <c r="H993" s="29">
        <v>1</v>
      </c>
      <c r="I993" s="9">
        <v>2</v>
      </c>
      <c r="J993" s="9">
        <v>2</v>
      </c>
      <c r="K993" s="9">
        <v>1</v>
      </c>
      <c r="L993" s="9">
        <v>1</v>
      </c>
      <c r="M993" s="9">
        <v>1</v>
      </c>
      <c r="N993" s="186">
        <f t="shared" si="80"/>
        <v>0.16933510251023262</v>
      </c>
      <c r="O993" s="160">
        <f t="shared" si="79"/>
        <v>0.19908580854301616</v>
      </c>
      <c r="P993" s="63" t="s">
        <v>1963</v>
      </c>
    </row>
    <row r="994" spans="1:16" s="827" customFormat="1" hidden="1">
      <c r="A994" s="625" t="s">
        <v>464</v>
      </c>
      <c r="B994" s="59" t="s">
        <v>468</v>
      </c>
      <c r="C994" s="40" t="s">
        <v>139</v>
      </c>
      <c r="D994" s="34" t="s">
        <v>99</v>
      </c>
      <c r="E994" s="260">
        <f>0.1*E988</f>
        <v>3.0000000000000001E-3</v>
      </c>
      <c r="F994" s="34">
        <v>2</v>
      </c>
      <c r="G994" s="40" t="s">
        <v>433</v>
      </c>
      <c r="H994" s="29">
        <v>1</v>
      </c>
      <c r="I994" s="9">
        <v>2</v>
      </c>
      <c r="J994" s="9">
        <v>2</v>
      </c>
      <c r="K994" s="9">
        <v>1</v>
      </c>
      <c r="L994" s="9">
        <v>1</v>
      </c>
      <c r="M994" s="9">
        <v>1</v>
      </c>
      <c r="N994" s="186">
        <f t="shared" si="80"/>
        <v>0.16933510251023262</v>
      </c>
      <c r="O994" s="160">
        <f t="shared" si="79"/>
        <v>0.19908580854301616</v>
      </c>
      <c r="P994" s="63" t="s">
        <v>856</v>
      </c>
    </row>
    <row r="995" spans="1:16" s="827" customFormat="1" hidden="1">
      <c r="A995" s="625" t="s">
        <v>464</v>
      </c>
      <c r="B995" s="59" t="s">
        <v>469</v>
      </c>
      <c r="C995" s="40" t="s">
        <v>139</v>
      </c>
      <c r="D995" s="34" t="s">
        <v>99</v>
      </c>
      <c r="E995" s="260" t="s">
        <v>150</v>
      </c>
      <c r="F995" s="34">
        <v>1</v>
      </c>
      <c r="G995" s="40" t="s">
        <v>433</v>
      </c>
      <c r="H995" s="29"/>
      <c r="I995" s="9"/>
      <c r="J995" s="9"/>
      <c r="K995" s="9"/>
      <c r="L995" s="9"/>
      <c r="M995" s="9"/>
      <c r="N995" s="186" t="str">
        <f t="shared" si="80"/>
        <v/>
      </c>
      <c r="O995" s="160" t="str">
        <f t="shared" si="79"/>
        <v/>
      </c>
      <c r="P995" s="63" t="s">
        <v>1942</v>
      </c>
    </row>
    <row r="996" spans="1:16" s="827" customFormat="1" hidden="1">
      <c r="A996" s="625" t="s">
        <v>468</v>
      </c>
      <c r="B996" s="59" t="s">
        <v>228</v>
      </c>
      <c r="C996" s="40" t="s">
        <v>139</v>
      </c>
      <c r="D996" s="34" t="s">
        <v>99</v>
      </c>
      <c r="E996" s="260">
        <v>1</v>
      </c>
      <c r="F996" s="34">
        <v>2</v>
      </c>
      <c r="G996" s="40" t="s">
        <v>433</v>
      </c>
      <c r="H996" s="29">
        <v>1</v>
      </c>
      <c r="I996" s="9">
        <v>2</v>
      </c>
      <c r="J996" s="9">
        <v>2</v>
      </c>
      <c r="K996" s="9">
        <v>1</v>
      </c>
      <c r="L996" s="9">
        <v>1</v>
      </c>
      <c r="M996" s="9">
        <v>1</v>
      </c>
      <c r="N996" s="186">
        <f t="shared" si="80"/>
        <v>0.16933510251023262</v>
      </c>
      <c r="O996" s="160">
        <f t="shared" si="79"/>
        <v>0.19908580854301616</v>
      </c>
      <c r="P996" s="63" t="s">
        <v>857</v>
      </c>
    </row>
    <row r="997" spans="1:16" s="827" customFormat="1" hidden="1">
      <c r="A997" s="625" t="s">
        <v>467</v>
      </c>
      <c r="B997" s="59" t="s">
        <v>231</v>
      </c>
      <c r="C997" s="40" t="s">
        <v>139</v>
      </c>
      <c r="D997" s="34" t="s">
        <v>99</v>
      </c>
      <c r="E997" s="260">
        <v>1.6000000000000001E-3</v>
      </c>
      <c r="F997" s="34">
        <v>2</v>
      </c>
      <c r="G997" s="40" t="s">
        <v>1997</v>
      </c>
      <c r="H997" s="29">
        <v>1</v>
      </c>
      <c r="I997" s="9">
        <v>2</v>
      </c>
      <c r="J997" s="9">
        <v>2</v>
      </c>
      <c r="K997" s="9">
        <v>1</v>
      </c>
      <c r="L997" s="9">
        <v>3</v>
      </c>
      <c r="M997" s="9">
        <v>3</v>
      </c>
      <c r="N997" s="186">
        <f t="shared" si="80"/>
        <v>1.0725046436742278</v>
      </c>
      <c r="O997" s="160">
        <f t="shared" si="79"/>
        <v>1.0776024280428556</v>
      </c>
      <c r="P997" s="63" t="s">
        <v>1970</v>
      </c>
    </row>
    <row r="998" spans="1:16" s="827" customFormat="1" hidden="1">
      <c r="A998" s="625" t="s">
        <v>467</v>
      </c>
      <c r="B998" s="59" t="s">
        <v>232</v>
      </c>
      <c r="C998" s="40" t="s">
        <v>139</v>
      </c>
      <c r="D998" s="34" t="s">
        <v>99</v>
      </c>
      <c r="E998" s="260">
        <v>1.26E-2</v>
      </c>
      <c r="F998" s="34">
        <v>2</v>
      </c>
      <c r="G998" s="40" t="s">
        <v>433</v>
      </c>
      <c r="H998" s="29">
        <v>1</v>
      </c>
      <c r="I998" s="9">
        <v>2</v>
      </c>
      <c r="J998" s="9">
        <v>2</v>
      </c>
      <c r="K998" s="9">
        <v>1</v>
      </c>
      <c r="L998" s="9">
        <v>1</v>
      </c>
      <c r="M998" s="9">
        <v>1</v>
      </c>
      <c r="N998" s="186">
        <f t="shared" si="80"/>
        <v>0.16933510251023262</v>
      </c>
      <c r="O998" s="160">
        <f t="shared" si="79"/>
        <v>0.19908580854301616</v>
      </c>
      <c r="P998" s="63" t="s">
        <v>1971</v>
      </c>
    </row>
    <row r="999" spans="1:16" s="827" customFormat="1" hidden="1">
      <c r="A999" s="625" t="s">
        <v>467</v>
      </c>
      <c r="B999" s="59" t="s">
        <v>251</v>
      </c>
      <c r="C999" s="40" t="s">
        <v>139</v>
      </c>
      <c r="D999" s="34" t="s">
        <v>99</v>
      </c>
      <c r="E999" s="260">
        <v>1.67E-2</v>
      </c>
      <c r="F999" s="34">
        <v>2</v>
      </c>
      <c r="G999" s="40" t="s">
        <v>433</v>
      </c>
      <c r="H999" s="29">
        <v>1</v>
      </c>
      <c r="I999" s="9">
        <v>2</v>
      </c>
      <c r="J999" s="9">
        <v>2</v>
      </c>
      <c r="K999" s="9">
        <v>1</v>
      </c>
      <c r="L999" s="9">
        <v>1</v>
      </c>
      <c r="M999" s="9">
        <v>1</v>
      </c>
      <c r="N999" s="186">
        <f t="shared" si="80"/>
        <v>0.16933510251023262</v>
      </c>
      <c r="O999" s="160">
        <f t="shared" si="79"/>
        <v>0.19908580854301616</v>
      </c>
      <c r="P999" s="63" t="s">
        <v>1982</v>
      </c>
    </row>
    <row r="1000" spans="1:16" s="827" customFormat="1" hidden="1">
      <c r="A1000" s="625" t="s">
        <v>467</v>
      </c>
      <c r="B1000" s="59" t="s">
        <v>258</v>
      </c>
      <c r="C1000" s="40" t="s">
        <v>139</v>
      </c>
      <c r="D1000" s="34" t="s">
        <v>99</v>
      </c>
      <c r="E1000" s="260">
        <v>1.1000000000000001E-3</v>
      </c>
      <c r="F1000" s="34">
        <v>2</v>
      </c>
      <c r="G1000" s="40" t="s">
        <v>433</v>
      </c>
      <c r="H1000" s="29">
        <v>1</v>
      </c>
      <c r="I1000" s="9">
        <v>2</v>
      </c>
      <c r="J1000" s="9">
        <v>2</v>
      </c>
      <c r="K1000" s="9">
        <v>1</v>
      </c>
      <c r="L1000" s="9">
        <v>1</v>
      </c>
      <c r="M1000" s="9">
        <v>1</v>
      </c>
      <c r="N1000" s="186">
        <f t="shared" si="80"/>
        <v>0.16933510251023262</v>
      </c>
      <c r="O1000" s="160">
        <f t="shared" si="79"/>
        <v>0.19908580854301616</v>
      </c>
      <c r="P1000" s="63" t="s">
        <v>1972</v>
      </c>
    </row>
    <row r="1001" spans="1:16" s="827" customFormat="1" hidden="1">
      <c r="A1001" s="625" t="s">
        <v>467</v>
      </c>
      <c r="B1001" s="59" t="s">
        <v>334</v>
      </c>
      <c r="C1001" s="40" t="s">
        <v>139</v>
      </c>
      <c r="D1001" s="34" t="s">
        <v>99</v>
      </c>
      <c r="E1001" s="260" t="s">
        <v>150</v>
      </c>
      <c r="F1001" s="34">
        <v>1</v>
      </c>
      <c r="G1001" s="40" t="s">
        <v>433</v>
      </c>
      <c r="H1001" s="29"/>
      <c r="I1001" s="9"/>
      <c r="J1001" s="9"/>
      <c r="K1001" s="9"/>
      <c r="L1001" s="9"/>
      <c r="M1001" s="9"/>
      <c r="N1001" s="186" t="str">
        <f t="shared" si="80"/>
        <v/>
      </c>
      <c r="O1001" s="160" t="str">
        <f t="shared" si="79"/>
        <v/>
      </c>
      <c r="P1001" s="63"/>
    </row>
    <row r="1002" spans="1:16" s="827" customFormat="1" hidden="1">
      <c r="A1002" s="625" t="s">
        <v>469</v>
      </c>
      <c r="B1002" s="59" t="s">
        <v>228</v>
      </c>
      <c r="C1002" s="40" t="s">
        <v>139</v>
      </c>
      <c r="D1002" s="34" t="s">
        <v>99</v>
      </c>
      <c r="E1002" s="260">
        <v>3.2000000000000001E-2</v>
      </c>
      <c r="F1002" s="34">
        <v>2</v>
      </c>
      <c r="G1002" s="40" t="s">
        <v>433</v>
      </c>
      <c r="H1002" s="29">
        <v>1</v>
      </c>
      <c r="I1002" s="9">
        <v>2</v>
      </c>
      <c r="J1002" s="9">
        <v>2</v>
      </c>
      <c r="K1002" s="9">
        <v>1</v>
      </c>
      <c r="L1002" s="9">
        <v>1</v>
      </c>
      <c r="M1002" s="9">
        <v>1</v>
      </c>
      <c r="N1002" s="186">
        <f t="shared" si="80"/>
        <v>0.16933510251023262</v>
      </c>
      <c r="O1002" s="160">
        <f t="shared" si="79"/>
        <v>0.19908580854301616</v>
      </c>
      <c r="P1002" s="63" t="s">
        <v>861</v>
      </c>
    </row>
    <row r="1003" spans="1:16" s="827" customFormat="1" hidden="1">
      <c r="A1003" s="625" t="s">
        <v>469</v>
      </c>
      <c r="B1003" s="59" t="s">
        <v>334</v>
      </c>
      <c r="C1003" s="40" t="s">
        <v>139</v>
      </c>
      <c r="D1003" s="34" t="s">
        <v>99</v>
      </c>
      <c r="E1003" s="260" t="s">
        <v>150</v>
      </c>
      <c r="F1003" s="34">
        <v>1</v>
      </c>
      <c r="G1003" s="40" t="s">
        <v>433</v>
      </c>
      <c r="H1003" s="29"/>
      <c r="I1003" s="9"/>
      <c r="J1003" s="9"/>
      <c r="K1003" s="9"/>
      <c r="L1003" s="9"/>
      <c r="M1003" s="9"/>
      <c r="N1003" s="186" t="str">
        <f t="shared" si="80"/>
        <v/>
      </c>
      <c r="O1003" s="160" t="str">
        <f t="shared" si="79"/>
        <v/>
      </c>
      <c r="P1003" s="63" t="s">
        <v>1943</v>
      </c>
    </row>
    <row r="1004" spans="1:16" s="827" customFormat="1" hidden="1">
      <c r="A1004" s="625" t="s">
        <v>436</v>
      </c>
      <c r="B1004" s="59" t="s">
        <v>470</v>
      </c>
      <c r="C1004" s="40" t="s">
        <v>139</v>
      </c>
      <c r="D1004" s="34" t="s">
        <v>99</v>
      </c>
      <c r="E1004" s="260">
        <f>0.97*0.07</f>
        <v>6.7900000000000002E-2</v>
      </c>
      <c r="F1004" s="34">
        <v>2</v>
      </c>
      <c r="G1004" s="40" t="s">
        <v>433</v>
      </c>
      <c r="H1004" s="29">
        <v>1</v>
      </c>
      <c r="I1004" s="9">
        <v>2</v>
      </c>
      <c r="J1004" s="9">
        <v>2</v>
      </c>
      <c r="K1004" s="9">
        <v>1</v>
      </c>
      <c r="L1004" s="9">
        <v>1</v>
      </c>
      <c r="M1004" s="9">
        <v>1</v>
      </c>
      <c r="N1004" s="186">
        <f t="shared" si="80"/>
        <v>0.16933510251023262</v>
      </c>
      <c r="O1004" s="160">
        <f t="shared" si="79"/>
        <v>0.19908580854301616</v>
      </c>
      <c r="P1004" s="63" t="s">
        <v>864</v>
      </c>
    </row>
    <row r="1005" spans="1:16" s="827" customFormat="1" hidden="1">
      <c r="A1005" s="625" t="s">
        <v>436</v>
      </c>
      <c r="B1005" s="59" t="s">
        <v>471</v>
      </c>
      <c r="C1005" s="40" t="s">
        <v>139</v>
      </c>
      <c r="D1005" s="34" t="s">
        <v>99</v>
      </c>
      <c r="E1005" s="260">
        <f>0.97*0.93</f>
        <v>0.90210000000000001</v>
      </c>
      <c r="F1005" s="34">
        <v>2</v>
      </c>
      <c r="G1005" s="40" t="s">
        <v>433</v>
      </c>
      <c r="H1005" s="29">
        <v>1</v>
      </c>
      <c r="I1005" s="9">
        <v>2</v>
      </c>
      <c r="J1005" s="9">
        <v>2</v>
      </c>
      <c r="K1005" s="9">
        <v>1</v>
      </c>
      <c r="L1005" s="9">
        <v>1</v>
      </c>
      <c r="M1005" s="9">
        <v>1</v>
      </c>
      <c r="N1005" s="186">
        <f t="shared" si="80"/>
        <v>0.16933510251023262</v>
      </c>
      <c r="O1005" s="160">
        <f t="shared" si="79"/>
        <v>0.19908580854301616</v>
      </c>
      <c r="P1005" s="63" t="s">
        <v>865</v>
      </c>
    </row>
    <row r="1006" spans="1:16" s="827" customFormat="1" hidden="1">
      <c r="A1006" s="625" t="s">
        <v>436</v>
      </c>
      <c r="B1006" s="59" t="s">
        <v>223</v>
      </c>
      <c r="C1006" s="40" t="s">
        <v>139</v>
      </c>
      <c r="D1006" s="34" t="s">
        <v>99</v>
      </c>
      <c r="E1006" s="260">
        <v>0.03</v>
      </c>
      <c r="F1006" s="34">
        <v>1</v>
      </c>
      <c r="G1006" s="40" t="s">
        <v>433</v>
      </c>
      <c r="H1006" s="29">
        <v>1</v>
      </c>
      <c r="I1006" s="9">
        <v>2</v>
      </c>
      <c r="J1006" s="9">
        <v>2</v>
      </c>
      <c r="K1006" s="9">
        <v>1</v>
      </c>
      <c r="L1006" s="9">
        <v>1</v>
      </c>
      <c r="M1006" s="9">
        <v>1</v>
      </c>
      <c r="N1006" s="186">
        <f t="shared" si="80"/>
        <v>0.16933510251023262</v>
      </c>
      <c r="O1006" s="160">
        <f t="shared" si="79"/>
        <v>0.19908580854301616</v>
      </c>
      <c r="P1006" s="63" t="s">
        <v>854</v>
      </c>
    </row>
    <row r="1007" spans="1:16" s="827" customFormat="1" hidden="1">
      <c r="A1007" s="625" t="s">
        <v>470</v>
      </c>
      <c r="B1007" s="59" t="s">
        <v>473</v>
      </c>
      <c r="C1007" s="40" t="s">
        <v>139</v>
      </c>
      <c r="D1007" s="34" t="s">
        <v>99</v>
      </c>
      <c r="E1007" s="260">
        <v>0.03</v>
      </c>
      <c r="F1007" s="34">
        <v>2</v>
      </c>
      <c r="G1007" s="40" t="s">
        <v>433</v>
      </c>
      <c r="H1007" s="29">
        <v>1</v>
      </c>
      <c r="I1007" s="9">
        <v>2</v>
      </c>
      <c r="J1007" s="9">
        <v>2</v>
      </c>
      <c r="K1007" s="9">
        <v>1</v>
      </c>
      <c r="L1007" s="9">
        <v>1</v>
      </c>
      <c r="M1007" s="9">
        <v>1</v>
      </c>
      <c r="N1007" s="186">
        <f t="shared" si="80"/>
        <v>0.16933510251023262</v>
      </c>
      <c r="O1007" s="160">
        <f t="shared" si="79"/>
        <v>0.19908580854301616</v>
      </c>
      <c r="P1007" s="63" t="s">
        <v>855</v>
      </c>
    </row>
    <row r="1008" spans="1:16" s="827" customFormat="1" hidden="1">
      <c r="A1008" s="625" t="s">
        <v>470</v>
      </c>
      <c r="B1008" s="59" t="s">
        <v>474</v>
      </c>
      <c r="C1008" s="40" t="s">
        <v>139</v>
      </c>
      <c r="D1008" s="34" t="s">
        <v>99</v>
      </c>
      <c r="E1008" s="260" t="s">
        <v>150</v>
      </c>
      <c r="F1008" s="34">
        <v>1</v>
      </c>
      <c r="G1008" s="40" t="s">
        <v>433</v>
      </c>
      <c r="H1008" s="29"/>
      <c r="I1008" s="9"/>
      <c r="J1008" s="9"/>
      <c r="K1008" s="9"/>
      <c r="L1008" s="9"/>
      <c r="M1008" s="9"/>
      <c r="N1008" s="186" t="str">
        <f t="shared" si="80"/>
        <v/>
      </c>
      <c r="O1008" s="160" t="str">
        <f t="shared" si="79"/>
        <v/>
      </c>
      <c r="P1008" s="63" t="s">
        <v>1944</v>
      </c>
    </row>
    <row r="1009" spans="1:16" s="827" customFormat="1" hidden="1">
      <c r="A1009" s="625" t="s">
        <v>473</v>
      </c>
      <c r="B1009" s="59" t="s">
        <v>231</v>
      </c>
      <c r="C1009" s="40" t="s">
        <v>139</v>
      </c>
      <c r="D1009" s="34" t="s">
        <v>99</v>
      </c>
      <c r="E1009" s="260">
        <v>0.05</v>
      </c>
      <c r="F1009" s="34">
        <v>2</v>
      </c>
      <c r="G1009" s="40" t="s">
        <v>157</v>
      </c>
      <c r="H1009" s="29">
        <v>1</v>
      </c>
      <c r="I1009" s="9">
        <v>2</v>
      </c>
      <c r="J1009" s="9">
        <v>2</v>
      </c>
      <c r="K1009" s="9">
        <v>1</v>
      </c>
      <c r="L1009" s="9">
        <v>3</v>
      </c>
      <c r="M1009" s="9">
        <v>3</v>
      </c>
      <c r="N1009" s="186">
        <f t="shared" si="80"/>
        <v>1.0725046436742278</v>
      </c>
      <c r="O1009" s="160">
        <f t="shared" si="79"/>
        <v>1.0776024280428556</v>
      </c>
      <c r="P1009" s="63" t="s">
        <v>1937</v>
      </c>
    </row>
    <row r="1010" spans="1:16" s="827" customFormat="1" hidden="1">
      <c r="A1010" s="625" t="s">
        <v>473</v>
      </c>
      <c r="B1010" s="59" t="s">
        <v>232</v>
      </c>
      <c r="C1010" s="40" t="s">
        <v>139</v>
      </c>
      <c r="D1010" s="34" t="s">
        <v>99</v>
      </c>
      <c r="E1010" s="260">
        <v>0.39400000000000002</v>
      </c>
      <c r="F1010" s="34">
        <v>2</v>
      </c>
      <c r="G1010" s="40" t="s">
        <v>433</v>
      </c>
      <c r="H1010" s="29">
        <v>1</v>
      </c>
      <c r="I1010" s="9">
        <v>2</v>
      </c>
      <c r="J1010" s="9">
        <v>2</v>
      </c>
      <c r="K1010" s="9">
        <v>1</v>
      </c>
      <c r="L1010" s="9">
        <v>1</v>
      </c>
      <c r="M1010" s="9">
        <v>1</v>
      </c>
      <c r="N1010" s="186">
        <f t="shared" si="80"/>
        <v>0.16933510251023262</v>
      </c>
      <c r="O1010" s="160">
        <f t="shared" si="79"/>
        <v>0.19908580854301616</v>
      </c>
      <c r="P1010" s="63" t="s">
        <v>1961</v>
      </c>
    </row>
    <row r="1011" spans="1:16" s="827" customFormat="1" hidden="1">
      <c r="A1011" s="625" t="s">
        <v>473</v>
      </c>
      <c r="B1011" s="59" t="s">
        <v>251</v>
      </c>
      <c r="C1011" s="40" t="s">
        <v>139</v>
      </c>
      <c r="D1011" s="34" t="s">
        <v>99</v>
      </c>
      <c r="E1011" s="260">
        <v>0.52200000000000002</v>
      </c>
      <c r="F1011" s="34">
        <v>1</v>
      </c>
      <c r="G1011" s="40" t="s">
        <v>433</v>
      </c>
      <c r="H1011" s="29">
        <v>1</v>
      </c>
      <c r="I1011" s="9">
        <v>2</v>
      </c>
      <c r="J1011" s="9">
        <v>2</v>
      </c>
      <c r="K1011" s="9">
        <v>1</v>
      </c>
      <c r="L1011" s="9">
        <v>1</v>
      </c>
      <c r="M1011" s="9">
        <v>1</v>
      </c>
      <c r="N1011" s="186">
        <f t="shared" si="80"/>
        <v>0.16933510251023262</v>
      </c>
      <c r="O1011" s="160">
        <f t="shared" si="79"/>
        <v>0.19908580854301616</v>
      </c>
      <c r="P1011" s="63" t="s">
        <v>1962</v>
      </c>
    </row>
    <row r="1012" spans="1:16" s="827" customFormat="1" hidden="1">
      <c r="A1012" s="625" t="s">
        <v>473</v>
      </c>
      <c r="B1012" s="59" t="s">
        <v>258</v>
      </c>
      <c r="C1012" s="40" t="s">
        <v>139</v>
      </c>
      <c r="D1012" s="34" t="s">
        <v>99</v>
      </c>
      <c r="E1012" s="260">
        <v>3.4000000000000002E-2</v>
      </c>
      <c r="F1012" s="34">
        <v>2</v>
      </c>
      <c r="G1012" s="40" t="s">
        <v>433</v>
      </c>
      <c r="H1012" s="29">
        <v>1</v>
      </c>
      <c r="I1012" s="9">
        <v>2</v>
      </c>
      <c r="J1012" s="9">
        <v>2</v>
      </c>
      <c r="K1012" s="9">
        <v>1</v>
      </c>
      <c r="L1012" s="9">
        <v>1</v>
      </c>
      <c r="M1012" s="9">
        <v>1</v>
      </c>
      <c r="N1012" s="186"/>
      <c r="O1012" s="160"/>
      <c r="P1012" s="63" t="s">
        <v>1963</v>
      </c>
    </row>
    <row r="1013" spans="1:16" s="827" customFormat="1" hidden="1">
      <c r="A1013" s="625" t="s">
        <v>471</v>
      </c>
      <c r="B1013" s="59" t="s">
        <v>475</v>
      </c>
      <c r="C1013" s="40" t="s">
        <v>139</v>
      </c>
      <c r="D1013" s="34" t="s">
        <v>99</v>
      </c>
      <c r="E1013" s="260">
        <f>0.1*E1007</f>
        <v>3.0000000000000001E-3</v>
      </c>
      <c r="F1013" s="34">
        <v>2</v>
      </c>
      <c r="G1013" s="40" t="s">
        <v>433</v>
      </c>
      <c r="H1013" s="29">
        <v>1</v>
      </c>
      <c r="I1013" s="9">
        <v>2</v>
      </c>
      <c r="J1013" s="9">
        <v>2</v>
      </c>
      <c r="K1013" s="9">
        <v>1</v>
      </c>
      <c r="L1013" s="9">
        <v>1</v>
      </c>
      <c r="M1013" s="9">
        <v>1</v>
      </c>
      <c r="N1013" s="186">
        <f t="shared" ref="N1013:N1030" si="81">IF( OR( ISBLANK(H1013),ISBLANK(J1013), ISBLANK(K1013), ISBLANK(L1013), ISBLANK(M1013) ), "", 1.5*SQRT(   EXP(2.21*(H1013-1)) + EXP(2.21*(J1013-1)) + EXP(2.21*(K1013-1)) + EXP(2.21*(L1013-1)) + EXP(2.21*M1013)   )/100*2.45 )</f>
        <v>0.16933510251023262</v>
      </c>
      <c r="O1013" s="160">
        <f t="shared" ref="O1013:O1030" si="82">IF( OR( ISBLANK(I1013),ISBLANK(J1013), ISBLANK(K1013), ISBLANK(L1013), ISBLANK(M1013) ), "", 1.5*SQRT( EXP(2.21*(I1013-1)) + EXP(2.21*(J1013-1)) + EXP(2.21*(K1013-1)) + EXP(2.21*(L1013-1)) + EXP(2.21*M1013)   )/100*2.45 )</f>
        <v>0.19908580854301616</v>
      </c>
      <c r="P1013" s="63" t="s">
        <v>856</v>
      </c>
    </row>
    <row r="1014" spans="1:16" s="827" customFormat="1" hidden="1">
      <c r="A1014" s="625" t="s">
        <v>471</v>
      </c>
      <c r="B1014" s="59" t="s">
        <v>476</v>
      </c>
      <c r="C1014" s="40" t="s">
        <v>139</v>
      </c>
      <c r="D1014" s="34" t="s">
        <v>99</v>
      </c>
      <c r="E1014" s="260" t="s">
        <v>150</v>
      </c>
      <c r="F1014" s="34">
        <v>1</v>
      </c>
      <c r="G1014" s="40" t="s">
        <v>433</v>
      </c>
      <c r="H1014" s="29"/>
      <c r="I1014" s="9"/>
      <c r="J1014" s="9"/>
      <c r="K1014" s="9"/>
      <c r="L1014" s="9"/>
      <c r="M1014" s="9"/>
      <c r="N1014" s="186" t="str">
        <f t="shared" si="81"/>
        <v/>
      </c>
      <c r="O1014" s="160" t="str">
        <f t="shared" si="82"/>
        <v/>
      </c>
      <c r="P1014" s="63" t="s">
        <v>1944</v>
      </c>
    </row>
    <row r="1015" spans="1:16" s="827" customFormat="1" hidden="1">
      <c r="A1015" s="625" t="s">
        <v>475</v>
      </c>
      <c r="B1015" s="59" t="s">
        <v>228</v>
      </c>
      <c r="C1015" s="40" t="s">
        <v>139</v>
      </c>
      <c r="D1015" s="34" t="s">
        <v>99</v>
      </c>
      <c r="E1015" s="260">
        <v>1</v>
      </c>
      <c r="F1015" s="34">
        <v>2</v>
      </c>
      <c r="G1015" s="40" t="s">
        <v>433</v>
      </c>
      <c r="H1015" s="29">
        <v>1</v>
      </c>
      <c r="I1015" s="9">
        <v>2</v>
      </c>
      <c r="J1015" s="9">
        <v>2</v>
      </c>
      <c r="K1015" s="9">
        <v>1</v>
      </c>
      <c r="L1015" s="9">
        <v>1</v>
      </c>
      <c r="M1015" s="9">
        <v>1</v>
      </c>
      <c r="N1015" s="186">
        <f t="shared" si="81"/>
        <v>0.16933510251023262</v>
      </c>
      <c r="O1015" s="160">
        <f t="shared" si="82"/>
        <v>0.19908580854301616</v>
      </c>
      <c r="P1015" s="63" t="s">
        <v>857</v>
      </c>
    </row>
    <row r="1016" spans="1:16" s="827" customFormat="1" hidden="1">
      <c r="A1016" s="625" t="s">
        <v>474</v>
      </c>
      <c r="B1016" s="59" t="s">
        <v>231</v>
      </c>
      <c r="C1016" s="40" t="s">
        <v>139</v>
      </c>
      <c r="D1016" s="34" t="s">
        <v>99</v>
      </c>
      <c r="E1016" s="260">
        <v>0</v>
      </c>
      <c r="F1016" s="34">
        <v>2</v>
      </c>
      <c r="G1016" s="40" t="s">
        <v>433</v>
      </c>
      <c r="H1016" s="29">
        <v>1</v>
      </c>
      <c r="I1016" s="9">
        <v>2</v>
      </c>
      <c r="J1016" s="9">
        <v>2</v>
      </c>
      <c r="K1016" s="9">
        <v>1</v>
      </c>
      <c r="L1016" s="9">
        <v>1</v>
      </c>
      <c r="M1016" s="9">
        <v>1</v>
      </c>
      <c r="N1016" s="186">
        <f t="shared" si="81"/>
        <v>0.16933510251023262</v>
      </c>
      <c r="O1016" s="160">
        <f t="shared" si="82"/>
        <v>0.19908580854301616</v>
      </c>
      <c r="P1016" s="63" t="s">
        <v>1969</v>
      </c>
    </row>
    <row r="1017" spans="1:16" s="827" customFormat="1" hidden="1">
      <c r="A1017" s="625" t="s">
        <v>474</v>
      </c>
      <c r="B1017" s="59" t="s">
        <v>232</v>
      </c>
      <c r="C1017" s="40" t="s">
        <v>139</v>
      </c>
      <c r="D1017" s="34" t="s">
        <v>99</v>
      </c>
      <c r="E1017" s="260">
        <v>0</v>
      </c>
      <c r="F1017" s="34">
        <v>2</v>
      </c>
      <c r="G1017" s="40" t="s">
        <v>433</v>
      </c>
      <c r="H1017" s="29">
        <v>1</v>
      </c>
      <c r="I1017" s="9">
        <v>2</v>
      </c>
      <c r="J1017" s="9">
        <v>2</v>
      </c>
      <c r="K1017" s="9">
        <v>1</v>
      </c>
      <c r="L1017" s="9">
        <v>1</v>
      </c>
      <c r="M1017" s="9">
        <v>1</v>
      </c>
      <c r="N1017" s="186">
        <f t="shared" si="81"/>
        <v>0.16933510251023262</v>
      </c>
      <c r="O1017" s="160">
        <f t="shared" si="82"/>
        <v>0.19908580854301616</v>
      </c>
      <c r="P1017" s="63" t="s">
        <v>1969</v>
      </c>
    </row>
    <row r="1018" spans="1:16" s="827" customFormat="1" hidden="1">
      <c r="A1018" s="625" t="s">
        <v>474</v>
      </c>
      <c r="B1018" s="59" t="s">
        <v>251</v>
      </c>
      <c r="C1018" s="40" t="s">
        <v>139</v>
      </c>
      <c r="D1018" s="34" t="s">
        <v>99</v>
      </c>
      <c r="E1018" s="260">
        <v>0</v>
      </c>
      <c r="F1018" s="34">
        <v>2</v>
      </c>
      <c r="G1018" s="40" t="s">
        <v>433</v>
      </c>
      <c r="H1018" s="29">
        <v>1</v>
      </c>
      <c r="I1018" s="9">
        <v>2</v>
      </c>
      <c r="J1018" s="9">
        <v>2</v>
      </c>
      <c r="K1018" s="9">
        <v>1</v>
      </c>
      <c r="L1018" s="9">
        <v>1</v>
      </c>
      <c r="M1018" s="9">
        <v>1</v>
      </c>
      <c r="N1018" s="186">
        <f t="shared" si="81"/>
        <v>0.16933510251023262</v>
      </c>
      <c r="O1018" s="160">
        <f t="shared" si="82"/>
        <v>0.19908580854301616</v>
      </c>
      <c r="P1018" s="63" t="s">
        <v>1969</v>
      </c>
    </row>
    <row r="1019" spans="1:16" s="827" customFormat="1" hidden="1">
      <c r="A1019" s="625" t="s">
        <v>474</v>
      </c>
      <c r="B1019" s="59" t="s">
        <v>258</v>
      </c>
      <c r="C1019" s="40" t="s">
        <v>139</v>
      </c>
      <c r="D1019" s="34" t="s">
        <v>99</v>
      </c>
      <c r="E1019" s="260">
        <v>0</v>
      </c>
      <c r="F1019" s="34">
        <v>2</v>
      </c>
      <c r="G1019" s="40" t="s">
        <v>433</v>
      </c>
      <c r="H1019" s="29">
        <v>1</v>
      </c>
      <c r="I1019" s="9">
        <v>2</v>
      </c>
      <c r="J1019" s="9">
        <v>2</v>
      </c>
      <c r="K1019" s="9">
        <v>1</v>
      </c>
      <c r="L1019" s="9">
        <v>1</v>
      </c>
      <c r="M1019" s="9">
        <v>1</v>
      </c>
      <c r="N1019" s="186">
        <f t="shared" si="81"/>
        <v>0.16933510251023262</v>
      </c>
      <c r="O1019" s="160">
        <f t="shared" si="82"/>
        <v>0.19908580854301616</v>
      </c>
      <c r="P1019" s="63" t="s">
        <v>1969</v>
      </c>
    </row>
    <row r="1020" spans="1:16" s="827" customFormat="1" hidden="1">
      <c r="A1020" s="625" t="s">
        <v>474</v>
      </c>
      <c r="B1020" s="59" t="s">
        <v>334</v>
      </c>
      <c r="C1020" s="40" t="s">
        <v>139</v>
      </c>
      <c r="D1020" s="34" t="s">
        <v>99</v>
      </c>
      <c r="E1020" s="260" t="s">
        <v>150</v>
      </c>
      <c r="F1020" s="34">
        <v>1</v>
      </c>
      <c r="G1020" s="40" t="s">
        <v>433</v>
      </c>
      <c r="H1020" s="29"/>
      <c r="I1020" s="9"/>
      <c r="J1020" s="9"/>
      <c r="K1020" s="9"/>
      <c r="L1020" s="9"/>
      <c r="M1020" s="9"/>
      <c r="N1020" s="186" t="str">
        <f t="shared" si="81"/>
        <v/>
      </c>
      <c r="O1020" s="160" t="str">
        <f t="shared" si="82"/>
        <v/>
      </c>
      <c r="P1020" s="63"/>
    </row>
    <row r="1021" spans="1:16" s="827" customFormat="1" hidden="1">
      <c r="A1021" s="625" t="s">
        <v>476</v>
      </c>
      <c r="B1021" s="59" t="s">
        <v>228</v>
      </c>
      <c r="C1021" s="40" t="s">
        <v>139</v>
      </c>
      <c r="D1021" s="34" t="s">
        <v>99</v>
      </c>
      <c r="E1021" s="260">
        <v>0</v>
      </c>
      <c r="F1021" s="34">
        <v>2</v>
      </c>
      <c r="G1021" s="40" t="s">
        <v>433</v>
      </c>
      <c r="H1021" s="29">
        <v>1</v>
      </c>
      <c r="I1021" s="9">
        <v>2</v>
      </c>
      <c r="J1021" s="9">
        <v>2</v>
      </c>
      <c r="K1021" s="9">
        <v>1</v>
      </c>
      <c r="L1021" s="9">
        <v>1</v>
      </c>
      <c r="M1021" s="9">
        <v>1</v>
      </c>
      <c r="N1021" s="186">
        <f t="shared" si="81"/>
        <v>0.16933510251023262</v>
      </c>
      <c r="O1021" s="160">
        <f t="shared" si="82"/>
        <v>0.19908580854301616</v>
      </c>
      <c r="P1021" s="63" t="s">
        <v>858</v>
      </c>
    </row>
    <row r="1022" spans="1:16" s="827" customFormat="1" hidden="1">
      <c r="A1022" s="625" t="s">
        <v>476</v>
      </c>
      <c r="B1022" s="59" t="s">
        <v>334</v>
      </c>
      <c r="C1022" s="40" t="s">
        <v>139</v>
      </c>
      <c r="D1022" s="34" t="s">
        <v>99</v>
      </c>
      <c r="E1022" s="260" t="s">
        <v>150</v>
      </c>
      <c r="F1022" s="34">
        <v>1</v>
      </c>
      <c r="G1022" s="40" t="s">
        <v>433</v>
      </c>
      <c r="H1022" s="29"/>
      <c r="I1022" s="9"/>
      <c r="J1022" s="9"/>
      <c r="K1022" s="9"/>
      <c r="L1022" s="9"/>
      <c r="M1022" s="9"/>
      <c r="N1022" s="186" t="str">
        <f t="shared" si="81"/>
        <v/>
      </c>
      <c r="O1022" s="160" t="str">
        <f t="shared" si="82"/>
        <v/>
      </c>
      <c r="P1022" s="63" t="s">
        <v>1945</v>
      </c>
    </row>
    <row r="1023" spans="1:16" s="827" customFormat="1" hidden="1">
      <c r="A1023" s="625" t="s">
        <v>437</v>
      </c>
      <c r="B1023" s="59" t="s">
        <v>478</v>
      </c>
      <c r="C1023" s="40" t="s">
        <v>139</v>
      </c>
      <c r="D1023" s="34" t="s">
        <v>99</v>
      </c>
      <c r="E1023" s="260">
        <f>0.97*0.03</f>
        <v>2.9099999999999997E-2</v>
      </c>
      <c r="F1023" s="34">
        <v>2</v>
      </c>
      <c r="G1023" s="40" t="s">
        <v>433</v>
      </c>
      <c r="H1023" s="29">
        <v>1</v>
      </c>
      <c r="I1023" s="9">
        <v>2</v>
      </c>
      <c r="J1023" s="9">
        <v>2</v>
      </c>
      <c r="K1023" s="9">
        <v>1</v>
      </c>
      <c r="L1023" s="9">
        <v>1</v>
      </c>
      <c r="M1023" s="9">
        <v>1</v>
      </c>
      <c r="N1023" s="186">
        <f t="shared" si="81"/>
        <v>0.16933510251023262</v>
      </c>
      <c r="O1023" s="160">
        <f t="shared" si="82"/>
        <v>0.19908580854301616</v>
      </c>
      <c r="P1023" s="63" t="s">
        <v>866</v>
      </c>
    </row>
    <row r="1024" spans="1:16" s="827" customFormat="1" hidden="1">
      <c r="A1024" s="625" t="s">
        <v>437</v>
      </c>
      <c r="B1024" s="59" t="s">
        <v>479</v>
      </c>
      <c r="C1024" s="40" t="s">
        <v>139</v>
      </c>
      <c r="D1024" s="34" t="s">
        <v>99</v>
      </c>
      <c r="E1024" s="260">
        <f>0.97*0.97</f>
        <v>0.94089999999999996</v>
      </c>
      <c r="F1024" s="34">
        <v>2</v>
      </c>
      <c r="G1024" s="40" t="s">
        <v>433</v>
      </c>
      <c r="H1024" s="29">
        <v>1</v>
      </c>
      <c r="I1024" s="9">
        <v>2</v>
      </c>
      <c r="J1024" s="9">
        <v>2</v>
      </c>
      <c r="K1024" s="9">
        <v>1</v>
      </c>
      <c r="L1024" s="9">
        <v>1</v>
      </c>
      <c r="M1024" s="9">
        <v>1</v>
      </c>
      <c r="N1024" s="186">
        <f t="shared" si="81"/>
        <v>0.16933510251023262</v>
      </c>
      <c r="O1024" s="160">
        <f t="shared" si="82"/>
        <v>0.19908580854301616</v>
      </c>
      <c r="P1024" s="63" t="s">
        <v>867</v>
      </c>
    </row>
    <row r="1025" spans="1:16" s="827" customFormat="1" hidden="1">
      <c r="A1025" s="625" t="s">
        <v>437</v>
      </c>
      <c r="B1025" s="59" t="s">
        <v>223</v>
      </c>
      <c r="C1025" s="40" t="s">
        <v>139</v>
      </c>
      <c r="D1025" s="34" t="s">
        <v>99</v>
      </c>
      <c r="E1025" s="260">
        <v>0.03</v>
      </c>
      <c r="F1025" s="34">
        <v>1</v>
      </c>
      <c r="G1025" s="40" t="s">
        <v>433</v>
      </c>
      <c r="H1025" s="29">
        <v>1</v>
      </c>
      <c r="I1025" s="9">
        <v>2</v>
      </c>
      <c r="J1025" s="9">
        <v>2</v>
      </c>
      <c r="K1025" s="9">
        <v>1</v>
      </c>
      <c r="L1025" s="9">
        <v>1</v>
      </c>
      <c r="M1025" s="9">
        <v>1</v>
      </c>
      <c r="N1025" s="186">
        <f t="shared" si="81"/>
        <v>0.16933510251023262</v>
      </c>
      <c r="O1025" s="160">
        <f t="shared" si="82"/>
        <v>0.19908580854301616</v>
      </c>
      <c r="P1025" s="63" t="s">
        <v>854</v>
      </c>
    </row>
    <row r="1026" spans="1:16" s="827" customFormat="1" hidden="1">
      <c r="A1026" s="625" t="s">
        <v>478</v>
      </c>
      <c r="B1026" s="59" t="s">
        <v>481</v>
      </c>
      <c r="C1026" s="40" t="s">
        <v>139</v>
      </c>
      <c r="D1026" s="34" t="s">
        <v>99</v>
      </c>
      <c r="E1026" s="260">
        <v>0.03</v>
      </c>
      <c r="F1026" s="34">
        <v>2</v>
      </c>
      <c r="G1026" s="40" t="s">
        <v>433</v>
      </c>
      <c r="H1026" s="29">
        <v>1</v>
      </c>
      <c r="I1026" s="9">
        <v>2</v>
      </c>
      <c r="J1026" s="9">
        <v>2</v>
      </c>
      <c r="K1026" s="9">
        <v>1</v>
      </c>
      <c r="L1026" s="9">
        <v>1</v>
      </c>
      <c r="M1026" s="9">
        <v>1</v>
      </c>
      <c r="N1026" s="186">
        <f t="shared" si="81"/>
        <v>0.16933510251023262</v>
      </c>
      <c r="O1026" s="160">
        <f t="shared" si="82"/>
        <v>0.19908580854301616</v>
      </c>
      <c r="P1026" s="63" t="s">
        <v>855</v>
      </c>
    </row>
    <row r="1027" spans="1:16" s="827" customFormat="1" hidden="1">
      <c r="A1027" s="625" t="s">
        <v>478</v>
      </c>
      <c r="B1027" s="59" t="s">
        <v>482</v>
      </c>
      <c r="C1027" s="40" t="s">
        <v>139</v>
      </c>
      <c r="D1027" s="34" t="s">
        <v>99</v>
      </c>
      <c r="E1027" s="260" t="s">
        <v>150</v>
      </c>
      <c r="F1027" s="34">
        <v>1</v>
      </c>
      <c r="G1027" s="40" t="s">
        <v>433</v>
      </c>
      <c r="H1027" s="29"/>
      <c r="I1027" s="9"/>
      <c r="J1027" s="9"/>
      <c r="K1027" s="9"/>
      <c r="L1027" s="9"/>
      <c r="M1027" s="9"/>
      <c r="N1027" s="186" t="str">
        <f t="shared" si="81"/>
        <v/>
      </c>
      <c r="O1027" s="160" t="str">
        <f t="shared" si="82"/>
        <v/>
      </c>
      <c r="P1027" s="63" t="s">
        <v>1946</v>
      </c>
    </row>
    <row r="1028" spans="1:16" s="827" customFormat="1" hidden="1">
      <c r="A1028" s="625" t="s">
        <v>481</v>
      </c>
      <c r="B1028" s="59" t="s">
        <v>231</v>
      </c>
      <c r="C1028" s="40" t="s">
        <v>139</v>
      </c>
      <c r="D1028" s="34" t="s">
        <v>99</v>
      </c>
      <c r="E1028" s="260">
        <v>0.05</v>
      </c>
      <c r="F1028" s="34">
        <v>2</v>
      </c>
      <c r="G1028" s="40" t="s">
        <v>157</v>
      </c>
      <c r="H1028" s="29">
        <v>1</v>
      </c>
      <c r="I1028" s="9">
        <v>2</v>
      </c>
      <c r="J1028" s="9">
        <v>2</v>
      </c>
      <c r="K1028" s="9">
        <v>1</v>
      </c>
      <c r="L1028" s="9">
        <v>3</v>
      </c>
      <c r="M1028" s="9">
        <v>3</v>
      </c>
      <c r="N1028" s="186">
        <f t="shared" si="81"/>
        <v>1.0725046436742278</v>
      </c>
      <c r="O1028" s="160">
        <f t="shared" si="82"/>
        <v>1.0776024280428556</v>
      </c>
      <c r="P1028" s="63" t="s">
        <v>1937</v>
      </c>
    </row>
    <row r="1029" spans="1:16" s="827" customFormat="1" hidden="1">
      <c r="A1029" s="625" t="s">
        <v>481</v>
      </c>
      <c r="B1029" s="59" t="s">
        <v>232</v>
      </c>
      <c r="C1029" s="40" t="s">
        <v>139</v>
      </c>
      <c r="D1029" s="34" t="s">
        <v>99</v>
      </c>
      <c r="E1029" s="260">
        <v>0.39400000000000002</v>
      </c>
      <c r="F1029" s="34">
        <v>2</v>
      </c>
      <c r="G1029" s="40" t="s">
        <v>433</v>
      </c>
      <c r="H1029" s="29">
        <v>1</v>
      </c>
      <c r="I1029" s="9">
        <v>2</v>
      </c>
      <c r="J1029" s="9">
        <v>2</v>
      </c>
      <c r="K1029" s="9">
        <v>1</v>
      </c>
      <c r="L1029" s="9">
        <v>1</v>
      </c>
      <c r="M1029" s="9">
        <v>1</v>
      </c>
      <c r="N1029" s="186">
        <f t="shared" si="81"/>
        <v>0.16933510251023262</v>
      </c>
      <c r="O1029" s="160">
        <f t="shared" si="82"/>
        <v>0.19908580854301616</v>
      </c>
      <c r="P1029" s="63" t="s">
        <v>1961</v>
      </c>
    </row>
    <row r="1030" spans="1:16" s="827" customFormat="1" hidden="1">
      <c r="A1030" s="625" t="s">
        <v>481</v>
      </c>
      <c r="B1030" s="59" t="s">
        <v>251</v>
      </c>
      <c r="C1030" s="40" t="s">
        <v>139</v>
      </c>
      <c r="D1030" s="34" t="s">
        <v>99</v>
      </c>
      <c r="E1030" s="260">
        <v>0.52200000000000002</v>
      </c>
      <c r="F1030" s="34">
        <v>1</v>
      </c>
      <c r="G1030" s="40" t="s">
        <v>433</v>
      </c>
      <c r="H1030" s="29">
        <v>1</v>
      </c>
      <c r="I1030" s="9">
        <v>2</v>
      </c>
      <c r="J1030" s="9">
        <v>2</v>
      </c>
      <c r="K1030" s="9">
        <v>1</v>
      </c>
      <c r="L1030" s="9">
        <v>1</v>
      </c>
      <c r="M1030" s="9">
        <v>1</v>
      </c>
      <c r="N1030" s="186">
        <f t="shared" si="81"/>
        <v>0.16933510251023262</v>
      </c>
      <c r="O1030" s="160">
        <f t="shared" si="82"/>
        <v>0.19908580854301616</v>
      </c>
      <c r="P1030" s="63" t="s">
        <v>1962</v>
      </c>
    </row>
    <row r="1031" spans="1:16" s="827" customFormat="1" hidden="1">
      <c r="A1031" s="625" t="s">
        <v>481</v>
      </c>
      <c r="B1031" s="59" t="s">
        <v>258</v>
      </c>
      <c r="C1031" s="40" t="s">
        <v>139</v>
      </c>
      <c r="D1031" s="34" t="s">
        <v>99</v>
      </c>
      <c r="E1031" s="260">
        <v>3.4000000000000002E-2</v>
      </c>
      <c r="F1031" s="34">
        <v>2</v>
      </c>
      <c r="G1031" s="40" t="s">
        <v>433</v>
      </c>
      <c r="H1031" s="29">
        <v>1</v>
      </c>
      <c r="I1031" s="9">
        <v>2</v>
      </c>
      <c r="J1031" s="9">
        <v>2</v>
      </c>
      <c r="K1031" s="9">
        <v>1</v>
      </c>
      <c r="L1031" s="9">
        <v>1</v>
      </c>
      <c r="M1031" s="9">
        <v>1</v>
      </c>
      <c r="N1031" s="186"/>
      <c r="O1031" s="160"/>
      <c r="P1031" s="63" t="s">
        <v>1963</v>
      </c>
    </row>
    <row r="1032" spans="1:16" s="827" customFormat="1" hidden="1">
      <c r="A1032" s="625" t="s">
        <v>479</v>
      </c>
      <c r="B1032" s="59" t="s">
        <v>483</v>
      </c>
      <c r="C1032" s="40" t="s">
        <v>139</v>
      </c>
      <c r="D1032" s="34" t="s">
        <v>99</v>
      </c>
      <c r="E1032" s="260">
        <f>0.1*E1026</f>
        <v>3.0000000000000001E-3</v>
      </c>
      <c r="F1032" s="34">
        <v>2</v>
      </c>
      <c r="G1032" s="40" t="s">
        <v>433</v>
      </c>
      <c r="H1032" s="29">
        <v>1</v>
      </c>
      <c r="I1032" s="9">
        <v>2</v>
      </c>
      <c r="J1032" s="9">
        <v>2</v>
      </c>
      <c r="K1032" s="9">
        <v>1</v>
      </c>
      <c r="L1032" s="9">
        <v>1</v>
      </c>
      <c r="M1032" s="9">
        <v>1</v>
      </c>
      <c r="N1032" s="186">
        <f t="shared" ref="N1032:N1049" si="83">IF( OR( ISBLANK(H1032),ISBLANK(J1032), ISBLANK(K1032), ISBLANK(L1032), ISBLANK(M1032) ), "", 1.5*SQRT(   EXP(2.21*(H1032-1)) + EXP(2.21*(J1032-1)) + EXP(2.21*(K1032-1)) + EXP(2.21*(L1032-1)) + EXP(2.21*M1032)   )/100*2.45 )</f>
        <v>0.16933510251023262</v>
      </c>
      <c r="O1032" s="160">
        <f t="shared" ref="O1032:O1049" si="84">IF( OR( ISBLANK(I1032),ISBLANK(J1032), ISBLANK(K1032), ISBLANK(L1032), ISBLANK(M1032) ), "", 1.5*SQRT( EXP(2.21*(I1032-1)) + EXP(2.21*(J1032-1)) + EXP(2.21*(K1032-1)) + EXP(2.21*(L1032-1)) + EXP(2.21*M1032)   )/100*2.45 )</f>
        <v>0.19908580854301616</v>
      </c>
      <c r="P1032" s="63" t="s">
        <v>856</v>
      </c>
    </row>
    <row r="1033" spans="1:16" s="827" customFormat="1" hidden="1">
      <c r="A1033" s="625" t="s">
        <v>479</v>
      </c>
      <c r="B1033" s="59" t="s">
        <v>484</v>
      </c>
      <c r="C1033" s="40" t="s">
        <v>139</v>
      </c>
      <c r="D1033" s="34" t="s">
        <v>99</v>
      </c>
      <c r="E1033" s="260" t="s">
        <v>150</v>
      </c>
      <c r="F1033" s="34">
        <v>1</v>
      </c>
      <c r="G1033" s="40" t="s">
        <v>433</v>
      </c>
      <c r="H1033" s="29"/>
      <c r="I1033" s="9"/>
      <c r="J1033" s="9"/>
      <c r="K1033" s="9"/>
      <c r="L1033" s="9"/>
      <c r="M1033" s="9"/>
      <c r="N1033" s="186" t="str">
        <f t="shared" si="83"/>
        <v/>
      </c>
      <c r="O1033" s="160" t="str">
        <f t="shared" si="84"/>
        <v/>
      </c>
      <c r="P1033" s="63" t="s">
        <v>1946</v>
      </c>
    </row>
    <row r="1034" spans="1:16" s="827" customFormat="1" hidden="1">
      <c r="A1034" s="625" t="s">
        <v>483</v>
      </c>
      <c r="B1034" s="59" t="s">
        <v>228</v>
      </c>
      <c r="C1034" s="40" t="s">
        <v>139</v>
      </c>
      <c r="D1034" s="34" t="s">
        <v>99</v>
      </c>
      <c r="E1034" s="260">
        <v>1</v>
      </c>
      <c r="F1034" s="34">
        <v>2</v>
      </c>
      <c r="G1034" s="40" t="s">
        <v>433</v>
      </c>
      <c r="H1034" s="29">
        <v>1</v>
      </c>
      <c r="I1034" s="9">
        <v>2</v>
      </c>
      <c r="J1034" s="9">
        <v>2</v>
      </c>
      <c r="K1034" s="9">
        <v>1</v>
      </c>
      <c r="L1034" s="9">
        <v>1</v>
      </c>
      <c r="M1034" s="9">
        <v>1</v>
      </c>
      <c r="N1034" s="186">
        <f t="shared" si="83"/>
        <v>0.16933510251023262</v>
      </c>
      <c r="O1034" s="160">
        <f t="shared" si="84"/>
        <v>0.19908580854301616</v>
      </c>
      <c r="P1034" s="63" t="s">
        <v>857</v>
      </c>
    </row>
    <row r="1035" spans="1:16" s="827" customFormat="1" hidden="1">
      <c r="A1035" s="625" t="s">
        <v>482</v>
      </c>
      <c r="B1035" s="59" t="s">
        <v>231</v>
      </c>
      <c r="C1035" s="40" t="s">
        <v>139</v>
      </c>
      <c r="D1035" s="34" t="s">
        <v>99</v>
      </c>
      <c r="E1035" s="260">
        <v>0</v>
      </c>
      <c r="F1035" s="34">
        <v>2</v>
      </c>
      <c r="G1035" s="40" t="s">
        <v>433</v>
      </c>
      <c r="H1035" s="29">
        <v>1</v>
      </c>
      <c r="I1035" s="9">
        <v>2</v>
      </c>
      <c r="J1035" s="9">
        <v>2</v>
      </c>
      <c r="K1035" s="9">
        <v>1</v>
      </c>
      <c r="L1035" s="9">
        <v>1</v>
      </c>
      <c r="M1035" s="9">
        <v>1</v>
      </c>
      <c r="N1035" s="186">
        <f t="shared" si="83"/>
        <v>0.16933510251023262</v>
      </c>
      <c r="O1035" s="160">
        <f t="shared" si="84"/>
        <v>0.19908580854301616</v>
      </c>
      <c r="P1035" s="63" t="s">
        <v>1968</v>
      </c>
    </row>
    <row r="1036" spans="1:16" s="827" customFormat="1" hidden="1">
      <c r="A1036" s="625" t="s">
        <v>482</v>
      </c>
      <c r="B1036" s="59" t="s">
        <v>232</v>
      </c>
      <c r="C1036" s="40" t="s">
        <v>139</v>
      </c>
      <c r="D1036" s="34" t="s">
        <v>99</v>
      </c>
      <c r="E1036" s="260">
        <v>0</v>
      </c>
      <c r="F1036" s="34">
        <v>2</v>
      </c>
      <c r="G1036" s="40" t="s">
        <v>433</v>
      </c>
      <c r="H1036" s="29">
        <v>1</v>
      </c>
      <c r="I1036" s="9">
        <v>2</v>
      </c>
      <c r="J1036" s="9">
        <v>2</v>
      </c>
      <c r="K1036" s="9">
        <v>1</v>
      </c>
      <c r="L1036" s="9">
        <v>1</v>
      </c>
      <c r="M1036" s="9">
        <v>1</v>
      </c>
      <c r="N1036" s="186">
        <f t="shared" si="83"/>
        <v>0.16933510251023262</v>
      </c>
      <c r="O1036" s="160">
        <f t="shared" si="84"/>
        <v>0.19908580854301616</v>
      </c>
      <c r="P1036" s="63" t="s">
        <v>1968</v>
      </c>
    </row>
    <row r="1037" spans="1:16" s="827" customFormat="1" hidden="1">
      <c r="A1037" s="625" t="s">
        <v>482</v>
      </c>
      <c r="B1037" s="59" t="s">
        <v>251</v>
      </c>
      <c r="C1037" s="40" t="s">
        <v>139</v>
      </c>
      <c r="D1037" s="34" t="s">
        <v>99</v>
      </c>
      <c r="E1037" s="260">
        <v>0</v>
      </c>
      <c r="F1037" s="34">
        <v>2</v>
      </c>
      <c r="G1037" s="40" t="s">
        <v>433</v>
      </c>
      <c r="H1037" s="29">
        <v>1</v>
      </c>
      <c r="I1037" s="9">
        <v>2</v>
      </c>
      <c r="J1037" s="9">
        <v>2</v>
      </c>
      <c r="K1037" s="9">
        <v>1</v>
      </c>
      <c r="L1037" s="9">
        <v>1</v>
      </c>
      <c r="M1037" s="9">
        <v>1</v>
      </c>
      <c r="N1037" s="186">
        <f t="shared" si="83"/>
        <v>0.16933510251023262</v>
      </c>
      <c r="O1037" s="160">
        <f t="shared" si="84"/>
        <v>0.19908580854301616</v>
      </c>
      <c r="P1037" s="63" t="s">
        <v>1968</v>
      </c>
    </row>
    <row r="1038" spans="1:16" s="827" customFormat="1" hidden="1">
      <c r="A1038" s="625" t="s">
        <v>482</v>
      </c>
      <c r="B1038" s="59" t="s">
        <v>258</v>
      </c>
      <c r="C1038" s="40" t="s">
        <v>139</v>
      </c>
      <c r="D1038" s="34" t="s">
        <v>99</v>
      </c>
      <c r="E1038" s="260">
        <v>0</v>
      </c>
      <c r="F1038" s="34">
        <v>2</v>
      </c>
      <c r="G1038" s="40" t="s">
        <v>433</v>
      </c>
      <c r="H1038" s="29">
        <v>1</v>
      </c>
      <c r="I1038" s="9">
        <v>2</v>
      </c>
      <c r="J1038" s="9">
        <v>2</v>
      </c>
      <c r="K1038" s="9">
        <v>1</v>
      </c>
      <c r="L1038" s="9">
        <v>1</v>
      </c>
      <c r="M1038" s="9">
        <v>1</v>
      </c>
      <c r="N1038" s="186">
        <f t="shared" si="83"/>
        <v>0.16933510251023262</v>
      </c>
      <c r="O1038" s="160">
        <f t="shared" si="84"/>
        <v>0.19908580854301616</v>
      </c>
      <c r="P1038" s="63" t="s">
        <v>1968</v>
      </c>
    </row>
    <row r="1039" spans="1:16" s="827" customFormat="1" hidden="1">
      <c r="A1039" s="625" t="s">
        <v>482</v>
      </c>
      <c r="B1039" s="59" t="s">
        <v>334</v>
      </c>
      <c r="C1039" s="40" t="s">
        <v>139</v>
      </c>
      <c r="D1039" s="34" t="s">
        <v>99</v>
      </c>
      <c r="E1039" s="260" t="s">
        <v>150</v>
      </c>
      <c r="F1039" s="34">
        <v>1</v>
      </c>
      <c r="G1039" s="40" t="s">
        <v>433</v>
      </c>
      <c r="H1039" s="29"/>
      <c r="I1039" s="9"/>
      <c r="J1039" s="9"/>
      <c r="K1039" s="9"/>
      <c r="L1039" s="9"/>
      <c r="M1039" s="9"/>
      <c r="N1039" s="186" t="str">
        <f t="shared" si="83"/>
        <v/>
      </c>
      <c r="O1039" s="160" t="str">
        <f t="shared" si="84"/>
        <v/>
      </c>
      <c r="P1039" s="63"/>
    </row>
    <row r="1040" spans="1:16" s="827" customFormat="1" hidden="1">
      <c r="A1040" s="625" t="s">
        <v>484</v>
      </c>
      <c r="B1040" s="59" t="s">
        <v>228</v>
      </c>
      <c r="C1040" s="40" t="s">
        <v>139</v>
      </c>
      <c r="D1040" s="34" t="s">
        <v>99</v>
      </c>
      <c r="E1040" s="260">
        <v>0</v>
      </c>
      <c r="F1040" s="34">
        <v>2</v>
      </c>
      <c r="G1040" s="40" t="s">
        <v>433</v>
      </c>
      <c r="H1040" s="29">
        <v>1</v>
      </c>
      <c r="I1040" s="9">
        <v>2</v>
      </c>
      <c r="J1040" s="9">
        <v>2</v>
      </c>
      <c r="K1040" s="9">
        <v>1</v>
      </c>
      <c r="L1040" s="9">
        <v>1</v>
      </c>
      <c r="M1040" s="9">
        <v>1</v>
      </c>
      <c r="N1040" s="186">
        <f t="shared" si="83"/>
        <v>0.16933510251023262</v>
      </c>
      <c r="O1040" s="160">
        <f t="shared" si="84"/>
        <v>0.19908580854301616</v>
      </c>
      <c r="P1040" s="63" t="s">
        <v>858</v>
      </c>
    </row>
    <row r="1041" spans="1:16" s="827" customFormat="1" hidden="1">
      <c r="A1041" s="625" t="s">
        <v>484</v>
      </c>
      <c r="B1041" s="59" t="s">
        <v>334</v>
      </c>
      <c r="C1041" s="40" t="s">
        <v>139</v>
      </c>
      <c r="D1041" s="34" t="s">
        <v>99</v>
      </c>
      <c r="E1041" s="260" t="s">
        <v>150</v>
      </c>
      <c r="F1041" s="34">
        <v>1</v>
      </c>
      <c r="G1041" s="40" t="s">
        <v>433</v>
      </c>
      <c r="H1041" s="29"/>
      <c r="I1041" s="9"/>
      <c r="J1041" s="9"/>
      <c r="K1041" s="9"/>
      <c r="L1041" s="9"/>
      <c r="M1041" s="9"/>
      <c r="N1041" s="186" t="str">
        <f t="shared" si="83"/>
        <v/>
      </c>
      <c r="O1041" s="160" t="str">
        <f t="shared" si="84"/>
        <v/>
      </c>
      <c r="P1041" s="63" t="s">
        <v>1947</v>
      </c>
    </row>
    <row r="1042" spans="1:16" s="827" customFormat="1" hidden="1">
      <c r="A1042" s="625" t="s">
        <v>438</v>
      </c>
      <c r="B1042" s="59" t="s">
        <v>485</v>
      </c>
      <c r="C1042" s="40" t="s">
        <v>139</v>
      </c>
      <c r="D1042" s="34" t="s">
        <v>99</v>
      </c>
      <c r="E1042" s="260">
        <f>0.97*0.1</f>
        <v>9.7000000000000003E-2</v>
      </c>
      <c r="F1042" s="34">
        <v>2</v>
      </c>
      <c r="G1042" s="40" t="s">
        <v>433</v>
      </c>
      <c r="H1042" s="29">
        <v>1</v>
      </c>
      <c r="I1042" s="9">
        <v>2</v>
      </c>
      <c r="J1042" s="9">
        <v>2</v>
      </c>
      <c r="K1042" s="9">
        <v>1</v>
      </c>
      <c r="L1042" s="9">
        <v>1</v>
      </c>
      <c r="M1042" s="9">
        <v>1</v>
      </c>
      <c r="N1042" s="186">
        <f t="shared" si="83"/>
        <v>0.16933510251023262</v>
      </c>
      <c r="O1042" s="160">
        <f t="shared" si="84"/>
        <v>0.19908580854301616</v>
      </c>
      <c r="P1042" s="63" t="s">
        <v>868</v>
      </c>
    </row>
    <row r="1043" spans="1:16" s="827" customFormat="1" hidden="1">
      <c r="A1043" s="625" t="s">
        <v>438</v>
      </c>
      <c r="B1043" s="59" t="s">
        <v>486</v>
      </c>
      <c r="C1043" s="40" t="s">
        <v>139</v>
      </c>
      <c r="D1043" s="34" t="s">
        <v>99</v>
      </c>
      <c r="E1043" s="260">
        <f>0.97*0.9</f>
        <v>0.873</v>
      </c>
      <c r="F1043" s="34">
        <v>2</v>
      </c>
      <c r="G1043" s="40" t="s">
        <v>433</v>
      </c>
      <c r="H1043" s="29">
        <v>1</v>
      </c>
      <c r="I1043" s="9">
        <v>2</v>
      </c>
      <c r="J1043" s="9">
        <v>2</v>
      </c>
      <c r="K1043" s="9">
        <v>1</v>
      </c>
      <c r="L1043" s="9">
        <v>1</v>
      </c>
      <c r="M1043" s="9">
        <v>1</v>
      </c>
      <c r="N1043" s="186">
        <f t="shared" si="83"/>
        <v>0.16933510251023262</v>
      </c>
      <c r="O1043" s="160">
        <f t="shared" si="84"/>
        <v>0.19908580854301616</v>
      </c>
      <c r="P1043" s="63" t="s">
        <v>869</v>
      </c>
    </row>
    <row r="1044" spans="1:16" s="827" customFormat="1" hidden="1">
      <c r="A1044" s="625" t="s">
        <v>438</v>
      </c>
      <c r="B1044" s="59" t="s">
        <v>223</v>
      </c>
      <c r="C1044" s="40" t="s">
        <v>139</v>
      </c>
      <c r="D1044" s="34" t="s">
        <v>99</v>
      </c>
      <c r="E1044" s="260">
        <v>0.03</v>
      </c>
      <c r="F1044" s="34">
        <v>1</v>
      </c>
      <c r="G1044" s="40" t="s">
        <v>433</v>
      </c>
      <c r="H1044" s="29">
        <v>1</v>
      </c>
      <c r="I1044" s="9">
        <v>2</v>
      </c>
      <c r="J1044" s="9">
        <v>2</v>
      </c>
      <c r="K1044" s="9">
        <v>1</v>
      </c>
      <c r="L1044" s="9">
        <v>1</v>
      </c>
      <c r="M1044" s="9">
        <v>1</v>
      </c>
      <c r="N1044" s="186">
        <f t="shared" si="83"/>
        <v>0.16933510251023262</v>
      </c>
      <c r="O1044" s="160">
        <f t="shared" si="84"/>
        <v>0.19908580854301616</v>
      </c>
      <c r="P1044" s="63" t="s">
        <v>854</v>
      </c>
    </row>
    <row r="1045" spans="1:16" s="827" customFormat="1" hidden="1">
      <c r="A1045" s="625" t="s">
        <v>485</v>
      </c>
      <c r="B1045" s="59" t="s">
        <v>487</v>
      </c>
      <c r="C1045" s="40" t="s">
        <v>139</v>
      </c>
      <c r="D1045" s="34" t="s">
        <v>99</v>
      </c>
      <c r="E1045" s="260">
        <v>0.03</v>
      </c>
      <c r="F1045" s="34">
        <v>2</v>
      </c>
      <c r="G1045" s="40" t="s">
        <v>433</v>
      </c>
      <c r="H1045" s="29">
        <v>1</v>
      </c>
      <c r="I1045" s="9">
        <v>2</v>
      </c>
      <c r="J1045" s="9">
        <v>2</v>
      </c>
      <c r="K1045" s="9">
        <v>1</v>
      </c>
      <c r="L1045" s="9">
        <v>1</v>
      </c>
      <c r="M1045" s="9">
        <v>1</v>
      </c>
      <c r="N1045" s="186">
        <f t="shared" si="83"/>
        <v>0.16933510251023262</v>
      </c>
      <c r="O1045" s="160">
        <f t="shared" si="84"/>
        <v>0.19908580854301616</v>
      </c>
      <c r="P1045" s="63" t="s">
        <v>855</v>
      </c>
    </row>
    <row r="1046" spans="1:16" s="827" customFormat="1" hidden="1">
      <c r="A1046" s="625" t="s">
        <v>485</v>
      </c>
      <c r="B1046" s="59" t="s">
        <v>480</v>
      </c>
      <c r="C1046" s="40" t="s">
        <v>139</v>
      </c>
      <c r="D1046" s="34" t="s">
        <v>99</v>
      </c>
      <c r="E1046" s="260" t="s">
        <v>150</v>
      </c>
      <c r="F1046" s="34">
        <v>1</v>
      </c>
      <c r="G1046" s="40" t="s">
        <v>433</v>
      </c>
      <c r="H1046" s="29"/>
      <c r="I1046" s="9"/>
      <c r="J1046" s="9"/>
      <c r="K1046" s="9"/>
      <c r="L1046" s="9"/>
      <c r="M1046" s="9"/>
      <c r="N1046" s="186" t="str">
        <f t="shared" si="83"/>
        <v/>
      </c>
      <c r="O1046" s="160" t="str">
        <f t="shared" si="84"/>
        <v/>
      </c>
      <c r="P1046" s="63" t="s">
        <v>1948</v>
      </c>
    </row>
    <row r="1047" spans="1:16" s="827" customFormat="1" hidden="1">
      <c r="A1047" s="625" t="s">
        <v>487</v>
      </c>
      <c r="B1047" s="59" t="s">
        <v>231</v>
      </c>
      <c r="C1047" s="40" t="s">
        <v>139</v>
      </c>
      <c r="D1047" s="34" t="s">
        <v>99</v>
      </c>
      <c r="E1047" s="260">
        <v>0.05</v>
      </c>
      <c r="F1047" s="34">
        <v>2</v>
      </c>
      <c r="G1047" s="40" t="s">
        <v>157</v>
      </c>
      <c r="H1047" s="29">
        <v>1</v>
      </c>
      <c r="I1047" s="9">
        <v>2</v>
      </c>
      <c r="J1047" s="9">
        <v>2</v>
      </c>
      <c r="K1047" s="9">
        <v>1</v>
      </c>
      <c r="L1047" s="9">
        <v>3</v>
      </c>
      <c r="M1047" s="9">
        <v>3</v>
      </c>
      <c r="N1047" s="186">
        <f t="shared" si="83"/>
        <v>1.0725046436742278</v>
      </c>
      <c r="O1047" s="160">
        <f t="shared" si="84"/>
        <v>1.0776024280428556</v>
      </c>
      <c r="P1047" s="63" t="s">
        <v>1937</v>
      </c>
    </row>
    <row r="1048" spans="1:16" s="827" customFormat="1" hidden="1">
      <c r="A1048" s="625" t="s">
        <v>487</v>
      </c>
      <c r="B1048" s="59" t="s">
        <v>232</v>
      </c>
      <c r="C1048" s="40" t="s">
        <v>139</v>
      </c>
      <c r="D1048" s="34" t="s">
        <v>99</v>
      </c>
      <c r="E1048" s="260">
        <v>0.39400000000000002</v>
      </c>
      <c r="F1048" s="34">
        <v>2</v>
      </c>
      <c r="G1048" s="40" t="s">
        <v>433</v>
      </c>
      <c r="H1048" s="29">
        <v>1</v>
      </c>
      <c r="I1048" s="9">
        <v>2</v>
      </c>
      <c r="J1048" s="9">
        <v>2</v>
      </c>
      <c r="K1048" s="9">
        <v>1</v>
      </c>
      <c r="L1048" s="9">
        <v>1</v>
      </c>
      <c r="M1048" s="9">
        <v>1</v>
      </c>
      <c r="N1048" s="186">
        <f t="shared" si="83"/>
        <v>0.16933510251023262</v>
      </c>
      <c r="O1048" s="160">
        <f t="shared" si="84"/>
        <v>0.19908580854301616</v>
      </c>
      <c r="P1048" s="63" t="s">
        <v>1961</v>
      </c>
    </row>
    <row r="1049" spans="1:16" s="827" customFormat="1" hidden="1">
      <c r="A1049" s="625" t="s">
        <v>487</v>
      </c>
      <c r="B1049" s="59" t="s">
        <v>251</v>
      </c>
      <c r="C1049" s="40" t="s">
        <v>139</v>
      </c>
      <c r="D1049" s="34" t="s">
        <v>99</v>
      </c>
      <c r="E1049" s="260">
        <v>0.52200000000000002</v>
      </c>
      <c r="F1049" s="34">
        <v>1</v>
      </c>
      <c r="G1049" s="40" t="s">
        <v>433</v>
      </c>
      <c r="H1049" s="29">
        <v>1</v>
      </c>
      <c r="I1049" s="9">
        <v>2</v>
      </c>
      <c r="J1049" s="9">
        <v>2</v>
      </c>
      <c r="K1049" s="9">
        <v>1</v>
      </c>
      <c r="L1049" s="9">
        <v>1</v>
      </c>
      <c r="M1049" s="9">
        <v>1</v>
      </c>
      <c r="N1049" s="186">
        <f t="shared" si="83"/>
        <v>0.16933510251023262</v>
      </c>
      <c r="O1049" s="160">
        <f t="shared" si="84"/>
        <v>0.19908580854301616</v>
      </c>
      <c r="P1049" s="63" t="s">
        <v>1962</v>
      </c>
    </row>
    <row r="1050" spans="1:16" s="827" customFormat="1" hidden="1">
      <c r="A1050" s="625" t="s">
        <v>487</v>
      </c>
      <c r="B1050" s="59" t="s">
        <v>258</v>
      </c>
      <c r="C1050" s="40" t="s">
        <v>139</v>
      </c>
      <c r="D1050" s="34" t="s">
        <v>99</v>
      </c>
      <c r="E1050" s="260">
        <v>3.4000000000000002E-2</v>
      </c>
      <c r="F1050" s="34">
        <v>2</v>
      </c>
      <c r="G1050" s="40" t="s">
        <v>433</v>
      </c>
      <c r="H1050" s="29">
        <v>1</v>
      </c>
      <c r="I1050" s="9">
        <v>2</v>
      </c>
      <c r="J1050" s="9">
        <v>2</v>
      </c>
      <c r="K1050" s="9">
        <v>1</v>
      </c>
      <c r="L1050" s="9">
        <v>1</v>
      </c>
      <c r="M1050" s="9">
        <v>1</v>
      </c>
      <c r="N1050" s="186"/>
      <c r="O1050" s="160"/>
      <c r="P1050" s="63" t="s">
        <v>1963</v>
      </c>
    </row>
    <row r="1051" spans="1:16" s="827" customFormat="1" hidden="1">
      <c r="A1051" s="625" t="s">
        <v>486</v>
      </c>
      <c r="B1051" s="59" t="s">
        <v>488</v>
      </c>
      <c r="C1051" s="40" t="s">
        <v>139</v>
      </c>
      <c r="D1051" s="34" t="s">
        <v>99</v>
      </c>
      <c r="E1051" s="260">
        <f>0.1*E1045</f>
        <v>3.0000000000000001E-3</v>
      </c>
      <c r="F1051" s="34">
        <v>2</v>
      </c>
      <c r="G1051" s="40" t="s">
        <v>433</v>
      </c>
      <c r="H1051" s="29">
        <v>1</v>
      </c>
      <c r="I1051" s="9">
        <v>2</v>
      </c>
      <c r="J1051" s="9">
        <v>2</v>
      </c>
      <c r="K1051" s="9">
        <v>1</v>
      </c>
      <c r="L1051" s="9">
        <v>1</v>
      </c>
      <c r="M1051" s="9">
        <v>1</v>
      </c>
      <c r="N1051" s="186">
        <f t="shared" ref="N1051:N1068" si="85">IF( OR( ISBLANK(H1051),ISBLANK(J1051), ISBLANK(K1051), ISBLANK(L1051), ISBLANK(M1051) ), "", 1.5*SQRT(   EXP(2.21*(H1051-1)) + EXP(2.21*(J1051-1)) + EXP(2.21*(K1051-1)) + EXP(2.21*(L1051-1)) + EXP(2.21*M1051)   )/100*2.45 )</f>
        <v>0.16933510251023262</v>
      </c>
      <c r="O1051" s="160">
        <f t="shared" ref="O1051:O1068" si="86">IF( OR( ISBLANK(I1051),ISBLANK(J1051), ISBLANK(K1051), ISBLANK(L1051), ISBLANK(M1051) ), "", 1.5*SQRT( EXP(2.21*(I1051-1)) + EXP(2.21*(J1051-1)) + EXP(2.21*(K1051-1)) + EXP(2.21*(L1051-1)) + EXP(2.21*M1051)   )/100*2.45 )</f>
        <v>0.19908580854301616</v>
      </c>
      <c r="P1051" s="63" t="s">
        <v>856</v>
      </c>
    </row>
    <row r="1052" spans="1:16" s="827" customFormat="1" hidden="1">
      <c r="A1052" s="625" t="s">
        <v>486</v>
      </c>
      <c r="B1052" s="59" t="s">
        <v>477</v>
      </c>
      <c r="C1052" s="40" t="s">
        <v>139</v>
      </c>
      <c r="D1052" s="34" t="s">
        <v>99</v>
      </c>
      <c r="E1052" s="260" t="s">
        <v>150</v>
      </c>
      <c r="F1052" s="34">
        <v>1</v>
      </c>
      <c r="G1052" s="40" t="s">
        <v>433</v>
      </c>
      <c r="H1052" s="29"/>
      <c r="I1052" s="9"/>
      <c r="J1052" s="9"/>
      <c r="K1052" s="9"/>
      <c r="L1052" s="9"/>
      <c r="M1052" s="9"/>
      <c r="N1052" s="186" t="str">
        <f t="shared" si="85"/>
        <v/>
      </c>
      <c r="O1052" s="160" t="str">
        <f t="shared" si="86"/>
        <v/>
      </c>
      <c r="P1052" s="63" t="s">
        <v>1948</v>
      </c>
    </row>
    <row r="1053" spans="1:16" s="827" customFormat="1" hidden="1">
      <c r="A1053" s="625" t="s">
        <v>488</v>
      </c>
      <c r="B1053" s="59" t="s">
        <v>228</v>
      </c>
      <c r="C1053" s="40" t="s">
        <v>139</v>
      </c>
      <c r="D1053" s="34" t="s">
        <v>99</v>
      </c>
      <c r="E1053" s="260">
        <v>1</v>
      </c>
      <c r="F1053" s="34">
        <v>2</v>
      </c>
      <c r="G1053" s="40" t="s">
        <v>433</v>
      </c>
      <c r="H1053" s="29">
        <v>1</v>
      </c>
      <c r="I1053" s="9">
        <v>2</v>
      </c>
      <c r="J1053" s="9">
        <v>2</v>
      </c>
      <c r="K1053" s="9">
        <v>1</v>
      </c>
      <c r="L1053" s="9">
        <v>1</v>
      </c>
      <c r="M1053" s="9">
        <v>1</v>
      </c>
      <c r="N1053" s="186">
        <f t="shared" si="85"/>
        <v>0.16933510251023262</v>
      </c>
      <c r="O1053" s="160">
        <f t="shared" si="86"/>
        <v>0.19908580854301616</v>
      </c>
      <c r="P1053" s="63" t="s">
        <v>857</v>
      </c>
    </row>
    <row r="1054" spans="1:16" s="827" customFormat="1" hidden="1">
      <c r="A1054" s="625" t="s">
        <v>480</v>
      </c>
      <c r="B1054" s="59" t="s">
        <v>231</v>
      </c>
      <c r="C1054" s="40" t="s">
        <v>139</v>
      </c>
      <c r="D1054" s="34" t="s">
        <v>99</v>
      </c>
      <c r="E1054" s="260">
        <v>0</v>
      </c>
      <c r="F1054" s="34">
        <v>2</v>
      </c>
      <c r="G1054" s="40" t="s">
        <v>433</v>
      </c>
      <c r="H1054" s="29">
        <v>1</v>
      </c>
      <c r="I1054" s="9">
        <v>2</v>
      </c>
      <c r="J1054" s="9">
        <v>2</v>
      </c>
      <c r="K1054" s="9">
        <v>1</v>
      </c>
      <c r="L1054" s="9">
        <v>1</v>
      </c>
      <c r="M1054" s="9">
        <v>1</v>
      </c>
      <c r="N1054" s="186">
        <f t="shared" si="85"/>
        <v>0.16933510251023262</v>
      </c>
      <c r="O1054" s="160">
        <f t="shared" si="86"/>
        <v>0.19908580854301616</v>
      </c>
      <c r="P1054" s="63" t="s">
        <v>1967</v>
      </c>
    </row>
    <row r="1055" spans="1:16" s="827" customFormat="1" hidden="1">
      <c r="A1055" s="625" t="s">
        <v>480</v>
      </c>
      <c r="B1055" s="59" t="s">
        <v>232</v>
      </c>
      <c r="C1055" s="40" t="s">
        <v>139</v>
      </c>
      <c r="D1055" s="34" t="s">
        <v>99</v>
      </c>
      <c r="E1055" s="260">
        <v>0</v>
      </c>
      <c r="F1055" s="34">
        <v>2</v>
      </c>
      <c r="G1055" s="40" t="s">
        <v>433</v>
      </c>
      <c r="H1055" s="29">
        <v>1</v>
      </c>
      <c r="I1055" s="9">
        <v>2</v>
      </c>
      <c r="J1055" s="9">
        <v>2</v>
      </c>
      <c r="K1055" s="9">
        <v>1</v>
      </c>
      <c r="L1055" s="9">
        <v>1</v>
      </c>
      <c r="M1055" s="9">
        <v>1</v>
      </c>
      <c r="N1055" s="186">
        <f t="shared" si="85"/>
        <v>0.16933510251023262</v>
      </c>
      <c r="O1055" s="160">
        <f t="shared" si="86"/>
        <v>0.19908580854301616</v>
      </c>
      <c r="P1055" s="63" t="s">
        <v>1967</v>
      </c>
    </row>
    <row r="1056" spans="1:16" s="827" customFormat="1" hidden="1">
      <c r="A1056" s="625" t="s">
        <v>480</v>
      </c>
      <c r="B1056" s="59" t="s">
        <v>251</v>
      </c>
      <c r="C1056" s="40" t="s">
        <v>139</v>
      </c>
      <c r="D1056" s="34" t="s">
        <v>99</v>
      </c>
      <c r="E1056" s="260">
        <v>0</v>
      </c>
      <c r="F1056" s="34">
        <v>2</v>
      </c>
      <c r="G1056" s="40" t="s">
        <v>433</v>
      </c>
      <c r="H1056" s="29">
        <v>1</v>
      </c>
      <c r="I1056" s="9">
        <v>2</v>
      </c>
      <c r="J1056" s="9">
        <v>2</v>
      </c>
      <c r="K1056" s="9">
        <v>1</v>
      </c>
      <c r="L1056" s="9">
        <v>1</v>
      </c>
      <c r="M1056" s="9">
        <v>1</v>
      </c>
      <c r="N1056" s="186">
        <f t="shared" si="85"/>
        <v>0.16933510251023262</v>
      </c>
      <c r="O1056" s="160">
        <f t="shared" si="86"/>
        <v>0.19908580854301616</v>
      </c>
      <c r="P1056" s="63" t="s">
        <v>1967</v>
      </c>
    </row>
    <row r="1057" spans="1:16" s="827" customFormat="1" hidden="1">
      <c r="A1057" s="625" t="s">
        <v>480</v>
      </c>
      <c r="B1057" s="59" t="s">
        <v>258</v>
      </c>
      <c r="C1057" s="40" t="s">
        <v>139</v>
      </c>
      <c r="D1057" s="34" t="s">
        <v>99</v>
      </c>
      <c r="E1057" s="260">
        <v>0</v>
      </c>
      <c r="F1057" s="34">
        <v>2</v>
      </c>
      <c r="G1057" s="40" t="s">
        <v>433</v>
      </c>
      <c r="H1057" s="29">
        <v>1</v>
      </c>
      <c r="I1057" s="9">
        <v>2</v>
      </c>
      <c r="J1057" s="9">
        <v>2</v>
      </c>
      <c r="K1057" s="9">
        <v>1</v>
      </c>
      <c r="L1057" s="9">
        <v>1</v>
      </c>
      <c r="M1057" s="9">
        <v>1</v>
      </c>
      <c r="N1057" s="186">
        <f t="shared" si="85"/>
        <v>0.16933510251023262</v>
      </c>
      <c r="O1057" s="160">
        <f t="shared" si="86"/>
        <v>0.19908580854301616</v>
      </c>
      <c r="P1057" s="63" t="s">
        <v>1967</v>
      </c>
    </row>
    <row r="1058" spans="1:16" s="827" customFormat="1" hidden="1">
      <c r="A1058" s="625" t="s">
        <v>480</v>
      </c>
      <c r="B1058" s="59" t="s">
        <v>334</v>
      </c>
      <c r="C1058" s="40" t="s">
        <v>139</v>
      </c>
      <c r="D1058" s="34" t="s">
        <v>99</v>
      </c>
      <c r="E1058" s="260" t="s">
        <v>150</v>
      </c>
      <c r="F1058" s="34">
        <v>1</v>
      </c>
      <c r="G1058" s="40" t="s">
        <v>433</v>
      </c>
      <c r="H1058" s="29"/>
      <c r="I1058" s="9"/>
      <c r="J1058" s="9"/>
      <c r="K1058" s="9"/>
      <c r="L1058" s="9"/>
      <c r="M1058" s="9"/>
      <c r="N1058" s="186" t="str">
        <f t="shared" si="85"/>
        <v/>
      </c>
      <c r="O1058" s="160" t="str">
        <f t="shared" si="86"/>
        <v/>
      </c>
      <c r="P1058" s="63"/>
    </row>
    <row r="1059" spans="1:16" s="827" customFormat="1" hidden="1">
      <c r="A1059" s="625" t="s">
        <v>477</v>
      </c>
      <c r="B1059" s="59" t="s">
        <v>228</v>
      </c>
      <c r="C1059" s="40" t="s">
        <v>139</v>
      </c>
      <c r="D1059" s="34" t="s">
        <v>99</v>
      </c>
      <c r="E1059" s="260">
        <v>0</v>
      </c>
      <c r="F1059" s="34">
        <v>2</v>
      </c>
      <c r="G1059" s="40" t="s">
        <v>433</v>
      </c>
      <c r="H1059" s="29">
        <v>1</v>
      </c>
      <c r="I1059" s="9">
        <v>2</v>
      </c>
      <c r="J1059" s="9">
        <v>2</v>
      </c>
      <c r="K1059" s="9">
        <v>1</v>
      </c>
      <c r="L1059" s="9">
        <v>1</v>
      </c>
      <c r="M1059" s="9">
        <v>1</v>
      </c>
      <c r="N1059" s="186">
        <f t="shared" si="85"/>
        <v>0.16933510251023262</v>
      </c>
      <c r="O1059" s="160">
        <f t="shared" si="86"/>
        <v>0.19908580854301616</v>
      </c>
      <c r="P1059" s="63" t="s">
        <v>858</v>
      </c>
    </row>
    <row r="1060" spans="1:16" s="827" customFormat="1" hidden="1">
      <c r="A1060" s="625" t="s">
        <v>477</v>
      </c>
      <c r="B1060" s="59" t="s">
        <v>334</v>
      </c>
      <c r="C1060" s="40" t="s">
        <v>139</v>
      </c>
      <c r="D1060" s="34" t="s">
        <v>99</v>
      </c>
      <c r="E1060" s="260" t="s">
        <v>150</v>
      </c>
      <c r="F1060" s="34">
        <v>1</v>
      </c>
      <c r="G1060" s="40" t="s">
        <v>433</v>
      </c>
      <c r="H1060" s="29"/>
      <c r="I1060" s="9"/>
      <c r="J1060" s="9"/>
      <c r="K1060" s="9"/>
      <c r="L1060" s="9"/>
      <c r="M1060" s="9"/>
      <c r="N1060" s="186" t="str">
        <f t="shared" si="85"/>
        <v/>
      </c>
      <c r="O1060" s="160" t="str">
        <f t="shared" si="86"/>
        <v/>
      </c>
      <c r="P1060" s="63" t="s">
        <v>1949</v>
      </c>
    </row>
    <row r="1061" spans="1:16" s="827" customFormat="1" hidden="1">
      <c r="A1061" s="625" t="s">
        <v>439</v>
      </c>
      <c r="B1061" s="59" t="s">
        <v>491</v>
      </c>
      <c r="C1061" s="40" t="s">
        <v>139</v>
      </c>
      <c r="D1061" s="34" t="s">
        <v>99</v>
      </c>
      <c r="E1061" s="260">
        <f>0.97*0.25</f>
        <v>0.24249999999999999</v>
      </c>
      <c r="F1061" s="34">
        <v>2</v>
      </c>
      <c r="G1061" s="40" t="s">
        <v>433</v>
      </c>
      <c r="H1061" s="29">
        <v>1</v>
      </c>
      <c r="I1061" s="9">
        <v>2</v>
      </c>
      <c r="J1061" s="9">
        <v>2</v>
      </c>
      <c r="K1061" s="9">
        <v>1</v>
      </c>
      <c r="L1061" s="9">
        <v>1</v>
      </c>
      <c r="M1061" s="9">
        <v>1</v>
      </c>
      <c r="N1061" s="186">
        <f t="shared" si="85"/>
        <v>0.16933510251023262</v>
      </c>
      <c r="O1061" s="160">
        <f t="shared" si="86"/>
        <v>0.19908580854301616</v>
      </c>
      <c r="P1061" s="63" t="s">
        <v>862</v>
      </c>
    </row>
    <row r="1062" spans="1:16" s="827" customFormat="1" hidden="1">
      <c r="A1062" s="625" t="s">
        <v>439</v>
      </c>
      <c r="B1062" s="59" t="s">
        <v>492</v>
      </c>
      <c r="C1062" s="40" t="s">
        <v>139</v>
      </c>
      <c r="D1062" s="34" t="s">
        <v>99</v>
      </c>
      <c r="E1062" s="260">
        <f>0.97*0.75</f>
        <v>0.72750000000000004</v>
      </c>
      <c r="F1062" s="34">
        <v>2</v>
      </c>
      <c r="G1062" s="40" t="s">
        <v>433</v>
      </c>
      <c r="H1062" s="29">
        <v>1</v>
      </c>
      <c r="I1062" s="9">
        <v>2</v>
      </c>
      <c r="J1062" s="9">
        <v>2</v>
      </c>
      <c r="K1062" s="9">
        <v>1</v>
      </c>
      <c r="L1062" s="9">
        <v>1</v>
      </c>
      <c r="M1062" s="9">
        <v>1</v>
      </c>
      <c r="N1062" s="186">
        <f t="shared" si="85"/>
        <v>0.16933510251023262</v>
      </c>
      <c r="O1062" s="160">
        <f t="shared" si="86"/>
        <v>0.19908580854301616</v>
      </c>
      <c r="P1062" s="63" t="s">
        <v>869</v>
      </c>
    </row>
    <row r="1063" spans="1:16" s="827" customFormat="1" hidden="1">
      <c r="A1063" s="625" t="s">
        <v>439</v>
      </c>
      <c r="B1063" s="59" t="s">
        <v>223</v>
      </c>
      <c r="C1063" s="40" t="s">
        <v>139</v>
      </c>
      <c r="D1063" s="34" t="s">
        <v>99</v>
      </c>
      <c r="E1063" s="260">
        <v>0.03</v>
      </c>
      <c r="F1063" s="34">
        <v>1</v>
      </c>
      <c r="G1063" s="40" t="s">
        <v>433</v>
      </c>
      <c r="H1063" s="29">
        <v>1</v>
      </c>
      <c r="I1063" s="9">
        <v>2</v>
      </c>
      <c r="J1063" s="9">
        <v>2</v>
      </c>
      <c r="K1063" s="9">
        <v>1</v>
      </c>
      <c r="L1063" s="9">
        <v>1</v>
      </c>
      <c r="M1063" s="9">
        <v>1</v>
      </c>
      <c r="N1063" s="186">
        <f t="shared" si="85"/>
        <v>0.16933510251023262</v>
      </c>
      <c r="O1063" s="160">
        <f t="shared" si="86"/>
        <v>0.19908580854301616</v>
      </c>
      <c r="P1063" s="63" t="s">
        <v>854</v>
      </c>
    </row>
    <row r="1064" spans="1:16" s="827" customFormat="1" hidden="1">
      <c r="A1064" s="625" t="s">
        <v>491</v>
      </c>
      <c r="B1064" s="59" t="s">
        <v>493</v>
      </c>
      <c r="C1064" s="40" t="s">
        <v>139</v>
      </c>
      <c r="D1064" s="34" t="s">
        <v>99</v>
      </c>
      <c r="E1064" s="260">
        <v>0.03</v>
      </c>
      <c r="F1064" s="34">
        <v>2</v>
      </c>
      <c r="G1064" s="40" t="s">
        <v>433</v>
      </c>
      <c r="H1064" s="29">
        <v>1</v>
      </c>
      <c r="I1064" s="9">
        <v>2</v>
      </c>
      <c r="J1064" s="9">
        <v>2</v>
      </c>
      <c r="K1064" s="9">
        <v>1</v>
      </c>
      <c r="L1064" s="9">
        <v>1</v>
      </c>
      <c r="M1064" s="9">
        <v>1</v>
      </c>
      <c r="N1064" s="186">
        <f t="shared" si="85"/>
        <v>0.16933510251023262</v>
      </c>
      <c r="O1064" s="160">
        <f t="shared" si="86"/>
        <v>0.19908580854301616</v>
      </c>
      <c r="P1064" s="63" t="s">
        <v>855</v>
      </c>
    </row>
    <row r="1065" spans="1:16" s="827" customFormat="1" hidden="1">
      <c r="A1065" s="625" t="s">
        <v>491</v>
      </c>
      <c r="B1065" s="59" t="s">
        <v>490</v>
      </c>
      <c r="C1065" s="40" t="s">
        <v>139</v>
      </c>
      <c r="D1065" s="34" t="s">
        <v>99</v>
      </c>
      <c r="E1065" s="260" t="s">
        <v>150</v>
      </c>
      <c r="F1065" s="34">
        <v>1</v>
      </c>
      <c r="G1065" s="40" t="s">
        <v>433</v>
      </c>
      <c r="H1065" s="29"/>
      <c r="I1065" s="9"/>
      <c r="J1065" s="9"/>
      <c r="K1065" s="9"/>
      <c r="L1065" s="9"/>
      <c r="M1065" s="9"/>
      <c r="N1065" s="186" t="str">
        <f t="shared" si="85"/>
        <v/>
      </c>
      <c r="O1065" s="160" t="str">
        <f t="shared" si="86"/>
        <v/>
      </c>
      <c r="P1065" s="63" t="s">
        <v>1983</v>
      </c>
    </row>
    <row r="1066" spans="1:16" s="827" customFormat="1" hidden="1">
      <c r="A1066" s="625" t="s">
        <v>493</v>
      </c>
      <c r="B1066" s="59" t="s">
        <v>231</v>
      </c>
      <c r="C1066" s="40" t="s">
        <v>139</v>
      </c>
      <c r="D1066" s="34" t="s">
        <v>99</v>
      </c>
      <c r="E1066" s="260">
        <v>0.05</v>
      </c>
      <c r="F1066" s="34">
        <v>2</v>
      </c>
      <c r="G1066" s="40" t="s">
        <v>157</v>
      </c>
      <c r="H1066" s="29">
        <v>1</v>
      </c>
      <c r="I1066" s="9">
        <v>2</v>
      </c>
      <c r="J1066" s="9">
        <v>2</v>
      </c>
      <c r="K1066" s="9">
        <v>1</v>
      </c>
      <c r="L1066" s="9">
        <v>3</v>
      </c>
      <c r="M1066" s="9">
        <v>3</v>
      </c>
      <c r="N1066" s="186">
        <f t="shared" si="85"/>
        <v>1.0725046436742278</v>
      </c>
      <c r="O1066" s="160">
        <f t="shared" si="86"/>
        <v>1.0776024280428556</v>
      </c>
      <c r="P1066" s="63" t="s">
        <v>1937</v>
      </c>
    </row>
    <row r="1067" spans="1:16" s="827" customFormat="1" hidden="1">
      <c r="A1067" s="625" t="s">
        <v>493</v>
      </c>
      <c r="B1067" s="59" t="s">
        <v>232</v>
      </c>
      <c r="C1067" s="40" t="s">
        <v>139</v>
      </c>
      <c r="D1067" s="34" t="s">
        <v>99</v>
      </c>
      <c r="E1067" s="260">
        <v>0.39400000000000002</v>
      </c>
      <c r="F1067" s="34">
        <v>2</v>
      </c>
      <c r="G1067" s="40" t="s">
        <v>433</v>
      </c>
      <c r="H1067" s="29">
        <v>1</v>
      </c>
      <c r="I1067" s="9">
        <v>2</v>
      </c>
      <c r="J1067" s="9">
        <v>2</v>
      </c>
      <c r="K1067" s="9">
        <v>1</v>
      </c>
      <c r="L1067" s="9">
        <v>1</v>
      </c>
      <c r="M1067" s="9">
        <v>1</v>
      </c>
      <c r="N1067" s="186">
        <f t="shared" si="85"/>
        <v>0.16933510251023262</v>
      </c>
      <c r="O1067" s="160">
        <f t="shared" si="86"/>
        <v>0.19908580854301616</v>
      </c>
      <c r="P1067" s="63" t="s">
        <v>1961</v>
      </c>
    </row>
    <row r="1068" spans="1:16" s="827" customFormat="1" hidden="1">
      <c r="A1068" s="625" t="s">
        <v>493</v>
      </c>
      <c r="B1068" s="59" t="s">
        <v>251</v>
      </c>
      <c r="C1068" s="40" t="s">
        <v>139</v>
      </c>
      <c r="D1068" s="34" t="s">
        <v>99</v>
      </c>
      <c r="E1068" s="260">
        <v>0.52200000000000002</v>
      </c>
      <c r="F1068" s="34">
        <v>1</v>
      </c>
      <c r="G1068" s="40" t="s">
        <v>433</v>
      </c>
      <c r="H1068" s="29">
        <v>1</v>
      </c>
      <c r="I1068" s="9">
        <v>2</v>
      </c>
      <c r="J1068" s="9">
        <v>2</v>
      </c>
      <c r="K1068" s="9">
        <v>1</v>
      </c>
      <c r="L1068" s="9">
        <v>1</v>
      </c>
      <c r="M1068" s="9">
        <v>1</v>
      </c>
      <c r="N1068" s="186">
        <f t="shared" si="85"/>
        <v>0.16933510251023262</v>
      </c>
      <c r="O1068" s="160">
        <f t="shared" si="86"/>
        <v>0.19908580854301616</v>
      </c>
      <c r="P1068" s="63" t="s">
        <v>1962</v>
      </c>
    </row>
    <row r="1069" spans="1:16" s="827" customFormat="1" hidden="1">
      <c r="A1069" s="625" t="s">
        <v>493</v>
      </c>
      <c r="B1069" s="59" t="s">
        <v>258</v>
      </c>
      <c r="C1069" s="40" t="s">
        <v>139</v>
      </c>
      <c r="D1069" s="34" t="s">
        <v>99</v>
      </c>
      <c r="E1069" s="260">
        <v>3.4000000000000002E-2</v>
      </c>
      <c r="F1069" s="34">
        <v>2</v>
      </c>
      <c r="G1069" s="40" t="s">
        <v>433</v>
      </c>
      <c r="H1069" s="29">
        <v>1</v>
      </c>
      <c r="I1069" s="9">
        <v>2</v>
      </c>
      <c r="J1069" s="9">
        <v>2</v>
      </c>
      <c r="K1069" s="9">
        <v>1</v>
      </c>
      <c r="L1069" s="9">
        <v>1</v>
      </c>
      <c r="M1069" s="9">
        <v>1</v>
      </c>
      <c r="N1069" s="186"/>
      <c r="O1069" s="160"/>
      <c r="P1069" s="63" t="s">
        <v>1963</v>
      </c>
    </row>
    <row r="1070" spans="1:16" s="827" customFormat="1" hidden="1">
      <c r="A1070" s="625" t="s">
        <v>492</v>
      </c>
      <c r="B1070" s="59" t="s">
        <v>494</v>
      </c>
      <c r="C1070" s="40" t="s">
        <v>139</v>
      </c>
      <c r="D1070" s="34" t="s">
        <v>99</v>
      </c>
      <c r="E1070" s="260">
        <f>0.1*E1064</f>
        <v>3.0000000000000001E-3</v>
      </c>
      <c r="F1070" s="34">
        <v>2</v>
      </c>
      <c r="G1070" s="40" t="s">
        <v>433</v>
      </c>
      <c r="H1070" s="29">
        <v>1</v>
      </c>
      <c r="I1070" s="9">
        <v>2</v>
      </c>
      <c r="J1070" s="9">
        <v>2</v>
      </c>
      <c r="K1070" s="9">
        <v>1</v>
      </c>
      <c r="L1070" s="9">
        <v>1</v>
      </c>
      <c r="M1070" s="9">
        <v>1</v>
      </c>
      <c r="N1070" s="186">
        <f t="shared" ref="N1070:N1087" si="87">IF( OR( ISBLANK(H1070),ISBLANK(J1070), ISBLANK(K1070), ISBLANK(L1070), ISBLANK(M1070) ), "", 1.5*SQRT(   EXP(2.21*(H1070-1)) + EXP(2.21*(J1070-1)) + EXP(2.21*(K1070-1)) + EXP(2.21*(L1070-1)) + EXP(2.21*M1070)   )/100*2.45 )</f>
        <v>0.16933510251023262</v>
      </c>
      <c r="O1070" s="160">
        <f t="shared" ref="O1070:O1087" si="88">IF( OR( ISBLANK(I1070),ISBLANK(J1070), ISBLANK(K1070), ISBLANK(L1070), ISBLANK(M1070) ), "", 1.5*SQRT( EXP(2.21*(I1070-1)) + EXP(2.21*(J1070-1)) + EXP(2.21*(K1070-1)) + EXP(2.21*(L1070-1)) + EXP(2.21*M1070)   )/100*2.45 )</f>
        <v>0.19908580854301616</v>
      </c>
      <c r="P1070" s="63" t="s">
        <v>856</v>
      </c>
    </row>
    <row r="1071" spans="1:16" s="827" customFormat="1" hidden="1">
      <c r="A1071" s="625" t="s">
        <v>492</v>
      </c>
      <c r="B1071" s="59" t="s">
        <v>489</v>
      </c>
      <c r="C1071" s="40" t="s">
        <v>139</v>
      </c>
      <c r="D1071" s="34" t="s">
        <v>99</v>
      </c>
      <c r="E1071" s="260" t="s">
        <v>150</v>
      </c>
      <c r="F1071" s="34">
        <v>1</v>
      </c>
      <c r="G1071" s="40" t="s">
        <v>433</v>
      </c>
      <c r="H1071" s="29">
        <v>1</v>
      </c>
      <c r="I1071" s="9">
        <v>2</v>
      </c>
      <c r="J1071" s="9">
        <v>2</v>
      </c>
      <c r="K1071" s="9">
        <v>1</v>
      </c>
      <c r="L1071" s="9">
        <v>1</v>
      </c>
      <c r="M1071" s="9">
        <v>1</v>
      </c>
      <c r="N1071" s="186">
        <f t="shared" si="87"/>
        <v>0.16933510251023262</v>
      </c>
      <c r="O1071" s="160">
        <f t="shared" si="88"/>
        <v>0.19908580854301616</v>
      </c>
      <c r="P1071" s="63" t="s">
        <v>1983</v>
      </c>
    </row>
    <row r="1072" spans="1:16" s="827" customFormat="1" hidden="1">
      <c r="A1072" s="625" t="s">
        <v>494</v>
      </c>
      <c r="B1072" s="59" t="s">
        <v>228</v>
      </c>
      <c r="C1072" s="40" t="s">
        <v>139</v>
      </c>
      <c r="D1072" s="34" t="s">
        <v>99</v>
      </c>
      <c r="E1072" s="260">
        <v>1</v>
      </c>
      <c r="F1072" s="34">
        <v>2</v>
      </c>
      <c r="G1072" s="40" t="s">
        <v>433</v>
      </c>
      <c r="H1072" s="29"/>
      <c r="I1072" s="9"/>
      <c r="J1072" s="9"/>
      <c r="K1072" s="9"/>
      <c r="L1072" s="9"/>
      <c r="M1072" s="9"/>
      <c r="N1072" s="186" t="str">
        <f t="shared" si="87"/>
        <v/>
      </c>
      <c r="O1072" s="160" t="str">
        <f t="shared" si="88"/>
        <v/>
      </c>
      <c r="P1072" s="63" t="s">
        <v>857</v>
      </c>
    </row>
    <row r="1073" spans="1:16" s="827" customFormat="1" hidden="1">
      <c r="A1073" s="625" t="s">
        <v>490</v>
      </c>
      <c r="B1073" s="59" t="s">
        <v>231</v>
      </c>
      <c r="C1073" s="40" t="s">
        <v>139</v>
      </c>
      <c r="D1073" s="34" t="s">
        <v>99</v>
      </c>
      <c r="E1073" s="260">
        <v>1.6000000000000001E-3</v>
      </c>
      <c r="F1073" s="34">
        <v>2</v>
      </c>
      <c r="G1073" s="40" t="s">
        <v>1997</v>
      </c>
      <c r="H1073" s="29">
        <v>1</v>
      </c>
      <c r="I1073" s="9">
        <v>2</v>
      </c>
      <c r="J1073" s="9">
        <v>2</v>
      </c>
      <c r="K1073" s="9">
        <v>1</v>
      </c>
      <c r="L1073" s="9">
        <v>3</v>
      </c>
      <c r="M1073" s="9">
        <v>3</v>
      </c>
      <c r="N1073" s="186">
        <f t="shared" si="87"/>
        <v>1.0725046436742278</v>
      </c>
      <c r="O1073" s="160">
        <f t="shared" si="88"/>
        <v>1.0776024280428556</v>
      </c>
      <c r="P1073" s="63" t="s">
        <v>1973</v>
      </c>
    </row>
    <row r="1074" spans="1:16" s="827" customFormat="1" hidden="1">
      <c r="A1074" s="625" t="s">
        <v>490</v>
      </c>
      <c r="B1074" s="59" t="s">
        <v>232</v>
      </c>
      <c r="C1074" s="40" t="s">
        <v>139</v>
      </c>
      <c r="D1074" s="34" t="s">
        <v>99</v>
      </c>
      <c r="E1074" s="260">
        <v>1.26E-2</v>
      </c>
      <c r="F1074" s="34">
        <v>2</v>
      </c>
      <c r="G1074" s="40" t="s">
        <v>433</v>
      </c>
      <c r="H1074" s="29">
        <v>1</v>
      </c>
      <c r="I1074" s="9">
        <v>2</v>
      </c>
      <c r="J1074" s="9">
        <v>2</v>
      </c>
      <c r="K1074" s="9">
        <v>1</v>
      </c>
      <c r="L1074" s="9">
        <v>1</v>
      </c>
      <c r="M1074" s="9">
        <v>1</v>
      </c>
      <c r="N1074" s="186">
        <f t="shared" si="87"/>
        <v>0.16933510251023262</v>
      </c>
      <c r="O1074" s="160">
        <f t="shared" si="88"/>
        <v>0.19908580854301616</v>
      </c>
      <c r="P1074" s="63" t="s">
        <v>1974</v>
      </c>
    </row>
    <row r="1075" spans="1:16" s="827" customFormat="1" hidden="1">
      <c r="A1075" s="625" t="s">
        <v>490</v>
      </c>
      <c r="B1075" s="59" t="s">
        <v>251</v>
      </c>
      <c r="C1075" s="40" t="s">
        <v>139</v>
      </c>
      <c r="D1075" s="34" t="s">
        <v>99</v>
      </c>
      <c r="E1075" s="260">
        <v>1.67E-2</v>
      </c>
      <c r="F1075" s="34">
        <v>2</v>
      </c>
      <c r="G1075" s="40" t="s">
        <v>433</v>
      </c>
      <c r="H1075" s="29">
        <v>1</v>
      </c>
      <c r="I1075" s="9">
        <v>2</v>
      </c>
      <c r="J1075" s="9">
        <v>2</v>
      </c>
      <c r="K1075" s="9">
        <v>1</v>
      </c>
      <c r="L1075" s="9">
        <v>1</v>
      </c>
      <c r="M1075" s="9">
        <v>1</v>
      </c>
      <c r="N1075" s="186">
        <f t="shared" si="87"/>
        <v>0.16933510251023262</v>
      </c>
      <c r="O1075" s="160">
        <f t="shared" si="88"/>
        <v>0.19908580854301616</v>
      </c>
      <c r="P1075" s="63" t="s">
        <v>1980</v>
      </c>
    </row>
    <row r="1076" spans="1:16" s="827" customFormat="1" hidden="1">
      <c r="A1076" s="625" t="s">
        <v>490</v>
      </c>
      <c r="B1076" s="59" t="s">
        <v>258</v>
      </c>
      <c r="C1076" s="40" t="s">
        <v>139</v>
      </c>
      <c r="D1076" s="34" t="s">
        <v>99</v>
      </c>
      <c r="E1076" s="260">
        <v>1.1000000000000001E-3</v>
      </c>
      <c r="F1076" s="34">
        <v>2</v>
      </c>
      <c r="G1076" s="40" t="s">
        <v>433</v>
      </c>
      <c r="H1076" s="29">
        <v>1</v>
      </c>
      <c r="I1076" s="9">
        <v>2</v>
      </c>
      <c r="J1076" s="9">
        <v>2</v>
      </c>
      <c r="K1076" s="9">
        <v>1</v>
      </c>
      <c r="L1076" s="9">
        <v>1</v>
      </c>
      <c r="M1076" s="9">
        <v>1</v>
      </c>
      <c r="N1076" s="186">
        <f t="shared" si="87"/>
        <v>0.16933510251023262</v>
      </c>
      <c r="O1076" s="160">
        <f t="shared" si="88"/>
        <v>0.19908580854301616</v>
      </c>
      <c r="P1076" s="63" t="s">
        <v>1975</v>
      </c>
    </row>
    <row r="1077" spans="1:16" s="827" customFormat="1" hidden="1">
      <c r="A1077" s="625" t="s">
        <v>490</v>
      </c>
      <c r="B1077" s="59" t="s">
        <v>334</v>
      </c>
      <c r="C1077" s="40" t="s">
        <v>139</v>
      </c>
      <c r="D1077" s="34" t="s">
        <v>99</v>
      </c>
      <c r="E1077" s="260" t="s">
        <v>150</v>
      </c>
      <c r="F1077" s="34">
        <v>1</v>
      </c>
      <c r="G1077" s="40" t="s">
        <v>433</v>
      </c>
      <c r="H1077" s="29"/>
      <c r="I1077" s="9"/>
      <c r="J1077" s="9"/>
      <c r="K1077" s="9"/>
      <c r="L1077" s="9"/>
      <c r="M1077" s="9"/>
      <c r="N1077" s="186" t="str">
        <f t="shared" si="87"/>
        <v/>
      </c>
      <c r="O1077" s="160" t="str">
        <f t="shared" si="88"/>
        <v/>
      </c>
      <c r="P1077" s="63"/>
    </row>
    <row r="1078" spans="1:16" s="827" customFormat="1" hidden="1">
      <c r="A1078" s="625" t="s">
        <v>489</v>
      </c>
      <c r="B1078" s="59" t="s">
        <v>228</v>
      </c>
      <c r="C1078" s="40" t="s">
        <v>139</v>
      </c>
      <c r="D1078" s="34" t="s">
        <v>99</v>
      </c>
      <c r="E1078" s="260">
        <v>3.2000000000000001E-2</v>
      </c>
      <c r="F1078" s="34">
        <v>2</v>
      </c>
      <c r="G1078" s="40" t="s">
        <v>433</v>
      </c>
      <c r="H1078" s="29">
        <v>1</v>
      </c>
      <c r="I1078" s="9">
        <v>2</v>
      </c>
      <c r="J1078" s="9">
        <v>2</v>
      </c>
      <c r="K1078" s="9">
        <v>1</v>
      </c>
      <c r="L1078" s="9">
        <v>1</v>
      </c>
      <c r="M1078" s="9">
        <v>1</v>
      </c>
      <c r="N1078" s="186">
        <f t="shared" si="87"/>
        <v>0.16933510251023262</v>
      </c>
      <c r="O1078" s="160">
        <f t="shared" si="88"/>
        <v>0.19908580854301616</v>
      </c>
      <c r="P1078" s="63" t="s">
        <v>861</v>
      </c>
    </row>
    <row r="1079" spans="1:16" s="827" customFormat="1" hidden="1">
      <c r="A1079" s="625" t="s">
        <v>489</v>
      </c>
      <c r="B1079" s="59" t="s">
        <v>334</v>
      </c>
      <c r="C1079" s="40" t="s">
        <v>139</v>
      </c>
      <c r="D1079" s="34" t="s">
        <v>99</v>
      </c>
      <c r="E1079" s="260" t="s">
        <v>150</v>
      </c>
      <c r="F1079" s="34">
        <v>1</v>
      </c>
      <c r="G1079" s="40" t="s">
        <v>433</v>
      </c>
      <c r="H1079" s="29"/>
      <c r="I1079" s="9"/>
      <c r="J1079" s="9"/>
      <c r="K1079" s="9"/>
      <c r="L1079" s="9"/>
      <c r="M1079" s="9"/>
      <c r="N1079" s="186" t="str">
        <f t="shared" si="87"/>
        <v/>
      </c>
      <c r="O1079" s="160" t="str">
        <f t="shared" si="88"/>
        <v/>
      </c>
      <c r="P1079" s="63" t="s">
        <v>1984</v>
      </c>
    </row>
    <row r="1080" spans="1:16" s="827" customFormat="1" hidden="1">
      <c r="A1080" s="625" t="s">
        <v>440</v>
      </c>
      <c r="B1080" s="59" t="s">
        <v>495</v>
      </c>
      <c r="C1080" s="40" t="s">
        <v>139</v>
      </c>
      <c r="D1080" s="34" t="s">
        <v>99</v>
      </c>
      <c r="E1080" s="260">
        <f>0.85*0.4</f>
        <v>0.34</v>
      </c>
      <c r="F1080" s="34">
        <v>2</v>
      </c>
      <c r="G1080" s="40" t="s">
        <v>433</v>
      </c>
      <c r="H1080" s="29">
        <v>1</v>
      </c>
      <c r="I1080" s="9">
        <v>2</v>
      </c>
      <c r="J1080" s="9">
        <v>2</v>
      </c>
      <c r="K1080" s="9">
        <v>1</v>
      </c>
      <c r="L1080" s="9">
        <v>1</v>
      </c>
      <c r="M1080" s="9">
        <v>1</v>
      </c>
      <c r="N1080" s="186">
        <f t="shared" si="87"/>
        <v>0.16933510251023262</v>
      </c>
      <c r="O1080" s="160">
        <f t="shared" si="88"/>
        <v>0.19908580854301616</v>
      </c>
      <c r="P1080" s="63" t="s">
        <v>870</v>
      </c>
    </row>
    <row r="1081" spans="1:16" s="827" customFormat="1" hidden="1">
      <c r="A1081" s="625" t="s">
        <v>440</v>
      </c>
      <c r="B1081" s="59" t="s">
        <v>496</v>
      </c>
      <c r="C1081" s="40" t="s">
        <v>139</v>
      </c>
      <c r="D1081" s="34" t="s">
        <v>99</v>
      </c>
      <c r="E1081" s="260">
        <f>0.85*0.6</f>
        <v>0.51</v>
      </c>
      <c r="F1081" s="34">
        <v>2</v>
      </c>
      <c r="G1081" s="40" t="s">
        <v>433</v>
      </c>
      <c r="H1081" s="29">
        <v>1</v>
      </c>
      <c r="I1081" s="9">
        <v>2</v>
      </c>
      <c r="J1081" s="9">
        <v>2</v>
      </c>
      <c r="K1081" s="9">
        <v>1</v>
      </c>
      <c r="L1081" s="9">
        <v>1</v>
      </c>
      <c r="M1081" s="9">
        <v>1</v>
      </c>
      <c r="N1081" s="186">
        <f t="shared" si="87"/>
        <v>0.16933510251023262</v>
      </c>
      <c r="O1081" s="160">
        <f t="shared" si="88"/>
        <v>0.19908580854301616</v>
      </c>
      <c r="P1081" s="63" t="s">
        <v>871</v>
      </c>
    </row>
    <row r="1082" spans="1:16" s="827" customFormat="1" hidden="1">
      <c r="A1082" s="625" t="s">
        <v>440</v>
      </c>
      <c r="B1082" s="59" t="s">
        <v>223</v>
      </c>
      <c r="C1082" s="40" t="s">
        <v>139</v>
      </c>
      <c r="D1082" s="34" t="s">
        <v>99</v>
      </c>
      <c r="E1082" s="260">
        <v>0.15</v>
      </c>
      <c r="F1082" s="34">
        <v>1</v>
      </c>
      <c r="G1082" s="40" t="s">
        <v>433</v>
      </c>
      <c r="H1082" s="29">
        <v>1</v>
      </c>
      <c r="I1082" s="9">
        <v>2</v>
      </c>
      <c r="J1082" s="9">
        <v>2</v>
      </c>
      <c r="K1082" s="9">
        <v>1</v>
      </c>
      <c r="L1082" s="9">
        <v>1</v>
      </c>
      <c r="M1082" s="9">
        <v>1</v>
      </c>
      <c r="N1082" s="186">
        <f t="shared" si="87"/>
        <v>0.16933510251023262</v>
      </c>
      <c r="O1082" s="160">
        <f t="shared" si="88"/>
        <v>0.19908580854301616</v>
      </c>
      <c r="P1082" s="63" t="s">
        <v>872</v>
      </c>
    </row>
    <row r="1083" spans="1:16" s="827" customFormat="1" hidden="1">
      <c r="A1083" s="625" t="s">
        <v>495</v>
      </c>
      <c r="B1083" s="59" t="s">
        <v>497</v>
      </c>
      <c r="C1083" s="40" t="s">
        <v>139</v>
      </c>
      <c r="D1083" s="34" t="s">
        <v>99</v>
      </c>
      <c r="E1083" s="260">
        <v>0.03</v>
      </c>
      <c r="F1083" s="34">
        <v>2</v>
      </c>
      <c r="G1083" s="40" t="s">
        <v>433</v>
      </c>
      <c r="H1083" s="29">
        <v>1</v>
      </c>
      <c r="I1083" s="9">
        <v>2</v>
      </c>
      <c r="J1083" s="9">
        <v>2</v>
      </c>
      <c r="K1083" s="9">
        <v>1</v>
      </c>
      <c r="L1083" s="9">
        <v>1</v>
      </c>
      <c r="M1083" s="9">
        <v>1</v>
      </c>
      <c r="N1083" s="186">
        <f t="shared" si="87"/>
        <v>0.16933510251023262</v>
      </c>
      <c r="O1083" s="160">
        <f t="shared" si="88"/>
        <v>0.19908580854301616</v>
      </c>
      <c r="P1083" s="63" t="s">
        <v>855</v>
      </c>
    </row>
    <row r="1084" spans="1:16" s="827" customFormat="1" hidden="1">
      <c r="A1084" s="625" t="s">
        <v>495</v>
      </c>
      <c r="B1084" s="59" t="s">
        <v>498</v>
      </c>
      <c r="C1084" s="40" t="s">
        <v>139</v>
      </c>
      <c r="D1084" s="34" t="s">
        <v>99</v>
      </c>
      <c r="E1084" s="260" t="s">
        <v>150</v>
      </c>
      <c r="F1084" s="34">
        <v>1</v>
      </c>
      <c r="G1084" s="40" t="s">
        <v>433</v>
      </c>
      <c r="H1084" s="29"/>
      <c r="I1084" s="9"/>
      <c r="J1084" s="9"/>
      <c r="K1084" s="9"/>
      <c r="L1084" s="9"/>
      <c r="M1084" s="9"/>
      <c r="N1084" s="186" t="str">
        <f t="shared" si="87"/>
        <v/>
      </c>
      <c r="O1084" s="160" t="str">
        <f t="shared" si="88"/>
        <v/>
      </c>
      <c r="P1084" s="63" t="s">
        <v>1950</v>
      </c>
    </row>
    <row r="1085" spans="1:16" s="827" customFormat="1" hidden="1">
      <c r="A1085" s="625" t="s">
        <v>497</v>
      </c>
      <c r="B1085" s="59" t="s">
        <v>231</v>
      </c>
      <c r="C1085" s="40" t="s">
        <v>139</v>
      </c>
      <c r="D1085" s="34" t="s">
        <v>99</v>
      </c>
      <c r="E1085" s="260">
        <v>0.05</v>
      </c>
      <c r="F1085" s="34">
        <v>2</v>
      </c>
      <c r="G1085" s="40" t="s">
        <v>157</v>
      </c>
      <c r="H1085" s="29">
        <v>1</v>
      </c>
      <c r="I1085" s="9">
        <v>2</v>
      </c>
      <c r="J1085" s="9">
        <v>2</v>
      </c>
      <c r="K1085" s="9">
        <v>1</v>
      </c>
      <c r="L1085" s="9">
        <v>3</v>
      </c>
      <c r="M1085" s="9">
        <v>3</v>
      </c>
      <c r="N1085" s="186">
        <f t="shared" si="87"/>
        <v>1.0725046436742278</v>
      </c>
      <c r="O1085" s="160">
        <f t="shared" si="88"/>
        <v>1.0776024280428556</v>
      </c>
      <c r="P1085" s="63" t="s">
        <v>1937</v>
      </c>
    </row>
    <row r="1086" spans="1:16" s="827" customFormat="1" hidden="1">
      <c r="A1086" s="625" t="s">
        <v>497</v>
      </c>
      <c r="B1086" s="59" t="s">
        <v>232</v>
      </c>
      <c r="C1086" s="40" t="s">
        <v>139</v>
      </c>
      <c r="D1086" s="34" t="s">
        <v>99</v>
      </c>
      <c r="E1086" s="260">
        <v>0.39400000000000002</v>
      </c>
      <c r="F1086" s="34">
        <v>2</v>
      </c>
      <c r="G1086" s="40" t="s">
        <v>433</v>
      </c>
      <c r="H1086" s="29">
        <v>1</v>
      </c>
      <c r="I1086" s="9">
        <v>2</v>
      </c>
      <c r="J1086" s="9">
        <v>2</v>
      </c>
      <c r="K1086" s="9">
        <v>1</v>
      </c>
      <c r="L1086" s="9">
        <v>1</v>
      </c>
      <c r="M1086" s="9">
        <v>1</v>
      </c>
      <c r="N1086" s="186">
        <f t="shared" si="87"/>
        <v>0.16933510251023262</v>
      </c>
      <c r="O1086" s="160">
        <f t="shared" si="88"/>
        <v>0.19908580854301616</v>
      </c>
      <c r="P1086" s="63" t="s">
        <v>1961</v>
      </c>
    </row>
    <row r="1087" spans="1:16" s="827" customFormat="1" hidden="1">
      <c r="A1087" s="625" t="s">
        <v>497</v>
      </c>
      <c r="B1087" s="59" t="s">
        <v>251</v>
      </c>
      <c r="C1087" s="40" t="s">
        <v>139</v>
      </c>
      <c r="D1087" s="34" t="s">
        <v>99</v>
      </c>
      <c r="E1087" s="260">
        <v>0.52200000000000002</v>
      </c>
      <c r="F1087" s="34">
        <v>1</v>
      </c>
      <c r="G1087" s="40" t="s">
        <v>433</v>
      </c>
      <c r="H1087" s="29">
        <v>1</v>
      </c>
      <c r="I1087" s="9">
        <v>2</v>
      </c>
      <c r="J1087" s="9">
        <v>2</v>
      </c>
      <c r="K1087" s="9">
        <v>1</v>
      </c>
      <c r="L1087" s="9">
        <v>1</v>
      </c>
      <c r="M1087" s="9">
        <v>1</v>
      </c>
      <c r="N1087" s="186">
        <f t="shared" si="87"/>
        <v>0.16933510251023262</v>
      </c>
      <c r="O1087" s="160">
        <f t="shared" si="88"/>
        <v>0.19908580854301616</v>
      </c>
      <c r="P1087" s="63" t="s">
        <v>1962</v>
      </c>
    </row>
    <row r="1088" spans="1:16" s="827" customFormat="1" hidden="1">
      <c r="A1088" s="625" t="s">
        <v>497</v>
      </c>
      <c r="B1088" s="59" t="s">
        <v>258</v>
      </c>
      <c r="C1088" s="40" t="s">
        <v>139</v>
      </c>
      <c r="D1088" s="34" t="s">
        <v>99</v>
      </c>
      <c r="E1088" s="260">
        <v>3.4000000000000002E-2</v>
      </c>
      <c r="F1088" s="34">
        <v>2</v>
      </c>
      <c r="G1088" s="40" t="s">
        <v>433</v>
      </c>
      <c r="H1088" s="29">
        <v>1</v>
      </c>
      <c r="I1088" s="9">
        <v>2</v>
      </c>
      <c r="J1088" s="9">
        <v>2</v>
      </c>
      <c r="K1088" s="9">
        <v>1</v>
      </c>
      <c r="L1088" s="9">
        <v>1</v>
      </c>
      <c r="M1088" s="9">
        <v>1</v>
      </c>
      <c r="N1088" s="186"/>
      <c r="O1088" s="160"/>
      <c r="P1088" s="63" t="s">
        <v>1963</v>
      </c>
    </row>
    <row r="1089" spans="1:20" s="827" customFormat="1" hidden="1">
      <c r="A1089" s="625" t="s">
        <v>496</v>
      </c>
      <c r="B1089" s="59" t="s">
        <v>499</v>
      </c>
      <c r="C1089" s="40" t="s">
        <v>139</v>
      </c>
      <c r="D1089" s="34" t="s">
        <v>99</v>
      </c>
      <c r="E1089" s="260">
        <f>0.1*E1083</f>
        <v>3.0000000000000001E-3</v>
      </c>
      <c r="F1089" s="34">
        <v>2</v>
      </c>
      <c r="G1089" s="40" t="s">
        <v>433</v>
      </c>
      <c r="H1089" s="29">
        <v>1</v>
      </c>
      <c r="I1089" s="9">
        <v>2</v>
      </c>
      <c r="J1089" s="9">
        <v>2</v>
      </c>
      <c r="K1089" s="9">
        <v>1</v>
      </c>
      <c r="L1089" s="9">
        <v>1</v>
      </c>
      <c r="M1089" s="9">
        <v>1</v>
      </c>
      <c r="N1089" s="186">
        <f t="shared" ref="N1089:N1106" si="89">IF( OR( ISBLANK(H1089),ISBLANK(J1089), ISBLANK(K1089), ISBLANK(L1089), ISBLANK(M1089) ), "", 1.5*SQRT(   EXP(2.21*(H1089-1)) + EXP(2.21*(J1089-1)) + EXP(2.21*(K1089-1)) + EXP(2.21*(L1089-1)) + EXP(2.21*M1089)   )/100*2.45 )</f>
        <v>0.16933510251023262</v>
      </c>
      <c r="O1089" s="160">
        <f t="shared" ref="O1089:O1106" si="90">IF( OR( ISBLANK(I1089),ISBLANK(J1089), ISBLANK(K1089), ISBLANK(L1089), ISBLANK(M1089) ), "", 1.5*SQRT( EXP(2.21*(I1089-1)) + EXP(2.21*(J1089-1)) + EXP(2.21*(K1089-1)) + EXP(2.21*(L1089-1)) + EXP(2.21*M1089)   )/100*2.45 )</f>
        <v>0.19908580854301616</v>
      </c>
      <c r="P1089" s="63" t="s">
        <v>856</v>
      </c>
    </row>
    <row r="1090" spans="1:20" s="827" customFormat="1" hidden="1">
      <c r="A1090" s="625" t="s">
        <v>496</v>
      </c>
      <c r="B1090" s="59" t="s">
        <v>500</v>
      </c>
      <c r="C1090" s="40" t="s">
        <v>139</v>
      </c>
      <c r="D1090" s="34" t="s">
        <v>99</v>
      </c>
      <c r="E1090" s="260" t="s">
        <v>150</v>
      </c>
      <c r="F1090" s="34">
        <v>1</v>
      </c>
      <c r="G1090" s="40" t="s">
        <v>433</v>
      </c>
      <c r="H1090" s="29"/>
      <c r="I1090" s="9"/>
      <c r="J1090" s="9"/>
      <c r="K1090" s="9"/>
      <c r="L1090" s="9"/>
      <c r="M1090" s="9"/>
      <c r="N1090" s="186" t="str">
        <f t="shared" si="89"/>
        <v/>
      </c>
      <c r="O1090" s="160" t="str">
        <f t="shared" si="90"/>
        <v/>
      </c>
      <c r="P1090" s="63" t="s">
        <v>1950</v>
      </c>
    </row>
    <row r="1091" spans="1:20" s="827" customFormat="1" hidden="1">
      <c r="A1091" s="625" t="s">
        <v>499</v>
      </c>
      <c r="B1091" s="59" t="s">
        <v>228</v>
      </c>
      <c r="C1091" s="40" t="s">
        <v>139</v>
      </c>
      <c r="D1091" s="34" t="s">
        <v>99</v>
      </c>
      <c r="E1091" s="260">
        <v>1</v>
      </c>
      <c r="F1091" s="34">
        <v>2</v>
      </c>
      <c r="G1091" s="40" t="s">
        <v>433</v>
      </c>
      <c r="H1091" s="29">
        <v>1</v>
      </c>
      <c r="I1091" s="9">
        <v>2</v>
      </c>
      <c r="J1091" s="9">
        <v>2</v>
      </c>
      <c r="K1091" s="9">
        <v>1</v>
      </c>
      <c r="L1091" s="9">
        <v>1</v>
      </c>
      <c r="M1091" s="9">
        <v>1</v>
      </c>
      <c r="N1091" s="186">
        <f t="shared" si="89"/>
        <v>0.16933510251023262</v>
      </c>
      <c r="O1091" s="160">
        <f t="shared" si="90"/>
        <v>0.19908580854301616</v>
      </c>
      <c r="P1091" s="63" t="s">
        <v>857</v>
      </c>
    </row>
    <row r="1092" spans="1:20" s="827" customFormat="1" hidden="1">
      <c r="A1092" s="625" t="s">
        <v>498</v>
      </c>
      <c r="B1092" s="59" t="s">
        <v>231</v>
      </c>
      <c r="C1092" s="40" t="s">
        <v>139</v>
      </c>
      <c r="D1092" s="34" t="s">
        <v>99</v>
      </c>
      <c r="E1092" s="260">
        <v>3.2000000000000002E-3</v>
      </c>
      <c r="F1092" s="34">
        <v>2</v>
      </c>
      <c r="G1092" s="40" t="s">
        <v>1997</v>
      </c>
      <c r="H1092" s="29">
        <v>1</v>
      </c>
      <c r="I1092" s="9">
        <v>2</v>
      </c>
      <c r="J1092" s="9">
        <v>2</v>
      </c>
      <c r="K1092" s="9">
        <v>1</v>
      </c>
      <c r="L1092" s="9">
        <v>3</v>
      </c>
      <c r="M1092" s="9">
        <v>3</v>
      </c>
      <c r="N1092" s="186">
        <f t="shared" si="89"/>
        <v>1.0725046436742278</v>
      </c>
      <c r="O1092" s="160">
        <f t="shared" si="90"/>
        <v>1.0776024280428556</v>
      </c>
      <c r="P1092" s="63" t="s">
        <v>1985</v>
      </c>
      <c r="T1092" s="7"/>
    </row>
    <row r="1093" spans="1:20" s="827" customFormat="1" hidden="1">
      <c r="A1093" s="625" t="s">
        <v>498</v>
      </c>
      <c r="B1093" s="59" t="s">
        <v>232</v>
      </c>
      <c r="C1093" s="40" t="s">
        <v>139</v>
      </c>
      <c r="D1093" s="34" t="s">
        <v>99</v>
      </c>
      <c r="E1093" s="260">
        <v>2.5215999999999999E-2</v>
      </c>
      <c r="F1093" s="34">
        <v>2</v>
      </c>
      <c r="G1093" s="40" t="s">
        <v>433</v>
      </c>
      <c r="H1093" s="29">
        <v>1</v>
      </c>
      <c r="I1093" s="9">
        <v>2</v>
      </c>
      <c r="J1093" s="9">
        <v>2</v>
      </c>
      <c r="K1093" s="9">
        <v>1</v>
      </c>
      <c r="L1093" s="9">
        <v>1</v>
      </c>
      <c r="M1093" s="9">
        <v>1</v>
      </c>
      <c r="N1093" s="186">
        <f t="shared" si="89"/>
        <v>0.16933510251023262</v>
      </c>
      <c r="O1093" s="160">
        <f t="shared" si="90"/>
        <v>0.19908580854301616</v>
      </c>
      <c r="P1093" s="63" t="s">
        <v>1988</v>
      </c>
      <c r="R1093" s="856"/>
      <c r="T1093" s="7"/>
    </row>
    <row r="1094" spans="1:20" s="827" customFormat="1" hidden="1">
      <c r="A1094" s="625" t="s">
        <v>498</v>
      </c>
      <c r="B1094" s="59" t="s">
        <v>251</v>
      </c>
      <c r="C1094" s="40" t="s">
        <v>139</v>
      </c>
      <c r="D1094" s="34" t="s">
        <v>99</v>
      </c>
      <c r="E1094" s="260">
        <v>3.3408E-2</v>
      </c>
      <c r="F1094" s="34">
        <v>2</v>
      </c>
      <c r="G1094" s="40" t="s">
        <v>433</v>
      </c>
      <c r="H1094" s="29">
        <v>1</v>
      </c>
      <c r="I1094" s="9">
        <v>2</v>
      </c>
      <c r="J1094" s="9">
        <v>2</v>
      </c>
      <c r="K1094" s="9">
        <v>1</v>
      </c>
      <c r="L1094" s="9">
        <v>1</v>
      </c>
      <c r="M1094" s="9">
        <v>1</v>
      </c>
      <c r="N1094" s="186">
        <f t="shared" si="89"/>
        <v>0.16933510251023262</v>
      </c>
      <c r="O1094" s="160">
        <f t="shared" si="90"/>
        <v>0.19908580854301616</v>
      </c>
      <c r="P1094" s="63" t="s">
        <v>1986</v>
      </c>
      <c r="T1094" s="7"/>
    </row>
    <row r="1095" spans="1:20" s="827" customFormat="1" hidden="1">
      <c r="A1095" s="625" t="s">
        <v>498</v>
      </c>
      <c r="B1095" s="59" t="s">
        <v>258</v>
      </c>
      <c r="C1095" s="40" t="s">
        <v>139</v>
      </c>
      <c r="D1095" s="34" t="s">
        <v>99</v>
      </c>
      <c r="E1095" s="260">
        <v>2.176E-3</v>
      </c>
      <c r="F1095" s="34">
        <v>2</v>
      </c>
      <c r="G1095" s="40" t="s">
        <v>433</v>
      </c>
      <c r="H1095" s="29">
        <v>1</v>
      </c>
      <c r="I1095" s="9">
        <v>2</v>
      </c>
      <c r="J1095" s="9">
        <v>2</v>
      </c>
      <c r="K1095" s="9">
        <v>1</v>
      </c>
      <c r="L1095" s="9">
        <v>1</v>
      </c>
      <c r="M1095" s="9">
        <v>1</v>
      </c>
      <c r="N1095" s="186">
        <f t="shared" si="89"/>
        <v>0.16933510251023262</v>
      </c>
      <c r="O1095" s="160">
        <f t="shared" si="90"/>
        <v>0.19908580854301616</v>
      </c>
      <c r="P1095" s="63" t="s">
        <v>1987</v>
      </c>
      <c r="T1095" s="7"/>
    </row>
    <row r="1096" spans="1:20" s="827" customFormat="1" hidden="1">
      <c r="A1096" s="625" t="s">
        <v>498</v>
      </c>
      <c r="B1096" s="59" t="s">
        <v>334</v>
      </c>
      <c r="C1096" s="40" t="s">
        <v>139</v>
      </c>
      <c r="D1096" s="34" t="s">
        <v>99</v>
      </c>
      <c r="E1096" s="260" t="s">
        <v>150</v>
      </c>
      <c r="F1096" s="34">
        <v>1</v>
      </c>
      <c r="G1096" s="40" t="s">
        <v>433</v>
      </c>
      <c r="H1096" s="29"/>
      <c r="I1096" s="9"/>
      <c r="J1096" s="9"/>
      <c r="K1096" s="9"/>
      <c r="L1096" s="9"/>
      <c r="M1096" s="9"/>
      <c r="N1096" s="186" t="str">
        <f t="shared" si="89"/>
        <v/>
      </c>
      <c r="O1096" s="160" t="str">
        <f t="shared" si="90"/>
        <v/>
      </c>
      <c r="P1096" s="63"/>
      <c r="T1096" s="7"/>
    </row>
    <row r="1097" spans="1:20" s="827" customFormat="1" hidden="1">
      <c r="A1097" s="625" t="s">
        <v>500</v>
      </c>
      <c r="B1097" s="59" t="s">
        <v>228</v>
      </c>
      <c r="C1097" s="40" t="s">
        <v>139</v>
      </c>
      <c r="D1097" s="34" t="s">
        <v>99</v>
      </c>
      <c r="E1097" s="260">
        <v>6.4000000000000001E-2</v>
      </c>
      <c r="F1097" s="34">
        <v>2</v>
      </c>
      <c r="G1097" s="40" t="s">
        <v>433</v>
      </c>
      <c r="H1097" s="29">
        <v>1</v>
      </c>
      <c r="I1097" s="9">
        <v>2</v>
      </c>
      <c r="J1097" s="9">
        <v>2</v>
      </c>
      <c r="K1097" s="9">
        <v>1</v>
      </c>
      <c r="L1097" s="9">
        <v>1</v>
      </c>
      <c r="M1097" s="9">
        <v>1</v>
      </c>
      <c r="N1097" s="186">
        <f t="shared" si="89"/>
        <v>0.16933510251023262</v>
      </c>
      <c r="O1097" s="160">
        <f t="shared" si="90"/>
        <v>0.19908580854301616</v>
      </c>
      <c r="P1097" s="63" t="s">
        <v>873</v>
      </c>
    </row>
    <row r="1098" spans="1:20" s="827" customFormat="1" hidden="1">
      <c r="A1098" s="625" t="s">
        <v>500</v>
      </c>
      <c r="B1098" s="59" t="s">
        <v>334</v>
      </c>
      <c r="C1098" s="40" t="s">
        <v>139</v>
      </c>
      <c r="D1098" s="34" t="s">
        <v>99</v>
      </c>
      <c r="E1098" s="260" t="s">
        <v>150</v>
      </c>
      <c r="F1098" s="34">
        <v>1</v>
      </c>
      <c r="G1098" s="40" t="s">
        <v>433</v>
      </c>
      <c r="H1098" s="29"/>
      <c r="I1098" s="9"/>
      <c r="J1098" s="9"/>
      <c r="K1098" s="9"/>
      <c r="L1098" s="9"/>
      <c r="M1098" s="9"/>
      <c r="N1098" s="186" t="str">
        <f t="shared" si="89"/>
        <v/>
      </c>
      <c r="O1098" s="160" t="str">
        <f t="shared" si="90"/>
        <v/>
      </c>
      <c r="P1098" s="63" t="s">
        <v>1951</v>
      </c>
    </row>
    <row r="1099" spans="1:20" s="827" customFormat="1" hidden="1">
      <c r="A1099" s="625" t="s">
        <v>441</v>
      </c>
      <c r="B1099" s="59" t="s">
        <v>501</v>
      </c>
      <c r="C1099" s="40" t="s">
        <v>139</v>
      </c>
      <c r="D1099" s="34" t="s">
        <v>99</v>
      </c>
      <c r="E1099" s="260">
        <f>0.85*0.6</f>
        <v>0.51</v>
      </c>
      <c r="F1099" s="34">
        <v>2</v>
      </c>
      <c r="G1099" s="40" t="s">
        <v>433</v>
      </c>
      <c r="H1099" s="29">
        <v>1</v>
      </c>
      <c r="I1099" s="9">
        <v>2</v>
      </c>
      <c r="J1099" s="9">
        <v>2</v>
      </c>
      <c r="K1099" s="9">
        <v>1</v>
      </c>
      <c r="L1099" s="9">
        <v>1</v>
      </c>
      <c r="M1099" s="9">
        <v>1</v>
      </c>
      <c r="N1099" s="186">
        <f t="shared" si="89"/>
        <v>0.16933510251023262</v>
      </c>
      <c r="O1099" s="160">
        <f t="shared" si="90"/>
        <v>0.19908580854301616</v>
      </c>
      <c r="P1099" s="63" t="s">
        <v>874</v>
      </c>
    </row>
    <row r="1100" spans="1:20" s="827" customFormat="1" hidden="1">
      <c r="A1100" s="625" t="s">
        <v>441</v>
      </c>
      <c r="B1100" s="59" t="s">
        <v>502</v>
      </c>
      <c r="C1100" s="40" t="s">
        <v>139</v>
      </c>
      <c r="D1100" s="34" t="s">
        <v>99</v>
      </c>
      <c r="E1100" s="260">
        <f>0.85*0.4</f>
        <v>0.34</v>
      </c>
      <c r="F1100" s="34">
        <v>2</v>
      </c>
      <c r="G1100" s="40" t="s">
        <v>433</v>
      </c>
      <c r="H1100" s="29">
        <v>1</v>
      </c>
      <c r="I1100" s="9">
        <v>2</v>
      </c>
      <c r="J1100" s="9">
        <v>2</v>
      </c>
      <c r="K1100" s="9">
        <v>1</v>
      </c>
      <c r="L1100" s="9">
        <v>1</v>
      </c>
      <c r="M1100" s="9">
        <v>1</v>
      </c>
      <c r="N1100" s="186">
        <f t="shared" si="89"/>
        <v>0.16933510251023262</v>
      </c>
      <c r="O1100" s="160">
        <f t="shared" si="90"/>
        <v>0.19908580854301616</v>
      </c>
      <c r="P1100" s="63" t="s">
        <v>875</v>
      </c>
    </row>
    <row r="1101" spans="1:20" s="827" customFormat="1" hidden="1">
      <c r="A1101" s="625" t="s">
        <v>441</v>
      </c>
      <c r="B1101" s="59" t="s">
        <v>223</v>
      </c>
      <c r="C1101" s="40" t="s">
        <v>139</v>
      </c>
      <c r="D1101" s="34" t="s">
        <v>99</v>
      </c>
      <c r="E1101" s="260">
        <v>0.15</v>
      </c>
      <c r="F1101" s="34">
        <v>1</v>
      </c>
      <c r="G1101" s="40" t="s">
        <v>433</v>
      </c>
      <c r="H1101" s="29">
        <v>1</v>
      </c>
      <c r="I1101" s="9">
        <v>2</v>
      </c>
      <c r="J1101" s="9">
        <v>2</v>
      </c>
      <c r="K1101" s="9">
        <v>1</v>
      </c>
      <c r="L1101" s="9">
        <v>1</v>
      </c>
      <c r="M1101" s="9">
        <v>1</v>
      </c>
      <c r="N1101" s="186">
        <f t="shared" si="89"/>
        <v>0.16933510251023262</v>
      </c>
      <c r="O1101" s="160">
        <f t="shared" si="90"/>
        <v>0.19908580854301616</v>
      </c>
      <c r="P1101" s="63" t="s">
        <v>872</v>
      </c>
    </row>
    <row r="1102" spans="1:20" s="827" customFormat="1" hidden="1">
      <c r="A1102" s="625" t="s">
        <v>501</v>
      </c>
      <c r="B1102" s="59" t="s">
        <v>503</v>
      </c>
      <c r="C1102" s="40" t="s">
        <v>139</v>
      </c>
      <c r="D1102" s="34" t="s">
        <v>99</v>
      </c>
      <c r="E1102" s="260">
        <v>0.15</v>
      </c>
      <c r="F1102" s="34">
        <v>2</v>
      </c>
      <c r="G1102" s="40" t="s">
        <v>433</v>
      </c>
      <c r="H1102" s="29">
        <v>1</v>
      </c>
      <c r="I1102" s="9">
        <v>2</v>
      </c>
      <c r="J1102" s="9">
        <v>2</v>
      </c>
      <c r="K1102" s="9">
        <v>1</v>
      </c>
      <c r="L1102" s="9">
        <v>1</v>
      </c>
      <c r="M1102" s="9">
        <v>1</v>
      </c>
      <c r="N1102" s="186">
        <f t="shared" si="89"/>
        <v>0.16933510251023262</v>
      </c>
      <c r="O1102" s="160">
        <f t="shared" si="90"/>
        <v>0.19908580854301616</v>
      </c>
      <c r="P1102" s="63" t="s">
        <v>876</v>
      </c>
    </row>
    <row r="1103" spans="1:20" s="827" customFormat="1" hidden="1">
      <c r="A1103" s="625" t="s">
        <v>501</v>
      </c>
      <c r="B1103" s="59" t="s">
        <v>504</v>
      </c>
      <c r="C1103" s="40" t="s">
        <v>139</v>
      </c>
      <c r="D1103" s="34" t="s">
        <v>99</v>
      </c>
      <c r="E1103" s="260" t="s">
        <v>150</v>
      </c>
      <c r="F1103" s="34">
        <v>1</v>
      </c>
      <c r="G1103" s="40" t="s">
        <v>433</v>
      </c>
      <c r="H1103" s="29"/>
      <c r="I1103" s="9"/>
      <c r="J1103" s="9"/>
      <c r="K1103" s="9"/>
      <c r="L1103" s="9"/>
      <c r="M1103" s="9"/>
      <c r="N1103" s="186" t="str">
        <f t="shared" si="89"/>
        <v/>
      </c>
      <c r="O1103" s="160" t="str">
        <f t="shared" si="90"/>
        <v/>
      </c>
      <c r="P1103" s="63" t="s">
        <v>1952</v>
      </c>
    </row>
    <row r="1104" spans="1:20" s="827" customFormat="1" hidden="1">
      <c r="A1104" s="625" t="s">
        <v>503</v>
      </c>
      <c r="B1104" s="59" t="s">
        <v>231</v>
      </c>
      <c r="C1104" s="40" t="s">
        <v>139</v>
      </c>
      <c r="D1104" s="34" t="s">
        <v>99</v>
      </c>
      <c r="E1104" s="260">
        <v>0.05</v>
      </c>
      <c r="F1104" s="34">
        <v>2</v>
      </c>
      <c r="G1104" s="40" t="s">
        <v>157</v>
      </c>
      <c r="H1104" s="29">
        <v>1</v>
      </c>
      <c r="I1104" s="9">
        <v>2</v>
      </c>
      <c r="J1104" s="9">
        <v>2</v>
      </c>
      <c r="K1104" s="9">
        <v>1</v>
      </c>
      <c r="L1104" s="9">
        <v>3</v>
      </c>
      <c r="M1104" s="9">
        <v>3</v>
      </c>
      <c r="N1104" s="186">
        <f t="shared" si="89"/>
        <v>1.0725046436742278</v>
      </c>
      <c r="O1104" s="160">
        <f t="shared" si="90"/>
        <v>1.0776024280428556</v>
      </c>
      <c r="P1104" s="63" t="s">
        <v>1937</v>
      </c>
    </row>
    <row r="1105" spans="1:16" s="827" customFormat="1" hidden="1">
      <c r="A1105" s="625" t="s">
        <v>503</v>
      </c>
      <c r="B1105" s="59" t="s">
        <v>232</v>
      </c>
      <c r="C1105" s="40" t="s">
        <v>139</v>
      </c>
      <c r="D1105" s="34" t="s">
        <v>99</v>
      </c>
      <c r="E1105" s="260">
        <v>0.39400000000000002</v>
      </c>
      <c r="F1105" s="34">
        <v>2</v>
      </c>
      <c r="G1105" s="40" t="s">
        <v>433</v>
      </c>
      <c r="H1105" s="29">
        <v>1</v>
      </c>
      <c r="I1105" s="9">
        <v>2</v>
      </c>
      <c r="J1105" s="9">
        <v>2</v>
      </c>
      <c r="K1105" s="9">
        <v>1</v>
      </c>
      <c r="L1105" s="9">
        <v>1</v>
      </c>
      <c r="M1105" s="9">
        <v>1</v>
      </c>
      <c r="N1105" s="186">
        <f t="shared" si="89"/>
        <v>0.16933510251023262</v>
      </c>
      <c r="O1105" s="160">
        <f t="shared" si="90"/>
        <v>0.19908580854301616</v>
      </c>
      <c r="P1105" s="63" t="s">
        <v>1961</v>
      </c>
    </row>
    <row r="1106" spans="1:16" s="827" customFormat="1" hidden="1">
      <c r="A1106" s="625" t="s">
        <v>503</v>
      </c>
      <c r="B1106" s="59" t="s">
        <v>251</v>
      </c>
      <c r="C1106" s="40" t="s">
        <v>139</v>
      </c>
      <c r="D1106" s="34" t="s">
        <v>99</v>
      </c>
      <c r="E1106" s="260">
        <v>0.52200000000000002</v>
      </c>
      <c r="F1106" s="34">
        <v>1</v>
      </c>
      <c r="G1106" s="40" t="s">
        <v>433</v>
      </c>
      <c r="H1106" s="29">
        <v>1</v>
      </c>
      <c r="I1106" s="9">
        <v>2</v>
      </c>
      <c r="J1106" s="9">
        <v>2</v>
      </c>
      <c r="K1106" s="9">
        <v>1</v>
      </c>
      <c r="L1106" s="9">
        <v>1</v>
      </c>
      <c r="M1106" s="9">
        <v>1</v>
      </c>
      <c r="N1106" s="186">
        <f t="shared" si="89"/>
        <v>0.16933510251023262</v>
      </c>
      <c r="O1106" s="160">
        <f t="shared" si="90"/>
        <v>0.19908580854301616</v>
      </c>
      <c r="P1106" s="63" t="s">
        <v>1962</v>
      </c>
    </row>
    <row r="1107" spans="1:16" s="827" customFormat="1" hidden="1">
      <c r="A1107" s="625" t="s">
        <v>503</v>
      </c>
      <c r="B1107" s="59" t="s">
        <v>258</v>
      </c>
      <c r="C1107" s="40" t="s">
        <v>139</v>
      </c>
      <c r="D1107" s="34" t="s">
        <v>99</v>
      </c>
      <c r="E1107" s="260">
        <v>3.4000000000000002E-2</v>
      </c>
      <c r="F1107" s="34">
        <v>2</v>
      </c>
      <c r="G1107" s="40" t="s">
        <v>433</v>
      </c>
      <c r="H1107" s="29">
        <v>1</v>
      </c>
      <c r="I1107" s="9">
        <v>2</v>
      </c>
      <c r="J1107" s="9">
        <v>2</v>
      </c>
      <c r="K1107" s="9">
        <v>1</v>
      </c>
      <c r="L1107" s="9">
        <v>1</v>
      </c>
      <c r="M1107" s="9">
        <v>1</v>
      </c>
      <c r="N1107" s="186"/>
      <c r="O1107" s="160"/>
      <c r="P1107" s="63" t="s">
        <v>1963</v>
      </c>
    </row>
    <row r="1108" spans="1:16" s="827" customFormat="1" hidden="1">
      <c r="A1108" s="625" t="s">
        <v>502</v>
      </c>
      <c r="B1108" s="59" t="s">
        <v>505</v>
      </c>
      <c r="C1108" s="40" t="s">
        <v>139</v>
      </c>
      <c r="D1108" s="34" t="s">
        <v>99</v>
      </c>
      <c r="E1108" s="260">
        <f>0.1*E1102</f>
        <v>1.4999999999999999E-2</v>
      </c>
      <c r="F1108" s="34">
        <v>2</v>
      </c>
      <c r="G1108" s="40" t="s">
        <v>433</v>
      </c>
      <c r="H1108" s="29">
        <v>1</v>
      </c>
      <c r="I1108" s="9">
        <v>2</v>
      </c>
      <c r="J1108" s="9">
        <v>2</v>
      </c>
      <c r="K1108" s="9">
        <v>1</v>
      </c>
      <c r="L1108" s="9">
        <v>1</v>
      </c>
      <c r="M1108" s="9">
        <v>1</v>
      </c>
      <c r="N1108" s="186">
        <f t="shared" ref="N1108:N1125" si="91">IF( OR( ISBLANK(H1108),ISBLANK(J1108), ISBLANK(K1108), ISBLANK(L1108), ISBLANK(M1108) ), "", 1.5*SQRT(   EXP(2.21*(H1108-1)) + EXP(2.21*(J1108-1)) + EXP(2.21*(K1108-1)) + EXP(2.21*(L1108-1)) + EXP(2.21*M1108)   )/100*2.45 )</f>
        <v>0.16933510251023262</v>
      </c>
      <c r="O1108" s="160">
        <f t="shared" ref="O1108:O1125" si="92">IF( OR( ISBLANK(I1108),ISBLANK(J1108), ISBLANK(K1108), ISBLANK(L1108), ISBLANK(M1108) ), "", 1.5*SQRT( EXP(2.21*(I1108-1)) + EXP(2.21*(J1108-1)) + EXP(2.21*(K1108-1)) + EXP(2.21*(L1108-1)) + EXP(2.21*M1108)   )/100*2.45 )</f>
        <v>0.19908580854301616</v>
      </c>
      <c r="P1108" s="63" t="s">
        <v>856</v>
      </c>
    </row>
    <row r="1109" spans="1:16" s="827" customFormat="1" hidden="1">
      <c r="A1109" s="625" t="s">
        <v>502</v>
      </c>
      <c r="B1109" s="59" t="s">
        <v>506</v>
      </c>
      <c r="C1109" s="40" t="s">
        <v>139</v>
      </c>
      <c r="D1109" s="34" t="s">
        <v>99</v>
      </c>
      <c r="E1109" s="260" t="s">
        <v>150</v>
      </c>
      <c r="F1109" s="34">
        <v>1</v>
      </c>
      <c r="G1109" s="40" t="s">
        <v>433</v>
      </c>
      <c r="H1109" s="29"/>
      <c r="I1109" s="9"/>
      <c r="J1109" s="9"/>
      <c r="K1109" s="9"/>
      <c r="L1109" s="9"/>
      <c r="M1109" s="9"/>
      <c r="N1109" s="186" t="str">
        <f t="shared" si="91"/>
        <v/>
      </c>
      <c r="O1109" s="160" t="str">
        <f t="shared" si="92"/>
        <v/>
      </c>
      <c r="P1109" s="63" t="s">
        <v>1952</v>
      </c>
    </row>
    <row r="1110" spans="1:16" s="827" customFormat="1" hidden="1">
      <c r="A1110" s="625" t="s">
        <v>505</v>
      </c>
      <c r="B1110" s="59" t="s">
        <v>228</v>
      </c>
      <c r="C1110" s="40" t="s">
        <v>139</v>
      </c>
      <c r="D1110" s="34" t="s">
        <v>99</v>
      </c>
      <c r="E1110" s="260">
        <v>1</v>
      </c>
      <c r="F1110" s="34">
        <v>2</v>
      </c>
      <c r="G1110" s="40" t="s">
        <v>433</v>
      </c>
      <c r="H1110" s="29">
        <v>1</v>
      </c>
      <c r="I1110" s="9">
        <v>2</v>
      </c>
      <c r="J1110" s="9">
        <v>2</v>
      </c>
      <c r="K1110" s="9">
        <v>1</v>
      </c>
      <c r="L1110" s="9">
        <v>1</v>
      </c>
      <c r="M1110" s="9">
        <v>1</v>
      </c>
      <c r="N1110" s="186">
        <f t="shared" si="91"/>
        <v>0.16933510251023262</v>
      </c>
      <c r="O1110" s="160">
        <f t="shared" si="92"/>
        <v>0.19908580854301616</v>
      </c>
      <c r="P1110" s="63" t="s">
        <v>857</v>
      </c>
    </row>
    <row r="1111" spans="1:16" s="827" customFormat="1" hidden="1">
      <c r="A1111" s="625" t="s">
        <v>504</v>
      </c>
      <c r="B1111" s="59" t="s">
        <v>231</v>
      </c>
      <c r="C1111" s="40" t="s">
        <v>139</v>
      </c>
      <c r="D1111" s="34" t="s">
        <v>99</v>
      </c>
      <c r="E1111" s="260">
        <v>0</v>
      </c>
      <c r="F1111" s="34">
        <v>2</v>
      </c>
      <c r="G1111" s="40" t="s">
        <v>433</v>
      </c>
      <c r="H1111" s="29">
        <v>1</v>
      </c>
      <c r="I1111" s="9">
        <v>2</v>
      </c>
      <c r="J1111" s="9">
        <v>2</v>
      </c>
      <c r="K1111" s="9">
        <v>1</v>
      </c>
      <c r="L1111" s="9">
        <v>1</v>
      </c>
      <c r="M1111" s="9">
        <v>1</v>
      </c>
      <c r="N1111" s="186">
        <f t="shared" si="91"/>
        <v>0.16933510251023262</v>
      </c>
      <c r="O1111" s="160">
        <f t="shared" si="92"/>
        <v>0.19908580854301616</v>
      </c>
      <c r="P1111" s="63" t="s">
        <v>1966</v>
      </c>
    </row>
    <row r="1112" spans="1:16" s="827" customFormat="1" hidden="1">
      <c r="A1112" s="625" t="s">
        <v>504</v>
      </c>
      <c r="B1112" s="59" t="s">
        <v>232</v>
      </c>
      <c r="C1112" s="40" t="s">
        <v>139</v>
      </c>
      <c r="D1112" s="34" t="s">
        <v>99</v>
      </c>
      <c r="E1112" s="260">
        <v>0</v>
      </c>
      <c r="F1112" s="34">
        <v>2</v>
      </c>
      <c r="G1112" s="40" t="s">
        <v>433</v>
      </c>
      <c r="H1112" s="29">
        <v>1</v>
      </c>
      <c r="I1112" s="9">
        <v>2</v>
      </c>
      <c r="J1112" s="9">
        <v>2</v>
      </c>
      <c r="K1112" s="9">
        <v>1</v>
      </c>
      <c r="L1112" s="9">
        <v>1</v>
      </c>
      <c r="M1112" s="9">
        <v>1</v>
      </c>
      <c r="N1112" s="186">
        <f t="shared" si="91"/>
        <v>0.16933510251023262</v>
      </c>
      <c r="O1112" s="160">
        <f t="shared" si="92"/>
        <v>0.19908580854301616</v>
      </c>
      <c r="P1112" s="63" t="s">
        <v>1966</v>
      </c>
    </row>
    <row r="1113" spans="1:16" s="827" customFormat="1" hidden="1">
      <c r="A1113" s="625" t="s">
        <v>504</v>
      </c>
      <c r="B1113" s="59" t="s">
        <v>251</v>
      </c>
      <c r="C1113" s="40" t="s">
        <v>139</v>
      </c>
      <c r="D1113" s="34" t="s">
        <v>99</v>
      </c>
      <c r="E1113" s="260">
        <v>0</v>
      </c>
      <c r="F1113" s="34">
        <v>2</v>
      </c>
      <c r="G1113" s="40" t="s">
        <v>433</v>
      </c>
      <c r="H1113" s="29">
        <v>1</v>
      </c>
      <c r="I1113" s="9">
        <v>2</v>
      </c>
      <c r="J1113" s="9">
        <v>2</v>
      </c>
      <c r="K1113" s="9">
        <v>1</v>
      </c>
      <c r="L1113" s="9">
        <v>1</v>
      </c>
      <c r="M1113" s="9">
        <v>1</v>
      </c>
      <c r="N1113" s="186">
        <f t="shared" si="91"/>
        <v>0.16933510251023262</v>
      </c>
      <c r="O1113" s="160">
        <f t="shared" si="92"/>
        <v>0.19908580854301616</v>
      </c>
      <c r="P1113" s="63" t="s">
        <v>1966</v>
      </c>
    </row>
    <row r="1114" spans="1:16" s="827" customFormat="1" hidden="1">
      <c r="A1114" s="625" t="s">
        <v>504</v>
      </c>
      <c r="B1114" s="59" t="s">
        <v>258</v>
      </c>
      <c r="C1114" s="40" t="s">
        <v>139</v>
      </c>
      <c r="D1114" s="34" t="s">
        <v>99</v>
      </c>
      <c r="E1114" s="260">
        <v>0</v>
      </c>
      <c r="F1114" s="34">
        <v>2</v>
      </c>
      <c r="G1114" s="40" t="s">
        <v>433</v>
      </c>
      <c r="H1114" s="29">
        <v>1</v>
      </c>
      <c r="I1114" s="9">
        <v>2</v>
      </c>
      <c r="J1114" s="9">
        <v>2</v>
      </c>
      <c r="K1114" s="9">
        <v>1</v>
      </c>
      <c r="L1114" s="9">
        <v>1</v>
      </c>
      <c r="M1114" s="9">
        <v>1</v>
      </c>
      <c r="N1114" s="186">
        <f t="shared" si="91"/>
        <v>0.16933510251023262</v>
      </c>
      <c r="O1114" s="160">
        <f t="shared" si="92"/>
        <v>0.19908580854301616</v>
      </c>
      <c r="P1114" s="63" t="s">
        <v>1966</v>
      </c>
    </row>
    <row r="1115" spans="1:16" s="827" customFormat="1" hidden="1">
      <c r="A1115" s="625" t="s">
        <v>504</v>
      </c>
      <c r="B1115" s="59" t="s">
        <v>334</v>
      </c>
      <c r="C1115" s="40" t="s">
        <v>139</v>
      </c>
      <c r="D1115" s="34" t="s">
        <v>99</v>
      </c>
      <c r="E1115" s="260" t="s">
        <v>150</v>
      </c>
      <c r="F1115" s="34">
        <v>1</v>
      </c>
      <c r="G1115" s="40" t="s">
        <v>433</v>
      </c>
      <c r="H1115" s="29"/>
      <c r="I1115" s="9"/>
      <c r="J1115" s="9"/>
      <c r="K1115" s="9"/>
      <c r="L1115" s="9"/>
      <c r="M1115" s="9"/>
      <c r="N1115" s="186" t="str">
        <f t="shared" si="91"/>
        <v/>
      </c>
      <c r="O1115" s="160" t="str">
        <f t="shared" si="92"/>
        <v/>
      </c>
      <c r="P1115" s="63"/>
    </row>
    <row r="1116" spans="1:16" s="827" customFormat="1" hidden="1">
      <c r="A1116" s="625" t="s">
        <v>506</v>
      </c>
      <c r="B1116" s="59" t="s">
        <v>228</v>
      </c>
      <c r="C1116" s="40" t="s">
        <v>139</v>
      </c>
      <c r="D1116" s="34" t="s">
        <v>99</v>
      </c>
      <c r="E1116" s="260">
        <v>0</v>
      </c>
      <c r="F1116" s="34">
        <v>2</v>
      </c>
      <c r="G1116" s="40" t="s">
        <v>433</v>
      </c>
      <c r="H1116" s="29">
        <v>1</v>
      </c>
      <c r="I1116" s="9">
        <v>2</v>
      </c>
      <c r="J1116" s="9">
        <v>2</v>
      </c>
      <c r="K1116" s="9">
        <v>1</v>
      </c>
      <c r="L1116" s="9">
        <v>1</v>
      </c>
      <c r="M1116" s="9">
        <v>1</v>
      </c>
      <c r="N1116" s="186">
        <f t="shared" si="91"/>
        <v>0.16933510251023262</v>
      </c>
      <c r="O1116" s="160">
        <f t="shared" si="92"/>
        <v>0.19908580854301616</v>
      </c>
      <c r="P1116" s="63" t="s">
        <v>858</v>
      </c>
    </row>
    <row r="1117" spans="1:16" s="827" customFormat="1" hidden="1">
      <c r="A1117" s="625" t="s">
        <v>506</v>
      </c>
      <c r="B1117" s="59" t="s">
        <v>334</v>
      </c>
      <c r="C1117" s="40" t="s">
        <v>139</v>
      </c>
      <c r="D1117" s="34" t="s">
        <v>99</v>
      </c>
      <c r="E1117" s="260" t="s">
        <v>150</v>
      </c>
      <c r="F1117" s="34">
        <v>1</v>
      </c>
      <c r="G1117" s="40" t="s">
        <v>433</v>
      </c>
      <c r="H1117" s="29">
        <v>1</v>
      </c>
      <c r="I1117" s="9">
        <v>2</v>
      </c>
      <c r="J1117" s="9">
        <v>2</v>
      </c>
      <c r="K1117" s="9">
        <v>1</v>
      </c>
      <c r="L1117" s="9">
        <v>1</v>
      </c>
      <c r="M1117" s="9">
        <v>1</v>
      </c>
      <c r="N1117" s="186">
        <f t="shared" si="91"/>
        <v>0.16933510251023262</v>
      </c>
      <c r="O1117" s="160">
        <f t="shared" si="92"/>
        <v>0.19908580854301616</v>
      </c>
      <c r="P1117" s="63" t="s">
        <v>1953</v>
      </c>
    </row>
    <row r="1118" spans="1:16" s="827" customFormat="1" hidden="1">
      <c r="A1118" s="625" t="s">
        <v>442</v>
      </c>
      <c r="B1118" s="59" t="s">
        <v>507</v>
      </c>
      <c r="C1118" s="40" t="s">
        <v>139</v>
      </c>
      <c r="D1118" s="34" t="s">
        <v>99</v>
      </c>
      <c r="E1118" s="260">
        <v>0</v>
      </c>
      <c r="F1118" s="34">
        <v>2</v>
      </c>
      <c r="G1118" s="40" t="s">
        <v>433</v>
      </c>
      <c r="H1118" s="29">
        <v>1</v>
      </c>
      <c r="I1118" s="9">
        <v>2</v>
      </c>
      <c r="J1118" s="9">
        <v>2</v>
      </c>
      <c r="K1118" s="9">
        <v>1</v>
      </c>
      <c r="L1118" s="9">
        <v>1</v>
      </c>
      <c r="M1118" s="9">
        <v>1</v>
      </c>
      <c r="N1118" s="186">
        <f t="shared" si="91"/>
        <v>0.16933510251023262</v>
      </c>
      <c r="O1118" s="160">
        <f t="shared" si="92"/>
        <v>0.19908580854301616</v>
      </c>
      <c r="P1118" s="63" t="s">
        <v>877</v>
      </c>
    </row>
    <row r="1119" spans="1:16" s="827" customFormat="1" hidden="1">
      <c r="A1119" s="625" t="s">
        <v>442</v>
      </c>
      <c r="B1119" s="59" t="s">
        <v>508</v>
      </c>
      <c r="C1119" s="40" t="s">
        <v>139</v>
      </c>
      <c r="D1119" s="34" t="s">
        <v>99</v>
      </c>
      <c r="E1119" s="260">
        <v>0.85</v>
      </c>
      <c r="F1119" s="34">
        <v>2</v>
      </c>
      <c r="G1119" s="40" t="s">
        <v>433</v>
      </c>
      <c r="H1119" s="29">
        <v>1</v>
      </c>
      <c r="I1119" s="9">
        <v>2</v>
      </c>
      <c r="J1119" s="9">
        <v>2</v>
      </c>
      <c r="K1119" s="9">
        <v>1</v>
      </c>
      <c r="L1119" s="9">
        <v>1</v>
      </c>
      <c r="M1119" s="9">
        <v>1</v>
      </c>
      <c r="N1119" s="186">
        <f t="shared" si="91"/>
        <v>0.16933510251023262</v>
      </c>
      <c r="O1119" s="160">
        <f t="shared" si="92"/>
        <v>0.19908580854301616</v>
      </c>
      <c r="P1119" s="63" t="s">
        <v>878</v>
      </c>
    </row>
    <row r="1120" spans="1:16" s="827" customFormat="1" hidden="1">
      <c r="A1120" s="625" t="s">
        <v>442</v>
      </c>
      <c r="B1120" s="59" t="s">
        <v>223</v>
      </c>
      <c r="C1120" s="40" t="s">
        <v>139</v>
      </c>
      <c r="D1120" s="34" t="s">
        <v>99</v>
      </c>
      <c r="E1120" s="260">
        <v>0.15</v>
      </c>
      <c r="F1120" s="34">
        <v>1</v>
      </c>
      <c r="G1120" s="40" t="s">
        <v>433</v>
      </c>
      <c r="H1120" s="29">
        <v>1</v>
      </c>
      <c r="I1120" s="9">
        <v>2</v>
      </c>
      <c r="J1120" s="9">
        <v>2</v>
      </c>
      <c r="K1120" s="9">
        <v>1</v>
      </c>
      <c r="L1120" s="9">
        <v>1</v>
      </c>
      <c r="M1120" s="9">
        <v>1</v>
      </c>
      <c r="N1120" s="186">
        <f t="shared" si="91"/>
        <v>0.16933510251023262</v>
      </c>
      <c r="O1120" s="160">
        <f t="shared" si="92"/>
        <v>0.19908580854301616</v>
      </c>
      <c r="P1120" s="63" t="s">
        <v>872</v>
      </c>
    </row>
    <row r="1121" spans="1:16" s="827" customFormat="1" hidden="1">
      <c r="A1121" s="625" t="s">
        <v>507</v>
      </c>
      <c r="B1121" s="59" t="s">
        <v>510</v>
      </c>
      <c r="C1121" s="40" t="s">
        <v>139</v>
      </c>
      <c r="D1121" s="34" t="s">
        <v>99</v>
      </c>
      <c r="E1121" s="260">
        <v>0.03</v>
      </c>
      <c r="F1121" s="34">
        <v>2</v>
      </c>
      <c r="G1121" s="40" t="s">
        <v>433</v>
      </c>
      <c r="H1121" s="29">
        <v>1</v>
      </c>
      <c r="I1121" s="9">
        <v>2</v>
      </c>
      <c r="J1121" s="9">
        <v>2</v>
      </c>
      <c r="K1121" s="9">
        <v>1</v>
      </c>
      <c r="L1121" s="9">
        <v>1</v>
      </c>
      <c r="M1121" s="9">
        <v>1</v>
      </c>
      <c r="N1121" s="186">
        <f t="shared" si="91"/>
        <v>0.16933510251023262</v>
      </c>
      <c r="O1121" s="160">
        <f t="shared" si="92"/>
        <v>0.19908580854301616</v>
      </c>
      <c r="P1121" s="63" t="s">
        <v>855</v>
      </c>
    </row>
    <row r="1122" spans="1:16" s="827" customFormat="1" hidden="1">
      <c r="A1122" s="625" t="s">
        <v>507</v>
      </c>
      <c r="B1122" s="59" t="s">
        <v>511</v>
      </c>
      <c r="C1122" s="40" t="s">
        <v>139</v>
      </c>
      <c r="D1122" s="34" t="s">
        <v>99</v>
      </c>
      <c r="E1122" s="260" t="s">
        <v>150</v>
      </c>
      <c r="F1122" s="34">
        <v>1</v>
      </c>
      <c r="G1122" s="40" t="s">
        <v>433</v>
      </c>
      <c r="H1122" s="29"/>
      <c r="I1122" s="9"/>
      <c r="J1122" s="9"/>
      <c r="K1122" s="9"/>
      <c r="L1122" s="9"/>
      <c r="M1122" s="9"/>
      <c r="N1122" s="186" t="str">
        <f t="shared" si="91"/>
        <v/>
      </c>
      <c r="O1122" s="160" t="str">
        <f t="shared" si="92"/>
        <v/>
      </c>
      <c r="P1122" s="63" t="s">
        <v>1954</v>
      </c>
    </row>
    <row r="1123" spans="1:16" s="827" customFormat="1" hidden="1">
      <c r="A1123" s="625" t="s">
        <v>510</v>
      </c>
      <c r="B1123" s="59" t="s">
        <v>231</v>
      </c>
      <c r="C1123" s="40" t="s">
        <v>139</v>
      </c>
      <c r="D1123" s="34" t="s">
        <v>99</v>
      </c>
      <c r="E1123" s="260">
        <v>0.05</v>
      </c>
      <c r="F1123" s="34">
        <v>2</v>
      </c>
      <c r="G1123" s="40" t="s">
        <v>157</v>
      </c>
      <c r="H1123" s="29">
        <v>1</v>
      </c>
      <c r="I1123" s="9">
        <v>2</v>
      </c>
      <c r="J1123" s="9">
        <v>2</v>
      </c>
      <c r="K1123" s="9">
        <v>1</v>
      </c>
      <c r="L1123" s="9">
        <v>3</v>
      </c>
      <c r="M1123" s="9">
        <v>3</v>
      </c>
      <c r="N1123" s="186">
        <f t="shared" si="91"/>
        <v>1.0725046436742278</v>
      </c>
      <c r="O1123" s="160">
        <f t="shared" si="92"/>
        <v>1.0776024280428556</v>
      </c>
      <c r="P1123" s="63" t="s">
        <v>1937</v>
      </c>
    </row>
    <row r="1124" spans="1:16" s="827" customFormat="1" hidden="1">
      <c r="A1124" s="625" t="s">
        <v>510</v>
      </c>
      <c r="B1124" s="59" t="s">
        <v>232</v>
      </c>
      <c r="C1124" s="40" t="s">
        <v>139</v>
      </c>
      <c r="D1124" s="34" t="s">
        <v>99</v>
      </c>
      <c r="E1124" s="260">
        <v>0.39400000000000002</v>
      </c>
      <c r="F1124" s="34">
        <v>2</v>
      </c>
      <c r="G1124" s="40" t="s">
        <v>433</v>
      </c>
      <c r="H1124" s="29">
        <v>1</v>
      </c>
      <c r="I1124" s="9">
        <v>2</v>
      </c>
      <c r="J1124" s="9">
        <v>2</v>
      </c>
      <c r="K1124" s="9">
        <v>1</v>
      </c>
      <c r="L1124" s="9">
        <v>1</v>
      </c>
      <c r="M1124" s="9">
        <v>1</v>
      </c>
      <c r="N1124" s="186">
        <f t="shared" si="91"/>
        <v>0.16933510251023262</v>
      </c>
      <c r="O1124" s="160">
        <f t="shared" si="92"/>
        <v>0.19908580854301616</v>
      </c>
      <c r="P1124" s="63" t="s">
        <v>1961</v>
      </c>
    </row>
    <row r="1125" spans="1:16" s="827" customFormat="1" hidden="1">
      <c r="A1125" s="625" t="s">
        <v>510</v>
      </c>
      <c r="B1125" s="59" t="s">
        <v>251</v>
      </c>
      <c r="C1125" s="40" t="s">
        <v>139</v>
      </c>
      <c r="D1125" s="34" t="s">
        <v>99</v>
      </c>
      <c r="E1125" s="260">
        <v>0.52200000000000002</v>
      </c>
      <c r="F1125" s="34">
        <v>1</v>
      </c>
      <c r="G1125" s="40" t="s">
        <v>433</v>
      </c>
      <c r="H1125" s="29">
        <v>1</v>
      </c>
      <c r="I1125" s="9">
        <v>2</v>
      </c>
      <c r="J1125" s="9">
        <v>2</v>
      </c>
      <c r="K1125" s="9">
        <v>1</v>
      </c>
      <c r="L1125" s="9">
        <v>1</v>
      </c>
      <c r="M1125" s="9">
        <v>1</v>
      </c>
      <c r="N1125" s="186">
        <f t="shared" si="91"/>
        <v>0.16933510251023262</v>
      </c>
      <c r="O1125" s="160">
        <f t="shared" si="92"/>
        <v>0.19908580854301616</v>
      </c>
      <c r="P1125" s="63" t="s">
        <v>1962</v>
      </c>
    </row>
    <row r="1126" spans="1:16" s="827" customFormat="1" hidden="1">
      <c r="A1126" s="625" t="s">
        <v>510</v>
      </c>
      <c r="B1126" s="59" t="s">
        <v>258</v>
      </c>
      <c r="C1126" s="40" t="s">
        <v>139</v>
      </c>
      <c r="D1126" s="34" t="s">
        <v>99</v>
      </c>
      <c r="E1126" s="260">
        <v>3.4000000000000002E-2</v>
      </c>
      <c r="F1126" s="34">
        <v>2</v>
      </c>
      <c r="G1126" s="40" t="s">
        <v>433</v>
      </c>
      <c r="H1126" s="29">
        <v>1</v>
      </c>
      <c r="I1126" s="9">
        <v>2</v>
      </c>
      <c r="J1126" s="9">
        <v>2</v>
      </c>
      <c r="K1126" s="9">
        <v>1</v>
      </c>
      <c r="L1126" s="9">
        <v>1</v>
      </c>
      <c r="M1126" s="9">
        <v>1</v>
      </c>
      <c r="N1126" s="186"/>
      <c r="O1126" s="160"/>
      <c r="P1126" s="63" t="s">
        <v>1963</v>
      </c>
    </row>
    <row r="1127" spans="1:16" s="827" customFormat="1" hidden="1">
      <c r="A1127" s="625" t="s">
        <v>508</v>
      </c>
      <c r="B1127" s="59" t="s">
        <v>512</v>
      </c>
      <c r="C1127" s="40" t="s">
        <v>139</v>
      </c>
      <c r="D1127" s="34" t="s">
        <v>99</v>
      </c>
      <c r="E1127" s="260" t="s">
        <v>150</v>
      </c>
      <c r="F1127" s="34">
        <v>1</v>
      </c>
      <c r="G1127" s="40" t="s">
        <v>433</v>
      </c>
      <c r="H1127" s="29">
        <v>1</v>
      </c>
      <c r="I1127" s="9">
        <v>2</v>
      </c>
      <c r="J1127" s="9">
        <v>2</v>
      </c>
      <c r="K1127" s="9">
        <v>1</v>
      </c>
      <c r="L1127" s="9">
        <v>1</v>
      </c>
      <c r="M1127" s="9">
        <v>1</v>
      </c>
      <c r="N1127" s="186">
        <f t="shared" ref="N1127:N1147" si="93">IF( OR( ISBLANK(H1127),ISBLANK(J1127), ISBLANK(K1127), ISBLANK(L1127), ISBLANK(M1127) ), "", 1.5*SQRT(   EXP(2.21*(H1127-1)) + EXP(2.21*(J1127-1)) + EXP(2.21*(K1127-1)) + EXP(2.21*(L1127-1)) + EXP(2.21*M1127)   )/100*2.45 )</f>
        <v>0.16933510251023262</v>
      </c>
      <c r="O1127" s="160">
        <f t="shared" ref="O1127:O1147" si="94">IF( OR( ISBLANK(I1127),ISBLANK(J1127), ISBLANK(K1127), ISBLANK(L1127), ISBLANK(M1127) ), "", 1.5*SQRT( EXP(2.21*(I1127-1)) + EXP(2.21*(J1127-1)) + EXP(2.21*(K1127-1)) + EXP(2.21*(L1127-1)) + EXP(2.21*M1127)   )/100*2.45 )</f>
        <v>0.19908580854301616</v>
      </c>
      <c r="P1127" s="63" t="s">
        <v>1955</v>
      </c>
    </row>
    <row r="1128" spans="1:16" s="827" customFormat="1" hidden="1">
      <c r="A1128" s="625" t="s">
        <v>508</v>
      </c>
      <c r="B1128" s="59" t="s">
        <v>513</v>
      </c>
      <c r="C1128" s="40" t="s">
        <v>139</v>
      </c>
      <c r="D1128" s="34" t="s">
        <v>99</v>
      </c>
      <c r="E1128" s="260">
        <f>0.016*0.091</f>
        <v>1.456E-3</v>
      </c>
      <c r="F1128" s="34">
        <v>2</v>
      </c>
      <c r="G1128" s="40" t="s">
        <v>433</v>
      </c>
      <c r="H1128" s="29">
        <v>1</v>
      </c>
      <c r="I1128" s="9">
        <v>2</v>
      </c>
      <c r="J1128" s="9">
        <v>2</v>
      </c>
      <c r="K1128" s="9">
        <v>1</v>
      </c>
      <c r="L1128" s="9">
        <v>1</v>
      </c>
      <c r="M1128" s="9">
        <v>1</v>
      </c>
      <c r="N1128" s="186">
        <f t="shared" si="93"/>
        <v>0.16933510251023262</v>
      </c>
      <c r="O1128" s="160">
        <f t="shared" si="94"/>
        <v>0.19908580854301616</v>
      </c>
      <c r="P1128" s="63" t="s">
        <v>879</v>
      </c>
    </row>
    <row r="1129" spans="1:16" s="827" customFormat="1" hidden="1">
      <c r="A1129" s="625" t="s">
        <v>512</v>
      </c>
      <c r="B1129" s="59" t="s">
        <v>514</v>
      </c>
      <c r="C1129" s="40" t="s">
        <v>139</v>
      </c>
      <c r="D1129" s="34" t="s">
        <v>99</v>
      </c>
      <c r="E1129" s="260">
        <f>0.1*E1121</f>
        <v>3.0000000000000001E-3</v>
      </c>
      <c r="F1129" s="34">
        <v>2</v>
      </c>
      <c r="G1129" s="40" t="s">
        <v>433</v>
      </c>
      <c r="H1129" s="29">
        <v>1</v>
      </c>
      <c r="I1129" s="9">
        <v>2</v>
      </c>
      <c r="J1129" s="9">
        <v>2</v>
      </c>
      <c r="K1129" s="9">
        <v>1</v>
      </c>
      <c r="L1129" s="9">
        <v>1</v>
      </c>
      <c r="M1129" s="9">
        <v>1</v>
      </c>
      <c r="N1129" s="186">
        <f t="shared" si="93"/>
        <v>0.16933510251023262</v>
      </c>
      <c r="O1129" s="160">
        <f t="shared" si="94"/>
        <v>0.19908580854301616</v>
      </c>
      <c r="P1129" s="63" t="s">
        <v>856</v>
      </c>
    </row>
    <row r="1130" spans="1:16" s="827" customFormat="1" hidden="1">
      <c r="A1130" s="625" t="s">
        <v>512</v>
      </c>
      <c r="B1130" s="59" t="s">
        <v>509</v>
      </c>
      <c r="C1130" s="40" t="s">
        <v>139</v>
      </c>
      <c r="D1130" s="34" t="s">
        <v>99</v>
      </c>
      <c r="E1130" s="260" t="s">
        <v>150</v>
      </c>
      <c r="F1130" s="34">
        <v>1</v>
      </c>
      <c r="G1130" s="40" t="s">
        <v>433</v>
      </c>
      <c r="H1130" s="29"/>
      <c r="I1130" s="9"/>
      <c r="J1130" s="9"/>
      <c r="K1130" s="9"/>
      <c r="L1130" s="9"/>
      <c r="M1130" s="9"/>
      <c r="N1130" s="186" t="str">
        <f t="shared" si="93"/>
        <v/>
      </c>
      <c r="O1130" s="160" t="str">
        <f t="shared" si="94"/>
        <v/>
      </c>
      <c r="P1130" s="63" t="s">
        <v>1956</v>
      </c>
    </row>
    <row r="1131" spans="1:16" s="827" customFormat="1" hidden="1">
      <c r="A1131" s="625" t="s">
        <v>514</v>
      </c>
      <c r="B1131" s="59" t="s">
        <v>228</v>
      </c>
      <c r="C1131" s="40" t="s">
        <v>139</v>
      </c>
      <c r="D1131" s="34" t="s">
        <v>99</v>
      </c>
      <c r="E1131" s="260">
        <v>1</v>
      </c>
      <c r="F1131" s="34">
        <v>2</v>
      </c>
      <c r="G1131" s="40" t="s">
        <v>433</v>
      </c>
      <c r="H1131" s="29">
        <v>1</v>
      </c>
      <c r="I1131" s="9">
        <v>2</v>
      </c>
      <c r="J1131" s="9">
        <v>2</v>
      </c>
      <c r="K1131" s="9">
        <v>1</v>
      </c>
      <c r="L1131" s="9">
        <v>1</v>
      </c>
      <c r="M1131" s="9">
        <v>1</v>
      </c>
      <c r="N1131" s="186">
        <f t="shared" si="93"/>
        <v>0.16933510251023262</v>
      </c>
      <c r="O1131" s="160">
        <f t="shared" si="94"/>
        <v>0.19908580854301616</v>
      </c>
      <c r="P1131" s="63" t="s">
        <v>857</v>
      </c>
    </row>
    <row r="1132" spans="1:16" s="827" customFormat="1" hidden="1">
      <c r="A1132" s="625" t="s">
        <v>513</v>
      </c>
      <c r="B1132" s="59" t="s">
        <v>232</v>
      </c>
      <c r="C1132" s="40" t="s">
        <v>139</v>
      </c>
      <c r="D1132" s="34" t="s">
        <v>99</v>
      </c>
      <c r="E1132" s="260">
        <v>1</v>
      </c>
      <c r="F1132" s="34">
        <v>1</v>
      </c>
      <c r="G1132" s="40" t="s">
        <v>433</v>
      </c>
      <c r="H1132" s="29">
        <v>1</v>
      </c>
      <c r="I1132" s="9">
        <v>2</v>
      </c>
      <c r="J1132" s="9">
        <v>2</v>
      </c>
      <c r="K1132" s="9">
        <v>1</v>
      </c>
      <c r="L1132" s="9">
        <v>1</v>
      </c>
      <c r="M1132" s="9">
        <v>1</v>
      </c>
      <c r="N1132" s="186">
        <f t="shared" si="93"/>
        <v>0.16933510251023262</v>
      </c>
      <c r="O1132" s="160">
        <f t="shared" si="94"/>
        <v>0.19908580854301616</v>
      </c>
      <c r="P1132" s="63" t="s">
        <v>857</v>
      </c>
    </row>
    <row r="1133" spans="1:16" s="827" customFormat="1" hidden="1">
      <c r="A1133" s="625" t="s">
        <v>511</v>
      </c>
      <c r="B1133" s="59" t="s">
        <v>231</v>
      </c>
      <c r="C1133" s="40" t="s">
        <v>139</v>
      </c>
      <c r="D1133" s="34" t="s">
        <v>99</v>
      </c>
      <c r="E1133" s="260">
        <v>0</v>
      </c>
      <c r="F1133" s="34">
        <v>2</v>
      </c>
      <c r="G1133" s="40" t="s">
        <v>433</v>
      </c>
      <c r="H1133" s="29">
        <v>1</v>
      </c>
      <c r="I1133" s="9">
        <v>2</v>
      </c>
      <c r="J1133" s="9">
        <v>2</v>
      </c>
      <c r="K1133" s="9">
        <v>1</v>
      </c>
      <c r="L1133" s="9">
        <v>1</v>
      </c>
      <c r="M1133" s="9">
        <v>1</v>
      </c>
      <c r="N1133" s="186">
        <f t="shared" si="93"/>
        <v>0.16933510251023262</v>
      </c>
      <c r="O1133" s="160">
        <f t="shared" si="94"/>
        <v>0.19908580854301616</v>
      </c>
      <c r="P1133" s="63" t="s">
        <v>1965</v>
      </c>
    </row>
    <row r="1134" spans="1:16" s="827" customFormat="1" hidden="1">
      <c r="A1134" s="625" t="s">
        <v>511</v>
      </c>
      <c r="B1134" s="59" t="s">
        <v>232</v>
      </c>
      <c r="C1134" s="40" t="s">
        <v>139</v>
      </c>
      <c r="D1134" s="34" t="s">
        <v>99</v>
      </c>
      <c r="E1134" s="260">
        <v>0</v>
      </c>
      <c r="F1134" s="34">
        <v>2</v>
      </c>
      <c r="G1134" s="40" t="s">
        <v>433</v>
      </c>
      <c r="H1134" s="29">
        <v>1</v>
      </c>
      <c r="I1134" s="9">
        <v>2</v>
      </c>
      <c r="J1134" s="9">
        <v>2</v>
      </c>
      <c r="K1134" s="9">
        <v>1</v>
      </c>
      <c r="L1134" s="9">
        <v>1</v>
      </c>
      <c r="M1134" s="9">
        <v>1</v>
      </c>
      <c r="N1134" s="186">
        <f t="shared" si="93"/>
        <v>0.16933510251023262</v>
      </c>
      <c r="O1134" s="160">
        <f t="shared" si="94"/>
        <v>0.19908580854301616</v>
      </c>
      <c r="P1134" s="63" t="s">
        <v>1965</v>
      </c>
    </row>
    <row r="1135" spans="1:16" s="827" customFormat="1" hidden="1">
      <c r="A1135" s="625" t="s">
        <v>511</v>
      </c>
      <c r="B1135" s="59" t="s">
        <v>251</v>
      </c>
      <c r="C1135" s="40" t="s">
        <v>139</v>
      </c>
      <c r="D1135" s="34" t="s">
        <v>99</v>
      </c>
      <c r="E1135" s="260">
        <v>0</v>
      </c>
      <c r="F1135" s="34">
        <v>2</v>
      </c>
      <c r="G1135" s="40" t="s">
        <v>433</v>
      </c>
      <c r="H1135" s="29">
        <v>1</v>
      </c>
      <c r="I1135" s="9">
        <v>2</v>
      </c>
      <c r="J1135" s="9">
        <v>2</v>
      </c>
      <c r="K1135" s="9">
        <v>1</v>
      </c>
      <c r="L1135" s="9">
        <v>1</v>
      </c>
      <c r="M1135" s="9">
        <v>1</v>
      </c>
      <c r="N1135" s="186">
        <f t="shared" si="93"/>
        <v>0.16933510251023262</v>
      </c>
      <c r="O1135" s="160">
        <f t="shared" si="94"/>
        <v>0.19908580854301616</v>
      </c>
      <c r="P1135" s="63" t="s">
        <v>1965</v>
      </c>
    </row>
    <row r="1136" spans="1:16" s="827" customFormat="1" hidden="1">
      <c r="A1136" s="625" t="s">
        <v>511</v>
      </c>
      <c r="B1136" s="59" t="s">
        <v>258</v>
      </c>
      <c r="C1136" s="40" t="s">
        <v>139</v>
      </c>
      <c r="D1136" s="34" t="s">
        <v>99</v>
      </c>
      <c r="E1136" s="260">
        <v>0</v>
      </c>
      <c r="F1136" s="34">
        <v>2</v>
      </c>
      <c r="G1136" s="40" t="s">
        <v>433</v>
      </c>
      <c r="H1136" s="29">
        <v>1</v>
      </c>
      <c r="I1136" s="9">
        <v>2</v>
      </c>
      <c r="J1136" s="9">
        <v>2</v>
      </c>
      <c r="K1136" s="9">
        <v>1</v>
      </c>
      <c r="L1136" s="9">
        <v>1</v>
      </c>
      <c r="M1136" s="9">
        <v>1</v>
      </c>
      <c r="N1136" s="186">
        <f t="shared" si="93"/>
        <v>0.16933510251023262</v>
      </c>
      <c r="O1136" s="160">
        <f t="shared" si="94"/>
        <v>0.19908580854301616</v>
      </c>
      <c r="P1136" s="63" t="s">
        <v>1965</v>
      </c>
    </row>
    <row r="1137" spans="1:16" s="827" customFormat="1" hidden="1">
      <c r="A1137" s="625" t="s">
        <v>511</v>
      </c>
      <c r="B1137" s="59" t="s">
        <v>334</v>
      </c>
      <c r="C1137" s="40" t="s">
        <v>139</v>
      </c>
      <c r="D1137" s="34" t="s">
        <v>99</v>
      </c>
      <c r="E1137" s="260" t="s">
        <v>150</v>
      </c>
      <c r="F1137" s="34">
        <v>1</v>
      </c>
      <c r="G1137" s="40" t="s">
        <v>433</v>
      </c>
      <c r="H1137" s="29"/>
      <c r="I1137" s="9"/>
      <c r="J1137" s="9"/>
      <c r="K1137" s="9"/>
      <c r="L1137" s="9"/>
      <c r="M1137" s="9"/>
      <c r="N1137" s="186" t="str">
        <f t="shared" si="93"/>
        <v/>
      </c>
      <c r="O1137" s="160" t="str">
        <f t="shared" si="94"/>
        <v/>
      </c>
      <c r="P1137" s="63"/>
    </row>
    <row r="1138" spans="1:16" s="827" customFormat="1" hidden="1">
      <c r="A1138" s="625" t="s">
        <v>509</v>
      </c>
      <c r="B1138" s="59" t="s">
        <v>228</v>
      </c>
      <c r="C1138" s="40" t="s">
        <v>139</v>
      </c>
      <c r="D1138" s="34" t="s">
        <v>99</v>
      </c>
      <c r="E1138" s="260">
        <v>0</v>
      </c>
      <c r="F1138" s="34">
        <v>2</v>
      </c>
      <c r="G1138" s="40" t="s">
        <v>433</v>
      </c>
      <c r="H1138" s="29">
        <v>1</v>
      </c>
      <c r="I1138" s="9">
        <v>2</v>
      </c>
      <c r="J1138" s="9">
        <v>2</v>
      </c>
      <c r="K1138" s="9">
        <v>1</v>
      </c>
      <c r="L1138" s="9">
        <v>1</v>
      </c>
      <c r="M1138" s="9">
        <v>1</v>
      </c>
      <c r="N1138" s="186">
        <f t="shared" si="93"/>
        <v>0.16933510251023262</v>
      </c>
      <c r="O1138" s="160">
        <f t="shared" si="94"/>
        <v>0.19908580854301616</v>
      </c>
      <c r="P1138" s="63" t="s">
        <v>858</v>
      </c>
    </row>
    <row r="1139" spans="1:16" s="827" customFormat="1" hidden="1">
      <c r="A1139" s="625" t="s">
        <v>509</v>
      </c>
      <c r="B1139" s="59" t="s">
        <v>334</v>
      </c>
      <c r="C1139" s="40" t="s">
        <v>139</v>
      </c>
      <c r="D1139" s="34" t="s">
        <v>99</v>
      </c>
      <c r="E1139" s="260" t="s">
        <v>150</v>
      </c>
      <c r="F1139" s="34">
        <v>1</v>
      </c>
      <c r="G1139" s="40" t="s">
        <v>433</v>
      </c>
      <c r="H1139" s="29"/>
      <c r="I1139" s="9"/>
      <c r="J1139" s="9"/>
      <c r="K1139" s="9"/>
      <c r="L1139" s="9"/>
      <c r="M1139" s="9"/>
      <c r="N1139" s="186" t="str">
        <f t="shared" si="93"/>
        <v/>
      </c>
      <c r="O1139" s="160" t="str">
        <f t="shared" si="94"/>
        <v/>
      </c>
      <c r="P1139" s="63" t="s">
        <v>1957</v>
      </c>
    </row>
    <row r="1140" spans="1:16" s="827" customFormat="1" hidden="1">
      <c r="A1140" s="625" t="s">
        <v>443</v>
      </c>
      <c r="B1140" s="59" t="s">
        <v>515</v>
      </c>
      <c r="C1140" s="40" t="s">
        <v>139</v>
      </c>
      <c r="D1140" s="34" t="s">
        <v>99</v>
      </c>
      <c r="E1140" s="260">
        <v>0</v>
      </c>
      <c r="F1140" s="34">
        <v>2</v>
      </c>
      <c r="G1140" s="40" t="s">
        <v>433</v>
      </c>
      <c r="H1140" s="29">
        <v>1</v>
      </c>
      <c r="I1140" s="9">
        <v>2</v>
      </c>
      <c r="J1140" s="9">
        <v>2</v>
      </c>
      <c r="K1140" s="9">
        <v>1</v>
      </c>
      <c r="L1140" s="9">
        <v>1</v>
      </c>
      <c r="M1140" s="9">
        <v>1</v>
      </c>
      <c r="N1140" s="186">
        <f t="shared" si="93"/>
        <v>0.16933510251023262</v>
      </c>
      <c r="O1140" s="160">
        <f t="shared" si="94"/>
        <v>0.19908580854301616</v>
      </c>
      <c r="P1140" s="63" t="s">
        <v>877</v>
      </c>
    </row>
    <row r="1141" spans="1:16" s="827" customFormat="1" hidden="1">
      <c r="A1141" s="625" t="s">
        <v>443</v>
      </c>
      <c r="B1141" s="59" t="s">
        <v>516</v>
      </c>
      <c r="C1141" s="40" t="s">
        <v>139</v>
      </c>
      <c r="D1141" s="34" t="s">
        <v>99</v>
      </c>
      <c r="E1141" s="260">
        <v>0.85</v>
      </c>
      <c r="F1141" s="34">
        <v>2</v>
      </c>
      <c r="G1141" s="40" t="s">
        <v>433</v>
      </c>
      <c r="H1141" s="29">
        <v>1</v>
      </c>
      <c r="I1141" s="9">
        <v>2</v>
      </c>
      <c r="J1141" s="9">
        <v>2</v>
      </c>
      <c r="K1141" s="9">
        <v>1</v>
      </c>
      <c r="L1141" s="9">
        <v>1</v>
      </c>
      <c r="M1141" s="9">
        <v>1</v>
      </c>
      <c r="N1141" s="186">
        <f t="shared" si="93"/>
        <v>0.16933510251023262</v>
      </c>
      <c r="O1141" s="160">
        <f t="shared" si="94"/>
        <v>0.19908580854301616</v>
      </c>
      <c r="P1141" s="63" t="s">
        <v>878</v>
      </c>
    </row>
    <row r="1142" spans="1:16" s="827" customFormat="1" hidden="1">
      <c r="A1142" s="625" t="s">
        <v>443</v>
      </c>
      <c r="B1142" s="59" t="s">
        <v>223</v>
      </c>
      <c r="C1142" s="40" t="s">
        <v>139</v>
      </c>
      <c r="D1142" s="34" t="s">
        <v>99</v>
      </c>
      <c r="E1142" s="260">
        <v>0.15</v>
      </c>
      <c r="F1142" s="34">
        <v>1</v>
      </c>
      <c r="G1142" s="40" t="s">
        <v>433</v>
      </c>
      <c r="H1142" s="29">
        <v>1</v>
      </c>
      <c r="I1142" s="9">
        <v>2</v>
      </c>
      <c r="J1142" s="9">
        <v>2</v>
      </c>
      <c r="K1142" s="9">
        <v>1</v>
      </c>
      <c r="L1142" s="9">
        <v>1</v>
      </c>
      <c r="M1142" s="9">
        <v>1</v>
      </c>
      <c r="N1142" s="186">
        <f t="shared" si="93"/>
        <v>0.16933510251023262</v>
      </c>
      <c r="O1142" s="160">
        <f t="shared" si="94"/>
        <v>0.19908580854301616</v>
      </c>
      <c r="P1142" s="63" t="s">
        <v>872</v>
      </c>
    </row>
    <row r="1143" spans="1:16" s="827" customFormat="1" hidden="1">
      <c r="A1143" s="625" t="s">
        <v>515</v>
      </c>
      <c r="B1143" s="59" t="s">
        <v>517</v>
      </c>
      <c r="C1143" s="40" t="s">
        <v>139</v>
      </c>
      <c r="D1143" s="34" t="s">
        <v>99</v>
      </c>
      <c r="E1143" s="260">
        <v>0.03</v>
      </c>
      <c r="F1143" s="34">
        <v>2</v>
      </c>
      <c r="G1143" s="40" t="s">
        <v>433</v>
      </c>
      <c r="H1143" s="29">
        <v>1</v>
      </c>
      <c r="I1143" s="9">
        <v>2</v>
      </c>
      <c r="J1143" s="9">
        <v>2</v>
      </c>
      <c r="K1143" s="9">
        <v>1</v>
      </c>
      <c r="L1143" s="9">
        <v>1</v>
      </c>
      <c r="M1143" s="9">
        <v>1</v>
      </c>
      <c r="N1143" s="186">
        <f t="shared" si="93"/>
        <v>0.16933510251023262</v>
      </c>
      <c r="O1143" s="160">
        <f t="shared" si="94"/>
        <v>0.19908580854301616</v>
      </c>
      <c r="P1143" s="63" t="s">
        <v>855</v>
      </c>
    </row>
    <row r="1144" spans="1:16" s="827" customFormat="1" hidden="1">
      <c r="A1144" s="625" t="s">
        <v>515</v>
      </c>
      <c r="B1144" s="59" t="s">
        <v>518</v>
      </c>
      <c r="C1144" s="40" t="s">
        <v>139</v>
      </c>
      <c r="D1144" s="34" t="s">
        <v>99</v>
      </c>
      <c r="E1144" s="260" t="s">
        <v>150</v>
      </c>
      <c r="F1144" s="34">
        <v>1</v>
      </c>
      <c r="G1144" s="40" t="s">
        <v>433</v>
      </c>
      <c r="H1144" s="29"/>
      <c r="I1144" s="9"/>
      <c r="J1144" s="9"/>
      <c r="K1144" s="9"/>
      <c r="L1144" s="9"/>
      <c r="M1144" s="9"/>
      <c r="N1144" s="186" t="str">
        <f t="shared" si="93"/>
        <v/>
      </c>
      <c r="O1144" s="160" t="str">
        <f t="shared" si="94"/>
        <v/>
      </c>
      <c r="P1144" s="63" t="s">
        <v>1950</v>
      </c>
    </row>
    <row r="1145" spans="1:16" s="827" customFormat="1" hidden="1">
      <c r="A1145" s="625" t="s">
        <v>517</v>
      </c>
      <c r="B1145" s="59" t="s">
        <v>231</v>
      </c>
      <c r="C1145" s="40" t="s">
        <v>139</v>
      </c>
      <c r="D1145" s="34" t="s">
        <v>99</v>
      </c>
      <c r="E1145" s="260">
        <v>0.05</v>
      </c>
      <c r="F1145" s="34">
        <v>2</v>
      </c>
      <c r="G1145" s="40" t="s">
        <v>157</v>
      </c>
      <c r="H1145" s="29">
        <v>1</v>
      </c>
      <c r="I1145" s="9">
        <v>2</v>
      </c>
      <c r="J1145" s="9">
        <v>2</v>
      </c>
      <c r="K1145" s="9">
        <v>1</v>
      </c>
      <c r="L1145" s="9">
        <v>3</v>
      </c>
      <c r="M1145" s="9">
        <v>3</v>
      </c>
      <c r="N1145" s="186">
        <f t="shared" si="93"/>
        <v>1.0725046436742278</v>
      </c>
      <c r="O1145" s="160">
        <f t="shared" si="94"/>
        <v>1.0776024280428556</v>
      </c>
      <c r="P1145" s="63" t="s">
        <v>1937</v>
      </c>
    </row>
    <row r="1146" spans="1:16" s="827" customFormat="1" hidden="1">
      <c r="A1146" s="625" t="s">
        <v>517</v>
      </c>
      <c r="B1146" s="59" t="s">
        <v>232</v>
      </c>
      <c r="C1146" s="40" t="s">
        <v>139</v>
      </c>
      <c r="D1146" s="34" t="s">
        <v>99</v>
      </c>
      <c r="E1146" s="260">
        <v>0.39400000000000002</v>
      </c>
      <c r="F1146" s="34">
        <v>2</v>
      </c>
      <c r="G1146" s="40" t="s">
        <v>433</v>
      </c>
      <c r="H1146" s="29">
        <v>1</v>
      </c>
      <c r="I1146" s="9">
        <v>2</v>
      </c>
      <c r="J1146" s="9">
        <v>2</v>
      </c>
      <c r="K1146" s="9">
        <v>1</v>
      </c>
      <c r="L1146" s="9">
        <v>1</v>
      </c>
      <c r="M1146" s="9">
        <v>1</v>
      </c>
      <c r="N1146" s="186">
        <f t="shared" si="93"/>
        <v>0.16933510251023262</v>
      </c>
      <c r="O1146" s="160">
        <f t="shared" si="94"/>
        <v>0.19908580854301616</v>
      </c>
      <c r="P1146" s="63" t="s">
        <v>1961</v>
      </c>
    </row>
    <row r="1147" spans="1:16" s="827" customFormat="1" hidden="1">
      <c r="A1147" s="625" t="s">
        <v>517</v>
      </c>
      <c r="B1147" s="59" t="s">
        <v>251</v>
      </c>
      <c r="C1147" s="40" t="s">
        <v>139</v>
      </c>
      <c r="D1147" s="34" t="s">
        <v>99</v>
      </c>
      <c r="E1147" s="260">
        <v>0.52200000000000002</v>
      </c>
      <c r="F1147" s="34">
        <v>1</v>
      </c>
      <c r="G1147" s="40" t="s">
        <v>433</v>
      </c>
      <c r="H1147" s="29">
        <v>1</v>
      </c>
      <c r="I1147" s="9">
        <v>2</v>
      </c>
      <c r="J1147" s="9">
        <v>2</v>
      </c>
      <c r="K1147" s="9">
        <v>1</v>
      </c>
      <c r="L1147" s="9">
        <v>1</v>
      </c>
      <c r="M1147" s="9">
        <v>1</v>
      </c>
      <c r="N1147" s="186">
        <f t="shared" si="93"/>
        <v>0.16933510251023262</v>
      </c>
      <c r="O1147" s="160">
        <f t="shared" si="94"/>
        <v>0.19908580854301616</v>
      </c>
      <c r="P1147" s="63" t="s">
        <v>1962</v>
      </c>
    </row>
    <row r="1148" spans="1:16" s="827" customFormat="1" hidden="1">
      <c r="A1148" s="625" t="s">
        <v>517</v>
      </c>
      <c r="B1148" s="59" t="s">
        <v>258</v>
      </c>
      <c r="C1148" s="40" t="s">
        <v>139</v>
      </c>
      <c r="D1148" s="34" t="s">
        <v>99</v>
      </c>
      <c r="E1148" s="260">
        <v>3.4000000000000002E-2</v>
      </c>
      <c r="F1148" s="34">
        <v>2</v>
      </c>
      <c r="G1148" s="40" t="s">
        <v>433</v>
      </c>
      <c r="H1148" s="29">
        <v>1</v>
      </c>
      <c r="I1148" s="9">
        <v>2</v>
      </c>
      <c r="J1148" s="9">
        <v>2</v>
      </c>
      <c r="K1148" s="9">
        <v>1</v>
      </c>
      <c r="L1148" s="9">
        <v>1</v>
      </c>
      <c r="M1148" s="9">
        <v>1</v>
      </c>
      <c r="N1148" s="186"/>
      <c r="O1148" s="160"/>
      <c r="P1148" s="63" t="s">
        <v>1963</v>
      </c>
    </row>
    <row r="1149" spans="1:16" s="827" customFormat="1" hidden="1">
      <c r="A1149" s="625" t="s">
        <v>516</v>
      </c>
      <c r="B1149" s="59" t="s">
        <v>519</v>
      </c>
      <c r="C1149" s="40" t="s">
        <v>139</v>
      </c>
      <c r="D1149" s="34" t="s">
        <v>99</v>
      </c>
      <c r="E1149" s="260">
        <f>0.1*E1143</f>
        <v>3.0000000000000001E-3</v>
      </c>
      <c r="F1149" s="34">
        <v>2</v>
      </c>
      <c r="G1149" s="40" t="s">
        <v>433</v>
      </c>
      <c r="H1149" s="29">
        <v>1</v>
      </c>
      <c r="I1149" s="9">
        <v>2</v>
      </c>
      <c r="J1149" s="9">
        <v>2</v>
      </c>
      <c r="K1149" s="9">
        <v>1</v>
      </c>
      <c r="L1149" s="9">
        <v>1</v>
      </c>
      <c r="M1149" s="9">
        <v>1</v>
      </c>
      <c r="N1149" s="186">
        <f t="shared" ref="N1149:N1166" si="95">IF( OR( ISBLANK(H1149),ISBLANK(J1149), ISBLANK(K1149), ISBLANK(L1149), ISBLANK(M1149) ), "", 1.5*SQRT(   EXP(2.21*(H1149-1)) + EXP(2.21*(J1149-1)) + EXP(2.21*(K1149-1)) + EXP(2.21*(L1149-1)) + EXP(2.21*M1149)   )/100*2.45 )</f>
        <v>0.16933510251023262</v>
      </c>
      <c r="O1149" s="160">
        <f t="shared" ref="O1149:O1166" si="96">IF( OR( ISBLANK(I1149),ISBLANK(J1149), ISBLANK(K1149), ISBLANK(L1149), ISBLANK(M1149) ), "", 1.5*SQRT( EXP(2.21*(I1149-1)) + EXP(2.21*(J1149-1)) + EXP(2.21*(K1149-1)) + EXP(2.21*(L1149-1)) + EXP(2.21*M1149)   )/100*2.45 )</f>
        <v>0.19908580854301616</v>
      </c>
      <c r="P1149" s="63" t="s">
        <v>856</v>
      </c>
    </row>
    <row r="1150" spans="1:16" s="827" customFormat="1" hidden="1">
      <c r="A1150" s="625" t="s">
        <v>516</v>
      </c>
      <c r="B1150" s="59" t="s">
        <v>520</v>
      </c>
      <c r="C1150" s="40" t="s">
        <v>139</v>
      </c>
      <c r="D1150" s="34" t="s">
        <v>99</v>
      </c>
      <c r="E1150" s="260" t="s">
        <v>150</v>
      </c>
      <c r="F1150" s="34">
        <v>1</v>
      </c>
      <c r="G1150" s="40" t="s">
        <v>433</v>
      </c>
      <c r="H1150" s="29"/>
      <c r="I1150" s="9"/>
      <c r="J1150" s="9"/>
      <c r="K1150" s="9"/>
      <c r="L1150" s="9"/>
      <c r="M1150" s="9"/>
      <c r="N1150" s="186" t="str">
        <f t="shared" si="95"/>
        <v/>
      </c>
      <c r="O1150" s="160" t="str">
        <f t="shared" si="96"/>
        <v/>
      </c>
      <c r="P1150" s="63" t="s">
        <v>1950</v>
      </c>
    </row>
    <row r="1151" spans="1:16" s="827" customFormat="1" hidden="1">
      <c r="A1151" s="625" t="s">
        <v>519</v>
      </c>
      <c r="B1151" s="59" t="s">
        <v>228</v>
      </c>
      <c r="C1151" s="40" t="s">
        <v>139</v>
      </c>
      <c r="D1151" s="34" t="s">
        <v>99</v>
      </c>
      <c r="E1151" s="260">
        <v>1</v>
      </c>
      <c r="F1151" s="34">
        <v>2</v>
      </c>
      <c r="G1151" s="40" t="s">
        <v>433</v>
      </c>
      <c r="H1151" s="29">
        <v>1</v>
      </c>
      <c r="I1151" s="9">
        <v>2</v>
      </c>
      <c r="J1151" s="9">
        <v>2</v>
      </c>
      <c r="K1151" s="9">
        <v>1</v>
      </c>
      <c r="L1151" s="9">
        <v>1</v>
      </c>
      <c r="M1151" s="9">
        <v>1</v>
      </c>
      <c r="N1151" s="186">
        <f t="shared" si="95"/>
        <v>0.16933510251023262</v>
      </c>
      <c r="O1151" s="160">
        <f t="shared" si="96"/>
        <v>0.19908580854301616</v>
      </c>
      <c r="P1151" s="63" t="s">
        <v>857</v>
      </c>
    </row>
    <row r="1152" spans="1:16" s="827" customFormat="1" hidden="1">
      <c r="A1152" s="625" t="s">
        <v>518</v>
      </c>
      <c r="B1152" s="59" t="s">
        <v>231</v>
      </c>
      <c r="C1152" s="40" t="s">
        <v>139</v>
      </c>
      <c r="D1152" s="34" t="s">
        <v>99</v>
      </c>
      <c r="E1152" s="260">
        <v>0</v>
      </c>
      <c r="F1152" s="34">
        <v>2</v>
      </c>
      <c r="G1152" s="40" t="s">
        <v>433</v>
      </c>
      <c r="H1152" s="29">
        <v>1</v>
      </c>
      <c r="I1152" s="9">
        <v>2</v>
      </c>
      <c r="J1152" s="9">
        <v>2</v>
      </c>
      <c r="K1152" s="9">
        <v>1</v>
      </c>
      <c r="L1152" s="9">
        <v>1</v>
      </c>
      <c r="M1152" s="9">
        <v>1</v>
      </c>
      <c r="N1152" s="186">
        <f t="shared" si="95"/>
        <v>0.16933510251023262</v>
      </c>
      <c r="O1152" s="160">
        <f t="shared" si="96"/>
        <v>0.19908580854301616</v>
      </c>
      <c r="P1152" s="63" t="s">
        <v>1964</v>
      </c>
    </row>
    <row r="1153" spans="1:16" s="827" customFormat="1" hidden="1">
      <c r="A1153" s="625" t="s">
        <v>518</v>
      </c>
      <c r="B1153" s="59" t="s">
        <v>232</v>
      </c>
      <c r="C1153" s="40" t="s">
        <v>139</v>
      </c>
      <c r="D1153" s="34" t="s">
        <v>99</v>
      </c>
      <c r="E1153" s="260">
        <v>0</v>
      </c>
      <c r="F1153" s="34">
        <v>2</v>
      </c>
      <c r="G1153" s="40" t="s">
        <v>433</v>
      </c>
      <c r="H1153" s="29">
        <v>1</v>
      </c>
      <c r="I1153" s="9">
        <v>2</v>
      </c>
      <c r="J1153" s="9">
        <v>2</v>
      </c>
      <c r="K1153" s="9">
        <v>1</v>
      </c>
      <c r="L1153" s="9">
        <v>1</v>
      </c>
      <c r="M1153" s="9">
        <v>1</v>
      </c>
      <c r="N1153" s="186">
        <f t="shared" si="95"/>
        <v>0.16933510251023262</v>
      </c>
      <c r="O1153" s="160">
        <f t="shared" si="96"/>
        <v>0.19908580854301616</v>
      </c>
      <c r="P1153" s="63" t="s">
        <v>1964</v>
      </c>
    </row>
    <row r="1154" spans="1:16" s="827" customFormat="1" hidden="1">
      <c r="A1154" s="625" t="s">
        <v>518</v>
      </c>
      <c r="B1154" s="59" t="s">
        <v>251</v>
      </c>
      <c r="C1154" s="40" t="s">
        <v>139</v>
      </c>
      <c r="D1154" s="34" t="s">
        <v>99</v>
      </c>
      <c r="E1154" s="260">
        <v>0</v>
      </c>
      <c r="F1154" s="34">
        <v>2</v>
      </c>
      <c r="G1154" s="40" t="s">
        <v>433</v>
      </c>
      <c r="H1154" s="29">
        <v>1</v>
      </c>
      <c r="I1154" s="9">
        <v>2</v>
      </c>
      <c r="J1154" s="9">
        <v>2</v>
      </c>
      <c r="K1154" s="9">
        <v>1</v>
      </c>
      <c r="L1154" s="9">
        <v>1</v>
      </c>
      <c r="M1154" s="9">
        <v>1</v>
      </c>
      <c r="N1154" s="186">
        <f t="shared" si="95"/>
        <v>0.16933510251023262</v>
      </c>
      <c r="O1154" s="160">
        <f t="shared" si="96"/>
        <v>0.19908580854301616</v>
      </c>
      <c r="P1154" s="63" t="s">
        <v>1964</v>
      </c>
    </row>
    <row r="1155" spans="1:16" s="827" customFormat="1" hidden="1">
      <c r="A1155" s="625" t="s">
        <v>518</v>
      </c>
      <c r="B1155" s="59" t="s">
        <v>258</v>
      </c>
      <c r="C1155" s="40" t="s">
        <v>139</v>
      </c>
      <c r="D1155" s="34" t="s">
        <v>99</v>
      </c>
      <c r="E1155" s="260">
        <v>0</v>
      </c>
      <c r="F1155" s="34">
        <v>2</v>
      </c>
      <c r="G1155" s="40" t="s">
        <v>433</v>
      </c>
      <c r="H1155" s="29">
        <v>1</v>
      </c>
      <c r="I1155" s="9">
        <v>2</v>
      </c>
      <c r="J1155" s="9">
        <v>2</v>
      </c>
      <c r="K1155" s="9">
        <v>1</v>
      </c>
      <c r="L1155" s="9">
        <v>1</v>
      </c>
      <c r="M1155" s="9">
        <v>1</v>
      </c>
      <c r="N1155" s="186">
        <f t="shared" si="95"/>
        <v>0.16933510251023262</v>
      </c>
      <c r="O1155" s="160">
        <f t="shared" si="96"/>
        <v>0.19908580854301616</v>
      </c>
      <c r="P1155" s="63" t="s">
        <v>1964</v>
      </c>
    </row>
    <row r="1156" spans="1:16" s="827" customFormat="1" hidden="1">
      <c r="A1156" s="625" t="s">
        <v>518</v>
      </c>
      <c r="B1156" s="59" t="s">
        <v>334</v>
      </c>
      <c r="C1156" s="40" t="s">
        <v>139</v>
      </c>
      <c r="D1156" s="34" t="s">
        <v>99</v>
      </c>
      <c r="E1156" s="260" t="s">
        <v>150</v>
      </c>
      <c r="F1156" s="34">
        <v>1</v>
      </c>
      <c r="G1156" s="40" t="s">
        <v>433</v>
      </c>
      <c r="H1156" s="29"/>
      <c r="I1156" s="9"/>
      <c r="J1156" s="9"/>
      <c r="K1156" s="9"/>
      <c r="L1156" s="9"/>
      <c r="M1156" s="9"/>
      <c r="N1156" s="186" t="str">
        <f t="shared" si="95"/>
        <v/>
      </c>
      <c r="O1156" s="160" t="str">
        <f t="shared" si="96"/>
        <v/>
      </c>
      <c r="P1156" s="63"/>
    </row>
    <row r="1157" spans="1:16" s="827" customFormat="1" hidden="1">
      <c r="A1157" s="625" t="s">
        <v>520</v>
      </c>
      <c r="B1157" s="59" t="s">
        <v>228</v>
      </c>
      <c r="C1157" s="40" t="s">
        <v>139</v>
      </c>
      <c r="D1157" s="34" t="s">
        <v>99</v>
      </c>
      <c r="E1157" s="260">
        <v>0</v>
      </c>
      <c r="F1157" s="34">
        <v>2</v>
      </c>
      <c r="G1157" s="40" t="s">
        <v>433</v>
      </c>
      <c r="H1157" s="29">
        <v>1</v>
      </c>
      <c r="I1157" s="9">
        <v>2</v>
      </c>
      <c r="J1157" s="9">
        <v>2</v>
      </c>
      <c r="K1157" s="9">
        <v>1</v>
      </c>
      <c r="L1157" s="9">
        <v>1</v>
      </c>
      <c r="M1157" s="9">
        <v>1</v>
      </c>
      <c r="N1157" s="186">
        <f t="shared" si="95"/>
        <v>0.16933510251023262</v>
      </c>
      <c r="O1157" s="160">
        <f t="shared" si="96"/>
        <v>0.19908580854301616</v>
      </c>
      <c r="P1157" s="63" t="s">
        <v>858</v>
      </c>
    </row>
    <row r="1158" spans="1:16" s="827" customFormat="1" hidden="1">
      <c r="A1158" s="625" t="s">
        <v>520</v>
      </c>
      <c r="B1158" s="59" t="s">
        <v>334</v>
      </c>
      <c r="C1158" s="40" t="s">
        <v>139</v>
      </c>
      <c r="D1158" s="34" t="s">
        <v>99</v>
      </c>
      <c r="E1158" s="260" t="s">
        <v>150</v>
      </c>
      <c r="F1158" s="34">
        <v>1</v>
      </c>
      <c r="G1158" s="40" t="s">
        <v>433</v>
      </c>
      <c r="H1158" s="29"/>
      <c r="I1158" s="9"/>
      <c r="J1158" s="9"/>
      <c r="K1158" s="9"/>
      <c r="L1158" s="9"/>
      <c r="M1158" s="9"/>
      <c r="N1158" s="186" t="str">
        <f t="shared" si="95"/>
        <v/>
      </c>
      <c r="O1158" s="160" t="str">
        <f t="shared" si="96"/>
        <v/>
      </c>
      <c r="P1158" s="63" t="s">
        <v>1958</v>
      </c>
    </row>
    <row r="1159" spans="1:16" s="827" customFormat="1" hidden="1">
      <c r="A1159" s="625" t="s">
        <v>444</v>
      </c>
      <c r="B1159" s="59" t="s">
        <v>521</v>
      </c>
      <c r="C1159" s="40" t="s">
        <v>139</v>
      </c>
      <c r="D1159" s="34" t="s">
        <v>99</v>
      </c>
      <c r="E1159" s="260">
        <v>0</v>
      </c>
      <c r="F1159" s="34">
        <v>2</v>
      </c>
      <c r="G1159" s="40" t="s">
        <v>433</v>
      </c>
      <c r="H1159" s="29">
        <v>1</v>
      </c>
      <c r="I1159" s="9">
        <v>2</v>
      </c>
      <c r="J1159" s="9">
        <v>2</v>
      </c>
      <c r="K1159" s="9">
        <v>1</v>
      </c>
      <c r="L1159" s="9">
        <v>1</v>
      </c>
      <c r="M1159" s="9">
        <v>1</v>
      </c>
      <c r="N1159" s="186">
        <f t="shared" si="95"/>
        <v>0.16933510251023262</v>
      </c>
      <c r="O1159" s="160">
        <f t="shared" si="96"/>
        <v>0.19908580854301616</v>
      </c>
      <c r="P1159" s="63" t="s">
        <v>877</v>
      </c>
    </row>
    <row r="1160" spans="1:16" s="827" customFormat="1" hidden="1">
      <c r="A1160" s="625" t="s">
        <v>444</v>
      </c>
      <c r="B1160" s="59" t="s">
        <v>522</v>
      </c>
      <c r="C1160" s="40" t="s">
        <v>139</v>
      </c>
      <c r="D1160" s="34" t="s">
        <v>99</v>
      </c>
      <c r="E1160" s="260">
        <v>0.85</v>
      </c>
      <c r="F1160" s="34">
        <v>2</v>
      </c>
      <c r="G1160" s="40" t="s">
        <v>433</v>
      </c>
      <c r="H1160" s="29">
        <v>1</v>
      </c>
      <c r="I1160" s="9">
        <v>2</v>
      </c>
      <c r="J1160" s="9">
        <v>2</v>
      </c>
      <c r="K1160" s="9">
        <v>1</v>
      </c>
      <c r="L1160" s="9">
        <v>1</v>
      </c>
      <c r="M1160" s="9">
        <v>1</v>
      </c>
      <c r="N1160" s="186">
        <f t="shared" si="95"/>
        <v>0.16933510251023262</v>
      </c>
      <c r="O1160" s="160">
        <f t="shared" si="96"/>
        <v>0.19908580854301616</v>
      </c>
      <c r="P1160" s="63" t="s">
        <v>878</v>
      </c>
    </row>
    <row r="1161" spans="1:16" s="827" customFormat="1" hidden="1">
      <c r="A1161" s="625" t="s">
        <v>444</v>
      </c>
      <c r="B1161" s="59" t="s">
        <v>223</v>
      </c>
      <c r="C1161" s="40" t="s">
        <v>139</v>
      </c>
      <c r="D1161" s="34" t="s">
        <v>99</v>
      </c>
      <c r="E1161" s="260">
        <v>0.15</v>
      </c>
      <c r="F1161" s="34">
        <v>1</v>
      </c>
      <c r="G1161" s="40" t="s">
        <v>433</v>
      </c>
      <c r="H1161" s="29">
        <v>1</v>
      </c>
      <c r="I1161" s="9">
        <v>2</v>
      </c>
      <c r="J1161" s="9">
        <v>2</v>
      </c>
      <c r="K1161" s="9">
        <v>1</v>
      </c>
      <c r="L1161" s="9">
        <v>1</v>
      </c>
      <c r="M1161" s="9">
        <v>1</v>
      </c>
      <c r="N1161" s="186">
        <f t="shared" si="95"/>
        <v>0.16933510251023262</v>
      </c>
      <c r="O1161" s="160">
        <f t="shared" si="96"/>
        <v>0.19908580854301616</v>
      </c>
      <c r="P1161" s="63" t="s">
        <v>872</v>
      </c>
    </row>
    <row r="1162" spans="1:16" s="827" customFormat="1" hidden="1">
      <c r="A1162" s="625" t="s">
        <v>521</v>
      </c>
      <c r="B1162" s="59" t="s">
        <v>523</v>
      </c>
      <c r="C1162" s="40" t="s">
        <v>139</v>
      </c>
      <c r="D1162" s="34" t="s">
        <v>99</v>
      </c>
      <c r="E1162" s="260">
        <v>0.03</v>
      </c>
      <c r="F1162" s="34">
        <v>2</v>
      </c>
      <c r="G1162" s="40" t="s">
        <v>433</v>
      </c>
      <c r="H1162" s="29">
        <v>1</v>
      </c>
      <c r="I1162" s="9">
        <v>2</v>
      </c>
      <c r="J1162" s="9">
        <v>2</v>
      </c>
      <c r="K1162" s="9">
        <v>1</v>
      </c>
      <c r="L1162" s="9">
        <v>1</v>
      </c>
      <c r="M1162" s="9">
        <v>1</v>
      </c>
      <c r="N1162" s="186">
        <f t="shared" si="95"/>
        <v>0.16933510251023262</v>
      </c>
      <c r="O1162" s="160">
        <f t="shared" si="96"/>
        <v>0.19908580854301616</v>
      </c>
      <c r="P1162" s="63" t="s">
        <v>855</v>
      </c>
    </row>
    <row r="1163" spans="1:16" s="827" customFormat="1" hidden="1">
      <c r="A1163" s="625" t="s">
        <v>521</v>
      </c>
      <c r="B1163" s="59" t="s">
        <v>472</v>
      </c>
      <c r="C1163" s="40" t="s">
        <v>139</v>
      </c>
      <c r="D1163" s="34" t="s">
        <v>99</v>
      </c>
      <c r="E1163" s="260" t="s">
        <v>150</v>
      </c>
      <c r="F1163" s="34">
        <v>1</v>
      </c>
      <c r="G1163" s="40" t="s">
        <v>433</v>
      </c>
      <c r="H1163" s="29"/>
      <c r="I1163" s="9"/>
      <c r="J1163" s="9"/>
      <c r="K1163" s="9"/>
      <c r="L1163" s="9"/>
      <c r="M1163" s="9"/>
      <c r="N1163" s="186" t="str">
        <f t="shared" si="95"/>
        <v/>
      </c>
      <c r="O1163" s="160" t="str">
        <f t="shared" si="96"/>
        <v/>
      </c>
      <c r="P1163" s="63" t="s">
        <v>1959</v>
      </c>
    </row>
    <row r="1164" spans="1:16" s="827" customFormat="1" hidden="1">
      <c r="A1164" s="625" t="s">
        <v>523</v>
      </c>
      <c r="B1164" s="59" t="s">
        <v>231</v>
      </c>
      <c r="C1164" s="40" t="s">
        <v>139</v>
      </c>
      <c r="D1164" s="34" t="s">
        <v>99</v>
      </c>
      <c r="E1164" s="260">
        <v>0.05</v>
      </c>
      <c r="F1164" s="34">
        <v>2</v>
      </c>
      <c r="G1164" s="40" t="s">
        <v>157</v>
      </c>
      <c r="H1164" s="29">
        <v>1</v>
      </c>
      <c r="I1164" s="9">
        <v>2</v>
      </c>
      <c r="J1164" s="9">
        <v>2</v>
      </c>
      <c r="K1164" s="9">
        <v>1</v>
      </c>
      <c r="L1164" s="9">
        <v>3</v>
      </c>
      <c r="M1164" s="9">
        <v>3</v>
      </c>
      <c r="N1164" s="186">
        <f t="shared" si="95"/>
        <v>1.0725046436742278</v>
      </c>
      <c r="O1164" s="160">
        <f t="shared" si="96"/>
        <v>1.0776024280428556</v>
      </c>
      <c r="P1164" s="63" t="s">
        <v>1937</v>
      </c>
    </row>
    <row r="1165" spans="1:16" s="827" customFormat="1" hidden="1">
      <c r="A1165" s="625" t="s">
        <v>523</v>
      </c>
      <c r="B1165" s="59" t="s">
        <v>232</v>
      </c>
      <c r="C1165" s="40" t="s">
        <v>139</v>
      </c>
      <c r="D1165" s="34" t="s">
        <v>99</v>
      </c>
      <c r="E1165" s="260">
        <v>0.39400000000000002</v>
      </c>
      <c r="F1165" s="34">
        <v>2</v>
      </c>
      <c r="G1165" s="40" t="s">
        <v>433</v>
      </c>
      <c r="H1165" s="29">
        <v>1</v>
      </c>
      <c r="I1165" s="9">
        <v>2</v>
      </c>
      <c r="J1165" s="9">
        <v>2</v>
      </c>
      <c r="K1165" s="9">
        <v>1</v>
      </c>
      <c r="L1165" s="9">
        <v>1</v>
      </c>
      <c r="M1165" s="9">
        <v>1</v>
      </c>
      <c r="N1165" s="186">
        <f t="shared" si="95"/>
        <v>0.16933510251023262</v>
      </c>
      <c r="O1165" s="160">
        <f t="shared" si="96"/>
        <v>0.19908580854301616</v>
      </c>
      <c r="P1165" s="63" t="s">
        <v>1961</v>
      </c>
    </row>
    <row r="1166" spans="1:16" s="827" customFormat="1" hidden="1">
      <c r="A1166" s="625" t="s">
        <v>523</v>
      </c>
      <c r="B1166" s="59" t="s">
        <v>251</v>
      </c>
      <c r="C1166" s="40" t="s">
        <v>139</v>
      </c>
      <c r="D1166" s="34" t="s">
        <v>99</v>
      </c>
      <c r="E1166" s="260">
        <v>0.52200000000000002</v>
      </c>
      <c r="F1166" s="34">
        <v>1</v>
      </c>
      <c r="G1166" s="40" t="s">
        <v>433</v>
      </c>
      <c r="H1166" s="29">
        <v>1</v>
      </c>
      <c r="I1166" s="9">
        <v>2</v>
      </c>
      <c r="J1166" s="9">
        <v>2</v>
      </c>
      <c r="K1166" s="9">
        <v>1</v>
      </c>
      <c r="L1166" s="9">
        <v>1</v>
      </c>
      <c r="M1166" s="9">
        <v>1</v>
      </c>
      <c r="N1166" s="186">
        <f t="shared" si="95"/>
        <v>0.16933510251023262</v>
      </c>
      <c r="O1166" s="160">
        <f t="shared" si="96"/>
        <v>0.19908580854301616</v>
      </c>
      <c r="P1166" s="63" t="s">
        <v>1962</v>
      </c>
    </row>
    <row r="1167" spans="1:16" s="827" customFormat="1" hidden="1">
      <c r="A1167" s="625" t="s">
        <v>523</v>
      </c>
      <c r="B1167" s="59" t="s">
        <v>258</v>
      </c>
      <c r="C1167" s="40" t="s">
        <v>139</v>
      </c>
      <c r="D1167" s="34" t="s">
        <v>99</v>
      </c>
      <c r="E1167" s="260">
        <v>3.4000000000000002E-2</v>
      </c>
      <c r="F1167" s="34">
        <v>2</v>
      </c>
      <c r="G1167" s="40" t="s">
        <v>433</v>
      </c>
      <c r="H1167" s="29">
        <v>1</v>
      </c>
      <c r="I1167" s="9">
        <v>2</v>
      </c>
      <c r="J1167" s="9">
        <v>2</v>
      </c>
      <c r="K1167" s="9">
        <v>1</v>
      </c>
      <c r="L1167" s="9">
        <v>1</v>
      </c>
      <c r="M1167" s="9">
        <v>1</v>
      </c>
      <c r="N1167" s="186"/>
      <c r="O1167" s="160"/>
      <c r="P1167" s="63" t="s">
        <v>1963</v>
      </c>
    </row>
    <row r="1168" spans="1:16" s="827" customFormat="1" hidden="1">
      <c r="A1168" s="625" t="s">
        <v>522</v>
      </c>
      <c r="B1168" s="59" t="s">
        <v>524</v>
      </c>
      <c r="C1168" s="40" t="s">
        <v>139</v>
      </c>
      <c r="D1168" s="34" t="s">
        <v>99</v>
      </c>
      <c r="E1168" s="260">
        <f>0.1*E1162</f>
        <v>3.0000000000000001E-3</v>
      </c>
      <c r="F1168" s="34">
        <v>2</v>
      </c>
      <c r="G1168" s="40" t="s">
        <v>433</v>
      </c>
      <c r="H1168" s="29">
        <v>1</v>
      </c>
      <c r="I1168" s="9">
        <v>2</v>
      </c>
      <c r="J1168" s="9">
        <v>2</v>
      </c>
      <c r="K1168" s="9">
        <v>1</v>
      </c>
      <c r="L1168" s="9">
        <v>1</v>
      </c>
      <c r="M1168" s="9">
        <v>1</v>
      </c>
      <c r="N1168" s="186">
        <f t="shared" ref="N1168:N1177" si="97">IF( OR( ISBLANK(H1168),ISBLANK(J1168), ISBLANK(K1168), ISBLANK(L1168), ISBLANK(M1168) ), "", 1.5*SQRT(   EXP(2.21*(H1168-1)) + EXP(2.21*(J1168-1)) + EXP(2.21*(K1168-1)) + EXP(2.21*(L1168-1)) + EXP(2.21*M1168)   )/100*2.45 )</f>
        <v>0.16933510251023262</v>
      </c>
      <c r="O1168" s="160">
        <f t="shared" ref="O1168:O1177" si="98">IF( OR( ISBLANK(I1168),ISBLANK(J1168), ISBLANK(K1168), ISBLANK(L1168), ISBLANK(M1168) ), "", 1.5*SQRT( EXP(2.21*(I1168-1)) + EXP(2.21*(J1168-1)) + EXP(2.21*(K1168-1)) + EXP(2.21*(L1168-1)) + EXP(2.21*M1168)   )/100*2.45 )</f>
        <v>0.19908580854301616</v>
      </c>
      <c r="P1168" s="63" t="s">
        <v>856</v>
      </c>
    </row>
    <row r="1169" spans="1:16" s="827" customFormat="1" hidden="1">
      <c r="A1169" s="625" t="s">
        <v>522</v>
      </c>
      <c r="B1169" s="59" t="s">
        <v>465</v>
      </c>
      <c r="C1169" s="40" t="s">
        <v>139</v>
      </c>
      <c r="D1169" s="34" t="s">
        <v>99</v>
      </c>
      <c r="E1169" s="260" t="s">
        <v>150</v>
      </c>
      <c r="F1169" s="34">
        <v>1</v>
      </c>
      <c r="G1169" s="40" t="s">
        <v>433</v>
      </c>
      <c r="H1169" s="29"/>
      <c r="I1169" s="9"/>
      <c r="J1169" s="9"/>
      <c r="K1169" s="9"/>
      <c r="L1169" s="9"/>
      <c r="M1169" s="9"/>
      <c r="N1169" s="186" t="str">
        <f t="shared" si="97"/>
        <v/>
      </c>
      <c r="O1169" s="160" t="str">
        <f t="shared" si="98"/>
        <v/>
      </c>
      <c r="P1169" s="63" t="s">
        <v>1959</v>
      </c>
    </row>
    <row r="1170" spans="1:16" s="827" customFormat="1" hidden="1">
      <c r="A1170" s="625" t="s">
        <v>524</v>
      </c>
      <c r="B1170" s="59" t="s">
        <v>228</v>
      </c>
      <c r="C1170" s="40" t="s">
        <v>139</v>
      </c>
      <c r="D1170" s="34" t="s">
        <v>99</v>
      </c>
      <c r="E1170" s="260">
        <v>1</v>
      </c>
      <c r="F1170" s="34">
        <v>2</v>
      </c>
      <c r="G1170" s="40" t="s">
        <v>433</v>
      </c>
      <c r="H1170" s="29">
        <v>1</v>
      </c>
      <c r="I1170" s="9">
        <v>2</v>
      </c>
      <c r="J1170" s="9">
        <v>2</v>
      </c>
      <c r="K1170" s="9">
        <v>1</v>
      </c>
      <c r="L1170" s="9">
        <v>1</v>
      </c>
      <c r="M1170" s="9">
        <v>1</v>
      </c>
      <c r="N1170" s="186">
        <f t="shared" si="97"/>
        <v>0.16933510251023262</v>
      </c>
      <c r="O1170" s="160">
        <f t="shared" si="98"/>
        <v>0.19908580854301616</v>
      </c>
      <c r="P1170" s="63" t="s">
        <v>857</v>
      </c>
    </row>
    <row r="1171" spans="1:16" s="827" customFormat="1" hidden="1">
      <c r="A1171" s="625" t="s">
        <v>472</v>
      </c>
      <c r="B1171" s="59" t="s">
        <v>231</v>
      </c>
      <c r="C1171" s="40" t="s">
        <v>139</v>
      </c>
      <c r="D1171" s="34" t="s">
        <v>99</v>
      </c>
      <c r="E1171" s="260">
        <v>3.2000000000000002E-3</v>
      </c>
      <c r="F1171" s="34">
        <v>2</v>
      </c>
      <c r="G1171" s="40" t="s">
        <v>1997</v>
      </c>
      <c r="H1171" s="29">
        <v>1</v>
      </c>
      <c r="I1171" s="9">
        <v>2</v>
      </c>
      <c r="J1171" s="9">
        <v>2</v>
      </c>
      <c r="K1171" s="9">
        <v>1</v>
      </c>
      <c r="L1171" s="9">
        <v>3</v>
      </c>
      <c r="M1171" s="9">
        <v>3</v>
      </c>
      <c r="N1171" s="186">
        <f t="shared" si="97"/>
        <v>1.0725046436742278</v>
      </c>
      <c r="O1171" s="160">
        <f t="shared" si="98"/>
        <v>1.0776024280428556</v>
      </c>
      <c r="P1171" s="63" t="s">
        <v>1989</v>
      </c>
    </row>
    <row r="1172" spans="1:16" s="827" customFormat="1" hidden="1">
      <c r="A1172" s="625" t="s">
        <v>472</v>
      </c>
      <c r="B1172" s="59" t="s">
        <v>232</v>
      </c>
      <c r="C1172" s="40" t="s">
        <v>139</v>
      </c>
      <c r="D1172" s="34" t="s">
        <v>99</v>
      </c>
      <c r="E1172" s="260">
        <v>2.5215999999999999E-2</v>
      </c>
      <c r="F1172" s="34">
        <v>2</v>
      </c>
      <c r="G1172" s="40" t="s">
        <v>433</v>
      </c>
      <c r="H1172" s="29">
        <v>1</v>
      </c>
      <c r="I1172" s="9">
        <v>2</v>
      </c>
      <c r="J1172" s="9">
        <v>2</v>
      </c>
      <c r="K1172" s="9">
        <v>1</v>
      </c>
      <c r="L1172" s="9">
        <v>1</v>
      </c>
      <c r="M1172" s="9">
        <v>1</v>
      </c>
      <c r="N1172" s="186">
        <f t="shared" si="97"/>
        <v>0.16933510251023262</v>
      </c>
      <c r="O1172" s="160">
        <f t="shared" si="98"/>
        <v>0.19908580854301616</v>
      </c>
      <c r="P1172" s="63" t="s">
        <v>1990</v>
      </c>
    </row>
    <row r="1173" spans="1:16" s="827" customFormat="1" hidden="1">
      <c r="A1173" s="625" t="s">
        <v>472</v>
      </c>
      <c r="B1173" s="59" t="s">
        <v>251</v>
      </c>
      <c r="C1173" s="40" t="s">
        <v>139</v>
      </c>
      <c r="D1173" s="34" t="s">
        <v>99</v>
      </c>
      <c r="E1173" s="260">
        <v>3.3408E-2</v>
      </c>
      <c r="F1173" s="34">
        <v>2</v>
      </c>
      <c r="G1173" s="40" t="s">
        <v>433</v>
      </c>
      <c r="H1173" s="29">
        <v>1</v>
      </c>
      <c r="I1173" s="9">
        <v>2</v>
      </c>
      <c r="J1173" s="9">
        <v>2</v>
      </c>
      <c r="K1173" s="9">
        <v>1</v>
      </c>
      <c r="L1173" s="9">
        <v>1</v>
      </c>
      <c r="M1173" s="9">
        <v>1</v>
      </c>
      <c r="N1173" s="186">
        <f t="shared" si="97"/>
        <v>0.16933510251023262</v>
      </c>
      <c r="O1173" s="160">
        <f t="shared" si="98"/>
        <v>0.19908580854301616</v>
      </c>
      <c r="P1173" s="63" t="s">
        <v>1991</v>
      </c>
    </row>
    <row r="1174" spans="1:16" s="827" customFormat="1" hidden="1">
      <c r="A1174" s="625" t="s">
        <v>472</v>
      </c>
      <c r="B1174" s="59" t="s">
        <v>258</v>
      </c>
      <c r="C1174" s="40" t="s">
        <v>139</v>
      </c>
      <c r="D1174" s="34" t="s">
        <v>99</v>
      </c>
      <c r="E1174" s="260">
        <v>2.176E-3</v>
      </c>
      <c r="F1174" s="34">
        <v>2</v>
      </c>
      <c r="G1174" s="40" t="s">
        <v>433</v>
      </c>
      <c r="H1174" s="29">
        <v>1</v>
      </c>
      <c r="I1174" s="9">
        <v>2</v>
      </c>
      <c r="J1174" s="9">
        <v>2</v>
      </c>
      <c r="K1174" s="9">
        <v>1</v>
      </c>
      <c r="L1174" s="9">
        <v>1</v>
      </c>
      <c r="M1174" s="9">
        <v>1</v>
      </c>
      <c r="N1174" s="186">
        <f t="shared" si="97"/>
        <v>0.16933510251023262</v>
      </c>
      <c r="O1174" s="160">
        <f t="shared" si="98"/>
        <v>0.19908580854301616</v>
      </c>
      <c r="P1174" s="63" t="s">
        <v>1992</v>
      </c>
    </row>
    <row r="1175" spans="1:16" s="827" customFormat="1" hidden="1">
      <c r="A1175" s="625" t="s">
        <v>472</v>
      </c>
      <c r="B1175" s="59" t="s">
        <v>334</v>
      </c>
      <c r="C1175" s="40" t="s">
        <v>139</v>
      </c>
      <c r="D1175" s="34" t="s">
        <v>99</v>
      </c>
      <c r="E1175" s="260" t="s">
        <v>150</v>
      </c>
      <c r="F1175" s="34">
        <v>1</v>
      </c>
      <c r="G1175" s="40" t="s">
        <v>433</v>
      </c>
      <c r="H1175" s="29"/>
      <c r="I1175" s="9"/>
      <c r="J1175" s="9"/>
      <c r="K1175" s="9"/>
      <c r="L1175" s="9"/>
      <c r="M1175" s="9"/>
      <c r="N1175" s="186" t="str">
        <f t="shared" si="97"/>
        <v/>
      </c>
      <c r="O1175" s="160" t="str">
        <f t="shared" si="98"/>
        <v/>
      </c>
      <c r="P1175" s="63"/>
    </row>
    <row r="1176" spans="1:16" s="827" customFormat="1" hidden="1">
      <c r="A1176" s="625" t="s">
        <v>465</v>
      </c>
      <c r="B1176" s="59" t="s">
        <v>228</v>
      </c>
      <c r="C1176" s="40" t="s">
        <v>139</v>
      </c>
      <c r="D1176" s="34" t="s">
        <v>99</v>
      </c>
      <c r="E1176" s="260">
        <v>6.4000000000000001E-2</v>
      </c>
      <c r="F1176" s="34">
        <v>2</v>
      </c>
      <c r="G1176" s="40" t="s">
        <v>433</v>
      </c>
      <c r="H1176" s="29">
        <v>1</v>
      </c>
      <c r="I1176" s="9">
        <v>2</v>
      </c>
      <c r="J1176" s="9">
        <v>2</v>
      </c>
      <c r="K1176" s="9">
        <v>1</v>
      </c>
      <c r="L1176" s="9">
        <v>1</v>
      </c>
      <c r="M1176" s="9">
        <v>1</v>
      </c>
      <c r="N1176" s="186">
        <f t="shared" si="97"/>
        <v>0.16933510251023262</v>
      </c>
      <c r="O1176" s="160">
        <f t="shared" si="98"/>
        <v>0.19908580854301616</v>
      </c>
      <c r="P1176" s="63" t="s">
        <v>873</v>
      </c>
    </row>
    <row r="1177" spans="1:16" s="827" customFormat="1" ht="15.75" hidden="1" thickBot="1">
      <c r="A1177" s="826" t="s">
        <v>465</v>
      </c>
      <c r="B1177" s="880" t="s">
        <v>334</v>
      </c>
      <c r="C1177" s="154" t="s">
        <v>139</v>
      </c>
      <c r="D1177" s="150" t="s">
        <v>99</v>
      </c>
      <c r="E1177" s="262" t="s">
        <v>150</v>
      </c>
      <c r="F1177" s="150">
        <v>1</v>
      </c>
      <c r="G1177" s="154" t="s">
        <v>433</v>
      </c>
      <c r="H1177" s="155"/>
      <c r="I1177" s="119"/>
      <c r="J1177" s="119"/>
      <c r="K1177" s="119"/>
      <c r="L1177" s="119"/>
      <c r="M1177" s="119"/>
      <c r="N1177" s="914" t="str">
        <f t="shared" si="97"/>
        <v/>
      </c>
      <c r="O1177" s="832" t="str">
        <f t="shared" si="98"/>
        <v/>
      </c>
      <c r="P1177" s="512" t="s">
        <v>1960</v>
      </c>
    </row>
    <row r="1178" spans="1:16" hidden="1">
      <c r="A1178" s="152" t="s">
        <v>286</v>
      </c>
      <c r="B1178" s="152" t="s">
        <v>179</v>
      </c>
      <c r="C1178" s="9" t="s">
        <v>182</v>
      </c>
      <c r="D1178" s="9" t="s">
        <v>139</v>
      </c>
      <c r="E1178" s="788">
        <v>0.41880824100000003</v>
      </c>
      <c r="F1178" s="9">
        <v>2</v>
      </c>
      <c r="G1178" s="9" t="s">
        <v>2015</v>
      </c>
      <c r="H1178" s="9"/>
      <c r="I1178" s="9">
        <v>1</v>
      </c>
      <c r="J1178" s="9">
        <v>1</v>
      </c>
      <c r="K1178" s="9">
        <v>3</v>
      </c>
      <c r="L1178" s="9">
        <v>1</v>
      </c>
      <c r="M1178" s="9">
        <v>2</v>
      </c>
      <c r="N1178" s="186" t="str">
        <f t="shared" ref="N1178:N1240" si="99">IF( OR( ISBLANK(H1178),ISBLANK(J1178), ISBLANK(K1178), ISBLANK(L1178), ISBLANK(M1178) ), "", 1.5*SQRT(   EXP(2.21*(H1178-1)) + EXP(2.21*(J1178-1)) + EXP(2.21*(K1178-1)) + EXP(2.21*(L1178-1)) + EXP(2.21*M1178)   )/100*2.45 )</f>
        <v/>
      </c>
      <c r="O1178" s="160">
        <f t="shared" ref="O1178:O1240" si="100">IF( OR( ISBLANK(I1178),ISBLANK(J1178), ISBLANK(K1178), ISBLANK(L1178), ISBLANK(M1178) ), "", 1.5*SQRT( EXP(2.21*(I1178-1)) + EXP(2.21*(J1178-1)) + EXP(2.21*(K1178-1)) + EXP(2.21*(L1178-1)) + EXP(2.21*M1178)   )/100*2.45 )</f>
        <v>0.47802211380704585</v>
      </c>
      <c r="P1178" s="655"/>
    </row>
    <row r="1179" spans="1:16" hidden="1">
      <c r="A1179" s="152" t="s">
        <v>286</v>
      </c>
      <c r="B1179" s="152" t="s">
        <v>155</v>
      </c>
      <c r="C1179" s="9" t="s">
        <v>182</v>
      </c>
      <c r="D1179" s="9" t="s">
        <v>139</v>
      </c>
      <c r="E1179" s="788">
        <v>0.26110973500000001</v>
      </c>
      <c r="F1179" s="9">
        <v>2</v>
      </c>
      <c r="G1179" s="9" t="s">
        <v>2015</v>
      </c>
      <c r="H1179" s="9"/>
      <c r="I1179" s="9">
        <v>1</v>
      </c>
      <c r="J1179" s="9">
        <v>1</v>
      </c>
      <c r="K1179" s="9">
        <v>3</v>
      </c>
      <c r="L1179" s="9">
        <v>1</v>
      </c>
      <c r="M1179" s="9">
        <v>2</v>
      </c>
      <c r="N1179" s="186" t="str">
        <f t="shared" si="99"/>
        <v/>
      </c>
      <c r="O1179" s="160">
        <f t="shared" si="100"/>
        <v>0.47802211380704585</v>
      </c>
      <c r="P1179" s="655"/>
    </row>
    <row r="1180" spans="1:16" hidden="1">
      <c r="A1180" s="152" t="s">
        <v>286</v>
      </c>
      <c r="B1180" s="152" t="s">
        <v>154</v>
      </c>
      <c r="C1180" s="9" t="s">
        <v>182</v>
      </c>
      <c r="D1180" s="9" t="s">
        <v>139</v>
      </c>
      <c r="E1180" s="788">
        <v>0.16236634799999999</v>
      </c>
      <c r="F1180" s="9">
        <v>2</v>
      </c>
      <c r="G1180" s="9" t="s">
        <v>2015</v>
      </c>
      <c r="H1180" s="9"/>
      <c r="I1180" s="9">
        <v>1</v>
      </c>
      <c r="J1180" s="9">
        <v>1</v>
      </c>
      <c r="K1180" s="9">
        <v>3</v>
      </c>
      <c r="L1180" s="9">
        <v>1</v>
      </c>
      <c r="M1180" s="9">
        <v>2</v>
      </c>
      <c r="N1180" s="186" t="str">
        <f t="shared" si="99"/>
        <v/>
      </c>
      <c r="O1180" s="160">
        <f t="shared" si="100"/>
        <v>0.47802211380704585</v>
      </c>
      <c r="P1180" s="655"/>
    </row>
    <row r="1181" spans="1:16" hidden="1">
      <c r="A1181" s="152" t="s">
        <v>286</v>
      </c>
      <c r="B1181" s="152" t="s">
        <v>184</v>
      </c>
      <c r="C1181" s="9" t="s">
        <v>182</v>
      </c>
      <c r="D1181" s="9" t="s">
        <v>139</v>
      </c>
      <c r="E1181" s="788">
        <v>5.6761449999999998E-2</v>
      </c>
      <c r="F1181" s="9">
        <v>2</v>
      </c>
      <c r="G1181" s="9" t="s">
        <v>2015</v>
      </c>
      <c r="H1181" s="9"/>
      <c r="I1181" s="9">
        <v>1</v>
      </c>
      <c r="J1181" s="9">
        <v>1</v>
      </c>
      <c r="K1181" s="9">
        <v>3</v>
      </c>
      <c r="L1181" s="9">
        <v>1</v>
      </c>
      <c r="M1181" s="9">
        <v>2</v>
      </c>
      <c r="N1181" s="186" t="str">
        <f t="shared" si="99"/>
        <v/>
      </c>
      <c r="O1181" s="160">
        <f t="shared" si="100"/>
        <v>0.47802211380704585</v>
      </c>
      <c r="P1181" s="655"/>
    </row>
    <row r="1182" spans="1:16" hidden="1">
      <c r="A1182" s="152" t="s">
        <v>286</v>
      </c>
      <c r="B1182" s="152" t="s">
        <v>248</v>
      </c>
      <c r="C1182" s="9" t="s">
        <v>182</v>
      </c>
      <c r="D1182" s="9" t="s">
        <v>139</v>
      </c>
      <c r="E1182" s="788">
        <v>0.122732613</v>
      </c>
      <c r="F1182" s="9">
        <v>2</v>
      </c>
      <c r="G1182" s="9" t="s">
        <v>2015</v>
      </c>
      <c r="H1182" s="9"/>
      <c r="I1182" s="9">
        <v>1</v>
      </c>
      <c r="J1182" s="9">
        <v>1</v>
      </c>
      <c r="K1182" s="9">
        <v>3</v>
      </c>
      <c r="L1182" s="9">
        <v>1</v>
      </c>
      <c r="M1182" s="9">
        <v>2</v>
      </c>
      <c r="N1182" s="186" t="str">
        <f t="shared" si="99"/>
        <v/>
      </c>
      <c r="O1182" s="160">
        <f t="shared" si="100"/>
        <v>0.47802211380704585</v>
      </c>
      <c r="P1182" s="655" t="s">
        <v>2016</v>
      </c>
    </row>
    <row r="1183" spans="1:16" hidden="1">
      <c r="A1183" s="152" t="s">
        <v>284</v>
      </c>
      <c r="B1183" s="152" t="s">
        <v>179</v>
      </c>
      <c r="C1183" s="9" t="s">
        <v>182</v>
      </c>
      <c r="D1183" s="9" t="s">
        <v>139</v>
      </c>
      <c r="E1183" s="788">
        <v>0.41880824100000003</v>
      </c>
      <c r="F1183" s="9">
        <v>2</v>
      </c>
      <c r="G1183" s="9" t="s">
        <v>2015</v>
      </c>
      <c r="H1183" s="9"/>
      <c r="I1183" s="9">
        <v>1</v>
      </c>
      <c r="J1183" s="9">
        <v>1</v>
      </c>
      <c r="K1183" s="9">
        <v>3</v>
      </c>
      <c r="L1183" s="9">
        <v>1</v>
      </c>
      <c r="M1183" s="9">
        <v>2</v>
      </c>
      <c r="N1183" s="186" t="str">
        <f t="shared" si="99"/>
        <v/>
      </c>
      <c r="O1183" s="160">
        <f t="shared" si="100"/>
        <v>0.47802211380704585</v>
      </c>
      <c r="P1183" s="655"/>
    </row>
    <row r="1184" spans="1:16" hidden="1">
      <c r="A1184" s="152" t="s">
        <v>284</v>
      </c>
      <c r="B1184" s="152" t="s">
        <v>146</v>
      </c>
      <c r="C1184" s="9" t="s">
        <v>182</v>
      </c>
      <c r="D1184" s="9" t="s">
        <v>139</v>
      </c>
      <c r="E1184" s="788">
        <v>0.26110973500000001</v>
      </c>
      <c r="F1184" s="9">
        <v>2</v>
      </c>
      <c r="G1184" s="9" t="s">
        <v>2015</v>
      </c>
      <c r="H1184" s="9"/>
      <c r="I1184" s="9">
        <v>1</v>
      </c>
      <c r="J1184" s="9">
        <v>1</v>
      </c>
      <c r="K1184" s="9">
        <v>3</v>
      </c>
      <c r="L1184" s="9">
        <v>1</v>
      </c>
      <c r="M1184" s="9">
        <v>2</v>
      </c>
      <c r="N1184" s="186" t="str">
        <f t="shared" si="99"/>
        <v/>
      </c>
      <c r="O1184" s="160">
        <f t="shared" si="100"/>
        <v>0.47802211380704585</v>
      </c>
      <c r="P1184" s="655"/>
    </row>
    <row r="1185" spans="1:868" hidden="1">
      <c r="A1185" s="152" t="s">
        <v>284</v>
      </c>
      <c r="B1185" s="152" t="s">
        <v>149</v>
      </c>
      <c r="C1185" s="9" t="s">
        <v>182</v>
      </c>
      <c r="D1185" s="9" t="s">
        <v>139</v>
      </c>
      <c r="E1185" s="788">
        <v>0.16236634799999999</v>
      </c>
      <c r="F1185" s="9">
        <v>2</v>
      </c>
      <c r="G1185" s="9" t="s">
        <v>2015</v>
      </c>
      <c r="H1185" s="9"/>
      <c r="I1185" s="9">
        <v>1</v>
      </c>
      <c r="J1185" s="9">
        <v>1</v>
      </c>
      <c r="K1185" s="9">
        <v>3</v>
      </c>
      <c r="L1185" s="9">
        <v>1</v>
      </c>
      <c r="M1185" s="9">
        <v>2</v>
      </c>
      <c r="N1185" s="186" t="str">
        <f t="shared" si="99"/>
        <v/>
      </c>
      <c r="O1185" s="160">
        <f t="shared" si="100"/>
        <v>0.47802211380704585</v>
      </c>
      <c r="P1185" s="655"/>
    </row>
    <row r="1186" spans="1:868" hidden="1">
      <c r="A1186" s="152" t="s">
        <v>284</v>
      </c>
      <c r="B1186" s="152" t="s">
        <v>184</v>
      </c>
      <c r="C1186" s="9" t="s">
        <v>182</v>
      </c>
      <c r="D1186" s="9" t="s">
        <v>139</v>
      </c>
      <c r="E1186" s="788">
        <v>5.6761449999999998E-2</v>
      </c>
      <c r="F1186" s="9">
        <v>2</v>
      </c>
      <c r="G1186" s="9" t="s">
        <v>2015</v>
      </c>
      <c r="H1186" s="9"/>
      <c r="I1186" s="9">
        <v>1</v>
      </c>
      <c r="J1186" s="9">
        <v>1</v>
      </c>
      <c r="K1186" s="9">
        <v>3</v>
      </c>
      <c r="L1186" s="9">
        <v>1</v>
      </c>
      <c r="M1186" s="9">
        <v>2</v>
      </c>
      <c r="N1186" s="186" t="str">
        <f t="shared" si="99"/>
        <v/>
      </c>
      <c r="O1186" s="160">
        <f t="shared" si="100"/>
        <v>0.47802211380704585</v>
      </c>
      <c r="P1186" s="655"/>
    </row>
    <row r="1187" spans="1:868" hidden="1">
      <c r="A1187" s="152" t="s">
        <v>284</v>
      </c>
      <c r="B1187" s="152" t="s">
        <v>248</v>
      </c>
      <c r="C1187" s="9" t="s">
        <v>182</v>
      </c>
      <c r="D1187" s="9" t="s">
        <v>139</v>
      </c>
      <c r="E1187" s="788">
        <v>0.122732613</v>
      </c>
      <c r="F1187" s="9">
        <v>2</v>
      </c>
      <c r="G1187" s="9" t="s">
        <v>2015</v>
      </c>
      <c r="H1187" s="9"/>
      <c r="I1187" s="9">
        <v>1</v>
      </c>
      <c r="J1187" s="9">
        <v>1</v>
      </c>
      <c r="K1187" s="9">
        <v>3</v>
      </c>
      <c r="L1187" s="9">
        <v>1</v>
      </c>
      <c r="M1187" s="9">
        <v>2</v>
      </c>
      <c r="N1187" s="186" t="str">
        <f t="shared" si="99"/>
        <v/>
      </c>
      <c r="O1187" s="160">
        <f t="shared" si="100"/>
        <v>0.47802211380704585</v>
      </c>
      <c r="P1187" s="655" t="s">
        <v>2016</v>
      </c>
    </row>
    <row r="1188" spans="1:868" s="918" customFormat="1">
      <c r="A1188" s="937" t="s">
        <v>2043</v>
      </c>
      <c r="B1188" s="937" t="s">
        <v>108</v>
      </c>
      <c r="C1188" s="937" t="s">
        <v>180</v>
      </c>
      <c r="D1188" s="937" t="s">
        <v>139</v>
      </c>
      <c r="E1188" s="938">
        <v>1</v>
      </c>
      <c r="F1188" s="937">
        <v>1</v>
      </c>
      <c r="G1188" s="937" t="s">
        <v>157</v>
      </c>
      <c r="H1188" s="922"/>
      <c r="I1188" s="923"/>
      <c r="J1188" s="923"/>
      <c r="K1188" s="923"/>
      <c r="L1188" s="923"/>
      <c r="M1188" s="923"/>
      <c r="N1188" s="186" t="str">
        <f t="shared" si="99"/>
        <v/>
      </c>
      <c r="O1188" s="160" t="str">
        <f t="shared" si="100"/>
        <v/>
      </c>
      <c r="P1188" s="924"/>
      <c r="Q1188" s="925"/>
      <c r="R1188" s="925"/>
      <c r="S1188" s="925"/>
      <c r="T1188" s="925"/>
      <c r="U1188" s="925"/>
      <c r="V1188" s="925"/>
      <c r="W1188" s="925"/>
      <c r="X1188" s="925"/>
      <c r="Y1188" s="925"/>
      <c r="Z1188" s="925"/>
      <c r="AA1188" s="925"/>
      <c r="AB1188" s="925"/>
      <c r="AC1188" s="925"/>
      <c r="AD1188" s="925"/>
      <c r="AE1188" s="925"/>
      <c r="AF1188" s="925"/>
      <c r="AG1188" s="925"/>
      <c r="AH1188" s="925"/>
      <c r="AI1188" s="925"/>
      <c r="AJ1188" s="925"/>
      <c r="AK1188" s="925"/>
      <c r="AL1188" s="925"/>
      <c r="AM1188" s="925"/>
      <c r="AN1188" s="925"/>
      <c r="AO1188" s="925"/>
      <c r="AP1188" s="925"/>
      <c r="AQ1188" s="925"/>
      <c r="AR1188" s="925"/>
      <c r="AS1188" s="925"/>
      <c r="AT1188" s="925"/>
      <c r="AU1188" s="925"/>
      <c r="AV1188" s="925"/>
      <c r="AW1188" s="925"/>
      <c r="AX1188" s="925"/>
      <c r="AY1188" s="925"/>
      <c r="AZ1188" s="925"/>
      <c r="BA1188" s="925"/>
      <c r="BB1188" s="925"/>
      <c r="BC1188" s="925"/>
      <c r="BD1188" s="925"/>
      <c r="BE1188" s="925"/>
      <c r="BF1188" s="925"/>
      <c r="BG1188" s="925"/>
      <c r="BH1188" s="925"/>
      <c r="BI1188" s="925"/>
      <c r="BJ1188" s="925"/>
      <c r="BK1188" s="925"/>
      <c r="BL1188" s="925"/>
      <c r="BM1188" s="925"/>
      <c r="BN1188" s="925"/>
      <c r="BO1188" s="925"/>
      <c r="BP1188" s="925"/>
      <c r="BQ1188" s="925"/>
      <c r="BR1188" s="925"/>
      <c r="BS1188" s="925"/>
      <c r="BT1188" s="925"/>
      <c r="BU1188" s="925"/>
      <c r="BV1188" s="925"/>
      <c r="BW1188" s="925"/>
      <c r="BX1188" s="925"/>
      <c r="BY1188" s="925"/>
      <c r="BZ1188" s="925"/>
      <c r="CA1188" s="925"/>
      <c r="CB1188" s="925"/>
      <c r="CC1188" s="925"/>
      <c r="CD1188" s="925"/>
      <c r="CE1188" s="925"/>
      <c r="CF1188" s="925"/>
      <c r="CG1188" s="925"/>
      <c r="CH1188" s="925"/>
      <c r="CI1188" s="925"/>
      <c r="CJ1188" s="925"/>
      <c r="CK1188" s="925"/>
      <c r="CL1188" s="925"/>
      <c r="CM1188" s="925"/>
      <c r="CN1188" s="925"/>
      <c r="CO1188" s="925"/>
      <c r="CP1188" s="925"/>
      <c r="CQ1188" s="925"/>
      <c r="CR1188" s="925"/>
      <c r="CS1188" s="925"/>
      <c r="CT1188" s="925"/>
      <c r="CU1188" s="925"/>
      <c r="CV1188" s="925"/>
      <c r="CW1188" s="925"/>
      <c r="CX1188" s="925"/>
      <c r="CY1188" s="925"/>
      <c r="CZ1188" s="925"/>
      <c r="DA1188" s="925"/>
      <c r="DB1188" s="925"/>
      <c r="DC1188" s="925"/>
      <c r="DD1188" s="925"/>
      <c r="DE1188" s="925"/>
      <c r="DF1188" s="925"/>
      <c r="DG1188" s="925"/>
      <c r="DH1188" s="925"/>
      <c r="DI1188" s="925"/>
      <c r="DJ1188" s="925"/>
      <c r="DK1188" s="925"/>
      <c r="DL1188" s="925"/>
      <c r="DM1188" s="925"/>
      <c r="DN1188" s="925"/>
      <c r="DO1188" s="925"/>
      <c r="DP1188" s="925"/>
      <c r="DQ1188" s="925"/>
      <c r="DR1188" s="925"/>
      <c r="DS1188" s="925"/>
      <c r="DT1188" s="925"/>
      <c r="DU1188" s="925"/>
      <c r="DV1188" s="925"/>
      <c r="DW1188" s="925"/>
      <c r="DX1188" s="925"/>
      <c r="DY1188" s="925"/>
      <c r="DZ1188" s="925"/>
      <c r="EA1188" s="925"/>
      <c r="EB1188" s="925"/>
      <c r="EC1188" s="925"/>
      <c r="ED1188" s="925"/>
      <c r="EE1188" s="925"/>
      <c r="EF1188" s="925"/>
      <c r="EG1188" s="925"/>
      <c r="EH1188" s="925"/>
      <c r="EI1188" s="925"/>
      <c r="EJ1188" s="925"/>
      <c r="EK1188" s="925"/>
      <c r="EL1188" s="925"/>
      <c r="EM1188" s="925"/>
      <c r="EN1188" s="925"/>
      <c r="EO1188" s="925"/>
      <c r="EP1188" s="925"/>
      <c r="EQ1188" s="925"/>
      <c r="ER1188" s="925"/>
      <c r="ES1188" s="925"/>
      <c r="ET1188" s="925"/>
      <c r="EU1188" s="925"/>
      <c r="EV1188" s="925"/>
      <c r="EW1188" s="925"/>
      <c r="EX1188" s="925"/>
      <c r="EY1188" s="925"/>
      <c r="EZ1188" s="925"/>
      <c r="FA1188" s="925"/>
      <c r="FB1188" s="925"/>
      <c r="FC1188" s="925"/>
      <c r="FD1188" s="925"/>
      <c r="FE1188" s="925"/>
      <c r="FF1188" s="925"/>
      <c r="FG1188" s="925"/>
      <c r="FH1188" s="925"/>
      <c r="FI1188" s="925"/>
      <c r="FJ1188" s="925"/>
      <c r="FK1188" s="925"/>
      <c r="FL1188" s="925"/>
      <c r="FM1188" s="925"/>
      <c r="FN1188" s="925"/>
      <c r="FO1188" s="925"/>
      <c r="FP1188" s="925"/>
      <c r="FQ1188" s="925"/>
      <c r="FR1188" s="925"/>
      <c r="FS1188" s="925"/>
      <c r="FT1188" s="925"/>
      <c r="FU1188" s="925"/>
      <c r="FV1188" s="925"/>
      <c r="FW1188" s="925"/>
      <c r="FX1188" s="925"/>
      <c r="FY1188" s="925"/>
      <c r="FZ1188" s="925"/>
      <c r="GA1188" s="925"/>
      <c r="GB1188" s="925"/>
      <c r="GC1188" s="925"/>
      <c r="GD1188" s="925"/>
      <c r="GE1188" s="925"/>
      <c r="GF1188" s="925"/>
      <c r="GG1188" s="925"/>
      <c r="GH1188" s="925"/>
      <c r="GI1188" s="925"/>
      <c r="GJ1188" s="925"/>
      <c r="GK1188" s="925"/>
      <c r="GL1188" s="925"/>
      <c r="GM1188" s="925"/>
      <c r="GN1188" s="925"/>
      <c r="GO1188" s="925"/>
      <c r="GP1188" s="925"/>
      <c r="GQ1188" s="925"/>
      <c r="GR1188" s="925"/>
      <c r="GS1188" s="925"/>
      <c r="GT1188" s="925"/>
      <c r="GU1188" s="925"/>
      <c r="GV1188" s="925"/>
      <c r="GW1188" s="925"/>
      <c r="GX1188" s="925"/>
      <c r="GY1188" s="925"/>
      <c r="GZ1188" s="925"/>
      <c r="HA1188" s="925"/>
      <c r="HB1188" s="925"/>
      <c r="HC1188" s="925"/>
      <c r="HD1188" s="925"/>
      <c r="HE1188" s="925"/>
      <c r="HF1188" s="925"/>
      <c r="HG1188" s="925"/>
      <c r="HH1188" s="925"/>
      <c r="HI1188" s="925"/>
      <c r="HJ1188" s="925"/>
      <c r="HK1188" s="925"/>
      <c r="HL1188" s="925"/>
      <c r="HM1188" s="925"/>
      <c r="HN1188" s="925"/>
      <c r="HO1188" s="925"/>
      <c r="HP1188" s="925"/>
      <c r="HQ1188" s="925"/>
      <c r="HR1188" s="925"/>
      <c r="HS1188" s="925"/>
      <c r="HT1188" s="925"/>
      <c r="HU1188" s="925"/>
      <c r="HV1188" s="925"/>
      <c r="HW1188" s="925"/>
      <c r="HX1188" s="925"/>
      <c r="HY1188" s="925"/>
      <c r="HZ1188" s="925"/>
      <c r="IA1188" s="925"/>
      <c r="IB1188" s="925"/>
      <c r="IC1188" s="925"/>
      <c r="ID1188" s="925"/>
      <c r="IE1188" s="925"/>
      <c r="IF1188" s="925"/>
      <c r="IG1188" s="925"/>
      <c r="IH1188" s="925"/>
      <c r="II1188" s="925"/>
      <c r="IJ1188" s="925"/>
      <c r="IK1188" s="925"/>
      <c r="IL1188" s="925"/>
      <c r="IM1188" s="925"/>
      <c r="IN1188" s="925"/>
      <c r="IO1188" s="925"/>
      <c r="IP1188" s="925"/>
      <c r="IQ1188" s="925"/>
      <c r="IR1188" s="925"/>
      <c r="IS1188" s="925"/>
      <c r="IT1188" s="925"/>
      <c r="IU1188" s="925"/>
      <c r="IV1188" s="925"/>
      <c r="IW1188" s="925"/>
      <c r="IX1188" s="925"/>
      <c r="IY1188" s="925"/>
      <c r="IZ1188" s="925"/>
      <c r="JA1188" s="925"/>
      <c r="JB1188" s="925"/>
      <c r="JC1188" s="925"/>
      <c r="JD1188" s="925"/>
      <c r="JE1188" s="925"/>
      <c r="JF1188" s="925"/>
      <c r="JG1188" s="925"/>
      <c r="JH1188" s="925"/>
      <c r="JI1188" s="925"/>
      <c r="JJ1188" s="925"/>
      <c r="JK1188" s="925"/>
      <c r="JL1188" s="925"/>
      <c r="JM1188" s="925"/>
      <c r="JN1188" s="925"/>
      <c r="JO1188" s="925"/>
      <c r="JP1188" s="925"/>
      <c r="JQ1188" s="925"/>
      <c r="JR1188" s="925"/>
      <c r="JS1188" s="925"/>
      <c r="JT1188" s="925"/>
      <c r="JU1188" s="925"/>
      <c r="JV1188" s="925"/>
      <c r="JW1188" s="925"/>
      <c r="JX1188" s="925"/>
      <c r="JY1188" s="925"/>
      <c r="JZ1188" s="925"/>
      <c r="KA1188" s="925"/>
      <c r="KB1188" s="925"/>
      <c r="KC1188" s="925"/>
      <c r="KD1188" s="925"/>
      <c r="KE1188" s="925"/>
      <c r="KF1188" s="925"/>
      <c r="KG1188" s="925"/>
      <c r="KH1188" s="925"/>
      <c r="KI1188" s="925"/>
      <c r="KJ1188" s="925"/>
      <c r="KK1188" s="925"/>
      <c r="KL1188" s="925"/>
      <c r="KM1188" s="925"/>
      <c r="KN1188" s="925"/>
      <c r="KO1188" s="925"/>
      <c r="KP1188" s="925"/>
      <c r="KQ1188" s="925"/>
      <c r="KR1188" s="925"/>
      <c r="KS1188" s="925"/>
      <c r="KT1188" s="925"/>
      <c r="KU1188" s="925"/>
      <c r="KV1188" s="925"/>
      <c r="KW1188" s="925"/>
      <c r="KX1188" s="925"/>
      <c r="KY1188" s="925"/>
      <c r="KZ1188" s="925"/>
      <c r="LA1188" s="925"/>
      <c r="LB1188" s="925"/>
      <c r="LC1188" s="925"/>
      <c r="LD1188" s="925"/>
      <c r="LE1188" s="925"/>
      <c r="LF1188" s="925"/>
      <c r="LG1188" s="925"/>
      <c r="LH1188" s="925"/>
      <c r="LI1188" s="925"/>
      <c r="LJ1188" s="925"/>
      <c r="LK1188" s="925"/>
      <c r="LL1188" s="925"/>
      <c r="LM1188" s="925"/>
      <c r="LN1188" s="925"/>
      <c r="LO1188" s="925"/>
      <c r="LP1188" s="925"/>
      <c r="LQ1188" s="925"/>
      <c r="LR1188" s="925"/>
      <c r="LS1188" s="925"/>
      <c r="LT1188" s="925"/>
      <c r="LU1188" s="925"/>
      <c r="LV1188" s="925"/>
      <c r="LW1188" s="925"/>
      <c r="LX1188" s="925"/>
      <c r="LY1188" s="925"/>
      <c r="LZ1188" s="925"/>
      <c r="MA1188" s="925"/>
      <c r="MB1188" s="925"/>
      <c r="MC1188" s="925"/>
      <c r="MD1188" s="925"/>
      <c r="ME1188" s="925"/>
      <c r="MF1188" s="925"/>
      <c r="MG1188" s="925"/>
      <c r="MH1188" s="925"/>
      <c r="MI1188" s="925"/>
      <c r="MJ1188" s="925"/>
      <c r="MK1188" s="925"/>
      <c r="ML1188" s="925"/>
      <c r="MM1188" s="925"/>
      <c r="MN1188" s="925"/>
      <c r="MO1188" s="925"/>
      <c r="MP1188" s="925"/>
      <c r="MQ1188" s="925"/>
      <c r="MR1188" s="925"/>
      <c r="MS1188" s="925"/>
      <c r="MT1188" s="925"/>
      <c r="MU1188" s="925"/>
      <c r="MV1188" s="925"/>
      <c r="MW1188" s="925"/>
      <c r="MX1188" s="925"/>
      <c r="MY1188" s="925"/>
      <c r="MZ1188" s="925"/>
      <c r="NA1188" s="925"/>
      <c r="NB1188" s="925"/>
      <c r="NC1188" s="925"/>
      <c r="ND1188" s="925"/>
      <c r="NE1188" s="925"/>
      <c r="NF1188" s="925"/>
      <c r="NG1188" s="925"/>
      <c r="NH1188" s="925"/>
      <c r="NI1188" s="925"/>
      <c r="NJ1188" s="925"/>
      <c r="NK1188" s="925"/>
      <c r="NL1188" s="925"/>
      <c r="NM1188" s="925"/>
      <c r="NN1188" s="925"/>
      <c r="NO1188" s="925"/>
      <c r="NP1188" s="925"/>
      <c r="NQ1188" s="925"/>
      <c r="NR1188" s="925"/>
      <c r="NS1188" s="925"/>
      <c r="NT1188" s="925"/>
      <c r="NU1188" s="925"/>
      <c r="NV1188" s="925"/>
      <c r="NW1188" s="925"/>
      <c r="NX1188" s="925"/>
      <c r="NY1188" s="925"/>
      <c r="NZ1188" s="925"/>
      <c r="OA1188" s="925"/>
      <c r="OB1188" s="925"/>
      <c r="OC1188" s="925"/>
      <c r="OD1188" s="925"/>
      <c r="OE1188" s="925"/>
      <c r="OF1188" s="925"/>
      <c r="OG1188" s="925"/>
      <c r="OH1188" s="925"/>
      <c r="OI1188" s="925"/>
      <c r="OJ1188" s="925"/>
      <c r="OK1188" s="925"/>
      <c r="OL1188" s="925"/>
      <c r="OM1188" s="925"/>
      <c r="ON1188" s="925"/>
      <c r="OO1188" s="925"/>
      <c r="OP1188" s="925"/>
      <c r="OQ1188" s="925"/>
      <c r="OR1188" s="925"/>
      <c r="OS1188" s="925"/>
      <c r="OT1188" s="925"/>
      <c r="OU1188" s="925"/>
      <c r="OV1188" s="925"/>
      <c r="OW1188" s="925"/>
      <c r="OX1188" s="925"/>
      <c r="OY1188" s="925"/>
      <c r="OZ1188" s="925"/>
      <c r="PA1188" s="925"/>
      <c r="PB1188" s="925"/>
      <c r="PC1188" s="925"/>
      <c r="PD1188" s="925"/>
      <c r="PE1188" s="925"/>
      <c r="PF1188" s="925"/>
      <c r="PG1188" s="925"/>
      <c r="PH1188" s="925"/>
      <c r="PI1188" s="925"/>
      <c r="PJ1188" s="925"/>
      <c r="PK1188" s="925"/>
      <c r="PL1188" s="925"/>
      <c r="PM1188" s="925"/>
      <c r="PN1188" s="925"/>
      <c r="PO1188" s="925"/>
      <c r="PP1188" s="925"/>
      <c r="PQ1188" s="925"/>
      <c r="PR1188" s="925"/>
      <c r="PS1188" s="925"/>
      <c r="PT1188" s="925"/>
      <c r="PU1188" s="925"/>
      <c r="PV1188" s="925"/>
      <c r="PW1188" s="925"/>
      <c r="PX1188" s="925"/>
      <c r="PY1188" s="925"/>
      <c r="PZ1188" s="925"/>
      <c r="QA1188" s="925"/>
      <c r="QB1188" s="925"/>
      <c r="QC1188" s="925"/>
      <c r="QD1188" s="925"/>
      <c r="QE1188" s="925"/>
      <c r="QF1188" s="925"/>
      <c r="QG1188" s="925"/>
      <c r="QH1188" s="925"/>
      <c r="QI1188" s="925"/>
      <c r="QJ1188" s="925"/>
      <c r="QK1188" s="925"/>
      <c r="QL1188" s="925"/>
      <c r="QM1188" s="925"/>
      <c r="QN1188" s="925"/>
      <c r="QO1188" s="925"/>
      <c r="QP1188" s="925"/>
      <c r="QQ1188" s="925"/>
      <c r="QR1188" s="925"/>
      <c r="QS1188" s="925"/>
      <c r="QT1188" s="925"/>
      <c r="QU1188" s="925"/>
      <c r="QV1188" s="925"/>
      <c r="QW1188" s="925"/>
      <c r="QX1188" s="925"/>
      <c r="QY1188" s="925"/>
      <c r="QZ1188" s="925"/>
      <c r="RA1188" s="925"/>
      <c r="RB1188" s="925"/>
      <c r="RC1188" s="925"/>
      <c r="RD1188" s="925"/>
      <c r="RE1188" s="925"/>
      <c r="RF1188" s="925"/>
      <c r="RG1188" s="925"/>
      <c r="RH1188" s="925"/>
      <c r="RI1188" s="925"/>
      <c r="RJ1188" s="925"/>
      <c r="RK1188" s="925"/>
      <c r="RL1188" s="925"/>
      <c r="RM1188" s="925"/>
      <c r="RN1188" s="925"/>
      <c r="RO1188" s="925"/>
      <c r="RP1188" s="925"/>
      <c r="RQ1188" s="925"/>
      <c r="RR1188" s="925"/>
      <c r="RS1188" s="925"/>
      <c r="RT1188" s="925"/>
      <c r="RU1188" s="925"/>
      <c r="RV1188" s="925"/>
      <c r="RW1188" s="925"/>
      <c r="RX1188" s="925"/>
      <c r="RY1188" s="925"/>
      <c r="RZ1188" s="925"/>
      <c r="SA1188" s="925"/>
      <c r="SB1188" s="925"/>
      <c r="SC1188" s="925"/>
      <c r="SD1188" s="925"/>
      <c r="SE1188" s="925"/>
      <c r="SF1188" s="925"/>
      <c r="SG1188" s="925"/>
      <c r="SH1188" s="925"/>
      <c r="SI1188" s="925"/>
      <c r="SJ1188" s="925"/>
      <c r="SK1188" s="925"/>
      <c r="SL1188" s="925"/>
      <c r="SM1188" s="925"/>
      <c r="SN1188" s="925"/>
      <c r="SO1188" s="925"/>
      <c r="SP1188" s="925"/>
      <c r="SQ1188" s="925"/>
      <c r="SR1188" s="925"/>
      <c r="SS1188" s="925"/>
      <c r="ST1188" s="925"/>
      <c r="SU1188" s="925"/>
      <c r="SV1188" s="925"/>
      <c r="SW1188" s="925"/>
      <c r="SX1188" s="925"/>
      <c r="SY1188" s="925"/>
      <c r="SZ1188" s="925"/>
      <c r="TA1188" s="925"/>
      <c r="TB1188" s="925"/>
      <c r="TC1188" s="925"/>
      <c r="TD1188" s="925"/>
      <c r="TE1188" s="925"/>
      <c r="TF1188" s="925"/>
      <c r="TG1188" s="925"/>
      <c r="TH1188" s="925"/>
      <c r="TI1188" s="925"/>
      <c r="TJ1188" s="925"/>
      <c r="TK1188" s="925"/>
      <c r="TL1188" s="925"/>
      <c r="TM1188" s="925"/>
      <c r="TN1188" s="925"/>
      <c r="TO1188" s="925"/>
      <c r="TP1188" s="925"/>
      <c r="TQ1188" s="925"/>
      <c r="TR1188" s="925"/>
      <c r="TS1188" s="925"/>
      <c r="TT1188" s="925"/>
      <c r="TU1188" s="925"/>
      <c r="TV1188" s="925"/>
      <c r="TW1188" s="925"/>
      <c r="TX1188" s="925"/>
      <c r="TY1188" s="925"/>
      <c r="TZ1188" s="925"/>
      <c r="UA1188" s="925"/>
      <c r="UB1188" s="925"/>
      <c r="UC1188" s="925"/>
      <c r="UD1188" s="925"/>
      <c r="UE1188" s="925"/>
      <c r="UF1188" s="925"/>
      <c r="UG1188" s="925"/>
      <c r="UH1188" s="925"/>
      <c r="UI1188" s="925"/>
      <c r="UJ1188" s="925"/>
      <c r="UK1188" s="925"/>
      <c r="UL1188" s="925"/>
      <c r="UM1188" s="925"/>
      <c r="UN1188" s="925"/>
      <c r="UO1188" s="925"/>
      <c r="UP1188" s="925"/>
      <c r="UQ1188" s="925"/>
      <c r="UR1188" s="925"/>
      <c r="US1188" s="925"/>
      <c r="UT1188" s="925"/>
      <c r="UU1188" s="925"/>
      <c r="UV1188" s="925"/>
      <c r="UW1188" s="925"/>
      <c r="UX1188" s="925"/>
      <c r="UY1188" s="925"/>
      <c r="UZ1188" s="925"/>
      <c r="VA1188" s="925"/>
      <c r="VB1188" s="925"/>
      <c r="VC1188" s="925"/>
      <c r="VD1188" s="925"/>
      <c r="VE1188" s="925"/>
      <c r="VF1188" s="925"/>
      <c r="VG1188" s="925"/>
      <c r="VH1188" s="925"/>
      <c r="VI1188" s="925"/>
      <c r="VJ1188" s="925"/>
      <c r="VK1188" s="925"/>
      <c r="VL1188" s="925"/>
      <c r="VM1188" s="925"/>
      <c r="VN1188" s="925"/>
      <c r="VO1188" s="925"/>
      <c r="VP1188" s="925"/>
      <c r="VQ1188" s="925"/>
      <c r="VR1188" s="925"/>
      <c r="VS1188" s="925"/>
      <c r="VT1188" s="925"/>
      <c r="VU1188" s="925"/>
      <c r="VV1188" s="925"/>
      <c r="VW1188" s="925"/>
      <c r="VX1188" s="925"/>
      <c r="VY1188" s="925"/>
      <c r="VZ1188" s="925"/>
      <c r="WA1188" s="925"/>
      <c r="WB1188" s="925"/>
      <c r="WC1188" s="925"/>
      <c r="WD1188" s="925"/>
      <c r="WE1188" s="925"/>
      <c r="WF1188" s="925"/>
      <c r="WG1188" s="925"/>
      <c r="WH1188" s="925"/>
      <c r="WI1188" s="925"/>
      <c r="WJ1188" s="925"/>
      <c r="WK1188" s="925"/>
      <c r="WL1188" s="925"/>
      <c r="WM1188" s="925"/>
      <c r="WN1188" s="925"/>
      <c r="WO1188" s="925"/>
      <c r="WP1188" s="925"/>
      <c r="WQ1188" s="925"/>
      <c r="WR1188" s="925"/>
      <c r="WS1188" s="925"/>
      <c r="WT1188" s="925"/>
      <c r="WU1188" s="925"/>
      <c r="WV1188" s="925"/>
      <c r="WW1188" s="925"/>
      <c r="WX1188" s="925"/>
      <c r="WY1188" s="925"/>
      <c r="WZ1188" s="925"/>
      <c r="XA1188" s="925"/>
      <c r="XB1188" s="925"/>
      <c r="XC1188" s="925"/>
      <c r="XD1188" s="925"/>
      <c r="XE1188" s="925"/>
      <c r="XF1188" s="925"/>
      <c r="XG1188" s="925"/>
      <c r="XH1188" s="925"/>
      <c r="XI1188" s="925"/>
      <c r="XJ1188" s="925"/>
      <c r="XK1188" s="925"/>
      <c r="XL1188" s="925"/>
      <c r="XM1188" s="925"/>
      <c r="XN1188" s="925"/>
      <c r="XO1188" s="925"/>
      <c r="XP1188" s="925"/>
      <c r="XQ1188" s="925"/>
      <c r="XR1188" s="925"/>
      <c r="XS1188" s="925"/>
      <c r="XT1188" s="925"/>
      <c r="XU1188" s="925"/>
      <c r="XV1188" s="925"/>
      <c r="XW1188" s="925"/>
      <c r="XX1188" s="925"/>
      <c r="XY1188" s="925"/>
      <c r="XZ1188" s="925"/>
      <c r="YA1188" s="925"/>
      <c r="YB1188" s="925"/>
      <c r="YC1188" s="925"/>
      <c r="YD1188" s="925"/>
      <c r="YE1188" s="925"/>
      <c r="YF1188" s="925"/>
      <c r="YG1188" s="925"/>
      <c r="YH1188" s="925"/>
      <c r="YI1188" s="925"/>
      <c r="YJ1188" s="925"/>
      <c r="YK1188" s="925"/>
      <c r="YL1188" s="925"/>
      <c r="YM1188" s="925"/>
      <c r="YN1188" s="925"/>
      <c r="YO1188" s="925"/>
      <c r="YP1188" s="925"/>
      <c r="YQ1188" s="925"/>
      <c r="YR1188" s="925"/>
      <c r="YS1188" s="925"/>
      <c r="YT1188" s="925"/>
      <c r="YU1188" s="925"/>
      <c r="YV1188" s="925"/>
      <c r="YW1188" s="925"/>
      <c r="YX1188" s="925"/>
      <c r="YY1188" s="925"/>
      <c r="YZ1188" s="925"/>
      <c r="ZA1188" s="925"/>
      <c r="ZB1188" s="925"/>
      <c r="ZC1188" s="925"/>
      <c r="ZD1188" s="925"/>
      <c r="ZE1188" s="925"/>
      <c r="ZF1188" s="925"/>
      <c r="ZG1188" s="925"/>
      <c r="ZH1188" s="925"/>
      <c r="ZI1188" s="925"/>
      <c r="ZJ1188" s="925"/>
      <c r="ZK1188" s="925"/>
      <c r="ZL1188" s="925"/>
      <c r="ZM1188" s="925"/>
      <c r="ZN1188" s="925"/>
      <c r="ZO1188" s="925"/>
      <c r="ZP1188" s="925"/>
      <c r="ZQ1188" s="925"/>
      <c r="ZR1188" s="925"/>
      <c r="ZS1188" s="925"/>
      <c r="ZT1188" s="925"/>
      <c r="ZU1188" s="925"/>
      <c r="ZV1188" s="925"/>
      <c r="ZW1188" s="925"/>
      <c r="ZX1188" s="925"/>
      <c r="ZY1188" s="925"/>
      <c r="ZZ1188" s="925"/>
      <c r="AAA1188" s="925"/>
      <c r="AAB1188" s="925"/>
      <c r="AAC1188" s="925"/>
      <c r="AAD1188" s="925"/>
      <c r="AAE1188" s="925"/>
      <c r="AAF1188" s="925"/>
      <c r="AAG1188" s="925"/>
      <c r="AAH1188" s="925"/>
      <c r="AAI1188" s="925"/>
      <c r="AAJ1188" s="925"/>
      <c r="AAK1188" s="925"/>
      <c r="AAL1188" s="925"/>
      <c r="AAM1188" s="925"/>
      <c r="AAN1188" s="925"/>
      <c r="AAO1188" s="925"/>
      <c r="AAP1188" s="925"/>
      <c r="AAQ1188" s="925"/>
      <c r="AAR1188" s="925"/>
      <c r="AAS1188" s="925"/>
      <c r="AAT1188" s="925"/>
      <c r="AAU1188" s="925"/>
      <c r="AAV1188" s="925"/>
      <c r="AAW1188" s="925"/>
      <c r="AAX1188" s="925"/>
      <c r="AAY1188" s="925"/>
      <c r="AAZ1188" s="925"/>
      <c r="ABA1188" s="925"/>
      <c r="ABB1188" s="925"/>
      <c r="ABC1188" s="925"/>
      <c r="ABD1188" s="925"/>
      <c r="ABE1188" s="925"/>
      <c r="ABF1188" s="925"/>
      <c r="ABG1188" s="925"/>
      <c r="ABH1188" s="925"/>
      <c r="ABI1188" s="925"/>
      <c r="ABJ1188" s="925"/>
      <c r="ABK1188" s="925"/>
      <c r="ABL1188" s="925"/>
      <c r="ABM1188" s="925"/>
      <c r="ABN1188" s="925"/>
      <c r="ABO1188" s="925"/>
      <c r="ABP1188" s="925"/>
      <c r="ABQ1188" s="925"/>
      <c r="ABR1188" s="925"/>
      <c r="ABS1188" s="925"/>
      <c r="ABT1188" s="925"/>
      <c r="ABU1188" s="925"/>
      <c r="ABV1188" s="925"/>
      <c r="ABW1188" s="925"/>
      <c r="ABX1188" s="925"/>
      <c r="ABY1188" s="925"/>
      <c r="ABZ1188" s="925"/>
      <c r="ACA1188" s="925"/>
      <c r="ACB1188" s="925"/>
      <c r="ACC1188" s="925"/>
      <c r="ACD1188" s="925"/>
      <c r="ACE1188" s="925"/>
      <c r="ACF1188" s="925"/>
      <c r="ACG1188" s="925"/>
      <c r="ACH1188" s="925"/>
      <c r="ACI1188" s="925"/>
      <c r="ACJ1188" s="925"/>
      <c r="ACK1188" s="925"/>
      <c r="ACL1188" s="925"/>
      <c r="ACM1188" s="925"/>
      <c r="ACN1188" s="925"/>
      <c r="ACO1188" s="925"/>
      <c r="ACP1188" s="925"/>
      <c r="ACQ1188" s="925"/>
      <c r="ACR1188" s="925"/>
      <c r="ACS1188" s="925"/>
      <c r="ACT1188" s="925"/>
      <c r="ACU1188" s="925"/>
      <c r="ACV1188" s="925"/>
      <c r="ACW1188" s="925"/>
      <c r="ACX1188" s="925"/>
      <c r="ACY1188" s="925"/>
      <c r="ACZ1188" s="925"/>
      <c r="ADA1188" s="925"/>
      <c r="ADB1188" s="925"/>
      <c r="ADC1188" s="925"/>
      <c r="ADD1188" s="925"/>
      <c r="ADE1188" s="925"/>
      <c r="ADF1188" s="925"/>
      <c r="ADG1188" s="925"/>
      <c r="ADH1188" s="925"/>
      <c r="ADI1188" s="925"/>
      <c r="ADJ1188" s="925"/>
      <c r="ADK1188" s="925"/>
      <c r="ADL1188" s="925"/>
      <c r="ADM1188" s="925"/>
      <c r="ADN1188" s="925"/>
      <c r="ADO1188" s="925"/>
      <c r="ADP1188" s="925"/>
      <c r="ADQ1188" s="925"/>
      <c r="ADR1188" s="925"/>
      <c r="ADS1188" s="925"/>
      <c r="ADT1188" s="925"/>
      <c r="ADU1188" s="925"/>
      <c r="ADV1188" s="925"/>
      <c r="ADW1188" s="925"/>
      <c r="ADX1188" s="925"/>
      <c r="ADY1188" s="925"/>
      <c r="ADZ1188" s="925"/>
      <c r="AEA1188" s="925"/>
      <c r="AEB1188" s="925"/>
      <c r="AEC1188" s="925"/>
      <c r="AED1188" s="925"/>
      <c r="AEE1188" s="925"/>
      <c r="AEF1188" s="925"/>
      <c r="AEG1188" s="925"/>
      <c r="AEH1188" s="925"/>
      <c r="AEI1188" s="925"/>
      <c r="AEJ1188" s="925"/>
      <c r="AEK1188" s="925"/>
      <c r="AEL1188" s="925"/>
      <c r="AEM1188" s="925"/>
      <c r="AEN1188" s="925"/>
      <c r="AEO1188" s="925"/>
      <c r="AEP1188" s="925"/>
      <c r="AEQ1188" s="925"/>
      <c r="AER1188" s="925"/>
      <c r="AES1188" s="925"/>
      <c r="AET1188" s="925"/>
      <c r="AEU1188" s="925"/>
      <c r="AEV1188" s="925"/>
      <c r="AEW1188" s="925"/>
      <c r="AEX1188" s="925"/>
      <c r="AEY1188" s="925"/>
      <c r="AEZ1188" s="925"/>
      <c r="AFA1188" s="925"/>
      <c r="AFB1188" s="925"/>
      <c r="AFC1188" s="925"/>
      <c r="AFD1188" s="925"/>
      <c r="AFE1188" s="925"/>
      <c r="AFF1188" s="925"/>
      <c r="AFG1188" s="925"/>
      <c r="AFH1188" s="925"/>
      <c r="AFI1188" s="925"/>
      <c r="AFJ1188" s="925"/>
      <c r="AFK1188" s="925"/>
      <c r="AFL1188" s="925"/>
      <c r="AFM1188" s="925"/>
      <c r="AFN1188" s="925"/>
      <c r="AFO1188" s="925"/>
      <c r="AFP1188" s="925"/>
      <c r="AFQ1188" s="925"/>
      <c r="AFR1188" s="925"/>
      <c r="AFS1188" s="925"/>
      <c r="AFT1188" s="925"/>
      <c r="AFU1188" s="925"/>
      <c r="AFV1188" s="925"/>
      <c r="AFW1188" s="925"/>
      <c r="AFX1188" s="925"/>
      <c r="AFY1188" s="925"/>
      <c r="AFZ1188" s="925"/>
      <c r="AGA1188" s="925"/>
      <c r="AGB1188" s="925"/>
      <c r="AGC1188" s="925"/>
      <c r="AGD1188" s="925"/>
      <c r="AGE1188" s="925"/>
      <c r="AGF1188" s="925"/>
      <c r="AGG1188" s="925"/>
      <c r="AGH1188" s="925"/>
      <c r="AGI1188" s="925"/>
      <c r="AGJ1188" s="925"/>
    </row>
    <row r="1189" spans="1:868" s="918" customFormat="1" hidden="1">
      <c r="A1189" s="918" t="str">
        <f>Clothing!A265</f>
        <v>Clothing (product sector)</v>
      </c>
      <c r="B1189" s="918" t="str">
        <f>Clothing!B265</f>
        <v>Apparel accessories</v>
      </c>
      <c r="C1189" s="918" t="str">
        <f>Clothing!C265</f>
        <v>NL</v>
      </c>
      <c r="D1189" s="918" t="str">
        <f>Clothing!D265</f>
        <v>Acryl</v>
      </c>
      <c r="E1189" s="921">
        <f>Clothing!E265</f>
        <v>0.178803439613825</v>
      </c>
      <c r="F1189" s="918">
        <f>Clothing!F265</f>
        <v>1</v>
      </c>
      <c r="G1189" s="918" t="str">
        <f>Clothing!G265</f>
        <v>https://eeb.org/library/draft-product-environmental-footprint-category-rules-pefcr-apparel-and-footwear/</v>
      </c>
      <c r="H1189" s="931">
        <f>Clothing!H265</f>
        <v>2</v>
      </c>
      <c r="I1189" s="931" t="str">
        <f>Clothing!I265</f>
        <v/>
      </c>
      <c r="J1189" s="931">
        <f>Clothing!J265</f>
        <v>2</v>
      </c>
      <c r="K1189" s="931">
        <f>Clothing!K265</f>
        <v>1</v>
      </c>
      <c r="L1189" s="931">
        <f>Clothing!L265</f>
        <v>2</v>
      </c>
      <c r="M1189" s="931">
        <f>Clothing!M265</f>
        <v>3</v>
      </c>
      <c r="N1189" s="932">
        <f t="shared" si="99"/>
        <v>1.0301997916669636</v>
      </c>
      <c r="O1189" s="160" t="e">
        <f t="shared" si="100"/>
        <v>#VALUE!</v>
      </c>
      <c r="P1189" s="924"/>
      <c r="Q1189" s="925"/>
      <c r="R1189" s="925"/>
      <c r="S1189" s="925"/>
      <c r="T1189" s="925"/>
      <c r="U1189" s="925"/>
      <c r="V1189" s="925"/>
      <c r="W1189" s="925"/>
      <c r="X1189" s="925"/>
      <c r="Y1189" s="925"/>
      <c r="Z1189" s="925"/>
      <c r="AA1189" s="925"/>
      <c r="AB1189" s="925"/>
      <c r="AC1189" s="925"/>
      <c r="AD1189" s="925"/>
      <c r="AE1189" s="925"/>
      <c r="AF1189" s="925"/>
      <c r="AG1189" s="925"/>
      <c r="AH1189" s="925"/>
      <c r="AI1189" s="925"/>
      <c r="AJ1189" s="925"/>
      <c r="AK1189" s="925"/>
      <c r="AL1189" s="925"/>
      <c r="AM1189" s="925"/>
      <c r="AN1189" s="925"/>
      <c r="AO1189" s="925"/>
      <c r="AP1189" s="925"/>
      <c r="AQ1189" s="925"/>
      <c r="AR1189" s="925"/>
      <c r="AS1189" s="925"/>
      <c r="AT1189" s="925"/>
      <c r="AU1189" s="925"/>
      <c r="AV1189" s="925"/>
      <c r="AW1189" s="925"/>
      <c r="AX1189" s="925"/>
      <c r="AY1189" s="925"/>
      <c r="AZ1189" s="925"/>
      <c r="BA1189" s="925"/>
      <c r="BB1189" s="925"/>
      <c r="BC1189" s="925"/>
      <c r="BD1189" s="925"/>
      <c r="BE1189" s="925"/>
      <c r="BF1189" s="925"/>
      <c r="BG1189" s="925"/>
      <c r="BH1189" s="925"/>
      <c r="BI1189" s="925"/>
      <c r="BJ1189" s="925"/>
      <c r="BK1189" s="925"/>
      <c r="BL1189" s="925"/>
      <c r="BM1189" s="925"/>
      <c r="BN1189" s="925"/>
      <c r="BO1189" s="925"/>
      <c r="BP1189" s="925"/>
      <c r="BQ1189" s="925"/>
      <c r="BR1189" s="925"/>
      <c r="BS1189" s="925"/>
      <c r="BT1189" s="925"/>
      <c r="BU1189" s="925"/>
      <c r="BV1189" s="925"/>
      <c r="BW1189" s="925"/>
      <c r="BX1189" s="925"/>
      <c r="BY1189" s="925"/>
      <c r="BZ1189" s="925"/>
      <c r="CA1189" s="925"/>
      <c r="CB1189" s="925"/>
      <c r="CC1189" s="925"/>
      <c r="CD1189" s="925"/>
      <c r="CE1189" s="925"/>
      <c r="CF1189" s="925"/>
      <c r="CG1189" s="925"/>
      <c r="CH1189" s="925"/>
      <c r="CI1189" s="925"/>
      <c r="CJ1189" s="925"/>
      <c r="CK1189" s="925"/>
      <c r="CL1189" s="925"/>
      <c r="CM1189" s="925"/>
      <c r="CN1189" s="925"/>
      <c r="CO1189" s="925"/>
      <c r="CP1189" s="925"/>
      <c r="CQ1189" s="925"/>
      <c r="CR1189" s="925"/>
      <c r="CS1189" s="925"/>
      <c r="CT1189" s="925"/>
      <c r="CU1189" s="925"/>
      <c r="CV1189" s="925"/>
      <c r="CW1189" s="925"/>
      <c r="CX1189" s="925"/>
      <c r="CY1189" s="925"/>
      <c r="CZ1189" s="925"/>
      <c r="DA1189" s="925"/>
      <c r="DB1189" s="925"/>
      <c r="DC1189" s="925"/>
      <c r="DD1189" s="925"/>
      <c r="DE1189" s="925"/>
      <c r="DF1189" s="925"/>
      <c r="DG1189" s="925"/>
      <c r="DH1189" s="925"/>
      <c r="DI1189" s="925"/>
      <c r="DJ1189" s="925"/>
      <c r="DK1189" s="925"/>
      <c r="DL1189" s="925"/>
      <c r="DM1189" s="925"/>
      <c r="DN1189" s="925"/>
      <c r="DO1189" s="925"/>
      <c r="DP1189" s="925"/>
      <c r="DQ1189" s="925"/>
      <c r="DR1189" s="925"/>
      <c r="DS1189" s="925"/>
      <c r="DT1189" s="925"/>
      <c r="DU1189" s="925"/>
      <c r="DV1189" s="925"/>
      <c r="DW1189" s="925"/>
      <c r="DX1189" s="925"/>
      <c r="DY1189" s="925"/>
      <c r="DZ1189" s="925"/>
      <c r="EA1189" s="925"/>
      <c r="EB1189" s="925"/>
      <c r="EC1189" s="925"/>
      <c r="ED1189" s="925"/>
      <c r="EE1189" s="925"/>
      <c r="EF1189" s="925"/>
      <c r="EG1189" s="925"/>
      <c r="EH1189" s="925"/>
      <c r="EI1189" s="925"/>
      <c r="EJ1189" s="925"/>
      <c r="EK1189" s="925"/>
      <c r="EL1189" s="925"/>
      <c r="EM1189" s="925"/>
      <c r="EN1189" s="925"/>
      <c r="EO1189" s="925"/>
      <c r="EP1189" s="925"/>
      <c r="EQ1189" s="925"/>
      <c r="ER1189" s="925"/>
      <c r="ES1189" s="925"/>
      <c r="ET1189" s="925"/>
      <c r="EU1189" s="925"/>
      <c r="EV1189" s="925"/>
      <c r="EW1189" s="925"/>
      <c r="EX1189" s="925"/>
      <c r="EY1189" s="925"/>
      <c r="EZ1189" s="925"/>
      <c r="FA1189" s="925"/>
      <c r="FB1189" s="925"/>
      <c r="FC1189" s="925"/>
      <c r="FD1189" s="925"/>
      <c r="FE1189" s="925"/>
      <c r="FF1189" s="925"/>
      <c r="FG1189" s="925"/>
      <c r="FH1189" s="925"/>
      <c r="FI1189" s="925"/>
      <c r="FJ1189" s="925"/>
      <c r="FK1189" s="925"/>
      <c r="FL1189" s="925"/>
      <c r="FM1189" s="925"/>
      <c r="FN1189" s="925"/>
      <c r="FO1189" s="925"/>
      <c r="FP1189" s="925"/>
      <c r="FQ1189" s="925"/>
      <c r="FR1189" s="925"/>
      <c r="FS1189" s="925"/>
      <c r="FT1189" s="925"/>
      <c r="FU1189" s="925"/>
      <c r="FV1189" s="925"/>
      <c r="FW1189" s="925"/>
      <c r="FX1189" s="925"/>
      <c r="FY1189" s="925"/>
      <c r="FZ1189" s="925"/>
      <c r="GA1189" s="925"/>
      <c r="GB1189" s="925"/>
      <c r="GC1189" s="925"/>
      <c r="GD1189" s="925"/>
      <c r="GE1189" s="925"/>
      <c r="GF1189" s="925"/>
      <c r="GG1189" s="925"/>
      <c r="GH1189" s="925"/>
      <c r="GI1189" s="925"/>
      <c r="GJ1189" s="925"/>
      <c r="GK1189" s="925"/>
      <c r="GL1189" s="925"/>
      <c r="GM1189" s="925"/>
      <c r="GN1189" s="925"/>
      <c r="GO1189" s="925"/>
      <c r="GP1189" s="925"/>
      <c r="GQ1189" s="925"/>
      <c r="GR1189" s="925"/>
      <c r="GS1189" s="925"/>
      <c r="GT1189" s="925"/>
      <c r="GU1189" s="925"/>
      <c r="GV1189" s="925"/>
      <c r="GW1189" s="925"/>
      <c r="GX1189" s="925"/>
      <c r="GY1189" s="925"/>
      <c r="GZ1189" s="925"/>
      <c r="HA1189" s="925"/>
      <c r="HB1189" s="925"/>
      <c r="HC1189" s="925"/>
      <c r="HD1189" s="925"/>
      <c r="HE1189" s="925"/>
      <c r="HF1189" s="925"/>
      <c r="HG1189" s="925"/>
      <c r="HH1189" s="925"/>
      <c r="HI1189" s="925"/>
      <c r="HJ1189" s="925"/>
      <c r="HK1189" s="925"/>
      <c r="HL1189" s="925"/>
      <c r="HM1189" s="925"/>
      <c r="HN1189" s="925"/>
      <c r="HO1189" s="925"/>
      <c r="HP1189" s="925"/>
      <c r="HQ1189" s="925"/>
      <c r="HR1189" s="925"/>
      <c r="HS1189" s="925"/>
      <c r="HT1189" s="925"/>
      <c r="HU1189" s="925"/>
      <c r="HV1189" s="925"/>
      <c r="HW1189" s="925"/>
      <c r="HX1189" s="925"/>
      <c r="HY1189" s="925"/>
      <c r="HZ1189" s="925"/>
      <c r="IA1189" s="925"/>
      <c r="IB1189" s="925"/>
      <c r="IC1189" s="925"/>
      <c r="ID1189" s="925"/>
      <c r="IE1189" s="925"/>
      <c r="IF1189" s="925"/>
      <c r="IG1189" s="925"/>
      <c r="IH1189" s="925"/>
      <c r="II1189" s="925"/>
      <c r="IJ1189" s="925"/>
      <c r="IK1189" s="925"/>
      <c r="IL1189" s="925"/>
      <c r="IM1189" s="925"/>
      <c r="IN1189" s="925"/>
      <c r="IO1189" s="925"/>
      <c r="IP1189" s="925"/>
      <c r="IQ1189" s="925"/>
      <c r="IR1189" s="925"/>
      <c r="IS1189" s="925"/>
      <c r="IT1189" s="925"/>
      <c r="IU1189" s="925"/>
      <c r="IV1189" s="925"/>
      <c r="IW1189" s="925"/>
      <c r="IX1189" s="925"/>
      <c r="IY1189" s="925"/>
      <c r="IZ1189" s="925"/>
      <c r="JA1189" s="925"/>
      <c r="JB1189" s="925"/>
      <c r="JC1189" s="925"/>
      <c r="JD1189" s="925"/>
      <c r="JE1189" s="925"/>
      <c r="JF1189" s="925"/>
      <c r="JG1189" s="925"/>
      <c r="JH1189" s="925"/>
      <c r="JI1189" s="925"/>
      <c r="JJ1189" s="925"/>
      <c r="JK1189" s="925"/>
      <c r="JL1189" s="925"/>
      <c r="JM1189" s="925"/>
      <c r="JN1189" s="925"/>
      <c r="JO1189" s="925"/>
      <c r="JP1189" s="925"/>
      <c r="JQ1189" s="925"/>
      <c r="JR1189" s="925"/>
      <c r="JS1189" s="925"/>
      <c r="JT1189" s="925"/>
      <c r="JU1189" s="925"/>
      <c r="JV1189" s="925"/>
      <c r="JW1189" s="925"/>
      <c r="JX1189" s="925"/>
      <c r="JY1189" s="925"/>
      <c r="JZ1189" s="925"/>
      <c r="KA1189" s="925"/>
      <c r="KB1189" s="925"/>
      <c r="KC1189" s="925"/>
      <c r="KD1189" s="925"/>
      <c r="KE1189" s="925"/>
      <c r="KF1189" s="925"/>
      <c r="KG1189" s="925"/>
      <c r="KH1189" s="925"/>
      <c r="KI1189" s="925"/>
      <c r="KJ1189" s="925"/>
      <c r="KK1189" s="925"/>
      <c r="KL1189" s="925"/>
      <c r="KM1189" s="925"/>
      <c r="KN1189" s="925"/>
      <c r="KO1189" s="925"/>
      <c r="KP1189" s="925"/>
      <c r="KQ1189" s="925"/>
      <c r="KR1189" s="925"/>
      <c r="KS1189" s="925"/>
      <c r="KT1189" s="925"/>
      <c r="KU1189" s="925"/>
      <c r="KV1189" s="925"/>
      <c r="KW1189" s="925"/>
      <c r="KX1189" s="925"/>
      <c r="KY1189" s="925"/>
      <c r="KZ1189" s="925"/>
      <c r="LA1189" s="925"/>
      <c r="LB1189" s="925"/>
      <c r="LC1189" s="925"/>
      <c r="LD1189" s="925"/>
      <c r="LE1189" s="925"/>
      <c r="LF1189" s="925"/>
      <c r="LG1189" s="925"/>
      <c r="LH1189" s="925"/>
      <c r="LI1189" s="925"/>
      <c r="LJ1189" s="925"/>
      <c r="LK1189" s="925"/>
      <c r="LL1189" s="925"/>
      <c r="LM1189" s="925"/>
      <c r="LN1189" s="925"/>
      <c r="LO1189" s="925"/>
      <c r="LP1189" s="925"/>
      <c r="LQ1189" s="925"/>
      <c r="LR1189" s="925"/>
      <c r="LS1189" s="925"/>
      <c r="LT1189" s="925"/>
      <c r="LU1189" s="925"/>
      <c r="LV1189" s="925"/>
      <c r="LW1189" s="925"/>
      <c r="LX1189" s="925"/>
      <c r="LY1189" s="925"/>
      <c r="LZ1189" s="925"/>
      <c r="MA1189" s="925"/>
      <c r="MB1189" s="925"/>
      <c r="MC1189" s="925"/>
      <c r="MD1189" s="925"/>
      <c r="ME1189" s="925"/>
      <c r="MF1189" s="925"/>
      <c r="MG1189" s="925"/>
      <c r="MH1189" s="925"/>
      <c r="MI1189" s="925"/>
      <c r="MJ1189" s="925"/>
      <c r="MK1189" s="925"/>
      <c r="ML1189" s="925"/>
      <c r="MM1189" s="925"/>
      <c r="MN1189" s="925"/>
      <c r="MO1189" s="925"/>
      <c r="MP1189" s="925"/>
      <c r="MQ1189" s="925"/>
      <c r="MR1189" s="925"/>
      <c r="MS1189" s="925"/>
      <c r="MT1189" s="925"/>
      <c r="MU1189" s="925"/>
      <c r="MV1189" s="925"/>
      <c r="MW1189" s="925"/>
      <c r="MX1189" s="925"/>
      <c r="MY1189" s="925"/>
      <c r="MZ1189" s="925"/>
      <c r="NA1189" s="925"/>
      <c r="NB1189" s="925"/>
      <c r="NC1189" s="925"/>
      <c r="ND1189" s="925"/>
      <c r="NE1189" s="925"/>
      <c r="NF1189" s="925"/>
      <c r="NG1189" s="925"/>
      <c r="NH1189" s="925"/>
      <c r="NI1189" s="925"/>
      <c r="NJ1189" s="925"/>
      <c r="NK1189" s="925"/>
      <c r="NL1189" s="925"/>
      <c r="NM1189" s="925"/>
      <c r="NN1189" s="925"/>
      <c r="NO1189" s="925"/>
      <c r="NP1189" s="925"/>
      <c r="NQ1189" s="925"/>
      <c r="NR1189" s="925"/>
      <c r="NS1189" s="925"/>
      <c r="NT1189" s="925"/>
      <c r="NU1189" s="925"/>
      <c r="NV1189" s="925"/>
      <c r="NW1189" s="925"/>
      <c r="NX1189" s="925"/>
      <c r="NY1189" s="925"/>
      <c r="NZ1189" s="925"/>
      <c r="OA1189" s="925"/>
      <c r="OB1189" s="925"/>
      <c r="OC1189" s="925"/>
      <c r="OD1189" s="925"/>
      <c r="OE1189" s="925"/>
      <c r="OF1189" s="925"/>
      <c r="OG1189" s="925"/>
      <c r="OH1189" s="925"/>
      <c r="OI1189" s="925"/>
      <c r="OJ1189" s="925"/>
      <c r="OK1189" s="925"/>
      <c r="OL1189" s="925"/>
      <c r="OM1189" s="925"/>
      <c r="ON1189" s="925"/>
      <c r="OO1189" s="925"/>
      <c r="OP1189" s="925"/>
      <c r="OQ1189" s="925"/>
      <c r="OR1189" s="925"/>
      <c r="OS1189" s="925"/>
      <c r="OT1189" s="925"/>
      <c r="OU1189" s="925"/>
      <c r="OV1189" s="925"/>
      <c r="OW1189" s="925"/>
      <c r="OX1189" s="925"/>
      <c r="OY1189" s="925"/>
      <c r="OZ1189" s="925"/>
      <c r="PA1189" s="925"/>
      <c r="PB1189" s="925"/>
      <c r="PC1189" s="925"/>
      <c r="PD1189" s="925"/>
      <c r="PE1189" s="925"/>
      <c r="PF1189" s="925"/>
      <c r="PG1189" s="925"/>
      <c r="PH1189" s="925"/>
      <c r="PI1189" s="925"/>
      <c r="PJ1189" s="925"/>
      <c r="PK1189" s="925"/>
      <c r="PL1189" s="925"/>
      <c r="PM1189" s="925"/>
      <c r="PN1189" s="925"/>
      <c r="PO1189" s="925"/>
      <c r="PP1189" s="925"/>
      <c r="PQ1189" s="925"/>
      <c r="PR1189" s="925"/>
      <c r="PS1189" s="925"/>
      <c r="PT1189" s="925"/>
      <c r="PU1189" s="925"/>
      <c r="PV1189" s="925"/>
      <c r="PW1189" s="925"/>
      <c r="PX1189" s="925"/>
      <c r="PY1189" s="925"/>
      <c r="PZ1189" s="925"/>
      <c r="QA1189" s="925"/>
      <c r="QB1189" s="925"/>
      <c r="QC1189" s="925"/>
      <c r="QD1189" s="925"/>
      <c r="QE1189" s="925"/>
      <c r="QF1189" s="925"/>
      <c r="QG1189" s="925"/>
      <c r="QH1189" s="925"/>
      <c r="QI1189" s="925"/>
      <c r="QJ1189" s="925"/>
      <c r="QK1189" s="925"/>
      <c r="QL1189" s="925"/>
      <c r="QM1189" s="925"/>
      <c r="QN1189" s="925"/>
      <c r="QO1189" s="925"/>
      <c r="QP1189" s="925"/>
      <c r="QQ1189" s="925"/>
      <c r="QR1189" s="925"/>
      <c r="QS1189" s="925"/>
      <c r="QT1189" s="925"/>
      <c r="QU1189" s="925"/>
      <c r="QV1189" s="925"/>
      <c r="QW1189" s="925"/>
      <c r="QX1189" s="925"/>
      <c r="QY1189" s="925"/>
      <c r="QZ1189" s="925"/>
      <c r="RA1189" s="925"/>
      <c r="RB1189" s="925"/>
      <c r="RC1189" s="925"/>
      <c r="RD1189" s="925"/>
      <c r="RE1189" s="925"/>
      <c r="RF1189" s="925"/>
      <c r="RG1189" s="925"/>
      <c r="RH1189" s="925"/>
      <c r="RI1189" s="925"/>
      <c r="RJ1189" s="925"/>
      <c r="RK1189" s="925"/>
      <c r="RL1189" s="925"/>
      <c r="RM1189" s="925"/>
      <c r="RN1189" s="925"/>
      <c r="RO1189" s="925"/>
      <c r="RP1189" s="925"/>
      <c r="RQ1189" s="925"/>
      <c r="RR1189" s="925"/>
      <c r="RS1189" s="925"/>
      <c r="RT1189" s="925"/>
      <c r="RU1189" s="925"/>
      <c r="RV1189" s="925"/>
      <c r="RW1189" s="925"/>
      <c r="RX1189" s="925"/>
      <c r="RY1189" s="925"/>
      <c r="RZ1189" s="925"/>
      <c r="SA1189" s="925"/>
      <c r="SB1189" s="925"/>
      <c r="SC1189" s="925"/>
      <c r="SD1189" s="925"/>
      <c r="SE1189" s="925"/>
      <c r="SF1189" s="925"/>
      <c r="SG1189" s="925"/>
      <c r="SH1189" s="925"/>
      <c r="SI1189" s="925"/>
      <c r="SJ1189" s="925"/>
      <c r="SK1189" s="925"/>
      <c r="SL1189" s="925"/>
      <c r="SM1189" s="925"/>
      <c r="SN1189" s="925"/>
      <c r="SO1189" s="925"/>
      <c r="SP1189" s="925"/>
      <c r="SQ1189" s="925"/>
      <c r="SR1189" s="925"/>
      <c r="SS1189" s="925"/>
      <c r="ST1189" s="925"/>
      <c r="SU1189" s="925"/>
      <c r="SV1189" s="925"/>
      <c r="SW1189" s="925"/>
      <c r="SX1189" s="925"/>
      <c r="SY1189" s="925"/>
      <c r="SZ1189" s="925"/>
      <c r="TA1189" s="925"/>
      <c r="TB1189" s="925"/>
      <c r="TC1189" s="925"/>
      <c r="TD1189" s="925"/>
      <c r="TE1189" s="925"/>
      <c r="TF1189" s="925"/>
      <c r="TG1189" s="925"/>
      <c r="TH1189" s="925"/>
      <c r="TI1189" s="925"/>
      <c r="TJ1189" s="925"/>
      <c r="TK1189" s="925"/>
      <c r="TL1189" s="925"/>
      <c r="TM1189" s="925"/>
      <c r="TN1189" s="925"/>
      <c r="TO1189" s="925"/>
      <c r="TP1189" s="925"/>
      <c r="TQ1189" s="925"/>
      <c r="TR1189" s="925"/>
      <c r="TS1189" s="925"/>
      <c r="TT1189" s="925"/>
      <c r="TU1189" s="925"/>
      <c r="TV1189" s="925"/>
      <c r="TW1189" s="925"/>
      <c r="TX1189" s="925"/>
      <c r="TY1189" s="925"/>
      <c r="TZ1189" s="925"/>
      <c r="UA1189" s="925"/>
      <c r="UB1189" s="925"/>
      <c r="UC1189" s="925"/>
      <c r="UD1189" s="925"/>
      <c r="UE1189" s="925"/>
      <c r="UF1189" s="925"/>
      <c r="UG1189" s="925"/>
      <c r="UH1189" s="925"/>
      <c r="UI1189" s="925"/>
      <c r="UJ1189" s="925"/>
      <c r="UK1189" s="925"/>
      <c r="UL1189" s="925"/>
      <c r="UM1189" s="925"/>
      <c r="UN1189" s="925"/>
      <c r="UO1189" s="925"/>
      <c r="UP1189" s="925"/>
      <c r="UQ1189" s="925"/>
      <c r="UR1189" s="925"/>
      <c r="US1189" s="925"/>
      <c r="UT1189" s="925"/>
      <c r="UU1189" s="925"/>
      <c r="UV1189" s="925"/>
      <c r="UW1189" s="925"/>
      <c r="UX1189" s="925"/>
      <c r="UY1189" s="925"/>
      <c r="UZ1189" s="925"/>
      <c r="VA1189" s="925"/>
      <c r="VB1189" s="925"/>
      <c r="VC1189" s="925"/>
      <c r="VD1189" s="925"/>
      <c r="VE1189" s="925"/>
      <c r="VF1189" s="925"/>
      <c r="VG1189" s="925"/>
      <c r="VH1189" s="925"/>
      <c r="VI1189" s="925"/>
      <c r="VJ1189" s="925"/>
      <c r="VK1189" s="925"/>
      <c r="VL1189" s="925"/>
      <c r="VM1189" s="925"/>
      <c r="VN1189" s="925"/>
      <c r="VO1189" s="925"/>
      <c r="VP1189" s="925"/>
      <c r="VQ1189" s="925"/>
      <c r="VR1189" s="925"/>
      <c r="VS1189" s="925"/>
      <c r="VT1189" s="925"/>
      <c r="VU1189" s="925"/>
      <c r="VV1189" s="925"/>
      <c r="VW1189" s="925"/>
      <c r="VX1189" s="925"/>
      <c r="VY1189" s="925"/>
      <c r="VZ1189" s="925"/>
      <c r="WA1189" s="925"/>
      <c r="WB1189" s="925"/>
      <c r="WC1189" s="925"/>
      <c r="WD1189" s="925"/>
      <c r="WE1189" s="925"/>
      <c r="WF1189" s="925"/>
      <c r="WG1189" s="925"/>
      <c r="WH1189" s="925"/>
      <c r="WI1189" s="925"/>
      <c r="WJ1189" s="925"/>
      <c r="WK1189" s="925"/>
      <c r="WL1189" s="925"/>
      <c r="WM1189" s="925"/>
      <c r="WN1189" s="925"/>
      <c r="WO1189" s="925"/>
      <c r="WP1189" s="925"/>
      <c r="WQ1189" s="925"/>
      <c r="WR1189" s="925"/>
      <c r="WS1189" s="925"/>
      <c r="WT1189" s="925"/>
      <c r="WU1189" s="925"/>
      <c r="WV1189" s="925"/>
      <c r="WW1189" s="925"/>
      <c r="WX1189" s="925"/>
      <c r="WY1189" s="925"/>
      <c r="WZ1189" s="925"/>
      <c r="XA1189" s="925"/>
      <c r="XB1189" s="925"/>
      <c r="XC1189" s="925"/>
      <c r="XD1189" s="925"/>
      <c r="XE1189" s="925"/>
      <c r="XF1189" s="925"/>
      <c r="XG1189" s="925"/>
      <c r="XH1189" s="925"/>
      <c r="XI1189" s="925"/>
      <c r="XJ1189" s="925"/>
      <c r="XK1189" s="925"/>
      <c r="XL1189" s="925"/>
      <c r="XM1189" s="925"/>
      <c r="XN1189" s="925"/>
      <c r="XO1189" s="925"/>
      <c r="XP1189" s="925"/>
      <c r="XQ1189" s="925"/>
      <c r="XR1189" s="925"/>
      <c r="XS1189" s="925"/>
      <c r="XT1189" s="925"/>
      <c r="XU1189" s="925"/>
      <c r="XV1189" s="925"/>
      <c r="XW1189" s="925"/>
      <c r="XX1189" s="925"/>
      <c r="XY1189" s="925"/>
      <c r="XZ1189" s="925"/>
      <c r="YA1189" s="925"/>
      <c r="YB1189" s="925"/>
      <c r="YC1189" s="925"/>
      <c r="YD1189" s="925"/>
      <c r="YE1189" s="925"/>
      <c r="YF1189" s="925"/>
      <c r="YG1189" s="925"/>
      <c r="YH1189" s="925"/>
      <c r="YI1189" s="925"/>
      <c r="YJ1189" s="925"/>
      <c r="YK1189" s="925"/>
      <c r="YL1189" s="925"/>
      <c r="YM1189" s="925"/>
      <c r="YN1189" s="925"/>
      <c r="YO1189" s="925"/>
      <c r="YP1189" s="925"/>
      <c r="YQ1189" s="925"/>
      <c r="YR1189" s="925"/>
      <c r="YS1189" s="925"/>
      <c r="YT1189" s="925"/>
      <c r="YU1189" s="925"/>
      <c r="YV1189" s="925"/>
      <c r="YW1189" s="925"/>
      <c r="YX1189" s="925"/>
      <c r="YY1189" s="925"/>
      <c r="YZ1189" s="925"/>
      <c r="ZA1189" s="925"/>
      <c r="ZB1189" s="925"/>
      <c r="ZC1189" s="925"/>
      <c r="ZD1189" s="925"/>
      <c r="ZE1189" s="925"/>
      <c r="ZF1189" s="925"/>
      <c r="ZG1189" s="925"/>
      <c r="ZH1189" s="925"/>
      <c r="ZI1189" s="925"/>
      <c r="ZJ1189" s="925"/>
      <c r="ZK1189" s="925"/>
      <c r="ZL1189" s="925"/>
      <c r="ZM1189" s="925"/>
      <c r="ZN1189" s="925"/>
      <c r="ZO1189" s="925"/>
      <c r="ZP1189" s="925"/>
      <c r="ZQ1189" s="925"/>
      <c r="ZR1189" s="925"/>
      <c r="ZS1189" s="925"/>
      <c r="ZT1189" s="925"/>
      <c r="ZU1189" s="925"/>
      <c r="ZV1189" s="925"/>
      <c r="ZW1189" s="925"/>
      <c r="ZX1189" s="925"/>
      <c r="ZY1189" s="925"/>
      <c r="ZZ1189" s="925"/>
      <c r="AAA1189" s="925"/>
      <c r="AAB1189" s="925"/>
      <c r="AAC1189" s="925"/>
      <c r="AAD1189" s="925"/>
      <c r="AAE1189" s="925"/>
      <c r="AAF1189" s="925"/>
      <c r="AAG1189" s="925"/>
      <c r="AAH1189" s="925"/>
      <c r="AAI1189" s="925"/>
      <c r="AAJ1189" s="925"/>
      <c r="AAK1189" s="925"/>
      <c r="AAL1189" s="925"/>
      <c r="AAM1189" s="925"/>
      <c r="AAN1189" s="925"/>
      <c r="AAO1189" s="925"/>
      <c r="AAP1189" s="925"/>
      <c r="AAQ1189" s="925"/>
      <c r="AAR1189" s="925"/>
      <c r="AAS1189" s="925"/>
      <c r="AAT1189" s="925"/>
      <c r="AAU1189" s="925"/>
      <c r="AAV1189" s="925"/>
      <c r="AAW1189" s="925"/>
      <c r="AAX1189" s="925"/>
      <c r="AAY1189" s="925"/>
      <c r="AAZ1189" s="925"/>
      <c r="ABA1189" s="925"/>
      <c r="ABB1189" s="925"/>
      <c r="ABC1189" s="925"/>
      <c r="ABD1189" s="925"/>
      <c r="ABE1189" s="925"/>
      <c r="ABF1189" s="925"/>
      <c r="ABG1189" s="925"/>
      <c r="ABH1189" s="925"/>
      <c r="ABI1189" s="925"/>
      <c r="ABJ1189" s="925"/>
      <c r="ABK1189" s="925"/>
      <c r="ABL1189" s="925"/>
      <c r="ABM1189" s="925"/>
      <c r="ABN1189" s="925"/>
      <c r="ABO1189" s="925"/>
      <c r="ABP1189" s="925"/>
      <c r="ABQ1189" s="925"/>
      <c r="ABR1189" s="925"/>
      <c r="ABS1189" s="925"/>
      <c r="ABT1189" s="925"/>
      <c r="ABU1189" s="925"/>
      <c r="ABV1189" s="925"/>
      <c r="ABW1189" s="925"/>
      <c r="ABX1189" s="925"/>
      <c r="ABY1189" s="925"/>
      <c r="ABZ1189" s="925"/>
      <c r="ACA1189" s="925"/>
      <c r="ACB1189" s="925"/>
      <c r="ACC1189" s="925"/>
      <c r="ACD1189" s="925"/>
      <c r="ACE1189" s="925"/>
      <c r="ACF1189" s="925"/>
      <c r="ACG1189" s="925"/>
      <c r="ACH1189" s="925"/>
      <c r="ACI1189" s="925"/>
      <c r="ACJ1189" s="925"/>
      <c r="ACK1189" s="925"/>
      <c r="ACL1189" s="925"/>
      <c r="ACM1189" s="925"/>
      <c r="ACN1189" s="925"/>
      <c r="ACO1189" s="925"/>
      <c r="ACP1189" s="925"/>
      <c r="ACQ1189" s="925"/>
      <c r="ACR1189" s="925"/>
      <c r="ACS1189" s="925"/>
      <c r="ACT1189" s="925"/>
      <c r="ACU1189" s="925"/>
      <c r="ACV1189" s="925"/>
      <c r="ACW1189" s="925"/>
      <c r="ACX1189" s="925"/>
      <c r="ACY1189" s="925"/>
      <c r="ACZ1189" s="925"/>
      <c r="ADA1189" s="925"/>
      <c r="ADB1189" s="925"/>
      <c r="ADC1189" s="925"/>
      <c r="ADD1189" s="925"/>
      <c r="ADE1189" s="925"/>
      <c r="ADF1189" s="925"/>
      <c r="ADG1189" s="925"/>
      <c r="ADH1189" s="925"/>
      <c r="ADI1189" s="925"/>
      <c r="ADJ1189" s="925"/>
      <c r="ADK1189" s="925"/>
      <c r="ADL1189" s="925"/>
      <c r="ADM1189" s="925"/>
      <c r="ADN1189" s="925"/>
      <c r="ADO1189" s="925"/>
      <c r="ADP1189" s="925"/>
      <c r="ADQ1189" s="925"/>
      <c r="ADR1189" s="925"/>
      <c r="ADS1189" s="925"/>
      <c r="ADT1189" s="925"/>
      <c r="ADU1189" s="925"/>
      <c r="ADV1189" s="925"/>
      <c r="ADW1189" s="925"/>
      <c r="ADX1189" s="925"/>
      <c r="ADY1189" s="925"/>
      <c r="ADZ1189" s="925"/>
      <c r="AEA1189" s="925"/>
      <c r="AEB1189" s="925"/>
      <c r="AEC1189" s="925"/>
      <c r="AED1189" s="925"/>
      <c r="AEE1189" s="925"/>
      <c r="AEF1189" s="925"/>
      <c r="AEG1189" s="925"/>
      <c r="AEH1189" s="925"/>
      <c r="AEI1189" s="925"/>
      <c r="AEJ1189" s="925"/>
      <c r="AEK1189" s="925"/>
      <c r="AEL1189" s="925"/>
      <c r="AEM1189" s="925"/>
      <c r="AEN1189" s="925"/>
      <c r="AEO1189" s="925"/>
      <c r="AEP1189" s="925"/>
      <c r="AEQ1189" s="925"/>
      <c r="AER1189" s="925"/>
      <c r="AES1189" s="925"/>
      <c r="AET1189" s="925"/>
      <c r="AEU1189" s="925"/>
      <c r="AEV1189" s="925"/>
      <c r="AEW1189" s="925"/>
      <c r="AEX1189" s="925"/>
      <c r="AEY1189" s="925"/>
      <c r="AEZ1189" s="925"/>
      <c r="AFA1189" s="925"/>
      <c r="AFB1189" s="925"/>
      <c r="AFC1189" s="925"/>
      <c r="AFD1189" s="925"/>
      <c r="AFE1189" s="925"/>
      <c r="AFF1189" s="925"/>
      <c r="AFG1189" s="925"/>
      <c r="AFH1189" s="925"/>
      <c r="AFI1189" s="925"/>
      <c r="AFJ1189" s="925"/>
      <c r="AFK1189" s="925"/>
      <c r="AFL1189" s="925"/>
      <c r="AFM1189" s="925"/>
      <c r="AFN1189" s="925"/>
      <c r="AFO1189" s="925"/>
      <c r="AFP1189" s="925"/>
      <c r="AFQ1189" s="925"/>
      <c r="AFR1189" s="925"/>
      <c r="AFS1189" s="925"/>
      <c r="AFT1189" s="925"/>
      <c r="AFU1189" s="925"/>
      <c r="AFV1189" s="925"/>
      <c r="AFW1189" s="925"/>
      <c r="AFX1189" s="925"/>
      <c r="AFY1189" s="925"/>
      <c r="AFZ1189" s="925"/>
      <c r="AGA1189" s="925"/>
      <c r="AGB1189" s="925"/>
      <c r="AGC1189" s="925"/>
      <c r="AGD1189" s="925"/>
      <c r="AGE1189" s="925"/>
      <c r="AGF1189" s="925"/>
      <c r="AGG1189" s="925"/>
      <c r="AGH1189" s="925"/>
      <c r="AGI1189" s="925"/>
      <c r="AGJ1189" s="925"/>
    </row>
    <row r="1190" spans="1:868" s="918" customFormat="1" hidden="1">
      <c r="A1190" s="918" t="str">
        <f>Clothing!A266</f>
        <v>Clothing (product sector)</v>
      </c>
      <c r="B1190" s="918" t="str">
        <f>Clothing!B266</f>
        <v>Apparel accessories</v>
      </c>
      <c r="C1190" s="918" t="str">
        <f>Clothing!C266</f>
        <v>NL</v>
      </c>
      <c r="D1190" s="918" t="str">
        <f>Clothing!D266</f>
        <v>OTHER</v>
      </c>
      <c r="E1190" s="921">
        <f>Clothing!E266</f>
        <v>0</v>
      </c>
      <c r="F1190" s="918">
        <f>Clothing!F266</f>
        <v>1</v>
      </c>
      <c r="G1190" s="918" t="str">
        <f>Clothing!G266</f>
        <v>https://eeb.org/library/draft-product-environmental-footprint-category-rules-pefcr-apparel-and-footwear/</v>
      </c>
      <c r="H1190" s="922">
        <f>Clothing!H266</f>
        <v>2</v>
      </c>
      <c r="I1190" s="922" t="str">
        <f>Clothing!I266</f>
        <v/>
      </c>
      <c r="J1190" s="922">
        <f>Clothing!J266</f>
        <v>2</v>
      </c>
      <c r="K1190" s="922">
        <f>Clothing!K266</f>
        <v>1</v>
      </c>
      <c r="L1190" s="922">
        <f>Clothing!L266</f>
        <v>2</v>
      </c>
      <c r="M1190" s="922">
        <f>Clothing!M266</f>
        <v>3</v>
      </c>
      <c r="N1190" s="186">
        <f t="shared" si="99"/>
        <v>1.0301997916669636</v>
      </c>
      <c r="O1190" s="160" t="e">
        <f t="shared" si="100"/>
        <v>#VALUE!</v>
      </c>
      <c r="P1190" s="924"/>
      <c r="Q1190" s="925"/>
      <c r="R1190" s="925"/>
      <c r="S1190" s="925"/>
      <c r="T1190" s="925"/>
      <c r="U1190" s="925"/>
      <c r="V1190" s="925"/>
      <c r="W1190" s="925"/>
      <c r="X1190" s="925"/>
      <c r="Y1190" s="925"/>
      <c r="Z1190" s="925"/>
      <c r="AA1190" s="925"/>
      <c r="AB1190" s="925"/>
      <c r="AC1190" s="925"/>
      <c r="AD1190" s="925"/>
      <c r="AE1190" s="925"/>
      <c r="AF1190" s="925"/>
      <c r="AG1190" s="925"/>
      <c r="AH1190" s="925"/>
      <c r="AI1190" s="925"/>
      <c r="AJ1190" s="925"/>
      <c r="AK1190" s="925"/>
      <c r="AL1190" s="925"/>
      <c r="AM1190" s="925"/>
      <c r="AN1190" s="925"/>
      <c r="AO1190" s="925"/>
      <c r="AP1190" s="925"/>
      <c r="AQ1190" s="925"/>
      <c r="AR1190" s="925"/>
      <c r="AS1190" s="925"/>
      <c r="AT1190" s="925"/>
      <c r="AU1190" s="925"/>
      <c r="AV1190" s="925"/>
      <c r="AW1190" s="925"/>
      <c r="AX1190" s="925"/>
      <c r="AY1190" s="925"/>
      <c r="AZ1190" s="925"/>
      <c r="BA1190" s="925"/>
      <c r="BB1190" s="925"/>
      <c r="BC1190" s="925"/>
      <c r="BD1190" s="925"/>
      <c r="BE1190" s="925"/>
      <c r="BF1190" s="925"/>
      <c r="BG1190" s="925"/>
      <c r="BH1190" s="925"/>
      <c r="BI1190" s="925"/>
      <c r="BJ1190" s="925"/>
      <c r="BK1190" s="925"/>
      <c r="BL1190" s="925"/>
      <c r="BM1190" s="925"/>
      <c r="BN1190" s="925"/>
      <c r="BO1190" s="925"/>
      <c r="BP1190" s="925"/>
      <c r="BQ1190" s="925"/>
      <c r="BR1190" s="925"/>
      <c r="BS1190" s="925"/>
      <c r="BT1190" s="925"/>
      <c r="BU1190" s="925"/>
      <c r="BV1190" s="925"/>
      <c r="BW1190" s="925"/>
      <c r="BX1190" s="925"/>
      <c r="BY1190" s="925"/>
      <c r="BZ1190" s="925"/>
      <c r="CA1190" s="925"/>
      <c r="CB1190" s="925"/>
      <c r="CC1190" s="925"/>
      <c r="CD1190" s="925"/>
      <c r="CE1190" s="925"/>
      <c r="CF1190" s="925"/>
      <c r="CG1190" s="925"/>
      <c r="CH1190" s="925"/>
      <c r="CI1190" s="925"/>
      <c r="CJ1190" s="925"/>
      <c r="CK1190" s="925"/>
      <c r="CL1190" s="925"/>
      <c r="CM1190" s="925"/>
      <c r="CN1190" s="925"/>
      <c r="CO1190" s="925"/>
      <c r="CP1190" s="925"/>
      <c r="CQ1190" s="925"/>
      <c r="CR1190" s="925"/>
      <c r="CS1190" s="925"/>
      <c r="CT1190" s="925"/>
      <c r="CU1190" s="925"/>
      <c r="CV1190" s="925"/>
      <c r="CW1190" s="925"/>
      <c r="CX1190" s="925"/>
      <c r="CY1190" s="925"/>
      <c r="CZ1190" s="925"/>
      <c r="DA1190" s="925"/>
      <c r="DB1190" s="925"/>
      <c r="DC1190" s="925"/>
      <c r="DD1190" s="925"/>
      <c r="DE1190" s="925"/>
      <c r="DF1190" s="925"/>
      <c r="DG1190" s="925"/>
      <c r="DH1190" s="925"/>
      <c r="DI1190" s="925"/>
      <c r="DJ1190" s="925"/>
      <c r="DK1190" s="925"/>
      <c r="DL1190" s="925"/>
      <c r="DM1190" s="925"/>
      <c r="DN1190" s="925"/>
      <c r="DO1190" s="925"/>
      <c r="DP1190" s="925"/>
      <c r="DQ1190" s="925"/>
      <c r="DR1190" s="925"/>
      <c r="DS1190" s="925"/>
      <c r="DT1190" s="925"/>
      <c r="DU1190" s="925"/>
      <c r="DV1190" s="925"/>
      <c r="DW1190" s="925"/>
      <c r="DX1190" s="925"/>
      <c r="DY1190" s="925"/>
      <c r="DZ1190" s="925"/>
      <c r="EA1190" s="925"/>
      <c r="EB1190" s="925"/>
      <c r="EC1190" s="925"/>
      <c r="ED1190" s="925"/>
      <c r="EE1190" s="925"/>
      <c r="EF1190" s="925"/>
      <c r="EG1190" s="925"/>
      <c r="EH1190" s="925"/>
      <c r="EI1190" s="925"/>
      <c r="EJ1190" s="925"/>
      <c r="EK1190" s="925"/>
      <c r="EL1190" s="925"/>
      <c r="EM1190" s="925"/>
      <c r="EN1190" s="925"/>
      <c r="EO1190" s="925"/>
      <c r="EP1190" s="925"/>
      <c r="EQ1190" s="925"/>
      <c r="ER1190" s="925"/>
      <c r="ES1190" s="925"/>
      <c r="ET1190" s="925"/>
      <c r="EU1190" s="925"/>
      <c r="EV1190" s="925"/>
      <c r="EW1190" s="925"/>
      <c r="EX1190" s="925"/>
      <c r="EY1190" s="925"/>
      <c r="EZ1190" s="925"/>
      <c r="FA1190" s="925"/>
      <c r="FB1190" s="925"/>
      <c r="FC1190" s="925"/>
      <c r="FD1190" s="925"/>
      <c r="FE1190" s="925"/>
      <c r="FF1190" s="925"/>
      <c r="FG1190" s="925"/>
      <c r="FH1190" s="925"/>
      <c r="FI1190" s="925"/>
      <c r="FJ1190" s="925"/>
      <c r="FK1190" s="925"/>
      <c r="FL1190" s="925"/>
      <c r="FM1190" s="925"/>
      <c r="FN1190" s="925"/>
      <c r="FO1190" s="925"/>
      <c r="FP1190" s="925"/>
      <c r="FQ1190" s="925"/>
      <c r="FR1190" s="925"/>
      <c r="FS1190" s="925"/>
      <c r="FT1190" s="925"/>
      <c r="FU1190" s="925"/>
      <c r="FV1190" s="925"/>
      <c r="FW1190" s="925"/>
      <c r="FX1190" s="925"/>
      <c r="FY1190" s="925"/>
      <c r="FZ1190" s="925"/>
      <c r="GA1190" s="925"/>
      <c r="GB1190" s="925"/>
      <c r="GC1190" s="925"/>
      <c r="GD1190" s="925"/>
      <c r="GE1190" s="925"/>
      <c r="GF1190" s="925"/>
      <c r="GG1190" s="925"/>
      <c r="GH1190" s="925"/>
      <c r="GI1190" s="925"/>
      <c r="GJ1190" s="925"/>
      <c r="GK1190" s="925"/>
      <c r="GL1190" s="925"/>
      <c r="GM1190" s="925"/>
      <c r="GN1190" s="925"/>
      <c r="GO1190" s="925"/>
      <c r="GP1190" s="925"/>
      <c r="GQ1190" s="925"/>
      <c r="GR1190" s="925"/>
      <c r="GS1190" s="925"/>
      <c r="GT1190" s="925"/>
      <c r="GU1190" s="925"/>
      <c r="GV1190" s="925"/>
      <c r="GW1190" s="925"/>
      <c r="GX1190" s="925"/>
      <c r="GY1190" s="925"/>
      <c r="GZ1190" s="925"/>
      <c r="HA1190" s="925"/>
      <c r="HB1190" s="925"/>
      <c r="HC1190" s="925"/>
      <c r="HD1190" s="925"/>
      <c r="HE1190" s="925"/>
      <c r="HF1190" s="925"/>
      <c r="HG1190" s="925"/>
      <c r="HH1190" s="925"/>
      <c r="HI1190" s="925"/>
      <c r="HJ1190" s="925"/>
      <c r="HK1190" s="925"/>
      <c r="HL1190" s="925"/>
      <c r="HM1190" s="925"/>
      <c r="HN1190" s="925"/>
      <c r="HO1190" s="925"/>
      <c r="HP1190" s="925"/>
      <c r="HQ1190" s="925"/>
      <c r="HR1190" s="925"/>
      <c r="HS1190" s="925"/>
      <c r="HT1190" s="925"/>
      <c r="HU1190" s="925"/>
      <c r="HV1190" s="925"/>
      <c r="HW1190" s="925"/>
      <c r="HX1190" s="925"/>
      <c r="HY1190" s="925"/>
      <c r="HZ1190" s="925"/>
      <c r="IA1190" s="925"/>
      <c r="IB1190" s="925"/>
      <c r="IC1190" s="925"/>
      <c r="ID1190" s="925"/>
      <c r="IE1190" s="925"/>
      <c r="IF1190" s="925"/>
      <c r="IG1190" s="925"/>
      <c r="IH1190" s="925"/>
      <c r="II1190" s="925"/>
      <c r="IJ1190" s="925"/>
      <c r="IK1190" s="925"/>
      <c r="IL1190" s="925"/>
      <c r="IM1190" s="925"/>
      <c r="IN1190" s="925"/>
      <c r="IO1190" s="925"/>
      <c r="IP1190" s="925"/>
      <c r="IQ1190" s="925"/>
      <c r="IR1190" s="925"/>
      <c r="IS1190" s="925"/>
      <c r="IT1190" s="925"/>
      <c r="IU1190" s="925"/>
      <c r="IV1190" s="925"/>
      <c r="IW1190" s="925"/>
      <c r="IX1190" s="925"/>
      <c r="IY1190" s="925"/>
      <c r="IZ1190" s="925"/>
      <c r="JA1190" s="925"/>
      <c r="JB1190" s="925"/>
      <c r="JC1190" s="925"/>
      <c r="JD1190" s="925"/>
      <c r="JE1190" s="925"/>
      <c r="JF1190" s="925"/>
      <c r="JG1190" s="925"/>
      <c r="JH1190" s="925"/>
      <c r="JI1190" s="925"/>
      <c r="JJ1190" s="925"/>
      <c r="JK1190" s="925"/>
      <c r="JL1190" s="925"/>
      <c r="JM1190" s="925"/>
      <c r="JN1190" s="925"/>
      <c r="JO1190" s="925"/>
      <c r="JP1190" s="925"/>
      <c r="JQ1190" s="925"/>
      <c r="JR1190" s="925"/>
      <c r="JS1190" s="925"/>
      <c r="JT1190" s="925"/>
      <c r="JU1190" s="925"/>
      <c r="JV1190" s="925"/>
      <c r="JW1190" s="925"/>
      <c r="JX1190" s="925"/>
      <c r="JY1190" s="925"/>
      <c r="JZ1190" s="925"/>
      <c r="KA1190" s="925"/>
      <c r="KB1190" s="925"/>
      <c r="KC1190" s="925"/>
      <c r="KD1190" s="925"/>
      <c r="KE1190" s="925"/>
      <c r="KF1190" s="925"/>
      <c r="KG1190" s="925"/>
      <c r="KH1190" s="925"/>
      <c r="KI1190" s="925"/>
      <c r="KJ1190" s="925"/>
      <c r="KK1190" s="925"/>
      <c r="KL1190" s="925"/>
      <c r="KM1190" s="925"/>
      <c r="KN1190" s="925"/>
      <c r="KO1190" s="925"/>
      <c r="KP1190" s="925"/>
      <c r="KQ1190" s="925"/>
      <c r="KR1190" s="925"/>
      <c r="KS1190" s="925"/>
      <c r="KT1190" s="925"/>
      <c r="KU1190" s="925"/>
      <c r="KV1190" s="925"/>
      <c r="KW1190" s="925"/>
      <c r="KX1190" s="925"/>
      <c r="KY1190" s="925"/>
      <c r="KZ1190" s="925"/>
      <c r="LA1190" s="925"/>
      <c r="LB1190" s="925"/>
      <c r="LC1190" s="925"/>
      <c r="LD1190" s="925"/>
      <c r="LE1190" s="925"/>
      <c r="LF1190" s="925"/>
      <c r="LG1190" s="925"/>
      <c r="LH1190" s="925"/>
      <c r="LI1190" s="925"/>
      <c r="LJ1190" s="925"/>
      <c r="LK1190" s="925"/>
      <c r="LL1190" s="925"/>
      <c r="LM1190" s="925"/>
      <c r="LN1190" s="925"/>
      <c r="LO1190" s="925"/>
      <c r="LP1190" s="925"/>
      <c r="LQ1190" s="925"/>
      <c r="LR1190" s="925"/>
      <c r="LS1190" s="925"/>
      <c r="LT1190" s="925"/>
      <c r="LU1190" s="925"/>
      <c r="LV1190" s="925"/>
      <c r="LW1190" s="925"/>
      <c r="LX1190" s="925"/>
      <c r="LY1190" s="925"/>
      <c r="LZ1190" s="925"/>
      <c r="MA1190" s="925"/>
      <c r="MB1190" s="925"/>
      <c r="MC1190" s="925"/>
      <c r="MD1190" s="925"/>
      <c r="ME1190" s="925"/>
      <c r="MF1190" s="925"/>
      <c r="MG1190" s="925"/>
      <c r="MH1190" s="925"/>
      <c r="MI1190" s="925"/>
      <c r="MJ1190" s="925"/>
      <c r="MK1190" s="925"/>
      <c r="ML1190" s="925"/>
      <c r="MM1190" s="925"/>
      <c r="MN1190" s="925"/>
      <c r="MO1190" s="925"/>
      <c r="MP1190" s="925"/>
      <c r="MQ1190" s="925"/>
      <c r="MR1190" s="925"/>
      <c r="MS1190" s="925"/>
      <c r="MT1190" s="925"/>
      <c r="MU1190" s="925"/>
      <c r="MV1190" s="925"/>
      <c r="MW1190" s="925"/>
      <c r="MX1190" s="925"/>
      <c r="MY1190" s="925"/>
      <c r="MZ1190" s="925"/>
      <c r="NA1190" s="925"/>
      <c r="NB1190" s="925"/>
      <c r="NC1190" s="925"/>
      <c r="ND1190" s="925"/>
      <c r="NE1190" s="925"/>
      <c r="NF1190" s="925"/>
      <c r="NG1190" s="925"/>
      <c r="NH1190" s="925"/>
      <c r="NI1190" s="925"/>
      <c r="NJ1190" s="925"/>
      <c r="NK1190" s="925"/>
      <c r="NL1190" s="925"/>
      <c r="NM1190" s="925"/>
      <c r="NN1190" s="925"/>
      <c r="NO1190" s="925"/>
      <c r="NP1190" s="925"/>
      <c r="NQ1190" s="925"/>
      <c r="NR1190" s="925"/>
      <c r="NS1190" s="925"/>
      <c r="NT1190" s="925"/>
      <c r="NU1190" s="925"/>
      <c r="NV1190" s="925"/>
      <c r="NW1190" s="925"/>
      <c r="NX1190" s="925"/>
      <c r="NY1190" s="925"/>
      <c r="NZ1190" s="925"/>
      <c r="OA1190" s="925"/>
      <c r="OB1190" s="925"/>
      <c r="OC1190" s="925"/>
      <c r="OD1190" s="925"/>
      <c r="OE1190" s="925"/>
      <c r="OF1190" s="925"/>
      <c r="OG1190" s="925"/>
      <c r="OH1190" s="925"/>
      <c r="OI1190" s="925"/>
      <c r="OJ1190" s="925"/>
      <c r="OK1190" s="925"/>
      <c r="OL1190" s="925"/>
      <c r="OM1190" s="925"/>
      <c r="ON1190" s="925"/>
      <c r="OO1190" s="925"/>
      <c r="OP1190" s="925"/>
      <c r="OQ1190" s="925"/>
      <c r="OR1190" s="925"/>
      <c r="OS1190" s="925"/>
      <c r="OT1190" s="925"/>
      <c r="OU1190" s="925"/>
      <c r="OV1190" s="925"/>
      <c r="OW1190" s="925"/>
      <c r="OX1190" s="925"/>
      <c r="OY1190" s="925"/>
      <c r="OZ1190" s="925"/>
      <c r="PA1190" s="925"/>
      <c r="PB1190" s="925"/>
      <c r="PC1190" s="925"/>
      <c r="PD1190" s="925"/>
      <c r="PE1190" s="925"/>
      <c r="PF1190" s="925"/>
      <c r="PG1190" s="925"/>
      <c r="PH1190" s="925"/>
      <c r="PI1190" s="925"/>
      <c r="PJ1190" s="925"/>
      <c r="PK1190" s="925"/>
      <c r="PL1190" s="925"/>
      <c r="PM1190" s="925"/>
      <c r="PN1190" s="925"/>
      <c r="PO1190" s="925"/>
      <c r="PP1190" s="925"/>
      <c r="PQ1190" s="925"/>
      <c r="PR1190" s="925"/>
      <c r="PS1190" s="925"/>
      <c r="PT1190" s="925"/>
      <c r="PU1190" s="925"/>
      <c r="PV1190" s="925"/>
      <c r="PW1190" s="925"/>
      <c r="PX1190" s="925"/>
      <c r="PY1190" s="925"/>
      <c r="PZ1190" s="925"/>
      <c r="QA1190" s="925"/>
      <c r="QB1190" s="925"/>
      <c r="QC1190" s="925"/>
      <c r="QD1190" s="925"/>
      <c r="QE1190" s="925"/>
      <c r="QF1190" s="925"/>
      <c r="QG1190" s="925"/>
      <c r="QH1190" s="925"/>
      <c r="QI1190" s="925"/>
      <c r="QJ1190" s="925"/>
      <c r="QK1190" s="925"/>
      <c r="QL1190" s="925"/>
      <c r="QM1190" s="925"/>
      <c r="QN1190" s="925"/>
      <c r="QO1190" s="925"/>
      <c r="QP1190" s="925"/>
      <c r="QQ1190" s="925"/>
      <c r="QR1190" s="925"/>
      <c r="QS1190" s="925"/>
      <c r="QT1190" s="925"/>
      <c r="QU1190" s="925"/>
      <c r="QV1190" s="925"/>
      <c r="QW1190" s="925"/>
      <c r="QX1190" s="925"/>
      <c r="QY1190" s="925"/>
      <c r="QZ1190" s="925"/>
      <c r="RA1190" s="925"/>
      <c r="RB1190" s="925"/>
      <c r="RC1190" s="925"/>
      <c r="RD1190" s="925"/>
      <c r="RE1190" s="925"/>
      <c r="RF1190" s="925"/>
      <c r="RG1190" s="925"/>
      <c r="RH1190" s="925"/>
      <c r="RI1190" s="925"/>
      <c r="RJ1190" s="925"/>
      <c r="RK1190" s="925"/>
      <c r="RL1190" s="925"/>
      <c r="RM1190" s="925"/>
      <c r="RN1190" s="925"/>
      <c r="RO1190" s="925"/>
      <c r="RP1190" s="925"/>
      <c r="RQ1190" s="925"/>
      <c r="RR1190" s="925"/>
      <c r="RS1190" s="925"/>
      <c r="RT1190" s="925"/>
      <c r="RU1190" s="925"/>
      <c r="RV1190" s="925"/>
      <c r="RW1190" s="925"/>
      <c r="RX1190" s="925"/>
      <c r="RY1190" s="925"/>
      <c r="RZ1190" s="925"/>
      <c r="SA1190" s="925"/>
      <c r="SB1190" s="925"/>
      <c r="SC1190" s="925"/>
      <c r="SD1190" s="925"/>
      <c r="SE1190" s="925"/>
      <c r="SF1190" s="925"/>
      <c r="SG1190" s="925"/>
      <c r="SH1190" s="925"/>
      <c r="SI1190" s="925"/>
      <c r="SJ1190" s="925"/>
      <c r="SK1190" s="925"/>
      <c r="SL1190" s="925"/>
      <c r="SM1190" s="925"/>
      <c r="SN1190" s="925"/>
      <c r="SO1190" s="925"/>
      <c r="SP1190" s="925"/>
      <c r="SQ1190" s="925"/>
      <c r="SR1190" s="925"/>
      <c r="SS1190" s="925"/>
      <c r="ST1190" s="925"/>
      <c r="SU1190" s="925"/>
      <c r="SV1190" s="925"/>
      <c r="SW1190" s="925"/>
      <c r="SX1190" s="925"/>
      <c r="SY1190" s="925"/>
      <c r="SZ1190" s="925"/>
      <c r="TA1190" s="925"/>
      <c r="TB1190" s="925"/>
      <c r="TC1190" s="925"/>
      <c r="TD1190" s="925"/>
      <c r="TE1190" s="925"/>
      <c r="TF1190" s="925"/>
      <c r="TG1190" s="925"/>
      <c r="TH1190" s="925"/>
      <c r="TI1190" s="925"/>
      <c r="TJ1190" s="925"/>
      <c r="TK1190" s="925"/>
      <c r="TL1190" s="925"/>
      <c r="TM1190" s="925"/>
      <c r="TN1190" s="925"/>
      <c r="TO1190" s="925"/>
      <c r="TP1190" s="925"/>
      <c r="TQ1190" s="925"/>
      <c r="TR1190" s="925"/>
      <c r="TS1190" s="925"/>
      <c r="TT1190" s="925"/>
      <c r="TU1190" s="925"/>
      <c r="TV1190" s="925"/>
      <c r="TW1190" s="925"/>
      <c r="TX1190" s="925"/>
      <c r="TY1190" s="925"/>
      <c r="TZ1190" s="925"/>
      <c r="UA1190" s="925"/>
      <c r="UB1190" s="925"/>
      <c r="UC1190" s="925"/>
      <c r="UD1190" s="925"/>
      <c r="UE1190" s="925"/>
      <c r="UF1190" s="925"/>
      <c r="UG1190" s="925"/>
      <c r="UH1190" s="925"/>
      <c r="UI1190" s="925"/>
      <c r="UJ1190" s="925"/>
      <c r="UK1190" s="925"/>
      <c r="UL1190" s="925"/>
      <c r="UM1190" s="925"/>
      <c r="UN1190" s="925"/>
      <c r="UO1190" s="925"/>
      <c r="UP1190" s="925"/>
      <c r="UQ1190" s="925"/>
      <c r="UR1190" s="925"/>
      <c r="US1190" s="925"/>
      <c r="UT1190" s="925"/>
      <c r="UU1190" s="925"/>
      <c r="UV1190" s="925"/>
      <c r="UW1190" s="925"/>
      <c r="UX1190" s="925"/>
      <c r="UY1190" s="925"/>
      <c r="UZ1190" s="925"/>
      <c r="VA1190" s="925"/>
      <c r="VB1190" s="925"/>
      <c r="VC1190" s="925"/>
      <c r="VD1190" s="925"/>
      <c r="VE1190" s="925"/>
      <c r="VF1190" s="925"/>
      <c r="VG1190" s="925"/>
      <c r="VH1190" s="925"/>
      <c r="VI1190" s="925"/>
      <c r="VJ1190" s="925"/>
      <c r="VK1190" s="925"/>
      <c r="VL1190" s="925"/>
      <c r="VM1190" s="925"/>
      <c r="VN1190" s="925"/>
      <c r="VO1190" s="925"/>
      <c r="VP1190" s="925"/>
      <c r="VQ1190" s="925"/>
      <c r="VR1190" s="925"/>
      <c r="VS1190" s="925"/>
      <c r="VT1190" s="925"/>
      <c r="VU1190" s="925"/>
      <c r="VV1190" s="925"/>
      <c r="VW1190" s="925"/>
      <c r="VX1190" s="925"/>
      <c r="VY1190" s="925"/>
      <c r="VZ1190" s="925"/>
      <c r="WA1190" s="925"/>
      <c r="WB1190" s="925"/>
      <c r="WC1190" s="925"/>
      <c r="WD1190" s="925"/>
      <c r="WE1190" s="925"/>
      <c r="WF1190" s="925"/>
      <c r="WG1190" s="925"/>
      <c r="WH1190" s="925"/>
      <c r="WI1190" s="925"/>
      <c r="WJ1190" s="925"/>
      <c r="WK1190" s="925"/>
      <c r="WL1190" s="925"/>
      <c r="WM1190" s="925"/>
      <c r="WN1190" s="925"/>
      <c r="WO1190" s="925"/>
      <c r="WP1190" s="925"/>
      <c r="WQ1190" s="925"/>
      <c r="WR1190" s="925"/>
      <c r="WS1190" s="925"/>
      <c r="WT1190" s="925"/>
      <c r="WU1190" s="925"/>
      <c r="WV1190" s="925"/>
      <c r="WW1190" s="925"/>
      <c r="WX1190" s="925"/>
      <c r="WY1190" s="925"/>
      <c r="WZ1190" s="925"/>
      <c r="XA1190" s="925"/>
      <c r="XB1190" s="925"/>
      <c r="XC1190" s="925"/>
      <c r="XD1190" s="925"/>
      <c r="XE1190" s="925"/>
      <c r="XF1190" s="925"/>
      <c r="XG1190" s="925"/>
      <c r="XH1190" s="925"/>
      <c r="XI1190" s="925"/>
      <c r="XJ1190" s="925"/>
      <c r="XK1190" s="925"/>
      <c r="XL1190" s="925"/>
      <c r="XM1190" s="925"/>
      <c r="XN1190" s="925"/>
      <c r="XO1190" s="925"/>
      <c r="XP1190" s="925"/>
      <c r="XQ1190" s="925"/>
      <c r="XR1190" s="925"/>
      <c r="XS1190" s="925"/>
      <c r="XT1190" s="925"/>
      <c r="XU1190" s="925"/>
      <c r="XV1190" s="925"/>
      <c r="XW1190" s="925"/>
      <c r="XX1190" s="925"/>
      <c r="XY1190" s="925"/>
      <c r="XZ1190" s="925"/>
      <c r="YA1190" s="925"/>
      <c r="YB1190" s="925"/>
      <c r="YC1190" s="925"/>
      <c r="YD1190" s="925"/>
      <c r="YE1190" s="925"/>
      <c r="YF1190" s="925"/>
      <c r="YG1190" s="925"/>
      <c r="YH1190" s="925"/>
      <c r="YI1190" s="925"/>
      <c r="YJ1190" s="925"/>
      <c r="YK1190" s="925"/>
      <c r="YL1190" s="925"/>
      <c r="YM1190" s="925"/>
      <c r="YN1190" s="925"/>
      <c r="YO1190" s="925"/>
      <c r="YP1190" s="925"/>
      <c r="YQ1190" s="925"/>
      <c r="YR1190" s="925"/>
      <c r="YS1190" s="925"/>
      <c r="YT1190" s="925"/>
      <c r="YU1190" s="925"/>
      <c r="YV1190" s="925"/>
      <c r="YW1190" s="925"/>
      <c r="YX1190" s="925"/>
      <c r="YY1190" s="925"/>
      <c r="YZ1190" s="925"/>
      <c r="ZA1190" s="925"/>
      <c r="ZB1190" s="925"/>
      <c r="ZC1190" s="925"/>
      <c r="ZD1190" s="925"/>
      <c r="ZE1190" s="925"/>
      <c r="ZF1190" s="925"/>
      <c r="ZG1190" s="925"/>
      <c r="ZH1190" s="925"/>
      <c r="ZI1190" s="925"/>
      <c r="ZJ1190" s="925"/>
      <c r="ZK1190" s="925"/>
      <c r="ZL1190" s="925"/>
      <c r="ZM1190" s="925"/>
      <c r="ZN1190" s="925"/>
      <c r="ZO1190" s="925"/>
      <c r="ZP1190" s="925"/>
      <c r="ZQ1190" s="925"/>
      <c r="ZR1190" s="925"/>
      <c r="ZS1190" s="925"/>
      <c r="ZT1190" s="925"/>
      <c r="ZU1190" s="925"/>
      <c r="ZV1190" s="925"/>
      <c r="ZW1190" s="925"/>
      <c r="ZX1190" s="925"/>
      <c r="ZY1190" s="925"/>
      <c r="ZZ1190" s="925"/>
      <c r="AAA1190" s="925"/>
      <c r="AAB1190" s="925"/>
      <c r="AAC1190" s="925"/>
      <c r="AAD1190" s="925"/>
      <c r="AAE1190" s="925"/>
      <c r="AAF1190" s="925"/>
      <c r="AAG1190" s="925"/>
      <c r="AAH1190" s="925"/>
      <c r="AAI1190" s="925"/>
      <c r="AAJ1190" s="925"/>
      <c r="AAK1190" s="925"/>
      <c r="AAL1190" s="925"/>
      <c r="AAM1190" s="925"/>
      <c r="AAN1190" s="925"/>
      <c r="AAO1190" s="925"/>
      <c r="AAP1190" s="925"/>
      <c r="AAQ1190" s="925"/>
      <c r="AAR1190" s="925"/>
      <c r="AAS1190" s="925"/>
      <c r="AAT1190" s="925"/>
      <c r="AAU1190" s="925"/>
      <c r="AAV1190" s="925"/>
      <c r="AAW1190" s="925"/>
      <c r="AAX1190" s="925"/>
      <c r="AAY1190" s="925"/>
      <c r="AAZ1190" s="925"/>
      <c r="ABA1190" s="925"/>
      <c r="ABB1190" s="925"/>
      <c r="ABC1190" s="925"/>
      <c r="ABD1190" s="925"/>
      <c r="ABE1190" s="925"/>
      <c r="ABF1190" s="925"/>
      <c r="ABG1190" s="925"/>
      <c r="ABH1190" s="925"/>
      <c r="ABI1190" s="925"/>
      <c r="ABJ1190" s="925"/>
      <c r="ABK1190" s="925"/>
      <c r="ABL1190" s="925"/>
      <c r="ABM1190" s="925"/>
      <c r="ABN1190" s="925"/>
      <c r="ABO1190" s="925"/>
      <c r="ABP1190" s="925"/>
      <c r="ABQ1190" s="925"/>
      <c r="ABR1190" s="925"/>
      <c r="ABS1190" s="925"/>
      <c r="ABT1190" s="925"/>
      <c r="ABU1190" s="925"/>
      <c r="ABV1190" s="925"/>
      <c r="ABW1190" s="925"/>
      <c r="ABX1190" s="925"/>
      <c r="ABY1190" s="925"/>
      <c r="ABZ1190" s="925"/>
      <c r="ACA1190" s="925"/>
      <c r="ACB1190" s="925"/>
      <c r="ACC1190" s="925"/>
      <c r="ACD1190" s="925"/>
      <c r="ACE1190" s="925"/>
      <c r="ACF1190" s="925"/>
      <c r="ACG1190" s="925"/>
      <c r="ACH1190" s="925"/>
      <c r="ACI1190" s="925"/>
      <c r="ACJ1190" s="925"/>
      <c r="ACK1190" s="925"/>
      <c r="ACL1190" s="925"/>
      <c r="ACM1190" s="925"/>
      <c r="ACN1190" s="925"/>
      <c r="ACO1190" s="925"/>
      <c r="ACP1190" s="925"/>
      <c r="ACQ1190" s="925"/>
      <c r="ACR1190" s="925"/>
      <c r="ACS1190" s="925"/>
      <c r="ACT1190" s="925"/>
      <c r="ACU1190" s="925"/>
      <c r="ACV1190" s="925"/>
      <c r="ACW1190" s="925"/>
      <c r="ACX1190" s="925"/>
      <c r="ACY1190" s="925"/>
      <c r="ACZ1190" s="925"/>
      <c r="ADA1190" s="925"/>
      <c r="ADB1190" s="925"/>
      <c r="ADC1190" s="925"/>
      <c r="ADD1190" s="925"/>
      <c r="ADE1190" s="925"/>
      <c r="ADF1190" s="925"/>
      <c r="ADG1190" s="925"/>
      <c r="ADH1190" s="925"/>
      <c r="ADI1190" s="925"/>
      <c r="ADJ1190" s="925"/>
      <c r="ADK1190" s="925"/>
      <c r="ADL1190" s="925"/>
      <c r="ADM1190" s="925"/>
      <c r="ADN1190" s="925"/>
      <c r="ADO1190" s="925"/>
      <c r="ADP1190" s="925"/>
      <c r="ADQ1190" s="925"/>
      <c r="ADR1190" s="925"/>
      <c r="ADS1190" s="925"/>
      <c r="ADT1190" s="925"/>
      <c r="ADU1190" s="925"/>
      <c r="ADV1190" s="925"/>
      <c r="ADW1190" s="925"/>
      <c r="ADX1190" s="925"/>
      <c r="ADY1190" s="925"/>
      <c r="ADZ1190" s="925"/>
      <c r="AEA1190" s="925"/>
      <c r="AEB1190" s="925"/>
      <c r="AEC1190" s="925"/>
      <c r="AED1190" s="925"/>
      <c r="AEE1190" s="925"/>
      <c r="AEF1190" s="925"/>
      <c r="AEG1190" s="925"/>
      <c r="AEH1190" s="925"/>
      <c r="AEI1190" s="925"/>
      <c r="AEJ1190" s="925"/>
      <c r="AEK1190" s="925"/>
      <c r="AEL1190" s="925"/>
      <c r="AEM1190" s="925"/>
      <c r="AEN1190" s="925"/>
      <c r="AEO1190" s="925"/>
      <c r="AEP1190" s="925"/>
      <c r="AEQ1190" s="925"/>
      <c r="AER1190" s="925"/>
      <c r="AES1190" s="925"/>
      <c r="AET1190" s="925"/>
      <c r="AEU1190" s="925"/>
      <c r="AEV1190" s="925"/>
      <c r="AEW1190" s="925"/>
      <c r="AEX1190" s="925"/>
      <c r="AEY1190" s="925"/>
      <c r="AEZ1190" s="925"/>
      <c r="AFA1190" s="925"/>
      <c r="AFB1190" s="925"/>
      <c r="AFC1190" s="925"/>
      <c r="AFD1190" s="925"/>
      <c r="AFE1190" s="925"/>
      <c r="AFF1190" s="925"/>
      <c r="AFG1190" s="925"/>
      <c r="AFH1190" s="925"/>
      <c r="AFI1190" s="925"/>
      <c r="AFJ1190" s="925"/>
      <c r="AFK1190" s="925"/>
      <c r="AFL1190" s="925"/>
      <c r="AFM1190" s="925"/>
      <c r="AFN1190" s="925"/>
      <c r="AFO1190" s="925"/>
      <c r="AFP1190" s="925"/>
      <c r="AFQ1190" s="925"/>
      <c r="AFR1190" s="925"/>
      <c r="AFS1190" s="925"/>
      <c r="AFT1190" s="925"/>
      <c r="AFU1190" s="925"/>
      <c r="AFV1190" s="925"/>
      <c r="AFW1190" s="925"/>
      <c r="AFX1190" s="925"/>
      <c r="AFY1190" s="925"/>
      <c r="AFZ1190" s="925"/>
      <c r="AGA1190" s="925"/>
      <c r="AGB1190" s="925"/>
      <c r="AGC1190" s="925"/>
      <c r="AGD1190" s="925"/>
      <c r="AGE1190" s="925"/>
      <c r="AGF1190" s="925"/>
      <c r="AGG1190" s="925"/>
      <c r="AGH1190" s="925"/>
      <c r="AGI1190" s="925"/>
      <c r="AGJ1190" s="925"/>
    </row>
    <row r="1191" spans="1:868" s="918" customFormat="1" hidden="1">
      <c r="A1191" s="918" t="str">
        <f>Clothing!A267</f>
        <v>Clothing (product sector)</v>
      </c>
      <c r="B1191" s="918" t="str">
        <f>Clothing!B267</f>
        <v>Apparel accessories</v>
      </c>
      <c r="C1191" s="918" t="str">
        <f>Clothing!C267</f>
        <v>NL</v>
      </c>
      <c r="D1191" s="918" t="str">
        <f>Clothing!D267</f>
        <v>PA</v>
      </c>
      <c r="E1191" s="921">
        <f>Clothing!E267</f>
        <v>1.91808665264462E-2</v>
      </c>
      <c r="F1191" s="918">
        <f>Clothing!F267</f>
        <v>1</v>
      </c>
      <c r="G1191" s="918" t="str">
        <f>Clothing!G267</f>
        <v>https://eeb.org/library/draft-product-environmental-footprint-category-rules-pefcr-apparel-and-footwear/</v>
      </c>
      <c r="H1191" s="922">
        <f>Clothing!H267</f>
        <v>2</v>
      </c>
      <c r="I1191" s="922" t="str">
        <f>Clothing!I267</f>
        <v/>
      </c>
      <c r="J1191" s="922">
        <f>Clothing!J267</f>
        <v>2</v>
      </c>
      <c r="K1191" s="922">
        <f>Clothing!K267</f>
        <v>1</v>
      </c>
      <c r="L1191" s="922">
        <f>Clothing!L267</f>
        <v>2</v>
      </c>
      <c r="M1191" s="922">
        <f>Clothing!M267</f>
        <v>3</v>
      </c>
      <c r="N1191" s="186">
        <f t="shared" si="99"/>
        <v>1.0301997916669636</v>
      </c>
      <c r="O1191" s="160" t="e">
        <f t="shared" si="100"/>
        <v>#VALUE!</v>
      </c>
      <c r="P1191" s="924"/>
      <c r="Q1191" s="925"/>
      <c r="R1191" s="925"/>
      <c r="S1191" s="925"/>
      <c r="T1191" s="925"/>
      <c r="U1191" s="925"/>
      <c r="V1191" s="925"/>
      <c r="W1191" s="925"/>
      <c r="X1191" s="925"/>
      <c r="Y1191" s="925"/>
      <c r="Z1191" s="925"/>
      <c r="AA1191" s="925"/>
      <c r="AB1191" s="925"/>
      <c r="AC1191" s="925"/>
      <c r="AD1191" s="925"/>
      <c r="AE1191" s="925"/>
      <c r="AF1191" s="925"/>
      <c r="AG1191" s="925"/>
      <c r="AH1191" s="925"/>
      <c r="AI1191" s="925"/>
      <c r="AJ1191" s="925"/>
      <c r="AK1191" s="925"/>
      <c r="AL1191" s="925"/>
      <c r="AM1191" s="925"/>
      <c r="AN1191" s="925"/>
      <c r="AO1191" s="925"/>
      <c r="AP1191" s="925"/>
      <c r="AQ1191" s="925"/>
      <c r="AR1191" s="925"/>
      <c r="AS1191" s="925"/>
      <c r="AT1191" s="925"/>
      <c r="AU1191" s="925"/>
      <c r="AV1191" s="925"/>
      <c r="AW1191" s="925"/>
      <c r="AX1191" s="925"/>
      <c r="AY1191" s="925"/>
      <c r="AZ1191" s="925"/>
      <c r="BA1191" s="925"/>
      <c r="BB1191" s="925"/>
      <c r="BC1191" s="925"/>
      <c r="BD1191" s="925"/>
      <c r="BE1191" s="925"/>
      <c r="BF1191" s="925"/>
      <c r="BG1191" s="925"/>
      <c r="BH1191" s="925"/>
      <c r="BI1191" s="925"/>
      <c r="BJ1191" s="925"/>
      <c r="BK1191" s="925"/>
      <c r="BL1191" s="925"/>
      <c r="BM1191" s="925"/>
      <c r="BN1191" s="925"/>
      <c r="BO1191" s="925"/>
      <c r="BP1191" s="925"/>
      <c r="BQ1191" s="925"/>
      <c r="BR1191" s="925"/>
      <c r="BS1191" s="925"/>
      <c r="BT1191" s="925"/>
      <c r="BU1191" s="925"/>
      <c r="BV1191" s="925"/>
      <c r="BW1191" s="925"/>
      <c r="BX1191" s="925"/>
      <c r="BY1191" s="925"/>
      <c r="BZ1191" s="925"/>
      <c r="CA1191" s="925"/>
      <c r="CB1191" s="925"/>
      <c r="CC1191" s="925"/>
      <c r="CD1191" s="925"/>
      <c r="CE1191" s="925"/>
      <c r="CF1191" s="925"/>
      <c r="CG1191" s="925"/>
      <c r="CH1191" s="925"/>
      <c r="CI1191" s="925"/>
      <c r="CJ1191" s="925"/>
      <c r="CK1191" s="925"/>
      <c r="CL1191" s="925"/>
      <c r="CM1191" s="925"/>
      <c r="CN1191" s="925"/>
      <c r="CO1191" s="925"/>
      <c r="CP1191" s="925"/>
      <c r="CQ1191" s="925"/>
      <c r="CR1191" s="925"/>
      <c r="CS1191" s="925"/>
      <c r="CT1191" s="925"/>
      <c r="CU1191" s="925"/>
      <c r="CV1191" s="925"/>
      <c r="CW1191" s="925"/>
      <c r="CX1191" s="925"/>
      <c r="CY1191" s="925"/>
      <c r="CZ1191" s="925"/>
      <c r="DA1191" s="925"/>
      <c r="DB1191" s="925"/>
      <c r="DC1191" s="925"/>
      <c r="DD1191" s="925"/>
      <c r="DE1191" s="925"/>
      <c r="DF1191" s="925"/>
      <c r="DG1191" s="925"/>
      <c r="DH1191" s="925"/>
      <c r="DI1191" s="925"/>
      <c r="DJ1191" s="925"/>
      <c r="DK1191" s="925"/>
      <c r="DL1191" s="925"/>
      <c r="DM1191" s="925"/>
      <c r="DN1191" s="925"/>
      <c r="DO1191" s="925"/>
      <c r="DP1191" s="925"/>
      <c r="DQ1191" s="925"/>
      <c r="DR1191" s="925"/>
      <c r="DS1191" s="925"/>
      <c r="DT1191" s="925"/>
      <c r="DU1191" s="925"/>
      <c r="DV1191" s="925"/>
      <c r="DW1191" s="925"/>
      <c r="DX1191" s="925"/>
      <c r="DY1191" s="925"/>
      <c r="DZ1191" s="925"/>
      <c r="EA1191" s="925"/>
      <c r="EB1191" s="925"/>
      <c r="EC1191" s="925"/>
      <c r="ED1191" s="925"/>
      <c r="EE1191" s="925"/>
      <c r="EF1191" s="925"/>
      <c r="EG1191" s="925"/>
      <c r="EH1191" s="925"/>
      <c r="EI1191" s="925"/>
      <c r="EJ1191" s="925"/>
      <c r="EK1191" s="925"/>
      <c r="EL1191" s="925"/>
      <c r="EM1191" s="925"/>
      <c r="EN1191" s="925"/>
      <c r="EO1191" s="925"/>
      <c r="EP1191" s="925"/>
      <c r="EQ1191" s="925"/>
      <c r="ER1191" s="925"/>
      <c r="ES1191" s="925"/>
      <c r="ET1191" s="925"/>
      <c r="EU1191" s="925"/>
      <c r="EV1191" s="925"/>
      <c r="EW1191" s="925"/>
      <c r="EX1191" s="925"/>
      <c r="EY1191" s="925"/>
      <c r="EZ1191" s="925"/>
      <c r="FA1191" s="925"/>
      <c r="FB1191" s="925"/>
      <c r="FC1191" s="925"/>
      <c r="FD1191" s="925"/>
      <c r="FE1191" s="925"/>
      <c r="FF1191" s="925"/>
      <c r="FG1191" s="925"/>
      <c r="FH1191" s="925"/>
      <c r="FI1191" s="925"/>
      <c r="FJ1191" s="925"/>
      <c r="FK1191" s="925"/>
      <c r="FL1191" s="925"/>
      <c r="FM1191" s="925"/>
      <c r="FN1191" s="925"/>
      <c r="FO1191" s="925"/>
      <c r="FP1191" s="925"/>
      <c r="FQ1191" s="925"/>
      <c r="FR1191" s="925"/>
      <c r="FS1191" s="925"/>
      <c r="FT1191" s="925"/>
      <c r="FU1191" s="925"/>
      <c r="FV1191" s="925"/>
      <c r="FW1191" s="925"/>
      <c r="FX1191" s="925"/>
      <c r="FY1191" s="925"/>
      <c r="FZ1191" s="925"/>
      <c r="GA1191" s="925"/>
      <c r="GB1191" s="925"/>
      <c r="GC1191" s="925"/>
      <c r="GD1191" s="925"/>
      <c r="GE1191" s="925"/>
      <c r="GF1191" s="925"/>
      <c r="GG1191" s="925"/>
      <c r="GH1191" s="925"/>
      <c r="GI1191" s="925"/>
      <c r="GJ1191" s="925"/>
      <c r="GK1191" s="925"/>
      <c r="GL1191" s="925"/>
      <c r="GM1191" s="925"/>
      <c r="GN1191" s="925"/>
      <c r="GO1191" s="925"/>
      <c r="GP1191" s="925"/>
      <c r="GQ1191" s="925"/>
      <c r="GR1191" s="925"/>
      <c r="GS1191" s="925"/>
      <c r="GT1191" s="925"/>
      <c r="GU1191" s="925"/>
      <c r="GV1191" s="925"/>
      <c r="GW1191" s="925"/>
      <c r="GX1191" s="925"/>
      <c r="GY1191" s="925"/>
      <c r="GZ1191" s="925"/>
      <c r="HA1191" s="925"/>
      <c r="HB1191" s="925"/>
      <c r="HC1191" s="925"/>
      <c r="HD1191" s="925"/>
      <c r="HE1191" s="925"/>
      <c r="HF1191" s="925"/>
      <c r="HG1191" s="925"/>
      <c r="HH1191" s="925"/>
      <c r="HI1191" s="925"/>
      <c r="HJ1191" s="925"/>
      <c r="HK1191" s="925"/>
      <c r="HL1191" s="925"/>
      <c r="HM1191" s="925"/>
      <c r="HN1191" s="925"/>
      <c r="HO1191" s="925"/>
      <c r="HP1191" s="925"/>
      <c r="HQ1191" s="925"/>
      <c r="HR1191" s="925"/>
      <c r="HS1191" s="925"/>
      <c r="HT1191" s="925"/>
      <c r="HU1191" s="925"/>
      <c r="HV1191" s="925"/>
      <c r="HW1191" s="925"/>
      <c r="HX1191" s="925"/>
      <c r="HY1191" s="925"/>
      <c r="HZ1191" s="925"/>
      <c r="IA1191" s="925"/>
      <c r="IB1191" s="925"/>
      <c r="IC1191" s="925"/>
      <c r="ID1191" s="925"/>
      <c r="IE1191" s="925"/>
      <c r="IF1191" s="925"/>
      <c r="IG1191" s="925"/>
      <c r="IH1191" s="925"/>
      <c r="II1191" s="925"/>
      <c r="IJ1191" s="925"/>
      <c r="IK1191" s="925"/>
      <c r="IL1191" s="925"/>
      <c r="IM1191" s="925"/>
      <c r="IN1191" s="925"/>
      <c r="IO1191" s="925"/>
      <c r="IP1191" s="925"/>
      <c r="IQ1191" s="925"/>
      <c r="IR1191" s="925"/>
      <c r="IS1191" s="925"/>
      <c r="IT1191" s="925"/>
      <c r="IU1191" s="925"/>
      <c r="IV1191" s="925"/>
      <c r="IW1191" s="925"/>
      <c r="IX1191" s="925"/>
      <c r="IY1191" s="925"/>
      <c r="IZ1191" s="925"/>
      <c r="JA1191" s="925"/>
      <c r="JB1191" s="925"/>
      <c r="JC1191" s="925"/>
      <c r="JD1191" s="925"/>
      <c r="JE1191" s="925"/>
      <c r="JF1191" s="925"/>
      <c r="JG1191" s="925"/>
      <c r="JH1191" s="925"/>
      <c r="JI1191" s="925"/>
      <c r="JJ1191" s="925"/>
      <c r="JK1191" s="925"/>
      <c r="JL1191" s="925"/>
      <c r="JM1191" s="925"/>
      <c r="JN1191" s="925"/>
      <c r="JO1191" s="925"/>
      <c r="JP1191" s="925"/>
      <c r="JQ1191" s="925"/>
      <c r="JR1191" s="925"/>
      <c r="JS1191" s="925"/>
      <c r="JT1191" s="925"/>
      <c r="JU1191" s="925"/>
      <c r="JV1191" s="925"/>
      <c r="JW1191" s="925"/>
      <c r="JX1191" s="925"/>
      <c r="JY1191" s="925"/>
      <c r="JZ1191" s="925"/>
      <c r="KA1191" s="925"/>
      <c r="KB1191" s="925"/>
      <c r="KC1191" s="925"/>
      <c r="KD1191" s="925"/>
      <c r="KE1191" s="925"/>
      <c r="KF1191" s="925"/>
      <c r="KG1191" s="925"/>
      <c r="KH1191" s="925"/>
      <c r="KI1191" s="925"/>
      <c r="KJ1191" s="925"/>
      <c r="KK1191" s="925"/>
      <c r="KL1191" s="925"/>
      <c r="KM1191" s="925"/>
      <c r="KN1191" s="925"/>
      <c r="KO1191" s="925"/>
      <c r="KP1191" s="925"/>
      <c r="KQ1191" s="925"/>
      <c r="KR1191" s="925"/>
      <c r="KS1191" s="925"/>
      <c r="KT1191" s="925"/>
      <c r="KU1191" s="925"/>
      <c r="KV1191" s="925"/>
      <c r="KW1191" s="925"/>
      <c r="KX1191" s="925"/>
      <c r="KY1191" s="925"/>
      <c r="KZ1191" s="925"/>
      <c r="LA1191" s="925"/>
      <c r="LB1191" s="925"/>
      <c r="LC1191" s="925"/>
      <c r="LD1191" s="925"/>
      <c r="LE1191" s="925"/>
      <c r="LF1191" s="925"/>
      <c r="LG1191" s="925"/>
      <c r="LH1191" s="925"/>
      <c r="LI1191" s="925"/>
      <c r="LJ1191" s="925"/>
      <c r="LK1191" s="925"/>
      <c r="LL1191" s="925"/>
      <c r="LM1191" s="925"/>
      <c r="LN1191" s="925"/>
      <c r="LO1191" s="925"/>
      <c r="LP1191" s="925"/>
      <c r="LQ1191" s="925"/>
      <c r="LR1191" s="925"/>
      <c r="LS1191" s="925"/>
      <c r="LT1191" s="925"/>
      <c r="LU1191" s="925"/>
      <c r="LV1191" s="925"/>
      <c r="LW1191" s="925"/>
      <c r="LX1191" s="925"/>
      <c r="LY1191" s="925"/>
      <c r="LZ1191" s="925"/>
      <c r="MA1191" s="925"/>
      <c r="MB1191" s="925"/>
      <c r="MC1191" s="925"/>
      <c r="MD1191" s="925"/>
      <c r="ME1191" s="925"/>
      <c r="MF1191" s="925"/>
      <c r="MG1191" s="925"/>
      <c r="MH1191" s="925"/>
      <c r="MI1191" s="925"/>
      <c r="MJ1191" s="925"/>
      <c r="MK1191" s="925"/>
      <c r="ML1191" s="925"/>
      <c r="MM1191" s="925"/>
      <c r="MN1191" s="925"/>
      <c r="MO1191" s="925"/>
      <c r="MP1191" s="925"/>
      <c r="MQ1191" s="925"/>
      <c r="MR1191" s="925"/>
      <c r="MS1191" s="925"/>
      <c r="MT1191" s="925"/>
      <c r="MU1191" s="925"/>
      <c r="MV1191" s="925"/>
      <c r="MW1191" s="925"/>
      <c r="MX1191" s="925"/>
      <c r="MY1191" s="925"/>
      <c r="MZ1191" s="925"/>
      <c r="NA1191" s="925"/>
      <c r="NB1191" s="925"/>
      <c r="NC1191" s="925"/>
      <c r="ND1191" s="925"/>
      <c r="NE1191" s="925"/>
      <c r="NF1191" s="925"/>
      <c r="NG1191" s="925"/>
      <c r="NH1191" s="925"/>
      <c r="NI1191" s="925"/>
      <c r="NJ1191" s="925"/>
      <c r="NK1191" s="925"/>
      <c r="NL1191" s="925"/>
      <c r="NM1191" s="925"/>
      <c r="NN1191" s="925"/>
      <c r="NO1191" s="925"/>
      <c r="NP1191" s="925"/>
      <c r="NQ1191" s="925"/>
      <c r="NR1191" s="925"/>
      <c r="NS1191" s="925"/>
      <c r="NT1191" s="925"/>
      <c r="NU1191" s="925"/>
      <c r="NV1191" s="925"/>
      <c r="NW1191" s="925"/>
      <c r="NX1191" s="925"/>
      <c r="NY1191" s="925"/>
      <c r="NZ1191" s="925"/>
      <c r="OA1191" s="925"/>
      <c r="OB1191" s="925"/>
      <c r="OC1191" s="925"/>
      <c r="OD1191" s="925"/>
      <c r="OE1191" s="925"/>
      <c r="OF1191" s="925"/>
      <c r="OG1191" s="925"/>
      <c r="OH1191" s="925"/>
      <c r="OI1191" s="925"/>
      <c r="OJ1191" s="925"/>
      <c r="OK1191" s="925"/>
      <c r="OL1191" s="925"/>
      <c r="OM1191" s="925"/>
      <c r="ON1191" s="925"/>
      <c r="OO1191" s="925"/>
      <c r="OP1191" s="925"/>
      <c r="OQ1191" s="925"/>
      <c r="OR1191" s="925"/>
      <c r="OS1191" s="925"/>
      <c r="OT1191" s="925"/>
      <c r="OU1191" s="925"/>
      <c r="OV1191" s="925"/>
      <c r="OW1191" s="925"/>
      <c r="OX1191" s="925"/>
      <c r="OY1191" s="925"/>
      <c r="OZ1191" s="925"/>
      <c r="PA1191" s="925"/>
      <c r="PB1191" s="925"/>
      <c r="PC1191" s="925"/>
      <c r="PD1191" s="925"/>
      <c r="PE1191" s="925"/>
      <c r="PF1191" s="925"/>
      <c r="PG1191" s="925"/>
      <c r="PH1191" s="925"/>
      <c r="PI1191" s="925"/>
      <c r="PJ1191" s="925"/>
      <c r="PK1191" s="925"/>
      <c r="PL1191" s="925"/>
      <c r="PM1191" s="925"/>
      <c r="PN1191" s="925"/>
      <c r="PO1191" s="925"/>
      <c r="PP1191" s="925"/>
      <c r="PQ1191" s="925"/>
      <c r="PR1191" s="925"/>
      <c r="PS1191" s="925"/>
      <c r="PT1191" s="925"/>
      <c r="PU1191" s="925"/>
      <c r="PV1191" s="925"/>
      <c r="PW1191" s="925"/>
      <c r="PX1191" s="925"/>
      <c r="PY1191" s="925"/>
      <c r="PZ1191" s="925"/>
      <c r="QA1191" s="925"/>
      <c r="QB1191" s="925"/>
      <c r="QC1191" s="925"/>
      <c r="QD1191" s="925"/>
      <c r="QE1191" s="925"/>
      <c r="QF1191" s="925"/>
      <c r="QG1191" s="925"/>
      <c r="QH1191" s="925"/>
      <c r="QI1191" s="925"/>
      <c r="QJ1191" s="925"/>
      <c r="QK1191" s="925"/>
      <c r="QL1191" s="925"/>
      <c r="QM1191" s="925"/>
      <c r="QN1191" s="925"/>
      <c r="QO1191" s="925"/>
      <c r="QP1191" s="925"/>
      <c r="QQ1191" s="925"/>
      <c r="QR1191" s="925"/>
      <c r="QS1191" s="925"/>
      <c r="QT1191" s="925"/>
      <c r="QU1191" s="925"/>
      <c r="QV1191" s="925"/>
      <c r="QW1191" s="925"/>
      <c r="QX1191" s="925"/>
      <c r="QY1191" s="925"/>
      <c r="QZ1191" s="925"/>
      <c r="RA1191" s="925"/>
      <c r="RB1191" s="925"/>
      <c r="RC1191" s="925"/>
      <c r="RD1191" s="925"/>
      <c r="RE1191" s="925"/>
      <c r="RF1191" s="925"/>
      <c r="RG1191" s="925"/>
      <c r="RH1191" s="925"/>
      <c r="RI1191" s="925"/>
      <c r="RJ1191" s="925"/>
      <c r="RK1191" s="925"/>
      <c r="RL1191" s="925"/>
      <c r="RM1191" s="925"/>
      <c r="RN1191" s="925"/>
      <c r="RO1191" s="925"/>
      <c r="RP1191" s="925"/>
      <c r="RQ1191" s="925"/>
      <c r="RR1191" s="925"/>
      <c r="RS1191" s="925"/>
      <c r="RT1191" s="925"/>
      <c r="RU1191" s="925"/>
      <c r="RV1191" s="925"/>
      <c r="RW1191" s="925"/>
      <c r="RX1191" s="925"/>
      <c r="RY1191" s="925"/>
      <c r="RZ1191" s="925"/>
      <c r="SA1191" s="925"/>
      <c r="SB1191" s="925"/>
      <c r="SC1191" s="925"/>
      <c r="SD1191" s="925"/>
      <c r="SE1191" s="925"/>
      <c r="SF1191" s="925"/>
      <c r="SG1191" s="925"/>
      <c r="SH1191" s="925"/>
      <c r="SI1191" s="925"/>
      <c r="SJ1191" s="925"/>
      <c r="SK1191" s="925"/>
      <c r="SL1191" s="925"/>
      <c r="SM1191" s="925"/>
      <c r="SN1191" s="925"/>
      <c r="SO1191" s="925"/>
      <c r="SP1191" s="925"/>
      <c r="SQ1191" s="925"/>
      <c r="SR1191" s="925"/>
      <c r="SS1191" s="925"/>
      <c r="ST1191" s="925"/>
      <c r="SU1191" s="925"/>
      <c r="SV1191" s="925"/>
      <c r="SW1191" s="925"/>
      <c r="SX1191" s="925"/>
      <c r="SY1191" s="925"/>
      <c r="SZ1191" s="925"/>
      <c r="TA1191" s="925"/>
      <c r="TB1191" s="925"/>
      <c r="TC1191" s="925"/>
      <c r="TD1191" s="925"/>
      <c r="TE1191" s="925"/>
      <c r="TF1191" s="925"/>
      <c r="TG1191" s="925"/>
      <c r="TH1191" s="925"/>
      <c r="TI1191" s="925"/>
      <c r="TJ1191" s="925"/>
      <c r="TK1191" s="925"/>
      <c r="TL1191" s="925"/>
      <c r="TM1191" s="925"/>
      <c r="TN1191" s="925"/>
      <c r="TO1191" s="925"/>
      <c r="TP1191" s="925"/>
      <c r="TQ1191" s="925"/>
      <c r="TR1191" s="925"/>
      <c r="TS1191" s="925"/>
      <c r="TT1191" s="925"/>
      <c r="TU1191" s="925"/>
      <c r="TV1191" s="925"/>
      <c r="TW1191" s="925"/>
      <c r="TX1191" s="925"/>
      <c r="TY1191" s="925"/>
      <c r="TZ1191" s="925"/>
      <c r="UA1191" s="925"/>
      <c r="UB1191" s="925"/>
      <c r="UC1191" s="925"/>
      <c r="UD1191" s="925"/>
      <c r="UE1191" s="925"/>
      <c r="UF1191" s="925"/>
      <c r="UG1191" s="925"/>
      <c r="UH1191" s="925"/>
      <c r="UI1191" s="925"/>
      <c r="UJ1191" s="925"/>
      <c r="UK1191" s="925"/>
      <c r="UL1191" s="925"/>
      <c r="UM1191" s="925"/>
      <c r="UN1191" s="925"/>
      <c r="UO1191" s="925"/>
      <c r="UP1191" s="925"/>
      <c r="UQ1191" s="925"/>
      <c r="UR1191" s="925"/>
      <c r="US1191" s="925"/>
      <c r="UT1191" s="925"/>
      <c r="UU1191" s="925"/>
      <c r="UV1191" s="925"/>
      <c r="UW1191" s="925"/>
      <c r="UX1191" s="925"/>
      <c r="UY1191" s="925"/>
      <c r="UZ1191" s="925"/>
      <c r="VA1191" s="925"/>
      <c r="VB1191" s="925"/>
      <c r="VC1191" s="925"/>
      <c r="VD1191" s="925"/>
      <c r="VE1191" s="925"/>
      <c r="VF1191" s="925"/>
      <c r="VG1191" s="925"/>
      <c r="VH1191" s="925"/>
      <c r="VI1191" s="925"/>
      <c r="VJ1191" s="925"/>
      <c r="VK1191" s="925"/>
      <c r="VL1191" s="925"/>
      <c r="VM1191" s="925"/>
      <c r="VN1191" s="925"/>
      <c r="VO1191" s="925"/>
      <c r="VP1191" s="925"/>
      <c r="VQ1191" s="925"/>
      <c r="VR1191" s="925"/>
      <c r="VS1191" s="925"/>
      <c r="VT1191" s="925"/>
      <c r="VU1191" s="925"/>
      <c r="VV1191" s="925"/>
      <c r="VW1191" s="925"/>
      <c r="VX1191" s="925"/>
      <c r="VY1191" s="925"/>
      <c r="VZ1191" s="925"/>
      <c r="WA1191" s="925"/>
      <c r="WB1191" s="925"/>
      <c r="WC1191" s="925"/>
      <c r="WD1191" s="925"/>
      <c r="WE1191" s="925"/>
      <c r="WF1191" s="925"/>
      <c r="WG1191" s="925"/>
      <c r="WH1191" s="925"/>
      <c r="WI1191" s="925"/>
      <c r="WJ1191" s="925"/>
      <c r="WK1191" s="925"/>
      <c r="WL1191" s="925"/>
      <c r="WM1191" s="925"/>
      <c r="WN1191" s="925"/>
      <c r="WO1191" s="925"/>
      <c r="WP1191" s="925"/>
      <c r="WQ1191" s="925"/>
      <c r="WR1191" s="925"/>
      <c r="WS1191" s="925"/>
      <c r="WT1191" s="925"/>
      <c r="WU1191" s="925"/>
      <c r="WV1191" s="925"/>
      <c r="WW1191" s="925"/>
      <c r="WX1191" s="925"/>
      <c r="WY1191" s="925"/>
      <c r="WZ1191" s="925"/>
      <c r="XA1191" s="925"/>
      <c r="XB1191" s="925"/>
      <c r="XC1191" s="925"/>
      <c r="XD1191" s="925"/>
      <c r="XE1191" s="925"/>
      <c r="XF1191" s="925"/>
      <c r="XG1191" s="925"/>
      <c r="XH1191" s="925"/>
      <c r="XI1191" s="925"/>
      <c r="XJ1191" s="925"/>
      <c r="XK1191" s="925"/>
      <c r="XL1191" s="925"/>
      <c r="XM1191" s="925"/>
      <c r="XN1191" s="925"/>
      <c r="XO1191" s="925"/>
      <c r="XP1191" s="925"/>
      <c r="XQ1191" s="925"/>
      <c r="XR1191" s="925"/>
      <c r="XS1191" s="925"/>
      <c r="XT1191" s="925"/>
      <c r="XU1191" s="925"/>
      <c r="XV1191" s="925"/>
      <c r="XW1191" s="925"/>
      <c r="XX1191" s="925"/>
      <c r="XY1191" s="925"/>
      <c r="XZ1191" s="925"/>
      <c r="YA1191" s="925"/>
      <c r="YB1191" s="925"/>
      <c r="YC1191" s="925"/>
      <c r="YD1191" s="925"/>
      <c r="YE1191" s="925"/>
      <c r="YF1191" s="925"/>
      <c r="YG1191" s="925"/>
      <c r="YH1191" s="925"/>
      <c r="YI1191" s="925"/>
      <c r="YJ1191" s="925"/>
      <c r="YK1191" s="925"/>
      <c r="YL1191" s="925"/>
      <c r="YM1191" s="925"/>
      <c r="YN1191" s="925"/>
      <c r="YO1191" s="925"/>
      <c r="YP1191" s="925"/>
      <c r="YQ1191" s="925"/>
      <c r="YR1191" s="925"/>
      <c r="YS1191" s="925"/>
      <c r="YT1191" s="925"/>
      <c r="YU1191" s="925"/>
      <c r="YV1191" s="925"/>
      <c r="YW1191" s="925"/>
      <c r="YX1191" s="925"/>
      <c r="YY1191" s="925"/>
      <c r="YZ1191" s="925"/>
      <c r="ZA1191" s="925"/>
      <c r="ZB1191" s="925"/>
      <c r="ZC1191" s="925"/>
      <c r="ZD1191" s="925"/>
      <c r="ZE1191" s="925"/>
      <c r="ZF1191" s="925"/>
      <c r="ZG1191" s="925"/>
      <c r="ZH1191" s="925"/>
      <c r="ZI1191" s="925"/>
      <c r="ZJ1191" s="925"/>
      <c r="ZK1191" s="925"/>
      <c r="ZL1191" s="925"/>
      <c r="ZM1191" s="925"/>
      <c r="ZN1191" s="925"/>
      <c r="ZO1191" s="925"/>
      <c r="ZP1191" s="925"/>
      <c r="ZQ1191" s="925"/>
      <c r="ZR1191" s="925"/>
      <c r="ZS1191" s="925"/>
      <c r="ZT1191" s="925"/>
      <c r="ZU1191" s="925"/>
      <c r="ZV1191" s="925"/>
      <c r="ZW1191" s="925"/>
      <c r="ZX1191" s="925"/>
      <c r="ZY1191" s="925"/>
      <c r="ZZ1191" s="925"/>
      <c r="AAA1191" s="925"/>
      <c r="AAB1191" s="925"/>
      <c r="AAC1191" s="925"/>
      <c r="AAD1191" s="925"/>
      <c r="AAE1191" s="925"/>
      <c r="AAF1191" s="925"/>
      <c r="AAG1191" s="925"/>
      <c r="AAH1191" s="925"/>
      <c r="AAI1191" s="925"/>
      <c r="AAJ1191" s="925"/>
      <c r="AAK1191" s="925"/>
      <c r="AAL1191" s="925"/>
      <c r="AAM1191" s="925"/>
      <c r="AAN1191" s="925"/>
      <c r="AAO1191" s="925"/>
      <c r="AAP1191" s="925"/>
      <c r="AAQ1191" s="925"/>
      <c r="AAR1191" s="925"/>
      <c r="AAS1191" s="925"/>
      <c r="AAT1191" s="925"/>
      <c r="AAU1191" s="925"/>
      <c r="AAV1191" s="925"/>
      <c r="AAW1191" s="925"/>
      <c r="AAX1191" s="925"/>
      <c r="AAY1191" s="925"/>
      <c r="AAZ1191" s="925"/>
      <c r="ABA1191" s="925"/>
      <c r="ABB1191" s="925"/>
      <c r="ABC1191" s="925"/>
      <c r="ABD1191" s="925"/>
      <c r="ABE1191" s="925"/>
      <c r="ABF1191" s="925"/>
      <c r="ABG1191" s="925"/>
      <c r="ABH1191" s="925"/>
      <c r="ABI1191" s="925"/>
      <c r="ABJ1191" s="925"/>
      <c r="ABK1191" s="925"/>
      <c r="ABL1191" s="925"/>
      <c r="ABM1191" s="925"/>
      <c r="ABN1191" s="925"/>
      <c r="ABO1191" s="925"/>
      <c r="ABP1191" s="925"/>
      <c r="ABQ1191" s="925"/>
      <c r="ABR1191" s="925"/>
      <c r="ABS1191" s="925"/>
      <c r="ABT1191" s="925"/>
      <c r="ABU1191" s="925"/>
      <c r="ABV1191" s="925"/>
      <c r="ABW1191" s="925"/>
      <c r="ABX1191" s="925"/>
      <c r="ABY1191" s="925"/>
      <c r="ABZ1191" s="925"/>
      <c r="ACA1191" s="925"/>
      <c r="ACB1191" s="925"/>
      <c r="ACC1191" s="925"/>
      <c r="ACD1191" s="925"/>
      <c r="ACE1191" s="925"/>
      <c r="ACF1191" s="925"/>
      <c r="ACG1191" s="925"/>
      <c r="ACH1191" s="925"/>
      <c r="ACI1191" s="925"/>
      <c r="ACJ1191" s="925"/>
      <c r="ACK1191" s="925"/>
      <c r="ACL1191" s="925"/>
      <c r="ACM1191" s="925"/>
      <c r="ACN1191" s="925"/>
      <c r="ACO1191" s="925"/>
      <c r="ACP1191" s="925"/>
      <c r="ACQ1191" s="925"/>
      <c r="ACR1191" s="925"/>
      <c r="ACS1191" s="925"/>
      <c r="ACT1191" s="925"/>
      <c r="ACU1191" s="925"/>
      <c r="ACV1191" s="925"/>
      <c r="ACW1191" s="925"/>
      <c r="ACX1191" s="925"/>
      <c r="ACY1191" s="925"/>
      <c r="ACZ1191" s="925"/>
      <c r="ADA1191" s="925"/>
      <c r="ADB1191" s="925"/>
      <c r="ADC1191" s="925"/>
      <c r="ADD1191" s="925"/>
      <c r="ADE1191" s="925"/>
      <c r="ADF1191" s="925"/>
      <c r="ADG1191" s="925"/>
      <c r="ADH1191" s="925"/>
      <c r="ADI1191" s="925"/>
      <c r="ADJ1191" s="925"/>
      <c r="ADK1191" s="925"/>
      <c r="ADL1191" s="925"/>
      <c r="ADM1191" s="925"/>
      <c r="ADN1191" s="925"/>
      <c r="ADO1191" s="925"/>
      <c r="ADP1191" s="925"/>
      <c r="ADQ1191" s="925"/>
      <c r="ADR1191" s="925"/>
      <c r="ADS1191" s="925"/>
      <c r="ADT1191" s="925"/>
      <c r="ADU1191" s="925"/>
      <c r="ADV1191" s="925"/>
      <c r="ADW1191" s="925"/>
      <c r="ADX1191" s="925"/>
      <c r="ADY1191" s="925"/>
      <c r="ADZ1191" s="925"/>
      <c r="AEA1191" s="925"/>
      <c r="AEB1191" s="925"/>
      <c r="AEC1191" s="925"/>
      <c r="AED1191" s="925"/>
      <c r="AEE1191" s="925"/>
      <c r="AEF1191" s="925"/>
      <c r="AEG1191" s="925"/>
      <c r="AEH1191" s="925"/>
      <c r="AEI1191" s="925"/>
      <c r="AEJ1191" s="925"/>
      <c r="AEK1191" s="925"/>
      <c r="AEL1191" s="925"/>
      <c r="AEM1191" s="925"/>
      <c r="AEN1191" s="925"/>
      <c r="AEO1191" s="925"/>
      <c r="AEP1191" s="925"/>
      <c r="AEQ1191" s="925"/>
      <c r="AER1191" s="925"/>
      <c r="AES1191" s="925"/>
      <c r="AET1191" s="925"/>
      <c r="AEU1191" s="925"/>
      <c r="AEV1191" s="925"/>
      <c r="AEW1191" s="925"/>
      <c r="AEX1191" s="925"/>
      <c r="AEY1191" s="925"/>
      <c r="AEZ1191" s="925"/>
      <c r="AFA1191" s="925"/>
      <c r="AFB1191" s="925"/>
      <c r="AFC1191" s="925"/>
      <c r="AFD1191" s="925"/>
      <c r="AFE1191" s="925"/>
      <c r="AFF1191" s="925"/>
      <c r="AFG1191" s="925"/>
      <c r="AFH1191" s="925"/>
      <c r="AFI1191" s="925"/>
      <c r="AFJ1191" s="925"/>
      <c r="AFK1191" s="925"/>
      <c r="AFL1191" s="925"/>
      <c r="AFM1191" s="925"/>
      <c r="AFN1191" s="925"/>
      <c r="AFO1191" s="925"/>
      <c r="AFP1191" s="925"/>
      <c r="AFQ1191" s="925"/>
      <c r="AFR1191" s="925"/>
      <c r="AFS1191" s="925"/>
      <c r="AFT1191" s="925"/>
      <c r="AFU1191" s="925"/>
      <c r="AFV1191" s="925"/>
      <c r="AFW1191" s="925"/>
      <c r="AFX1191" s="925"/>
      <c r="AFY1191" s="925"/>
      <c r="AFZ1191" s="925"/>
      <c r="AGA1191" s="925"/>
      <c r="AGB1191" s="925"/>
      <c r="AGC1191" s="925"/>
      <c r="AGD1191" s="925"/>
      <c r="AGE1191" s="925"/>
      <c r="AGF1191" s="925"/>
      <c r="AGG1191" s="925"/>
      <c r="AGH1191" s="925"/>
      <c r="AGI1191" s="925"/>
      <c r="AGJ1191" s="925"/>
    </row>
    <row r="1192" spans="1:868" s="918" customFormat="1" hidden="1">
      <c r="A1192" s="918" t="str">
        <f>Clothing!A268</f>
        <v>Clothing (product sector)</v>
      </c>
      <c r="B1192" s="918" t="str">
        <f>Clothing!B268</f>
        <v>Apparel accessories</v>
      </c>
      <c r="C1192" s="918" t="str">
        <f>Clothing!C268</f>
        <v>NL</v>
      </c>
      <c r="D1192" s="918" t="str">
        <f>Clothing!D268</f>
        <v>PET</v>
      </c>
      <c r="E1192" s="921">
        <f>Clothing!E268</f>
        <v>3.08402494327908E-2</v>
      </c>
      <c r="F1192" s="918">
        <f>Clothing!F268</f>
        <v>1</v>
      </c>
      <c r="G1192" s="918" t="str">
        <f>Clothing!G268</f>
        <v>https://eeb.org/library/draft-product-environmental-footprint-category-rules-pefcr-apparel-and-footwear/</v>
      </c>
      <c r="H1192" s="922">
        <f>Clothing!H268</f>
        <v>2</v>
      </c>
      <c r="I1192" s="922" t="str">
        <f>Clothing!I268</f>
        <v/>
      </c>
      <c r="J1192" s="922">
        <f>Clothing!J268</f>
        <v>2</v>
      </c>
      <c r="K1192" s="922">
        <f>Clothing!K268</f>
        <v>1</v>
      </c>
      <c r="L1192" s="922">
        <f>Clothing!L268</f>
        <v>2</v>
      </c>
      <c r="M1192" s="922">
        <f>Clothing!M268</f>
        <v>3</v>
      </c>
      <c r="N1192" s="186">
        <f t="shared" si="99"/>
        <v>1.0301997916669636</v>
      </c>
      <c r="O1192" s="160" t="e">
        <f t="shared" si="100"/>
        <v>#VALUE!</v>
      </c>
      <c r="P1192" s="924"/>
      <c r="Q1192" s="925"/>
      <c r="R1192" s="925"/>
      <c r="S1192" s="925"/>
      <c r="T1192" s="925"/>
      <c r="U1192" s="925"/>
      <c r="V1192" s="925"/>
      <c r="W1192" s="925"/>
      <c r="X1192" s="925"/>
      <c r="Y1192" s="925"/>
      <c r="Z1192" s="925"/>
      <c r="AA1192" s="925"/>
      <c r="AB1192" s="925"/>
      <c r="AC1192" s="925"/>
      <c r="AD1192" s="925"/>
      <c r="AE1192" s="925"/>
      <c r="AF1192" s="925"/>
      <c r="AG1192" s="925"/>
      <c r="AH1192" s="925"/>
      <c r="AI1192" s="925"/>
      <c r="AJ1192" s="925"/>
      <c r="AK1192" s="925"/>
      <c r="AL1192" s="925"/>
      <c r="AM1192" s="925"/>
      <c r="AN1192" s="925"/>
      <c r="AO1192" s="925"/>
      <c r="AP1192" s="925"/>
      <c r="AQ1192" s="925"/>
      <c r="AR1192" s="925"/>
      <c r="AS1192" s="925"/>
      <c r="AT1192" s="925"/>
      <c r="AU1192" s="925"/>
      <c r="AV1192" s="925"/>
      <c r="AW1192" s="925"/>
      <c r="AX1192" s="925"/>
      <c r="AY1192" s="925"/>
      <c r="AZ1192" s="925"/>
      <c r="BA1192" s="925"/>
      <c r="BB1192" s="925"/>
      <c r="BC1192" s="925"/>
      <c r="BD1192" s="925"/>
      <c r="BE1192" s="925"/>
      <c r="BF1192" s="925"/>
      <c r="BG1192" s="925"/>
      <c r="BH1192" s="925"/>
      <c r="BI1192" s="925"/>
      <c r="BJ1192" s="925"/>
      <c r="BK1192" s="925"/>
      <c r="BL1192" s="925"/>
      <c r="BM1192" s="925"/>
      <c r="BN1192" s="925"/>
      <c r="BO1192" s="925"/>
      <c r="BP1192" s="925"/>
      <c r="BQ1192" s="925"/>
      <c r="BR1192" s="925"/>
      <c r="BS1192" s="925"/>
      <c r="BT1192" s="925"/>
      <c r="BU1192" s="925"/>
      <c r="BV1192" s="925"/>
      <c r="BW1192" s="925"/>
      <c r="BX1192" s="925"/>
      <c r="BY1192" s="925"/>
      <c r="BZ1192" s="925"/>
      <c r="CA1192" s="925"/>
      <c r="CB1192" s="925"/>
      <c r="CC1192" s="925"/>
      <c r="CD1192" s="925"/>
      <c r="CE1192" s="925"/>
      <c r="CF1192" s="925"/>
      <c r="CG1192" s="925"/>
      <c r="CH1192" s="925"/>
      <c r="CI1192" s="925"/>
      <c r="CJ1192" s="925"/>
      <c r="CK1192" s="925"/>
      <c r="CL1192" s="925"/>
      <c r="CM1192" s="925"/>
      <c r="CN1192" s="925"/>
      <c r="CO1192" s="925"/>
      <c r="CP1192" s="925"/>
      <c r="CQ1192" s="925"/>
      <c r="CR1192" s="925"/>
      <c r="CS1192" s="925"/>
      <c r="CT1192" s="925"/>
      <c r="CU1192" s="925"/>
      <c r="CV1192" s="925"/>
      <c r="CW1192" s="925"/>
      <c r="CX1192" s="925"/>
      <c r="CY1192" s="925"/>
      <c r="CZ1192" s="925"/>
      <c r="DA1192" s="925"/>
      <c r="DB1192" s="925"/>
      <c r="DC1192" s="925"/>
      <c r="DD1192" s="925"/>
      <c r="DE1192" s="925"/>
      <c r="DF1192" s="925"/>
      <c r="DG1192" s="925"/>
      <c r="DH1192" s="925"/>
      <c r="DI1192" s="925"/>
      <c r="DJ1192" s="925"/>
      <c r="DK1192" s="925"/>
      <c r="DL1192" s="925"/>
      <c r="DM1192" s="925"/>
      <c r="DN1192" s="925"/>
      <c r="DO1192" s="925"/>
      <c r="DP1192" s="925"/>
      <c r="DQ1192" s="925"/>
      <c r="DR1192" s="925"/>
      <c r="DS1192" s="925"/>
      <c r="DT1192" s="925"/>
      <c r="DU1192" s="925"/>
      <c r="DV1192" s="925"/>
      <c r="DW1192" s="925"/>
      <c r="DX1192" s="925"/>
      <c r="DY1192" s="925"/>
      <c r="DZ1192" s="925"/>
      <c r="EA1192" s="925"/>
      <c r="EB1192" s="925"/>
      <c r="EC1192" s="925"/>
      <c r="ED1192" s="925"/>
      <c r="EE1192" s="925"/>
      <c r="EF1192" s="925"/>
      <c r="EG1192" s="925"/>
      <c r="EH1192" s="925"/>
      <c r="EI1192" s="925"/>
      <c r="EJ1192" s="925"/>
      <c r="EK1192" s="925"/>
      <c r="EL1192" s="925"/>
      <c r="EM1192" s="925"/>
      <c r="EN1192" s="925"/>
      <c r="EO1192" s="925"/>
      <c r="EP1192" s="925"/>
      <c r="EQ1192" s="925"/>
      <c r="ER1192" s="925"/>
      <c r="ES1192" s="925"/>
      <c r="ET1192" s="925"/>
      <c r="EU1192" s="925"/>
      <c r="EV1192" s="925"/>
      <c r="EW1192" s="925"/>
      <c r="EX1192" s="925"/>
      <c r="EY1192" s="925"/>
      <c r="EZ1192" s="925"/>
      <c r="FA1192" s="925"/>
      <c r="FB1192" s="925"/>
      <c r="FC1192" s="925"/>
      <c r="FD1192" s="925"/>
      <c r="FE1192" s="925"/>
      <c r="FF1192" s="925"/>
      <c r="FG1192" s="925"/>
      <c r="FH1192" s="925"/>
      <c r="FI1192" s="925"/>
      <c r="FJ1192" s="925"/>
      <c r="FK1192" s="925"/>
      <c r="FL1192" s="925"/>
      <c r="FM1192" s="925"/>
      <c r="FN1192" s="925"/>
      <c r="FO1192" s="925"/>
      <c r="FP1192" s="925"/>
      <c r="FQ1192" s="925"/>
      <c r="FR1192" s="925"/>
      <c r="FS1192" s="925"/>
      <c r="FT1192" s="925"/>
      <c r="FU1192" s="925"/>
      <c r="FV1192" s="925"/>
      <c r="FW1192" s="925"/>
      <c r="FX1192" s="925"/>
      <c r="FY1192" s="925"/>
      <c r="FZ1192" s="925"/>
      <c r="GA1192" s="925"/>
      <c r="GB1192" s="925"/>
      <c r="GC1192" s="925"/>
      <c r="GD1192" s="925"/>
      <c r="GE1192" s="925"/>
      <c r="GF1192" s="925"/>
      <c r="GG1192" s="925"/>
      <c r="GH1192" s="925"/>
      <c r="GI1192" s="925"/>
      <c r="GJ1192" s="925"/>
      <c r="GK1192" s="925"/>
      <c r="GL1192" s="925"/>
      <c r="GM1192" s="925"/>
      <c r="GN1192" s="925"/>
      <c r="GO1192" s="925"/>
      <c r="GP1192" s="925"/>
      <c r="GQ1192" s="925"/>
      <c r="GR1192" s="925"/>
      <c r="GS1192" s="925"/>
      <c r="GT1192" s="925"/>
      <c r="GU1192" s="925"/>
      <c r="GV1192" s="925"/>
      <c r="GW1192" s="925"/>
      <c r="GX1192" s="925"/>
      <c r="GY1192" s="925"/>
      <c r="GZ1192" s="925"/>
      <c r="HA1192" s="925"/>
      <c r="HB1192" s="925"/>
      <c r="HC1192" s="925"/>
      <c r="HD1192" s="925"/>
      <c r="HE1192" s="925"/>
      <c r="HF1192" s="925"/>
      <c r="HG1192" s="925"/>
      <c r="HH1192" s="925"/>
      <c r="HI1192" s="925"/>
      <c r="HJ1192" s="925"/>
      <c r="HK1192" s="925"/>
      <c r="HL1192" s="925"/>
      <c r="HM1192" s="925"/>
      <c r="HN1192" s="925"/>
      <c r="HO1192" s="925"/>
      <c r="HP1192" s="925"/>
      <c r="HQ1192" s="925"/>
      <c r="HR1192" s="925"/>
      <c r="HS1192" s="925"/>
      <c r="HT1192" s="925"/>
      <c r="HU1192" s="925"/>
      <c r="HV1192" s="925"/>
      <c r="HW1192" s="925"/>
      <c r="HX1192" s="925"/>
      <c r="HY1192" s="925"/>
      <c r="HZ1192" s="925"/>
      <c r="IA1192" s="925"/>
      <c r="IB1192" s="925"/>
      <c r="IC1192" s="925"/>
      <c r="ID1192" s="925"/>
      <c r="IE1192" s="925"/>
      <c r="IF1192" s="925"/>
      <c r="IG1192" s="925"/>
      <c r="IH1192" s="925"/>
      <c r="II1192" s="925"/>
      <c r="IJ1192" s="925"/>
      <c r="IK1192" s="925"/>
      <c r="IL1192" s="925"/>
      <c r="IM1192" s="925"/>
      <c r="IN1192" s="925"/>
      <c r="IO1192" s="925"/>
      <c r="IP1192" s="925"/>
      <c r="IQ1192" s="925"/>
      <c r="IR1192" s="925"/>
      <c r="IS1192" s="925"/>
      <c r="IT1192" s="925"/>
      <c r="IU1192" s="925"/>
      <c r="IV1192" s="925"/>
      <c r="IW1192" s="925"/>
      <c r="IX1192" s="925"/>
      <c r="IY1192" s="925"/>
      <c r="IZ1192" s="925"/>
      <c r="JA1192" s="925"/>
      <c r="JB1192" s="925"/>
      <c r="JC1192" s="925"/>
      <c r="JD1192" s="925"/>
      <c r="JE1192" s="925"/>
      <c r="JF1192" s="925"/>
      <c r="JG1192" s="925"/>
      <c r="JH1192" s="925"/>
      <c r="JI1192" s="925"/>
      <c r="JJ1192" s="925"/>
      <c r="JK1192" s="925"/>
      <c r="JL1192" s="925"/>
      <c r="JM1192" s="925"/>
      <c r="JN1192" s="925"/>
      <c r="JO1192" s="925"/>
      <c r="JP1192" s="925"/>
      <c r="JQ1192" s="925"/>
      <c r="JR1192" s="925"/>
      <c r="JS1192" s="925"/>
      <c r="JT1192" s="925"/>
      <c r="JU1192" s="925"/>
      <c r="JV1192" s="925"/>
      <c r="JW1192" s="925"/>
      <c r="JX1192" s="925"/>
      <c r="JY1192" s="925"/>
      <c r="JZ1192" s="925"/>
      <c r="KA1192" s="925"/>
      <c r="KB1192" s="925"/>
      <c r="KC1192" s="925"/>
      <c r="KD1192" s="925"/>
      <c r="KE1192" s="925"/>
      <c r="KF1192" s="925"/>
      <c r="KG1192" s="925"/>
      <c r="KH1192" s="925"/>
      <c r="KI1192" s="925"/>
      <c r="KJ1192" s="925"/>
      <c r="KK1192" s="925"/>
      <c r="KL1192" s="925"/>
      <c r="KM1192" s="925"/>
      <c r="KN1192" s="925"/>
      <c r="KO1192" s="925"/>
      <c r="KP1192" s="925"/>
      <c r="KQ1192" s="925"/>
      <c r="KR1192" s="925"/>
      <c r="KS1192" s="925"/>
      <c r="KT1192" s="925"/>
      <c r="KU1192" s="925"/>
      <c r="KV1192" s="925"/>
      <c r="KW1192" s="925"/>
      <c r="KX1192" s="925"/>
      <c r="KY1192" s="925"/>
      <c r="KZ1192" s="925"/>
      <c r="LA1192" s="925"/>
      <c r="LB1192" s="925"/>
      <c r="LC1192" s="925"/>
      <c r="LD1192" s="925"/>
      <c r="LE1192" s="925"/>
      <c r="LF1192" s="925"/>
      <c r="LG1192" s="925"/>
      <c r="LH1192" s="925"/>
      <c r="LI1192" s="925"/>
      <c r="LJ1192" s="925"/>
      <c r="LK1192" s="925"/>
      <c r="LL1192" s="925"/>
      <c r="LM1192" s="925"/>
      <c r="LN1192" s="925"/>
      <c r="LO1192" s="925"/>
      <c r="LP1192" s="925"/>
      <c r="LQ1192" s="925"/>
      <c r="LR1192" s="925"/>
      <c r="LS1192" s="925"/>
      <c r="LT1192" s="925"/>
      <c r="LU1192" s="925"/>
      <c r="LV1192" s="925"/>
      <c r="LW1192" s="925"/>
      <c r="LX1192" s="925"/>
      <c r="LY1192" s="925"/>
      <c r="LZ1192" s="925"/>
      <c r="MA1192" s="925"/>
      <c r="MB1192" s="925"/>
      <c r="MC1192" s="925"/>
      <c r="MD1192" s="925"/>
      <c r="ME1192" s="925"/>
      <c r="MF1192" s="925"/>
      <c r="MG1192" s="925"/>
      <c r="MH1192" s="925"/>
      <c r="MI1192" s="925"/>
      <c r="MJ1192" s="925"/>
      <c r="MK1192" s="925"/>
      <c r="ML1192" s="925"/>
      <c r="MM1192" s="925"/>
      <c r="MN1192" s="925"/>
      <c r="MO1192" s="925"/>
      <c r="MP1192" s="925"/>
      <c r="MQ1192" s="925"/>
      <c r="MR1192" s="925"/>
      <c r="MS1192" s="925"/>
      <c r="MT1192" s="925"/>
      <c r="MU1192" s="925"/>
      <c r="MV1192" s="925"/>
      <c r="MW1192" s="925"/>
      <c r="MX1192" s="925"/>
      <c r="MY1192" s="925"/>
      <c r="MZ1192" s="925"/>
      <c r="NA1192" s="925"/>
      <c r="NB1192" s="925"/>
      <c r="NC1192" s="925"/>
      <c r="ND1192" s="925"/>
      <c r="NE1192" s="925"/>
      <c r="NF1192" s="925"/>
      <c r="NG1192" s="925"/>
      <c r="NH1192" s="925"/>
      <c r="NI1192" s="925"/>
      <c r="NJ1192" s="925"/>
      <c r="NK1192" s="925"/>
      <c r="NL1192" s="925"/>
      <c r="NM1192" s="925"/>
      <c r="NN1192" s="925"/>
      <c r="NO1192" s="925"/>
      <c r="NP1192" s="925"/>
      <c r="NQ1192" s="925"/>
      <c r="NR1192" s="925"/>
      <c r="NS1192" s="925"/>
      <c r="NT1192" s="925"/>
      <c r="NU1192" s="925"/>
      <c r="NV1192" s="925"/>
      <c r="NW1192" s="925"/>
      <c r="NX1192" s="925"/>
      <c r="NY1192" s="925"/>
      <c r="NZ1192" s="925"/>
      <c r="OA1192" s="925"/>
      <c r="OB1192" s="925"/>
      <c r="OC1192" s="925"/>
      <c r="OD1192" s="925"/>
      <c r="OE1192" s="925"/>
      <c r="OF1192" s="925"/>
      <c r="OG1192" s="925"/>
      <c r="OH1192" s="925"/>
      <c r="OI1192" s="925"/>
      <c r="OJ1192" s="925"/>
      <c r="OK1192" s="925"/>
      <c r="OL1192" s="925"/>
      <c r="OM1192" s="925"/>
      <c r="ON1192" s="925"/>
      <c r="OO1192" s="925"/>
      <c r="OP1192" s="925"/>
      <c r="OQ1192" s="925"/>
      <c r="OR1192" s="925"/>
      <c r="OS1192" s="925"/>
      <c r="OT1192" s="925"/>
      <c r="OU1192" s="925"/>
      <c r="OV1192" s="925"/>
      <c r="OW1192" s="925"/>
      <c r="OX1192" s="925"/>
      <c r="OY1192" s="925"/>
      <c r="OZ1192" s="925"/>
      <c r="PA1192" s="925"/>
      <c r="PB1192" s="925"/>
      <c r="PC1192" s="925"/>
      <c r="PD1192" s="925"/>
      <c r="PE1192" s="925"/>
      <c r="PF1192" s="925"/>
      <c r="PG1192" s="925"/>
      <c r="PH1192" s="925"/>
      <c r="PI1192" s="925"/>
      <c r="PJ1192" s="925"/>
      <c r="PK1192" s="925"/>
      <c r="PL1192" s="925"/>
      <c r="PM1192" s="925"/>
      <c r="PN1192" s="925"/>
      <c r="PO1192" s="925"/>
      <c r="PP1192" s="925"/>
      <c r="PQ1192" s="925"/>
      <c r="PR1192" s="925"/>
      <c r="PS1192" s="925"/>
      <c r="PT1192" s="925"/>
      <c r="PU1192" s="925"/>
      <c r="PV1192" s="925"/>
      <c r="PW1192" s="925"/>
      <c r="PX1192" s="925"/>
      <c r="PY1192" s="925"/>
      <c r="PZ1192" s="925"/>
      <c r="QA1192" s="925"/>
      <c r="QB1192" s="925"/>
      <c r="QC1192" s="925"/>
      <c r="QD1192" s="925"/>
      <c r="QE1192" s="925"/>
      <c r="QF1192" s="925"/>
      <c r="QG1192" s="925"/>
      <c r="QH1192" s="925"/>
      <c r="QI1192" s="925"/>
      <c r="QJ1192" s="925"/>
      <c r="QK1192" s="925"/>
      <c r="QL1192" s="925"/>
      <c r="QM1192" s="925"/>
      <c r="QN1192" s="925"/>
      <c r="QO1192" s="925"/>
      <c r="QP1192" s="925"/>
      <c r="QQ1192" s="925"/>
      <c r="QR1192" s="925"/>
      <c r="QS1192" s="925"/>
      <c r="QT1192" s="925"/>
      <c r="QU1192" s="925"/>
      <c r="QV1192" s="925"/>
      <c r="QW1192" s="925"/>
      <c r="QX1192" s="925"/>
      <c r="QY1192" s="925"/>
      <c r="QZ1192" s="925"/>
      <c r="RA1192" s="925"/>
      <c r="RB1192" s="925"/>
      <c r="RC1192" s="925"/>
      <c r="RD1192" s="925"/>
      <c r="RE1192" s="925"/>
      <c r="RF1192" s="925"/>
      <c r="RG1192" s="925"/>
      <c r="RH1192" s="925"/>
      <c r="RI1192" s="925"/>
      <c r="RJ1192" s="925"/>
      <c r="RK1192" s="925"/>
      <c r="RL1192" s="925"/>
      <c r="RM1192" s="925"/>
      <c r="RN1192" s="925"/>
      <c r="RO1192" s="925"/>
      <c r="RP1192" s="925"/>
      <c r="RQ1192" s="925"/>
      <c r="RR1192" s="925"/>
      <c r="RS1192" s="925"/>
      <c r="RT1192" s="925"/>
      <c r="RU1192" s="925"/>
      <c r="RV1192" s="925"/>
      <c r="RW1192" s="925"/>
      <c r="RX1192" s="925"/>
      <c r="RY1192" s="925"/>
      <c r="RZ1192" s="925"/>
      <c r="SA1192" s="925"/>
      <c r="SB1192" s="925"/>
      <c r="SC1192" s="925"/>
      <c r="SD1192" s="925"/>
      <c r="SE1192" s="925"/>
      <c r="SF1192" s="925"/>
      <c r="SG1192" s="925"/>
      <c r="SH1192" s="925"/>
      <c r="SI1192" s="925"/>
      <c r="SJ1192" s="925"/>
      <c r="SK1192" s="925"/>
      <c r="SL1192" s="925"/>
      <c r="SM1192" s="925"/>
      <c r="SN1192" s="925"/>
      <c r="SO1192" s="925"/>
      <c r="SP1192" s="925"/>
      <c r="SQ1192" s="925"/>
      <c r="SR1192" s="925"/>
      <c r="SS1192" s="925"/>
      <c r="ST1192" s="925"/>
      <c r="SU1192" s="925"/>
      <c r="SV1192" s="925"/>
      <c r="SW1192" s="925"/>
      <c r="SX1192" s="925"/>
      <c r="SY1192" s="925"/>
      <c r="SZ1192" s="925"/>
      <c r="TA1192" s="925"/>
      <c r="TB1192" s="925"/>
      <c r="TC1192" s="925"/>
      <c r="TD1192" s="925"/>
      <c r="TE1192" s="925"/>
      <c r="TF1192" s="925"/>
      <c r="TG1192" s="925"/>
      <c r="TH1192" s="925"/>
      <c r="TI1192" s="925"/>
      <c r="TJ1192" s="925"/>
      <c r="TK1192" s="925"/>
      <c r="TL1192" s="925"/>
      <c r="TM1192" s="925"/>
      <c r="TN1192" s="925"/>
      <c r="TO1192" s="925"/>
      <c r="TP1192" s="925"/>
      <c r="TQ1192" s="925"/>
      <c r="TR1192" s="925"/>
      <c r="TS1192" s="925"/>
      <c r="TT1192" s="925"/>
      <c r="TU1192" s="925"/>
      <c r="TV1192" s="925"/>
      <c r="TW1192" s="925"/>
      <c r="TX1192" s="925"/>
      <c r="TY1192" s="925"/>
      <c r="TZ1192" s="925"/>
      <c r="UA1192" s="925"/>
      <c r="UB1192" s="925"/>
      <c r="UC1192" s="925"/>
      <c r="UD1192" s="925"/>
      <c r="UE1192" s="925"/>
      <c r="UF1192" s="925"/>
      <c r="UG1192" s="925"/>
      <c r="UH1192" s="925"/>
      <c r="UI1192" s="925"/>
      <c r="UJ1192" s="925"/>
      <c r="UK1192" s="925"/>
      <c r="UL1192" s="925"/>
      <c r="UM1192" s="925"/>
      <c r="UN1192" s="925"/>
      <c r="UO1192" s="925"/>
      <c r="UP1192" s="925"/>
      <c r="UQ1192" s="925"/>
      <c r="UR1192" s="925"/>
      <c r="US1192" s="925"/>
      <c r="UT1192" s="925"/>
      <c r="UU1192" s="925"/>
      <c r="UV1192" s="925"/>
      <c r="UW1192" s="925"/>
      <c r="UX1192" s="925"/>
      <c r="UY1192" s="925"/>
      <c r="UZ1192" s="925"/>
      <c r="VA1192" s="925"/>
      <c r="VB1192" s="925"/>
      <c r="VC1192" s="925"/>
      <c r="VD1192" s="925"/>
      <c r="VE1192" s="925"/>
      <c r="VF1192" s="925"/>
      <c r="VG1192" s="925"/>
      <c r="VH1192" s="925"/>
      <c r="VI1192" s="925"/>
      <c r="VJ1192" s="925"/>
      <c r="VK1192" s="925"/>
      <c r="VL1192" s="925"/>
      <c r="VM1192" s="925"/>
      <c r="VN1192" s="925"/>
      <c r="VO1192" s="925"/>
      <c r="VP1192" s="925"/>
      <c r="VQ1192" s="925"/>
      <c r="VR1192" s="925"/>
      <c r="VS1192" s="925"/>
      <c r="VT1192" s="925"/>
      <c r="VU1192" s="925"/>
      <c r="VV1192" s="925"/>
      <c r="VW1192" s="925"/>
      <c r="VX1192" s="925"/>
      <c r="VY1192" s="925"/>
      <c r="VZ1192" s="925"/>
      <c r="WA1192" s="925"/>
      <c r="WB1192" s="925"/>
      <c r="WC1192" s="925"/>
      <c r="WD1192" s="925"/>
      <c r="WE1192" s="925"/>
      <c r="WF1192" s="925"/>
      <c r="WG1192" s="925"/>
      <c r="WH1192" s="925"/>
      <c r="WI1192" s="925"/>
      <c r="WJ1192" s="925"/>
      <c r="WK1192" s="925"/>
      <c r="WL1192" s="925"/>
      <c r="WM1192" s="925"/>
      <c r="WN1192" s="925"/>
      <c r="WO1192" s="925"/>
      <c r="WP1192" s="925"/>
      <c r="WQ1192" s="925"/>
      <c r="WR1192" s="925"/>
      <c r="WS1192" s="925"/>
      <c r="WT1192" s="925"/>
      <c r="WU1192" s="925"/>
      <c r="WV1192" s="925"/>
      <c r="WW1192" s="925"/>
      <c r="WX1192" s="925"/>
      <c r="WY1192" s="925"/>
      <c r="WZ1192" s="925"/>
      <c r="XA1192" s="925"/>
      <c r="XB1192" s="925"/>
      <c r="XC1192" s="925"/>
      <c r="XD1192" s="925"/>
      <c r="XE1192" s="925"/>
      <c r="XF1192" s="925"/>
      <c r="XG1192" s="925"/>
      <c r="XH1192" s="925"/>
      <c r="XI1192" s="925"/>
      <c r="XJ1192" s="925"/>
      <c r="XK1192" s="925"/>
      <c r="XL1192" s="925"/>
      <c r="XM1192" s="925"/>
      <c r="XN1192" s="925"/>
      <c r="XO1192" s="925"/>
      <c r="XP1192" s="925"/>
      <c r="XQ1192" s="925"/>
      <c r="XR1192" s="925"/>
      <c r="XS1192" s="925"/>
      <c r="XT1192" s="925"/>
      <c r="XU1192" s="925"/>
      <c r="XV1192" s="925"/>
      <c r="XW1192" s="925"/>
      <c r="XX1192" s="925"/>
      <c r="XY1192" s="925"/>
      <c r="XZ1192" s="925"/>
      <c r="YA1192" s="925"/>
      <c r="YB1192" s="925"/>
      <c r="YC1192" s="925"/>
      <c r="YD1192" s="925"/>
      <c r="YE1192" s="925"/>
      <c r="YF1192" s="925"/>
      <c r="YG1192" s="925"/>
      <c r="YH1192" s="925"/>
      <c r="YI1192" s="925"/>
      <c r="YJ1192" s="925"/>
      <c r="YK1192" s="925"/>
      <c r="YL1192" s="925"/>
      <c r="YM1192" s="925"/>
      <c r="YN1192" s="925"/>
      <c r="YO1192" s="925"/>
      <c r="YP1192" s="925"/>
      <c r="YQ1192" s="925"/>
      <c r="YR1192" s="925"/>
      <c r="YS1192" s="925"/>
      <c r="YT1192" s="925"/>
      <c r="YU1192" s="925"/>
      <c r="YV1192" s="925"/>
      <c r="YW1192" s="925"/>
      <c r="YX1192" s="925"/>
      <c r="YY1192" s="925"/>
      <c r="YZ1192" s="925"/>
      <c r="ZA1192" s="925"/>
      <c r="ZB1192" s="925"/>
      <c r="ZC1192" s="925"/>
      <c r="ZD1192" s="925"/>
      <c r="ZE1192" s="925"/>
      <c r="ZF1192" s="925"/>
      <c r="ZG1192" s="925"/>
      <c r="ZH1192" s="925"/>
      <c r="ZI1192" s="925"/>
      <c r="ZJ1192" s="925"/>
      <c r="ZK1192" s="925"/>
      <c r="ZL1192" s="925"/>
      <c r="ZM1192" s="925"/>
      <c r="ZN1192" s="925"/>
      <c r="ZO1192" s="925"/>
      <c r="ZP1192" s="925"/>
      <c r="ZQ1192" s="925"/>
      <c r="ZR1192" s="925"/>
      <c r="ZS1192" s="925"/>
      <c r="ZT1192" s="925"/>
      <c r="ZU1192" s="925"/>
      <c r="ZV1192" s="925"/>
      <c r="ZW1192" s="925"/>
      <c r="ZX1192" s="925"/>
      <c r="ZY1192" s="925"/>
      <c r="ZZ1192" s="925"/>
      <c r="AAA1192" s="925"/>
      <c r="AAB1192" s="925"/>
      <c r="AAC1192" s="925"/>
      <c r="AAD1192" s="925"/>
      <c r="AAE1192" s="925"/>
      <c r="AAF1192" s="925"/>
      <c r="AAG1192" s="925"/>
      <c r="AAH1192" s="925"/>
      <c r="AAI1192" s="925"/>
      <c r="AAJ1192" s="925"/>
      <c r="AAK1192" s="925"/>
      <c r="AAL1192" s="925"/>
      <c r="AAM1192" s="925"/>
      <c r="AAN1192" s="925"/>
      <c r="AAO1192" s="925"/>
      <c r="AAP1192" s="925"/>
      <c r="AAQ1192" s="925"/>
      <c r="AAR1192" s="925"/>
      <c r="AAS1192" s="925"/>
      <c r="AAT1192" s="925"/>
      <c r="AAU1192" s="925"/>
      <c r="AAV1192" s="925"/>
      <c r="AAW1192" s="925"/>
      <c r="AAX1192" s="925"/>
      <c r="AAY1192" s="925"/>
      <c r="AAZ1192" s="925"/>
      <c r="ABA1192" s="925"/>
      <c r="ABB1192" s="925"/>
      <c r="ABC1192" s="925"/>
      <c r="ABD1192" s="925"/>
      <c r="ABE1192" s="925"/>
      <c r="ABF1192" s="925"/>
      <c r="ABG1192" s="925"/>
      <c r="ABH1192" s="925"/>
      <c r="ABI1192" s="925"/>
      <c r="ABJ1192" s="925"/>
      <c r="ABK1192" s="925"/>
      <c r="ABL1192" s="925"/>
      <c r="ABM1192" s="925"/>
      <c r="ABN1192" s="925"/>
      <c r="ABO1192" s="925"/>
      <c r="ABP1192" s="925"/>
      <c r="ABQ1192" s="925"/>
      <c r="ABR1192" s="925"/>
      <c r="ABS1192" s="925"/>
      <c r="ABT1192" s="925"/>
      <c r="ABU1192" s="925"/>
      <c r="ABV1192" s="925"/>
      <c r="ABW1192" s="925"/>
      <c r="ABX1192" s="925"/>
      <c r="ABY1192" s="925"/>
      <c r="ABZ1192" s="925"/>
      <c r="ACA1192" s="925"/>
      <c r="ACB1192" s="925"/>
      <c r="ACC1192" s="925"/>
      <c r="ACD1192" s="925"/>
      <c r="ACE1192" s="925"/>
      <c r="ACF1192" s="925"/>
      <c r="ACG1192" s="925"/>
      <c r="ACH1192" s="925"/>
      <c r="ACI1192" s="925"/>
      <c r="ACJ1192" s="925"/>
      <c r="ACK1192" s="925"/>
      <c r="ACL1192" s="925"/>
      <c r="ACM1192" s="925"/>
      <c r="ACN1192" s="925"/>
      <c r="ACO1192" s="925"/>
      <c r="ACP1192" s="925"/>
      <c r="ACQ1192" s="925"/>
      <c r="ACR1192" s="925"/>
      <c r="ACS1192" s="925"/>
      <c r="ACT1192" s="925"/>
      <c r="ACU1192" s="925"/>
      <c r="ACV1192" s="925"/>
      <c r="ACW1192" s="925"/>
      <c r="ACX1192" s="925"/>
      <c r="ACY1192" s="925"/>
      <c r="ACZ1192" s="925"/>
      <c r="ADA1192" s="925"/>
      <c r="ADB1192" s="925"/>
      <c r="ADC1192" s="925"/>
      <c r="ADD1192" s="925"/>
      <c r="ADE1192" s="925"/>
      <c r="ADF1192" s="925"/>
      <c r="ADG1192" s="925"/>
      <c r="ADH1192" s="925"/>
      <c r="ADI1192" s="925"/>
      <c r="ADJ1192" s="925"/>
      <c r="ADK1192" s="925"/>
      <c r="ADL1192" s="925"/>
      <c r="ADM1192" s="925"/>
      <c r="ADN1192" s="925"/>
      <c r="ADO1192" s="925"/>
      <c r="ADP1192" s="925"/>
      <c r="ADQ1192" s="925"/>
      <c r="ADR1192" s="925"/>
      <c r="ADS1192" s="925"/>
      <c r="ADT1192" s="925"/>
      <c r="ADU1192" s="925"/>
      <c r="ADV1192" s="925"/>
      <c r="ADW1192" s="925"/>
      <c r="ADX1192" s="925"/>
      <c r="ADY1192" s="925"/>
      <c r="ADZ1192" s="925"/>
      <c r="AEA1192" s="925"/>
      <c r="AEB1192" s="925"/>
      <c r="AEC1192" s="925"/>
      <c r="AED1192" s="925"/>
      <c r="AEE1192" s="925"/>
      <c r="AEF1192" s="925"/>
      <c r="AEG1192" s="925"/>
      <c r="AEH1192" s="925"/>
      <c r="AEI1192" s="925"/>
      <c r="AEJ1192" s="925"/>
      <c r="AEK1192" s="925"/>
      <c r="AEL1192" s="925"/>
      <c r="AEM1192" s="925"/>
      <c r="AEN1192" s="925"/>
      <c r="AEO1192" s="925"/>
      <c r="AEP1192" s="925"/>
      <c r="AEQ1192" s="925"/>
      <c r="AER1192" s="925"/>
      <c r="AES1192" s="925"/>
      <c r="AET1192" s="925"/>
      <c r="AEU1192" s="925"/>
      <c r="AEV1192" s="925"/>
      <c r="AEW1192" s="925"/>
      <c r="AEX1192" s="925"/>
      <c r="AEY1192" s="925"/>
      <c r="AEZ1192" s="925"/>
      <c r="AFA1192" s="925"/>
      <c r="AFB1192" s="925"/>
      <c r="AFC1192" s="925"/>
      <c r="AFD1192" s="925"/>
      <c r="AFE1192" s="925"/>
      <c r="AFF1192" s="925"/>
      <c r="AFG1192" s="925"/>
      <c r="AFH1192" s="925"/>
      <c r="AFI1192" s="925"/>
      <c r="AFJ1192" s="925"/>
      <c r="AFK1192" s="925"/>
      <c r="AFL1192" s="925"/>
      <c r="AFM1192" s="925"/>
      <c r="AFN1192" s="925"/>
      <c r="AFO1192" s="925"/>
      <c r="AFP1192" s="925"/>
      <c r="AFQ1192" s="925"/>
      <c r="AFR1192" s="925"/>
      <c r="AFS1192" s="925"/>
      <c r="AFT1192" s="925"/>
      <c r="AFU1192" s="925"/>
      <c r="AFV1192" s="925"/>
      <c r="AFW1192" s="925"/>
      <c r="AFX1192" s="925"/>
      <c r="AFY1192" s="925"/>
      <c r="AFZ1192" s="925"/>
      <c r="AGA1192" s="925"/>
      <c r="AGB1192" s="925"/>
      <c r="AGC1192" s="925"/>
      <c r="AGD1192" s="925"/>
      <c r="AGE1192" s="925"/>
      <c r="AGF1192" s="925"/>
      <c r="AGG1192" s="925"/>
      <c r="AGH1192" s="925"/>
      <c r="AGI1192" s="925"/>
      <c r="AGJ1192" s="925"/>
    </row>
    <row r="1193" spans="1:868" s="918" customFormat="1" hidden="1">
      <c r="A1193" s="918" t="str">
        <f>Clothing!A269</f>
        <v>Clothing (product sector)</v>
      </c>
      <c r="B1193" s="918" t="str">
        <f>Clothing!B269</f>
        <v>Boots</v>
      </c>
      <c r="C1193" s="918" t="str">
        <f>Clothing!C269</f>
        <v>NL</v>
      </c>
      <c r="D1193" s="918" t="str">
        <f>Clothing!D269</f>
        <v>OTHER</v>
      </c>
      <c r="E1193" s="921">
        <f>Clothing!E269</f>
        <v>0</v>
      </c>
      <c r="F1193" s="918">
        <f>Clothing!F269</f>
        <v>1</v>
      </c>
      <c r="G1193" s="918" t="str">
        <f>Clothing!G269</f>
        <v>https://eeb.org/library/draft-product-environmental-footprint-category-rules-pefcr-apparel-and-footwear/</v>
      </c>
      <c r="H1193" s="922">
        <f>Clothing!H269</f>
        <v>2</v>
      </c>
      <c r="I1193" s="922" t="str">
        <f>Clothing!I269</f>
        <v/>
      </c>
      <c r="J1193" s="922">
        <f>Clothing!J269</f>
        <v>2</v>
      </c>
      <c r="K1193" s="922">
        <f>Clothing!K269</f>
        <v>1</v>
      </c>
      <c r="L1193" s="922">
        <f>Clothing!L269</f>
        <v>2</v>
      </c>
      <c r="M1193" s="922">
        <f>Clothing!M269</f>
        <v>3</v>
      </c>
      <c r="N1193" s="186">
        <f t="shared" si="99"/>
        <v>1.0301997916669636</v>
      </c>
      <c r="O1193" s="160" t="e">
        <f t="shared" si="100"/>
        <v>#VALUE!</v>
      </c>
      <c r="Q1193" s="925"/>
      <c r="R1193" s="925"/>
      <c r="S1193" s="925"/>
      <c r="T1193" s="925"/>
      <c r="U1193" s="925"/>
      <c r="V1193" s="925"/>
      <c r="W1193" s="925"/>
      <c r="X1193" s="925"/>
      <c r="Y1193" s="925"/>
      <c r="Z1193" s="925"/>
      <c r="AA1193" s="925"/>
      <c r="AB1193" s="925"/>
      <c r="AC1193" s="925"/>
      <c r="AD1193" s="925"/>
      <c r="AE1193" s="925"/>
      <c r="AF1193" s="925"/>
      <c r="AG1193" s="925"/>
      <c r="AH1193" s="925"/>
      <c r="AI1193" s="925"/>
      <c r="AJ1193" s="925"/>
      <c r="AK1193" s="925"/>
      <c r="AL1193" s="925"/>
      <c r="AM1193" s="925"/>
      <c r="AN1193" s="925"/>
      <c r="AO1193" s="925"/>
      <c r="AP1193" s="925"/>
      <c r="AQ1193" s="925"/>
      <c r="AR1193" s="925"/>
      <c r="AS1193" s="925"/>
      <c r="AT1193" s="925"/>
      <c r="AU1193" s="925"/>
      <c r="AV1193" s="925"/>
      <c r="AW1193" s="925"/>
      <c r="AX1193" s="925"/>
      <c r="AY1193" s="925"/>
      <c r="AZ1193" s="925"/>
      <c r="BA1193" s="925"/>
      <c r="BB1193" s="925"/>
      <c r="BC1193" s="925"/>
      <c r="BD1193" s="925"/>
      <c r="BE1193" s="925"/>
      <c r="BF1193" s="925"/>
      <c r="BG1193" s="925"/>
      <c r="BH1193" s="925"/>
      <c r="BI1193" s="925"/>
      <c r="BJ1193" s="925"/>
      <c r="BK1193" s="925"/>
      <c r="BL1193" s="925"/>
      <c r="BM1193" s="925"/>
      <c r="BN1193" s="925"/>
      <c r="BO1193" s="925"/>
      <c r="BP1193" s="925"/>
      <c r="BQ1193" s="925"/>
      <c r="BR1193" s="925"/>
      <c r="BS1193" s="925"/>
      <c r="BT1193" s="925"/>
      <c r="BU1193" s="925"/>
      <c r="BV1193" s="925"/>
      <c r="BW1193" s="925"/>
      <c r="BX1193" s="925"/>
      <c r="BY1193" s="925"/>
      <c r="BZ1193" s="925"/>
      <c r="CA1193" s="925"/>
      <c r="CB1193" s="925"/>
      <c r="CC1193" s="925"/>
      <c r="CD1193" s="925"/>
      <c r="CE1193" s="925"/>
      <c r="CF1193" s="925"/>
      <c r="CG1193" s="925"/>
      <c r="CH1193" s="925"/>
      <c r="CI1193" s="925"/>
      <c r="CJ1193" s="925"/>
      <c r="CK1193" s="925"/>
      <c r="CL1193" s="925"/>
      <c r="CM1193" s="925"/>
      <c r="CN1193" s="925"/>
      <c r="CO1193" s="925"/>
      <c r="CP1193" s="925"/>
      <c r="CQ1193" s="925"/>
      <c r="CR1193" s="925"/>
      <c r="CS1193" s="925"/>
      <c r="CT1193" s="925"/>
      <c r="CU1193" s="925"/>
      <c r="CV1193" s="925"/>
      <c r="CW1193" s="925"/>
      <c r="CX1193" s="925"/>
      <c r="CY1193" s="925"/>
      <c r="CZ1193" s="925"/>
      <c r="DA1193" s="925"/>
      <c r="DB1193" s="925"/>
      <c r="DC1193" s="925"/>
      <c r="DD1193" s="925"/>
      <c r="DE1193" s="925"/>
      <c r="DF1193" s="925"/>
      <c r="DG1193" s="925"/>
      <c r="DH1193" s="925"/>
      <c r="DI1193" s="925"/>
      <c r="DJ1193" s="925"/>
      <c r="DK1193" s="925"/>
      <c r="DL1193" s="925"/>
      <c r="DM1193" s="925"/>
      <c r="DN1193" s="925"/>
      <c r="DO1193" s="925"/>
      <c r="DP1193" s="925"/>
      <c r="DQ1193" s="925"/>
      <c r="DR1193" s="925"/>
      <c r="DS1193" s="925"/>
      <c r="DT1193" s="925"/>
      <c r="DU1193" s="925"/>
      <c r="DV1193" s="925"/>
      <c r="DW1193" s="925"/>
      <c r="DX1193" s="925"/>
      <c r="DY1193" s="925"/>
      <c r="DZ1193" s="925"/>
      <c r="EA1193" s="925"/>
      <c r="EB1193" s="925"/>
      <c r="EC1193" s="925"/>
      <c r="ED1193" s="925"/>
      <c r="EE1193" s="925"/>
      <c r="EF1193" s="925"/>
      <c r="EG1193" s="925"/>
      <c r="EH1193" s="925"/>
      <c r="EI1193" s="925"/>
      <c r="EJ1193" s="925"/>
      <c r="EK1193" s="925"/>
      <c r="EL1193" s="925"/>
      <c r="EM1193" s="925"/>
      <c r="EN1193" s="925"/>
      <c r="EO1193" s="925"/>
      <c r="EP1193" s="925"/>
      <c r="EQ1193" s="925"/>
      <c r="ER1193" s="925"/>
      <c r="ES1193" s="925"/>
      <c r="ET1193" s="925"/>
      <c r="EU1193" s="925"/>
      <c r="EV1193" s="925"/>
      <c r="EW1193" s="925"/>
      <c r="EX1193" s="925"/>
      <c r="EY1193" s="925"/>
      <c r="EZ1193" s="925"/>
      <c r="FA1193" s="925"/>
      <c r="FB1193" s="925"/>
      <c r="FC1193" s="925"/>
      <c r="FD1193" s="925"/>
      <c r="FE1193" s="925"/>
      <c r="FF1193" s="925"/>
      <c r="FG1193" s="925"/>
      <c r="FH1193" s="925"/>
      <c r="FI1193" s="925"/>
      <c r="FJ1193" s="925"/>
      <c r="FK1193" s="925"/>
      <c r="FL1193" s="925"/>
      <c r="FM1193" s="925"/>
      <c r="FN1193" s="925"/>
      <c r="FO1193" s="925"/>
      <c r="FP1193" s="925"/>
      <c r="FQ1193" s="925"/>
      <c r="FR1193" s="925"/>
      <c r="FS1193" s="925"/>
      <c r="FT1193" s="925"/>
      <c r="FU1193" s="925"/>
      <c r="FV1193" s="925"/>
      <c r="FW1193" s="925"/>
      <c r="FX1193" s="925"/>
      <c r="FY1193" s="925"/>
      <c r="FZ1193" s="925"/>
      <c r="GA1193" s="925"/>
      <c r="GB1193" s="925"/>
      <c r="GC1193" s="925"/>
      <c r="GD1193" s="925"/>
      <c r="GE1193" s="925"/>
      <c r="GF1193" s="925"/>
      <c r="GG1193" s="925"/>
      <c r="GH1193" s="925"/>
      <c r="GI1193" s="925"/>
      <c r="GJ1193" s="925"/>
      <c r="GK1193" s="925"/>
      <c r="GL1193" s="925"/>
      <c r="GM1193" s="925"/>
      <c r="GN1193" s="925"/>
      <c r="GO1193" s="925"/>
      <c r="GP1193" s="925"/>
      <c r="GQ1193" s="925"/>
      <c r="GR1193" s="925"/>
      <c r="GS1193" s="925"/>
      <c r="GT1193" s="925"/>
      <c r="GU1193" s="925"/>
      <c r="GV1193" s="925"/>
      <c r="GW1193" s="925"/>
      <c r="GX1193" s="925"/>
      <c r="GY1193" s="925"/>
      <c r="GZ1193" s="925"/>
      <c r="HA1193" s="925"/>
      <c r="HB1193" s="925"/>
      <c r="HC1193" s="925"/>
      <c r="HD1193" s="925"/>
      <c r="HE1193" s="925"/>
      <c r="HF1193" s="925"/>
      <c r="HG1193" s="925"/>
      <c r="HH1193" s="925"/>
      <c r="HI1193" s="925"/>
      <c r="HJ1193" s="925"/>
      <c r="HK1193" s="925"/>
      <c r="HL1193" s="925"/>
      <c r="HM1193" s="925"/>
      <c r="HN1193" s="925"/>
      <c r="HO1193" s="925"/>
      <c r="HP1193" s="925"/>
      <c r="HQ1193" s="925"/>
      <c r="HR1193" s="925"/>
      <c r="HS1193" s="925"/>
      <c r="HT1193" s="925"/>
      <c r="HU1193" s="925"/>
      <c r="HV1193" s="925"/>
      <c r="HW1193" s="925"/>
      <c r="HX1193" s="925"/>
      <c r="HY1193" s="925"/>
      <c r="HZ1193" s="925"/>
      <c r="IA1193" s="925"/>
      <c r="IB1193" s="925"/>
      <c r="IC1193" s="925"/>
      <c r="ID1193" s="925"/>
      <c r="IE1193" s="925"/>
      <c r="IF1193" s="925"/>
      <c r="IG1193" s="925"/>
      <c r="IH1193" s="925"/>
      <c r="II1193" s="925"/>
      <c r="IJ1193" s="925"/>
      <c r="IK1193" s="925"/>
      <c r="IL1193" s="925"/>
      <c r="IM1193" s="925"/>
      <c r="IN1193" s="925"/>
      <c r="IO1193" s="925"/>
      <c r="IP1193" s="925"/>
      <c r="IQ1193" s="925"/>
      <c r="IR1193" s="925"/>
      <c r="IS1193" s="925"/>
      <c r="IT1193" s="925"/>
      <c r="IU1193" s="925"/>
      <c r="IV1193" s="925"/>
      <c r="IW1193" s="925"/>
      <c r="IX1193" s="925"/>
      <c r="IY1193" s="925"/>
      <c r="IZ1193" s="925"/>
      <c r="JA1193" s="925"/>
      <c r="JB1193" s="925"/>
      <c r="JC1193" s="925"/>
      <c r="JD1193" s="925"/>
      <c r="JE1193" s="925"/>
      <c r="JF1193" s="925"/>
      <c r="JG1193" s="925"/>
      <c r="JH1193" s="925"/>
      <c r="JI1193" s="925"/>
      <c r="JJ1193" s="925"/>
      <c r="JK1193" s="925"/>
      <c r="JL1193" s="925"/>
      <c r="JM1193" s="925"/>
      <c r="JN1193" s="925"/>
      <c r="JO1193" s="925"/>
      <c r="JP1193" s="925"/>
      <c r="JQ1193" s="925"/>
      <c r="JR1193" s="925"/>
      <c r="JS1193" s="925"/>
      <c r="JT1193" s="925"/>
      <c r="JU1193" s="925"/>
      <c r="JV1193" s="925"/>
      <c r="JW1193" s="925"/>
      <c r="JX1193" s="925"/>
      <c r="JY1193" s="925"/>
      <c r="JZ1193" s="925"/>
      <c r="KA1193" s="925"/>
      <c r="KB1193" s="925"/>
      <c r="KC1193" s="925"/>
      <c r="KD1193" s="925"/>
      <c r="KE1193" s="925"/>
      <c r="KF1193" s="925"/>
      <c r="KG1193" s="925"/>
      <c r="KH1193" s="925"/>
      <c r="KI1193" s="925"/>
      <c r="KJ1193" s="925"/>
      <c r="KK1193" s="925"/>
      <c r="KL1193" s="925"/>
      <c r="KM1193" s="925"/>
      <c r="KN1193" s="925"/>
      <c r="KO1193" s="925"/>
      <c r="KP1193" s="925"/>
      <c r="KQ1193" s="925"/>
      <c r="KR1193" s="925"/>
      <c r="KS1193" s="925"/>
      <c r="KT1193" s="925"/>
      <c r="KU1193" s="925"/>
      <c r="KV1193" s="925"/>
      <c r="KW1193" s="925"/>
      <c r="KX1193" s="925"/>
      <c r="KY1193" s="925"/>
      <c r="KZ1193" s="925"/>
      <c r="LA1193" s="925"/>
      <c r="LB1193" s="925"/>
      <c r="LC1193" s="925"/>
      <c r="LD1193" s="925"/>
      <c r="LE1193" s="925"/>
      <c r="LF1193" s="925"/>
      <c r="LG1193" s="925"/>
      <c r="LH1193" s="925"/>
      <c r="LI1193" s="925"/>
      <c r="LJ1193" s="925"/>
      <c r="LK1193" s="925"/>
      <c r="LL1193" s="925"/>
      <c r="LM1193" s="925"/>
      <c r="LN1193" s="925"/>
      <c r="LO1193" s="925"/>
      <c r="LP1193" s="925"/>
      <c r="LQ1193" s="925"/>
      <c r="LR1193" s="925"/>
      <c r="LS1193" s="925"/>
      <c r="LT1193" s="925"/>
      <c r="LU1193" s="925"/>
      <c r="LV1193" s="925"/>
      <c r="LW1193" s="925"/>
      <c r="LX1193" s="925"/>
      <c r="LY1193" s="925"/>
      <c r="LZ1193" s="925"/>
      <c r="MA1193" s="925"/>
      <c r="MB1193" s="925"/>
      <c r="MC1193" s="925"/>
      <c r="MD1193" s="925"/>
      <c r="ME1193" s="925"/>
      <c r="MF1193" s="925"/>
      <c r="MG1193" s="925"/>
      <c r="MH1193" s="925"/>
      <c r="MI1193" s="925"/>
      <c r="MJ1193" s="925"/>
      <c r="MK1193" s="925"/>
      <c r="ML1193" s="925"/>
      <c r="MM1193" s="925"/>
      <c r="MN1193" s="925"/>
      <c r="MO1193" s="925"/>
      <c r="MP1193" s="925"/>
      <c r="MQ1193" s="925"/>
      <c r="MR1193" s="925"/>
      <c r="MS1193" s="925"/>
      <c r="MT1193" s="925"/>
      <c r="MU1193" s="925"/>
      <c r="MV1193" s="925"/>
      <c r="MW1193" s="925"/>
      <c r="MX1193" s="925"/>
      <c r="MY1193" s="925"/>
      <c r="MZ1193" s="925"/>
      <c r="NA1193" s="925"/>
      <c r="NB1193" s="925"/>
      <c r="NC1193" s="925"/>
      <c r="ND1193" s="925"/>
      <c r="NE1193" s="925"/>
      <c r="NF1193" s="925"/>
      <c r="NG1193" s="925"/>
      <c r="NH1193" s="925"/>
      <c r="NI1193" s="925"/>
      <c r="NJ1193" s="925"/>
      <c r="NK1193" s="925"/>
      <c r="NL1193" s="925"/>
      <c r="NM1193" s="925"/>
      <c r="NN1193" s="925"/>
      <c r="NO1193" s="925"/>
      <c r="NP1193" s="925"/>
      <c r="NQ1193" s="925"/>
      <c r="NR1193" s="925"/>
      <c r="NS1193" s="925"/>
      <c r="NT1193" s="925"/>
      <c r="NU1193" s="925"/>
      <c r="NV1193" s="925"/>
      <c r="NW1193" s="925"/>
      <c r="NX1193" s="925"/>
      <c r="NY1193" s="925"/>
      <c r="NZ1193" s="925"/>
      <c r="OA1193" s="925"/>
      <c r="OB1193" s="925"/>
      <c r="OC1193" s="925"/>
      <c r="OD1193" s="925"/>
      <c r="OE1193" s="925"/>
      <c r="OF1193" s="925"/>
      <c r="OG1193" s="925"/>
      <c r="OH1193" s="925"/>
      <c r="OI1193" s="925"/>
      <c r="OJ1193" s="925"/>
      <c r="OK1193" s="925"/>
      <c r="OL1193" s="925"/>
      <c r="OM1193" s="925"/>
      <c r="ON1193" s="925"/>
      <c r="OO1193" s="925"/>
      <c r="OP1193" s="925"/>
      <c r="OQ1193" s="925"/>
      <c r="OR1193" s="925"/>
      <c r="OS1193" s="925"/>
      <c r="OT1193" s="925"/>
      <c r="OU1193" s="925"/>
      <c r="OV1193" s="925"/>
      <c r="OW1193" s="925"/>
      <c r="OX1193" s="925"/>
      <c r="OY1193" s="925"/>
      <c r="OZ1193" s="925"/>
      <c r="PA1193" s="925"/>
      <c r="PB1193" s="925"/>
      <c r="PC1193" s="925"/>
      <c r="PD1193" s="925"/>
      <c r="PE1193" s="925"/>
      <c r="PF1193" s="925"/>
      <c r="PG1193" s="925"/>
      <c r="PH1193" s="925"/>
      <c r="PI1193" s="925"/>
      <c r="PJ1193" s="925"/>
      <c r="PK1193" s="925"/>
      <c r="PL1193" s="925"/>
      <c r="PM1193" s="925"/>
      <c r="PN1193" s="925"/>
      <c r="PO1193" s="925"/>
      <c r="PP1193" s="925"/>
      <c r="PQ1193" s="925"/>
      <c r="PR1193" s="925"/>
      <c r="PS1193" s="925"/>
      <c r="PT1193" s="925"/>
      <c r="PU1193" s="925"/>
      <c r="PV1193" s="925"/>
      <c r="PW1193" s="925"/>
      <c r="PX1193" s="925"/>
      <c r="PY1193" s="925"/>
      <c r="PZ1193" s="925"/>
      <c r="QA1193" s="925"/>
      <c r="QB1193" s="925"/>
      <c r="QC1193" s="925"/>
      <c r="QD1193" s="925"/>
      <c r="QE1193" s="925"/>
      <c r="QF1193" s="925"/>
      <c r="QG1193" s="925"/>
      <c r="QH1193" s="925"/>
      <c r="QI1193" s="925"/>
      <c r="QJ1193" s="925"/>
      <c r="QK1193" s="925"/>
      <c r="QL1193" s="925"/>
      <c r="QM1193" s="925"/>
      <c r="QN1193" s="925"/>
      <c r="QO1193" s="925"/>
      <c r="QP1193" s="925"/>
      <c r="QQ1193" s="925"/>
      <c r="QR1193" s="925"/>
      <c r="QS1193" s="925"/>
      <c r="QT1193" s="925"/>
      <c r="QU1193" s="925"/>
      <c r="QV1193" s="925"/>
      <c r="QW1193" s="925"/>
      <c r="QX1193" s="925"/>
      <c r="QY1193" s="925"/>
      <c r="QZ1193" s="925"/>
      <c r="RA1193" s="925"/>
      <c r="RB1193" s="925"/>
      <c r="RC1193" s="925"/>
      <c r="RD1193" s="925"/>
      <c r="RE1193" s="925"/>
      <c r="RF1193" s="925"/>
      <c r="RG1193" s="925"/>
      <c r="RH1193" s="925"/>
      <c r="RI1193" s="925"/>
      <c r="RJ1193" s="925"/>
      <c r="RK1193" s="925"/>
      <c r="RL1193" s="925"/>
      <c r="RM1193" s="925"/>
      <c r="RN1193" s="925"/>
      <c r="RO1193" s="925"/>
      <c r="RP1193" s="925"/>
      <c r="RQ1193" s="925"/>
      <c r="RR1193" s="925"/>
      <c r="RS1193" s="925"/>
      <c r="RT1193" s="925"/>
      <c r="RU1193" s="925"/>
      <c r="RV1193" s="925"/>
      <c r="RW1193" s="925"/>
      <c r="RX1193" s="925"/>
      <c r="RY1193" s="925"/>
      <c r="RZ1193" s="925"/>
      <c r="SA1193" s="925"/>
      <c r="SB1193" s="925"/>
      <c r="SC1193" s="925"/>
      <c r="SD1193" s="925"/>
      <c r="SE1193" s="925"/>
      <c r="SF1193" s="925"/>
      <c r="SG1193" s="925"/>
      <c r="SH1193" s="925"/>
      <c r="SI1193" s="925"/>
      <c r="SJ1193" s="925"/>
      <c r="SK1193" s="925"/>
      <c r="SL1193" s="925"/>
      <c r="SM1193" s="925"/>
      <c r="SN1193" s="925"/>
      <c r="SO1193" s="925"/>
      <c r="SP1193" s="925"/>
      <c r="SQ1193" s="925"/>
      <c r="SR1193" s="925"/>
      <c r="SS1193" s="925"/>
      <c r="ST1193" s="925"/>
      <c r="SU1193" s="925"/>
      <c r="SV1193" s="925"/>
      <c r="SW1193" s="925"/>
      <c r="SX1193" s="925"/>
      <c r="SY1193" s="925"/>
      <c r="SZ1193" s="925"/>
      <c r="TA1193" s="925"/>
      <c r="TB1193" s="925"/>
      <c r="TC1193" s="925"/>
      <c r="TD1193" s="925"/>
      <c r="TE1193" s="925"/>
      <c r="TF1193" s="925"/>
      <c r="TG1193" s="925"/>
      <c r="TH1193" s="925"/>
      <c r="TI1193" s="925"/>
      <c r="TJ1193" s="925"/>
      <c r="TK1193" s="925"/>
      <c r="TL1193" s="925"/>
      <c r="TM1193" s="925"/>
      <c r="TN1193" s="925"/>
      <c r="TO1193" s="925"/>
      <c r="TP1193" s="925"/>
      <c r="TQ1193" s="925"/>
      <c r="TR1193" s="925"/>
      <c r="TS1193" s="925"/>
      <c r="TT1193" s="925"/>
      <c r="TU1193" s="925"/>
      <c r="TV1193" s="925"/>
      <c r="TW1193" s="925"/>
      <c r="TX1193" s="925"/>
      <c r="TY1193" s="925"/>
      <c r="TZ1193" s="925"/>
      <c r="UA1193" s="925"/>
      <c r="UB1193" s="925"/>
      <c r="UC1193" s="925"/>
      <c r="UD1193" s="925"/>
      <c r="UE1193" s="925"/>
      <c r="UF1193" s="925"/>
      <c r="UG1193" s="925"/>
      <c r="UH1193" s="925"/>
      <c r="UI1193" s="925"/>
      <c r="UJ1193" s="925"/>
      <c r="UK1193" s="925"/>
      <c r="UL1193" s="925"/>
      <c r="UM1193" s="925"/>
      <c r="UN1193" s="925"/>
      <c r="UO1193" s="925"/>
      <c r="UP1193" s="925"/>
      <c r="UQ1193" s="925"/>
      <c r="UR1193" s="925"/>
      <c r="US1193" s="925"/>
      <c r="UT1193" s="925"/>
      <c r="UU1193" s="925"/>
      <c r="UV1193" s="925"/>
      <c r="UW1193" s="925"/>
      <c r="UX1193" s="925"/>
      <c r="UY1193" s="925"/>
      <c r="UZ1193" s="925"/>
      <c r="VA1193" s="925"/>
      <c r="VB1193" s="925"/>
      <c r="VC1193" s="925"/>
      <c r="VD1193" s="925"/>
      <c r="VE1193" s="925"/>
      <c r="VF1193" s="925"/>
      <c r="VG1193" s="925"/>
      <c r="VH1193" s="925"/>
      <c r="VI1193" s="925"/>
      <c r="VJ1193" s="925"/>
      <c r="VK1193" s="925"/>
      <c r="VL1193" s="925"/>
      <c r="VM1193" s="925"/>
      <c r="VN1193" s="925"/>
      <c r="VO1193" s="925"/>
      <c r="VP1193" s="925"/>
      <c r="VQ1193" s="925"/>
      <c r="VR1193" s="925"/>
      <c r="VS1193" s="925"/>
      <c r="VT1193" s="925"/>
      <c r="VU1193" s="925"/>
      <c r="VV1193" s="925"/>
      <c r="VW1193" s="925"/>
      <c r="VX1193" s="925"/>
      <c r="VY1193" s="925"/>
      <c r="VZ1193" s="925"/>
      <c r="WA1193" s="925"/>
      <c r="WB1193" s="925"/>
      <c r="WC1193" s="925"/>
      <c r="WD1193" s="925"/>
      <c r="WE1193" s="925"/>
      <c r="WF1193" s="925"/>
      <c r="WG1193" s="925"/>
      <c r="WH1193" s="925"/>
      <c r="WI1193" s="925"/>
      <c r="WJ1193" s="925"/>
      <c r="WK1193" s="925"/>
      <c r="WL1193" s="925"/>
      <c r="WM1193" s="925"/>
      <c r="WN1193" s="925"/>
      <c r="WO1193" s="925"/>
      <c r="WP1193" s="925"/>
      <c r="WQ1193" s="925"/>
      <c r="WR1193" s="925"/>
      <c r="WS1193" s="925"/>
      <c r="WT1193" s="925"/>
      <c r="WU1193" s="925"/>
      <c r="WV1193" s="925"/>
      <c r="WW1193" s="925"/>
      <c r="WX1193" s="925"/>
      <c r="WY1193" s="925"/>
      <c r="WZ1193" s="925"/>
      <c r="XA1193" s="925"/>
      <c r="XB1193" s="925"/>
      <c r="XC1193" s="925"/>
      <c r="XD1193" s="925"/>
      <c r="XE1193" s="925"/>
      <c r="XF1193" s="925"/>
      <c r="XG1193" s="925"/>
      <c r="XH1193" s="925"/>
      <c r="XI1193" s="925"/>
      <c r="XJ1193" s="925"/>
      <c r="XK1193" s="925"/>
      <c r="XL1193" s="925"/>
      <c r="XM1193" s="925"/>
      <c r="XN1193" s="925"/>
      <c r="XO1193" s="925"/>
      <c r="XP1193" s="925"/>
      <c r="XQ1193" s="925"/>
      <c r="XR1193" s="925"/>
      <c r="XS1193" s="925"/>
      <c r="XT1193" s="925"/>
      <c r="XU1193" s="925"/>
      <c r="XV1193" s="925"/>
      <c r="XW1193" s="925"/>
      <c r="XX1193" s="925"/>
      <c r="XY1193" s="925"/>
      <c r="XZ1193" s="925"/>
      <c r="YA1193" s="925"/>
      <c r="YB1193" s="925"/>
      <c r="YC1193" s="925"/>
      <c r="YD1193" s="925"/>
      <c r="YE1193" s="925"/>
      <c r="YF1193" s="925"/>
      <c r="YG1193" s="925"/>
      <c r="YH1193" s="925"/>
      <c r="YI1193" s="925"/>
      <c r="YJ1193" s="925"/>
      <c r="YK1193" s="925"/>
      <c r="YL1193" s="925"/>
      <c r="YM1193" s="925"/>
      <c r="YN1193" s="925"/>
      <c r="YO1193" s="925"/>
      <c r="YP1193" s="925"/>
      <c r="YQ1193" s="925"/>
      <c r="YR1193" s="925"/>
      <c r="YS1193" s="925"/>
      <c r="YT1193" s="925"/>
      <c r="YU1193" s="925"/>
      <c r="YV1193" s="925"/>
      <c r="YW1193" s="925"/>
      <c r="YX1193" s="925"/>
      <c r="YY1193" s="925"/>
      <c r="YZ1193" s="925"/>
      <c r="ZA1193" s="925"/>
      <c r="ZB1193" s="925"/>
      <c r="ZC1193" s="925"/>
      <c r="ZD1193" s="925"/>
      <c r="ZE1193" s="925"/>
      <c r="ZF1193" s="925"/>
      <c r="ZG1193" s="925"/>
      <c r="ZH1193" s="925"/>
      <c r="ZI1193" s="925"/>
      <c r="ZJ1193" s="925"/>
      <c r="ZK1193" s="925"/>
      <c r="ZL1193" s="925"/>
      <c r="ZM1193" s="925"/>
      <c r="ZN1193" s="925"/>
      <c r="ZO1193" s="925"/>
      <c r="ZP1193" s="925"/>
      <c r="ZQ1193" s="925"/>
      <c r="ZR1193" s="925"/>
      <c r="ZS1193" s="925"/>
      <c r="ZT1193" s="925"/>
      <c r="ZU1193" s="925"/>
      <c r="ZV1193" s="925"/>
      <c r="ZW1193" s="925"/>
      <c r="ZX1193" s="925"/>
      <c r="ZY1193" s="925"/>
      <c r="ZZ1193" s="925"/>
      <c r="AAA1193" s="925"/>
      <c r="AAB1193" s="925"/>
      <c r="AAC1193" s="925"/>
      <c r="AAD1193" s="925"/>
      <c r="AAE1193" s="925"/>
      <c r="AAF1193" s="925"/>
      <c r="AAG1193" s="925"/>
      <c r="AAH1193" s="925"/>
      <c r="AAI1193" s="925"/>
      <c r="AAJ1193" s="925"/>
      <c r="AAK1193" s="925"/>
      <c r="AAL1193" s="925"/>
      <c r="AAM1193" s="925"/>
      <c r="AAN1193" s="925"/>
      <c r="AAO1193" s="925"/>
      <c r="AAP1193" s="925"/>
      <c r="AAQ1193" s="925"/>
      <c r="AAR1193" s="925"/>
      <c r="AAS1193" s="925"/>
      <c r="AAT1193" s="925"/>
      <c r="AAU1193" s="925"/>
      <c r="AAV1193" s="925"/>
      <c r="AAW1193" s="925"/>
      <c r="AAX1193" s="925"/>
      <c r="AAY1193" s="925"/>
      <c r="AAZ1193" s="925"/>
      <c r="ABA1193" s="925"/>
      <c r="ABB1193" s="925"/>
      <c r="ABC1193" s="925"/>
      <c r="ABD1193" s="925"/>
      <c r="ABE1193" s="925"/>
      <c r="ABF1193" s="925"/>
      <c r="ABG1193" s="925"/>
      <c r="ABH1193" s="925"/>
      <c r="ABI1193" s="925"/>
      <c r="ABJ1193" s="925"/>
      <c r="ABK1193" s="925"/>
      <c r="ABL1193" s="925"/>
      <c r="ABM1193" s="925"/>
      <c r="ABN1193" s="925"/>
      <c r="ABO1193" s="925"/>
      <c r="ABP1193" s="925"/>
      <c r="ABQ1193" s="925"/>
      <c r="ABR1193" s="925"/>
      <c r="ABS1193" s="925"/>
      <c r="ABT1193" s="925"/>
      <c r="ABU1193" s="925"/>
      <c r="ABV1193" s="925"/>
      <c r="ABW1193" s="925"/>
      <c r="ABX1193" s="925"/>
      <c r="ABY1193" s="925"/>
      <c r="ABZ1193" s="925"/>
      <c r="ACA1193" s="925"/>
      <c r="ACB1193" s="925"/>
      <c r="ACC1193" s="925"/>
      <c r="ACD1193" s="925"/>
      <c r="ACE1193" s="925"/>
      <c r="ACF1193" s="925"/>
      <c r="ACG1193" s="925"/>
      <c r="ACH1193" s="925"/>
      <c r="ACI1193" s="925"/>
      <c r="ACJ1193" s="925"/>
      <c r="ACK1193" s="925"/>
      <c r="ACL1193" s="925"/>
      <c r="ACM1193" s="925"/>
      <c r="ACN1193" s="925"/>
      <c r="ACO1193" s="925"/>
      <c r="ACP1193" s="925"/>
      <c r="ACQ1193" s="925"/>
      <c r="ACR1193" s="925"/>
      <c r="ACS1193" s="925"/>
      <c r="ACT1193" s="925"/>
      <c r="ACU1193" s="925"/>
      <c r="ACV1193" s="925"/>
      <c r="ACW1193" s="925"/>
      <c r="ACX1193" s="925"/>
      <c r="ACY1193" s="925"/>
      <c r="ACZ1193" s="925"/>
      <c r="ADA1193" s="925"/>
      <c r="ADB1193" s="925"/>
      <c r="ADC1193" s="925"/>
      <c r="ADD1193" s="925"/>
      <c r="ADE1193" s="925"/>
      <c r="ADF1193" s="925"/>
      <c r="ADG1193" s="925"/>
      <c r="ADH1193" s="925"/>
      <c r="ADI1193" s="925"/>
      <c r="ADJ1193" s="925"/>
      <c r="ADK1193" s="925"/>
      <c r="ADL1193" s="925"/>
      <c r="ADM1193" s="925"/>
      <c r="ADN1193" s="925"/>
      <c r="ADO1193" s="925"/>
      <c r="ADP1193" s="925"/>
      <c r="ADQ1193" s="925"/>
      <c r="ADR1193" s="925"/>
      <c r="ADS1193" s="925"/>
      <c r="ADT1193" s="925"/>
      <c r="ADU1193" s="925"/>
      <c r="ADV1193" s="925"/>
      <c r="ADW1193" s="925"/>
      <c r="ADX1193" s="925"/>
      <c r="ADY1193" s="925"/>
      <c r="ADZ1193" s="925"/>
      <c r="AEA1193" s="925"/>
      <c r="AEB1193" s="925"/>
      <c r="AEC1193" s="925"/>
      <c r="AED1193" s="925"/>
      <c r="AEE1193" s="925"/>
      <c r="AEF1193" s="925"/>
      <c r="AEG1193" s="925"/>
      <c r="AEH1193" s="925"/>
      <c r="AEI1193" s="925"/>
      <c r="AEJ1193" s="925"/>
      <c r="AEK1193" s="925"/>
      <c r="AEL1193" s="925"/>
      <c r="AEM1193" s="925"/>
      <c r="AEN1193" s="925"/>
      <c r="AEO1193" s="925"/>
      <c r="AEP1193" s="925"/>
      <c r="AEQ1193" s="925"/>
      <c r="AER1193" s="925"/>
      <c r="AES1193" s="925"/>
      <c r="AET1193" s="925"/>
      <c r="AEU1193" s="925"/>
      <c r="AEV1193" s="925"/>
      <c r="AEW1193" s="925"/>
      <c r="AEX1193" s="925"/>
      <c r="AEY1193" s="925"/>
      <c r="AEZ1193" s="925"/>
      <c r="AFA1193" s="925"/>
      <c r="AFB1193" s="925"/>
      <c r="AFC1193" s="925"/>
      <c r="AFD1193" s="925"/>
      <c r="AFE1193" s="925"/>
      <c r="AFF1193" s="925"/>
      <c r="AFG1193" s="925"/>
      <c r="AFH1193" s="925"/>
      <c r="AFI1193" s="925"/>
      <c r="AFJ1193" s="925"/>
      <c r="AFK1193" s="925"/>
      <c r="AFL1193" s="925"/>
      <c r="AFM1193" s="925"/>
      <c r="AFN1193" s="925"/>
      <c r="AFO1193" s="925"/>
      <c r="AFP1193" s="925"/>
      <c r="AFQ1193" s="925"/>
      <c r="AFR1193" s="925"/>
      <c r="AFS1193" s="925"/>
      <c r="AFT1193" s="925"/>
      <c r="AFU1193" s="925"/>
      <c r="AFV1193" s="925"/>
      <c r="AFW1193" s="925"/>
      <c r="AFX1193" s="925"/>
      <c r="AFY1193" s="925"/>
      <c r="AFZ1193" s="925"/>
      <c r="AGA1193" s="925"/>
      <c r="AGB1193" s="925"/>
      <c r="AGC1193" s="925"/>
      <c r="AGD1193" s="925"/>
      <c r="AGE1193" s="925"/>
      <c r="AGF1193" s="925"/>
      <c r="AGG1193" s="925"/>
      <c r="AGH1193" s="925"/>
      <c r="AGI1193" s="925"/>
      <c r="AGJ1193" s="925"/>
    </row>
    <row r="1194" spans="1:868" s="918" customFormat="1" hidden="1">
      <c r="A1194" s="918" t="str">
        <f>Clothing!A270</f>
        <v>Clothing (product sector)</v>
      </c>
      <c r="B1194" s="918" t="str">
        <f>Clothing!B270</f>
        <v>Boots</v>
      </c>
      <c r="C1194" s="918" t="str">
        <f>Clothing!C270</f>
        <v>NL</v>
      </c>
      <c r="D1194" s="918" t="str">
        <f>Clothing!D270</f>
        <v>PA</v>
      </c>
      <c r="E1194" s="921">
        <f>Clothing!E270</f>
        <v>3.6350165820171899E-2</v>
      </c>
      <c r="F1194" s="918">
        <f>Clothing!F270</f>
        <v>1</v>
      </c>
      <c r="G1194" s="918" t="str">
        <f>Clothing!G270</f>
        <v>https://eeb.org/library/draft-product-environmental-footprint-category-rules-pefcr-apparel-and-footwear/</v>
      </c>
      <c r="H1194" s="922">
        <f>Clothing!H270</f>
        <v>2</v>
      </c>
      <c r="I1194" s="922" t="str">
        <f>Clothing!I270</f>
        <v/>
      </c>
      <c r="J1194" s="922">
        <f>Clothing!J270</f>
        <v>2</v>
      </c>
      <c r="K1194" s="922">
        <f>Clothing!K270</f>
        <v>1</v>
      </c>
      <c r="L1194" s="922">
        <f>Clothing!L270</f>
        <v>2</v>
      </c>
      <c r="M1194" s="922">
        <f>Clothing!M270</f>
        <v>3</v>
      </c>
      <c r="N1194" s="186">
        <f t="shared" si="99"/>
        <v>1.0301997916669636</v>
      </c>
      <c r="O1194" s="160" t="e">
        <f t="shared" si="100"/>
        <v>#VALUE!</v>
      </c>
      <c r="Q1194" s="925"/>
      <c r="R1194" s="925"/>
      <c r="S1194" s="925"/>
      <c r="T1194" s="925"/>
      <c r="U1194" s="925"/>
      <c r="V1194" s="925"/>
      <c r="W1194" s="925"/>
      <c r="X1194" s="925"/>
      <c r="Y1194" s="925"/>
      <c r="Z1194" s="925"/>
      <c r="AA1194" s="925"/>
      <c r="AB1194" s="925"/>
      <c r="AC1194" s="925"/>
      <c r="AD1194" s="925"/>
      <c r="AE1194" s="925"/>
      <c r="AF1194" s="925"/>
      <c r="AG1194" s="925"/>
      <c r="AH1194" s="925"/>
      <c r="AI1194" s="925"/>
      <c r="AJ1194" s="925"/>
      <c r="AK1194" s="925"/>
      <c r="AL1194" s="925"/>
      <c r="AM1194" s="925"/>
      <c r="AN1194" s="925"/>
      <c r="AO1194" s="925"/>
      <c r="AP1194" s="925"/>
      <c r="AQ1194" s="925"/>
      <c r="AR1194" s="925"/>
      <c r="AS1194" s="925"/>
      <c r="AT1194" s="925"/>
      <c r="AU1194" s="925"/>
      <c r="AV1194" s="925"/>
      <c r="AW1194" s="925"/>
      <c r="AX1194" s="925"/>
      <c r="AY1194" s="925"/>
      <c r="AZ1194" s="925"/>
      <c r="BA1194" s="925"/>
      <c r="BB1194" s="925"/>
      <c r="BC1194" s="925"/>
      <c r="BD1194" s="925"/>
      <c r="BE1194" s="925"/>
      <c r="BF1194" s="925"/>
      <c r="BG1194" s="925"/>
      <c r="BH1194" s="925"/>
      <c r="BI1194" s="925"/>
      <c r="BJ1194" s="925"/>
      <c r="BK1194" s="925"/>
      <c r="BL1194" s="925"/>
      <c r="BM1194" s="925"/>
      <c r="BN1194" s="925"/>
      <c r="BO1194" s="925"/>
      <c r="BP1194" s="925"/>
      <c r="BQ1194" s="925"/>
      <c r="BR1194" s="925"/>
      <c r="BS1194" s="925"/>
      <c r="BT1194" s="925"/>
      <c r="BU1194" s="925"/>
      <c r="BV1194" s="925"/>
      <c r="BW1194" s="925"/>
      <c r="BX1194" s="925"/>
      <c r="BY1194" s="925"/>
      <c r="BZ1194" s="925"/>
      <c r="CA1194" s="925"/>
      <c r="CB1194" s="925"/>
      <c r="CC1194" s="925"/>
      <c r="CD1194" s="925"/>
      <c r="CE1194" s="925"/>
      <c r="CF1194" s="925"/>
      <c r="CG1194" s="925"/>
      <c r="CH1194" s="925"/>
      <c r="CI1194" s="925"/>
      <c r="CJ1194" s="925"/>
      <c r="CK1194" s="925"/>
      <c r="CL1194" s="925"/>
      <c r="CM1194" s="925"/>
      <c r="CN1194" s="925"/>
      <c r="CO1194" s="925"/>
      <c r="CP1194" s="925"/>
      <c r="CQ1194" s="925"/>
      <c r="CR1194" s="925"/>
      <c r="CS1194" s="925"/>
      <c r="CT1194" s="925"/>
      <c r="CU1194" s="925"/>
      <c r="CV1194" s="925"/>
      <c r="CW1194" s="925"/>
      <c r="CX1194" s="925"/>
      <c r="CY1194" s="925"/>
      <c r="CZ1194" s="925"/>
      <c r="DA1194" s="925"/>
      <c r="DB1194" s="925"/>
      <c r="DC1194" s="925"/>
      <c r="DD1194" s="925"/>
      <c r="DE1194" s="925"/>
      <c r="DF1194" s="925"/>
      <c r="DG1194" s="925"/>
      <c r="DH1194" s="925"/>
      <c r="DI1194" s="925"/>
      <c r="DJ1194" s="925"/>
      <c r="DK1194" s="925"/>
      <c r="DL1194" s="925"/>
      <c r="DM1194" s="925"/>
      <c r="DN1194" s="925"/>
      <c r="DO1194" s="925"/>
      <c r="DP1194" s="925"/>
      <c r="DQ1194" s="925"/>
      <c r="DR1194" s="925"/>
      <c r="DS1194" s="925"/>
      <c r="DT1194" s="925"/>
      <c r="DU1194" s="925"/>
      <c r="DV1194" s="925"/>
      <c r="DW1194" s="925"/>
      <c r="DX1194" s="925"/>
      <c r="DY1194" s="925"/>
      <c r="DZ1194" s="925"/>
      <c r="EA1194" s="925"/>
      <c r="EB1194" s="925"/>
      <c r="EC1194" s="925"/>
      <c r="ED1194" s="925"/>
      <c r="EE1194" s="925"/>
      <c r="EF1194" s="925"/>
      <c r="EG1194" s="925"/>
      <c r="EH1194" s="925"/>
      <c r="EI1194" s="925"/>
      <c r="EJ1194" s="925"/>
      <c r="EK1194" s="925"/>
      <c r="EL1194" s="925"/>
      <c r="EM1194" s="925"/>
      <c r="EN1194" s="925"/>
      <c r="EO1194" s="925"/>
      <c r="EP1194" s="925"/>
      <c r="EQ1194" s="925"/>
      <c r="ER1194" s="925"/>
      <c r="ES1194" s="925"/>
      <c r="ET1194" s="925"/>
      <c r="EU1194" s="925"/>
      <c r="EV1194" s="925"/>
      <c r="EW1194" s="925"/>
      <c r="EX1194" s="925"/>
      <c r="EY1194" s="925"/>
      <c r="EZ1194" s="925"/>
      <c r="FA1194" s="925"/>
      <c r="FB1194" s="925"/>
      <c r="FC1194" s="925"/>
      <c r="FD1194" s="925"/>
      <c r="FE1194" s="925"/>
      <c r="FF1194" s="925"/>
      <c r="FG1194" s="925"/>
      <c r="FH1194" s="925"/>
      <c r="FI1194" s="925"/>
      <c r="FJ1194" s="925"/>
      <c r="FK1194" s="925"/>
      <c r="FL1194" s="925"/>
      <c r="FM1194" s="925"/>
      <c r="FN1194" s="925"/>
      <c r="FO1194" s="925"/>
      <c r="FP1194" s="925"/>
      <c r="FQ1194" s="925"/>
      <c r="FR1194" s="925"/>
      <c r="FS1194" s="925"/>
      <c r="FT1194" s="925"/>
      <c r="FU1194" s="925"/>
      <c r="FV1194" s="925"/>
      <c r="FW1194" s="925"/>
      <c r="FX1194" s="925"/>
      <c r="FY1194" s="925"/>
      <c r="FZ1194" s="925"/>
      <c r="GA1194" s="925"/>
      <c r="GB1194" s="925"/>
      <c r="GC1194" s="925"/>
      <c r="GD1194" s="925"/>
      <c r="GE1194" s="925"/>
      <c r="GF1194" s="925"/>
      <c r="GG1194" s="925"/>
      <c r="GH1194" s="925"/>
      <c r="GI1194" s="925"/>
      <c r="GJ1194" s="925"/>
      <c r="GK1194" s="925"/>
      <c r="GL1194" s="925"/>
      <c r="GM1194" s="925"/>
      <c r="GN1194" s="925"/>
      <c r="GO1194" s="925"/>
      <c r="GP1194" s="925"/>
      <c r="GQ1194" s="925"/>
      <c r="GR1194" s="925"/>
      <c r="GS1194" s="925"/>
      <c r="GT1194" s="925"/>
      <c r="GU1194" s="925"/>
      <c r="GV1194" s="925"/>
      <c r="GW1194" s="925"/>
      <c r="GX1194" s="925"/>
      <c r="GY1194" s="925"/>
      <c r="GZ1194" s="925"/>
      <c r="HA1194" s="925"/>
      <c r="HB1194" s="925"/>
      <c r="HC1194" s="925"/>
      <c r="HD1194" s="925"/>
      <c r="HE1194" s="925"/>
      <c r="HF1194" s="925"/>
      <c r="HG1194" s="925"/>
      <c r="HH1194" s="925"/>
      <c r="HI1194" s="925"/>
      <c r="HJ1194" s="925"/>
      <c r="HK1194" s="925"/>
      <c r="HL1194" s="925"/>
      <c r="HM1194" s="925"/>
      <c r="HN1194" s="925"/>
      <c r="HO1194" s="925"/>
      <c r="HP1194" s="925"/>
      <c r="HQ1194" s="925"/>
      <c r="HR1194" s="925"/>
      <c r="HS1194" s="925"/>
      <c r="HT1194" s="925"/>
      <c r="HU1194" s="925"/>
      <c r="HV1194" s="925"/>
      <c r="HW1194" s="925"/>
      <c r="HX1194" s="925"/>
      <c r="HY1194" s="925"/>
      <c r="HZ1194" s="925"/>
      <c r="IA1194" s="925"/>
      <c r="IB1194" s="925"/>
      <c r="IC1194" s="925"/>
      <c r="ID1194" s="925"/>
      <c r="IE1194" s="925"/>
      <c r="IF1194" s="925"/>
      <c r="IG1194" s="925"/>
      <c r="IH1194" s="925"/>
      <c r="II1194" s="925"/>
      <c r="IJ1194" s="925"/>
      <c r="IK1194" s="925"/>
      <c r="IL1194" s="925"/>
      <c r="IM1194" s="925"/>
      <c r="IN1194" s="925"/>
      <c r="IO1194" s="925"/>
      <c r="IP1194" s="925"/>
      <c r="IQ1194" s="925"/>
      <c r="IR1194" s="925"/>
      <c r="IS1194" s="925"/>
      <c r="IT1194" s="925"/>
      <c r="IU1194" s="925"/>
      <c r="IV1194" s="925"/>
      <c r="IW1194" s="925"/>
      <c r="IX1194" s="925"/>
      <c r="IY1194" s="925"/>
      <c r="IZ1194" s="925"/>
      <c r="JA1194" s="925"/>
      <c r="JB1194" s="925"/>
      <c r="JC1194" s="925"/>
      <c r="JD1194" s="925"/>
      <c r="JE1194" s="925"/>
      <c r="JF1194" s="925"/>
      <c r="JG1194" s="925"/>
      <c r="JH1194" s="925"/>
      <c r="JI1194" s="925"/>
      <c r="JJ1194" s="925"/>
      <c r="JK1194" s="925"/>
      <c r="JL1194" s="925"/>
      <c r="JM1194" s="925"/>
      <c r="JN1194" s="925"/>
      <c r="JO1194" s="925"/>
      <c r="JP1194" s="925"/>
      <c r="JQ1194" s="925"/>
      <c r="JR1194" s="925"/>
      <c r="JS1194" s="925"/>
      <c r="JT1194" s="925"/>
      <c r="JU1194" s="925"/>
      <c r="JV1194" s="925"/>
      <c r="JW1194" s="925"/>
      <c r="JX1194" s="925"/>
      <c r="JY1194" s="925"/>
      <c r="JZ1194" s="925"/>
      <c r="KA1194" s="925"/>
      <c r="KB1194" s="925"/>
      <c r="KC1194" s="925"/>
      <c r="KD1194" s="925"/>
      <c r="KE1194" s="925"/>
      <c r="KF1194" s="925"/>
      <c r="KG1194" s="925"/>
      <c r="KH1194" s="925"/>
      <c r="KI1194" s="925"/>
      <c r="KJ1194" s="925"/>
      <c r="KK1194" s="925"/>
      <c r="KL1194" s="925"/>
      <c r="KM1194" s="925"/>
      <c r="KN1194" s="925"/>
      <c r="KO1194" s="925"/>
      <c r="KP1194" s="925"/>
      <c r="KQ1194" s="925"/>
      <c r="KR1194" s="925"/>
      <c r="KS1194" s="925"/>
      <c r="KT1194" s="925"/>
      <c r="KU1194" s="925"/>
      <c r="KV1194" s="925"/>
      <c r="KW1194" s="925"/>
      <c r="KX1194" s="925"/>
      <c r="KY1194" s="925"/>
      <c r="KZ1194" s="925"/>
      <c r="LA1194" s="925"/>
      <c r="LB1194" s="925"/>
      <c r="LC1194" s="925"/>
      <c r="LD1194" s="925"/>
      <c r="LE1194" s="925"/>
      <c r="LF1194" s="925"/>
      <c r="LG1194" s="925"/>
      <c r="LH1194" s="925"/>
      <c r="LI1194" s="925"/>
      <c r="LJ1194" s="925"/>
      <c r="LK1194" s="925"/>
      <c r="LL1194" s="925"/>
      <c r="LM1194" s="925"/>
      <c r="LN1194" s="925"/>
      <c r="LO1194" s="925"/>
      <c r="LP1194" s="925"/>
      <c r="LQ1194" s="925"/>
      <c r="LR1194" s="925"/>
      <c r="LS1194" s="925"/>
      <c r="LT1194" s="925"/>
      <c r="LU1194" s="925"/>
      <c r="LV1194" s="925"/>
      <c r="LW1194" s="925"/>
      <c r="LX1194" s="925"/>
      <c r="LY1194" s="925"/>
      <c r="LZ1194" s="925"/>
      <c r="MA1194" s="925"/>
      <c r="MB1194" s="925"/>
      <c r="MC1194" s="925"/>
      <c r="MD1194" s="925"/>
      <c r="ME1194" s="925"/>
      <c r="MF1194" s="925"/>
      <c r="MG1194" s="925"/>
      <c r="MH1194" s="925"/>
      <c r="MI1194" s="925"/>
      <c r="MJ1194" s="925"/>
      <c r="MK1194" s="925"/>
      <c r="ML1194" s="925"/>
      <c r="MM1194" s="925"/>
      <c r="MN1194" s="925"/>
      <c r="MO1194" s="925"/>
      <c r="MP1194" s="925"/>
      <c r="MQ1194" s="925"/>
      <c r="MR1194" s="925"/>
      <c r="MS1194" s="925"/>
      <c r="MT1194" s="925"/>
      <c r="MU1194" s="925"/>
      <c r="MV1194" s="925"/>
      <c r="MW1194" s="925"/>
      <c r="MX1194" s="925"/>
      <c r="MY1194" s="925"/>
      <c r="MZ1194" s="925"/>
      <c r="NA1194" s="925"/>
      <c r="NB1194" s="925"/>
      <c r="NC1194" s="925"/>
      <c r="ND1194" s="925"/>
      <c r="NE1194" s="925"/>
      <c r="NF1194" s="925"/>
      <c r="NG1194" s="925"/>
      <c r="NH1194" s="925"/>
      <c r="NI1194" s="925"/>
      <c r="NJ1194" s="925"/>
      <c r="NK1194" s="925"/>
      <c r="NL1194" s="925"/>
      <c r="NM1194" s="925"/>
      <c r="NN1194" s="925"/>
      <c r="NO1194" s="925"/>
      <c r="NP1194" s="925"/>
      <c r="NQ1194" s="925"/>
      <c r="NR1194" s="925"/>
      <c r="NS1194" s="925"/>
      <c r="NT1194" s="925"/>
      <c r="NU1194" s="925"/>
      <c r="NV1194" s="925"/>
      <c r="NW1194" s="925"/>
      <c r="NX1194" s="925"/>
      <c r="NY1194" s="925"/>
      <c r="NZ1194" s="925"/>
      <c r="OA1194" s="925"/>
      <c r="OB1194" s="925"/>
      <c r="OC1194" s="925"/>
      <c r="OD1194" s="925"/>
      <c r="OE1194" s="925"/>
      <c r="OF1194" s="925"/>
      <c r="OG1194" s="925"/>
      <c r="OH1194" s="925"/>
      <c r="OI1194" s="925"/>
      <c r="OJ1194" s="925"/>
      <c r="OK1194" s="925"/>
      <c r="OL1194" s="925"/>
      <c r="OM1194" s="925"/>
      <c r="ON1194" s="925"/>
      <c r="OO1194" s="925"/>
      <c r="OP1194" s="925"/>
      <c r="OQ1194" s="925"/>
      <c r="OR1194" s="925"/>
      <c r="OS1194" s="925"/>
      <c r="OT1194" s="925"/>
      <c r="OU1194" s="925"/>
      <c r="OV1194" s="925"/>
      <c r="OW1194" s="925"/>
      <c r="OX1194" s="925"/>
      <c r="OY1194" s="925"/>
      <c r="OZ1194" s="925"/>
      <c r="PA1194" s="925"/>
      <c r="PB1194" s="925"/>
      <c r="PC1194" s="925"/>
      <c r="PD1194" s="925"/>
      <c r="PE1194" s="925"/>
      <c r="PF1194" s="925"/>
      <c r="PG1194" s="925"/>
      <c r="PH1194" s="925"/>
      <c r="PI1194" s="925"/>
      <c r="PJ1194" s="925"/>
      <c r="PK1194" s="925"/>
      <c r="PL1194" s="925"/>
      <c r="PM1194" s="925"/>
      <c r="PN1194" s="925"/>
      <c r="PO1194" s="925"/>
      <c r="PP1194" s="925"/>
      <c r="PQ1194" s="925"/>
      <c r="PR1194" s="925"/>
      <c r="PS1194" s="925"/>
      <c r="PT1194" s="925"/>
      <c r="PU1194" s="925"/>
      <c r="PV1194" s="925"/>
      <c r="PW1194" s="925"/>
      <c r="PX1194" s="925"/>
      <c r="PY1194" s="925"/>
      <c r="PZ1194" s="925"/>
      <c r="QA1194" s="925"/>
      <c r="QB1194" s="925"/>
      <c r="QC1194" s="925"/>
      <c r="QD1194" s="925"/>
      <c r="QE1194" s="925"/>
      <c r="QF1194" s="925"/>
      <c r="QG1194" s="925"/>
      <c r="QH1194" s="925"/>
      <c r="QI1194" s="925"/>
      <c r="QJ1194" s="925"/>
      <c r="QK1194" s="925"/>
      <c r="QL1194" s="925"/>
      <c r="QM1194" s="925"/>
      <c r="QN1194" s="925"/>
      <c r="QO1194" s="925"/>
      <c r="QP1194" s="925"/>
      <c r="QQ1194" s="925"/>
      <c r="QR1194" s="925"/>
      <c r="QS1194" s="925"/>
      <c r="QT1194" s="925"/>
      <c r="QU1194" s="925"/>
      <c r="QV1194" s="925"/>
      <c r="QW1194" s="925"/>
      <c r="QX1194" s="925"/>
      <c r="QY1194" s="925"/>
      <c r="QZ1194" s="925"/>
      <c r="RA1194" s="925"/>
      <c r="RB1194" s="925"/>
      <c r="RC1194" s="925"/>
      <c r="RD1194" s="925"/>
      <c r="RE1194" s="925"/>
      <c r="RF1194" s="925"/>
      <c r="RG1194" s="925"/>
      <c r="RH1194" s="925"/>
      <c r="RI1194" s="925"/>
      <c r="RJ1194" s="925"/>
      <c r="RK1194" s="925"/>
      <c r="RL1194" s="925"/>
      <c r="RM1194" s="925"/>
      <c r="RN1194" s="925"/>
      <c r="RO1194" s="925"/>
      <c r="RP1194" s="925"/>
      <c r="RQ1194" s="925"/>
      <c r="RR1194" s="925"/>
      <c r="RS1194" s="925"/>
      <c r="RT1194" s="925"/>
      <c r="RU1194" s="925"/>
      <c r="RV1194" s="925"/>
      <c r="RW1194" s="925"/>
      <c r="RX1194" s="925"/>
      <c r="RY1194" s="925"/>
      <c r="RZ1194" s="925"/>
      <c r="SA1194" s="925"/>
      <c r="SB1194" s="925"/>
      <c r="SC1194" s="925"/>
      <c r="SD1194" s="925"/>
      <c r="SE1194" s="925"/>
      <c r="SF1194" s="925"/>
      <c r="SG1194" s="925"/>
      <c r="SH1194" s="925"/>
      <c r="SI1194" s="925"/>
      <c r="SJ1194" s="925"/>
      <c r="SK1194" s="925"/>
      <c r="SL1194" s="925"/>
      <c r="SM1194" s="925"/>
      <c r="SN1194" s="925"/>
      <c r="SO1194" s="925"/>
      <c r="SP1194" s="925"/>
      <c r="SQ1194" s="925"/>
      <c r="SR1194" s="925"/>
      <c r="SS1194" s="925"/>
      <c r="ST1194" s="925"/>
      <c r="SU1194" s="925"/>
      <c r="SV1194" s="925"/>
      <c r="SW1194" s="925"/>
      <c r="SX1194" s="925"/>
      <c r="SY1194" s="925"/>
      <c r="SZ1194" s="925"/>
      <c r="TA1194" s="925"/>
      <c r="TB1194" s="925"/>
      <c r="TC1194" s="925"/>
      <c r="TD1194" s="925"/>
      <c r="TE1194" s="925"/>
      <c r="TF1194" s="925"/>
      <c r="TG1194" s="925"/>
      <c r="TH1194" s="925"/>
      <c r="TI1194" s="925"/>
      <c r="TJ1194" s="925"/>
      <c r="TK1194" s="925"/>
      <c r="TL1194" s="925"/>
      <c r="TM1194" s="925"/>
      <c r="TN1194" s="925"/>
      <c r="TO1194" s="925"/>
      <c r="TP1194" s="925"/>
      <c r="TQ1194" s="925"/>
      <c r="TR1194" s="925"/>
      <c r="TS1194" s="925"/>
      <c r="TT1194" s="925"/>
      <c r="TU1194" s="925"/>
      <c r="TV1194" s="925"/>
      <c r="TW1194" s="925"/>
      <c r="TX1194" s="925"/>
      <c r="TY1194" s="925"/>
      <c r="TZ1194" s="925"/>
      <c r="UA1194" s="925"/>
      <c r="UB1194" s="925"/>
      <c r="UC1194" s="925"/>
      <c r="UD1194" s="925"/>
      <c r="UE1194" s="925"/>
      <c r="UF1194" s="925"/>
      <c r="UG1194" s="925"/>
      <c r="UH1194" s="925"/>
      <c r="UI1194" s="925"/>
      <c r="UJ1194" s="925"/>
      <c r="UK1194" s="925"/>
      <c r="UL1194" s="925"/>
      <c r="UM1194" s="925"/>
      <c r="UN1194" s="925"/>
      <c r="UO1194" s="925"/>
      <c r="UP1194" s="925"/>
      <c r="UQ1194" s="925"/>
      <c r="UR1194" s="925"/>
      <c r="US1194" s="925"/>
      <c r="UT1194" s="925"/>
      <c r="UU1194" s="925"/>
      <c r="UV1194" s="925"/>
      <c r="UW1194" s="925"/>
      <c r="UX1194" s="925"/>
      <c r="UY1194" s="925"/>
      <c r="UZ1194" s="925"/>
      <c r="VA1194" s="925"/>
      <c r="VB1194" s="925"/>
      <c r="VC1194" s="925"/>
      <c r="VD1194" s="925"/>
      <c r="VE1194" s="925"/>
      <c r="VF1194" s="925"/>
      <c r="VG1194" s="925"/>
      <c r="VH1194" s="925"/>
      <c r="VI1194" s="925"/>
      <c r="VJ1194" s="925"/>
      <c r="VK1194" s="925"/>
      <c r="VL1194" s="925"/>
      <c r="VM1194" s="925"/>
      <c r="VN1194" s="925"/>
      <c r="VO1194" s="925"/>
      <c r="VP1194" s="925"/>
      <c r="VQ1194" s="925"/>
      <c r="VR1194" s="925"/>
      <c r="VS1194" s="925"/>
      <c r="VT1194" s="925"/>
      <c r="VU1194" s="925"/>
      <c r="VV1194" s="925"/>
      <c r="VW1194" s="925"/>
      <c r="VX1194" s="925"/>
      <c r="VY1194" s="925"/>
      <c r="VZ1194" s="925"/>
      <c r="WA1194" s="925"/>
      <c r="WB1194" s="925"/>
      <c r="WC1194" s="925"/>
      <c r="WD1194" s="925"/>
      <c r="WE1194" s="925"/>
      <c r="WF1194" s="925"/>
      <c r="WG1194" s="925"/>
      <c r="WH1194" s="925"/>
      <c r="WI1194" s="925"/>
      <c r="WJ1194" s="925"/>
      <c r="WK1194" s="925"/>
      <c r="WL1194" s="925"/>
      <c r="WM1194" s="925"/>
      <c r="WN1194" s="925"/>
      <c r="WO1194" s="925"/>
      <c r="WP1194" s="925"/>
      <c r="WQ1194" s="925"/>
      <c r="WR1194" s="925"/>
      <c r="WS1194" s="925"/>
      <c r="WT1194" s="925"/>
      <c r="WU1194" s="925"/>
      <c r="WV1194" s="925"/>
      <c r="WW1194" s="925"/>
      <c r="WX1194" s="925"/>
      <c r="WY1194" s="925"/>
      <c r="WZ1194" s="925"/>
      <c r="XA1194" s="925"/>
      <c r="XB1194" s="925"/>
      <c r="XC1194" s="925"/>
      <c r="XD1194" s="925"/>
      <c r="XE1194" s="925"/>
      <c r="XF1194" s="925"/>
      <c r="XG1194" s="925"/>
      <c r="XH1194" s="925"/>
      <c r="XI1194" s="925"/>
      <c r="XJ1194" s="925"/>
      <c r="XK1194" s="925"/>
      <c r="XL1194" s="925"/>
      <c r="XM1194" s="925"/>
      <c r="XN1194" s="925"/>
      <c r="XO1194" s="925"/>
      <c r="XP1194" s="925"/>
      <c r="XQ1194" s="925"/>
      <c r="XR1194" s="925"/>
      <c r="XS1194" s="925"/>
      <c r="XT1194" s="925"/>
      <c r="XU1194" s="925"/>
      <c r="XV1194" s="925"/>
      <c r="XW1194" s="925"/>
      <c r="XX1194" s="925"/>
      <c r="XY1194" s="925"/>
      <c r="XZ1194" s="925"/>
      <c r="YA1194" s="925"/>
      <c r="YB1194" s="925"/>
      <c r="YC1194" s="925"/>
      <c r="YD1194" s="925"/>
      <c r="YE1194" s="925"/>
      <c r="YF1194" s="925"/>
      <c r="YG1194" s="925"/>
      <c r="YH1194" s="925"/>
      <c r="YI1194" s="925"/>
      <c r="YJ1194" s="925"/>
      <c r="YK1194" s="925"/>
      <c r="YL1194" s="925"/>
      <c r="YM1194" s="925"/>
      <c r="YN1194" s="925"/>
      <c r="YO1194" s="925"/>
      <c r="YP1194" s="925"/>
      <c r="YQ1194" s="925"/>
      <c r="YR1194" s="925"/>
      <c r="YS1194" s="925"/>
      <c r="YT1194" s="925"/>
      <c r="YU1194" s="925"/>
      <c r="YV1194" s="925"/>
      <c r="YW1194" s="925"/>
      <c r="YX1194" s="925"/>
      <c r="YY1194" s="925"/>
      <c r="YZ1194" s="925"/>
      <c r="ZA1194" s="925"/>
      <c r="ZB1194" s="925"/>
      <c r="ZC1194" s="925"/>
      <c r="ZD1194" s="925"/>
      <c r="ZE1194" s="925"/>
      <c r="ZF1194" s="925"/>
      <c r="ZG1194" s="925"/>
      <c r="ZH1194" s="925"/>
      <c r="ZI1194" s="925"/>
      <c r="ZJ1194" s="925"/>
      <c r="ZK1194" s="925"/>
      <c r="ZL1194" s="925"/>
      <c r="ZM1194" s="925"/>
      <c r="ZN1194" s="925"/>
      <c r="ZO1194" s="925"/>
      <c r="ZP1194" s="925"/>
      <c r="ZQ1194" s="925"/>
      <c r="ZR1194" s="925"/>
      <c r="ZS1194" s="925"/>
      <c r="ZT1194" s="925"/>
      <c r="ZU1194" s="925"/>
      <c r="ZV1194" s="925"/>
      <c r="ZW1194" s="925"/>
      <c r="ZX1194" s="925"/>
      <c r="ZY1194" s="925"/>
      <c r="ZZ1194" s="925"/>
      <c r="AAA1194" s="925"/>
      <c r="AAB1194" s="925"/>
      <c r="AAC1194" s="925"/>
      <c r="AAD1194" s="925"/>
      <c r="AAE1194" s="925"/>
      <c r="AAF1194" s="925"/>
      <c r="AAG1194" s="925"/>
      <c r="AAH1194" s="925"/>
      <c r="AAI1194" s="925"/>
      <c r="AAJ1194" s="925"/>
      <c r="AAK1194" s="925"/>
      <c r="AAL1194" s="925"/>
      <c r="AAM1194" s="925"/>
      <c r="AAN1194" s="925"/>
      <c r="AAO1194" s="925"/>
      <c r="AAP1194" s="925"/>
      <c r="AAQ1194" s="925"/>
      <c r="AAR1194" s="925"/>
      <c r="AAS1194" s="925"/>
      <c r="AAT1194" s="925"/>
      <c r="AAU1194" s="925"/>
      <c r="AAV1194" s="925"/>
      <c r="AAW1194" s="925"/>
      <c r="AAX1194" s="925"/>
      <c r="AAY1194" s="925"/>
      <c r="AAZ1194" s="925"/>
      <c r="ABA1194" s="925"/>
      <c r="ABB1194" s="925"/>
      <c r="ABC1194" s="925"/>
      <c r="ABD1194" s="925"/>
      <c r="ABE1194" s="925"/>
      <c r="ABF1194" s="925"/>
      <c r="ABG1194" s="925"/>
      <c r="ABH1194" s="925"/>
      <c r="ABI1194" s="925"/>
      <c r="ABJ1194" s="925"/>
      <c r="ABK1194" s="925"/>
      <c r="ABL1194" s="925"/>
      <c r="ABM1194" s="925"/>
      <c r="ABN1194" s="925"/>
      <c r="ABO1194" s="925"/>
      <c r="ABP1194" s="925"/>
      <c r="ABQ1194" s="925"/>
      <c r="ABR1194" s="925"/>
      <c r="ABS1194" s="925"/>
      <c r="ABT1194" s="925"/>
      <c r="ABU1194" s="925"/>
      <c r="ABV1194" s="925"/>
      <c r="ABW1194" s="925"/>
      <c r="ABX1194" s="925"/>
      <c r="ABY1194" s="925"/>
      <c r="ABZ1194" s="925"/>
      <c r="ACA1194" s="925"/>
      <c r="ACB1194" s="925"/>
      <c r="ACC1194" s="925"/>
      <c r="ACD1194" s="925"/>
      <c r="ACE1194" s="925"/>
      <c r="ACF1194" s="925"/>
      <c r="ACG1194" s="925"/>
      <c r="ACH1194" s="925"/>
      <c r="ACI1194" s="925"/>
      <c r="ACJ1194" s="925"/>
      <c r="ACK1194" s="925"/>
      <c r="ACL1194" s="925"/>
      <c r="ACM1194" s="925"/>
      <c r="ACN1194" s="925"/>
      <c r="ACO1194" s="925"/>
      <c r="ACP1194" s="925"/>
      <c r="ACQ1194" s="925"/>
      <c r="ACR1194" s="925"/>
      <c r="ACS1194" s="925"/>
      <c r="ACT1194" s="925"/>
      <c r="ACU1194" s="925"/>
      <c r="ACV1194" s="925"/>
      <c r="ACW1194" s="925"/>
      <c r="ACX1194" s="925"/>
      <c r="ACY1194" s="925"/>
      <c r="ACZ1194" s="925"/>
      <c r="ADA1194" s="925"/>
      <c r="ADB1194" s="925"/>
      <c r="ADC1194" s="925"/>
      <c r="ADD1194" s="925"/>
      <c r="ADE1194" s="925"/>
      <c r="ADF1194" s="925"/>
      <c r="ADG1194" s="925"/>
      <c r="ADH1194" s="925"/>
      <c r="ADI1194" s="925"/>
      <c r="ADJ1194" s="925"/>
      <c r="ADK1194" s="925"/>
      <c r="ADL1194" s="925"/>
      <c r="ADM1194" s="925"/>
      <c r="ADN1194" s="925"/>
      <c r="ADO1194" s="925"/>
      <c r="ADP1194" s="925"/>
      <c r="ADQ1194" s="925"/>
      <c r="ADR1194" s="925"/>
      <c r="ADS1194" s="925"/>
      <c r="ADT1194" s="925"/>
      <c r="ADU1194" s="925"/>
      <c r="ADV1194" s="925"/>
      <c r="ADW1194" s="925"/>
      <c r="ADX1194" s="925"/>
      <c r="ADY1194" s="925"/>
      <c r="ADZ1194" s="925"/>
      <c r="AEA1194" s="925"/>
      <c r="AEB1194" s="925"/>
      <c r="AEC1194" s="925"/>
      <c r="AED1194" s="925"/>
      <c r="AEE1194" s="925"/>
      <c r="AEF1194" s="925"/>
      <c r="AEG1194" s="925"/>
      <c r="AEH1194" s="925"/>
      <c r="AEI1194" s="925"/>
      <c r="AEJ1194" s="925"/>
      <c r="AEK1194" s="925"/>
      <c r="AEL1194" s="925"/>
      <c r="AEM1194" s="925"/>
      <c r="AEN1194" s="925"/>
      <c r="AEO1194" s="925"/>
      <c r="AEP1194" s="925"/>
      <c r="AEQ1194" s="925"/>
      <c r="AER1194" s="925"/>
      <c r="AES1194" s="925"/>
      <c r="AET1194" s="925"/>
      <c r="AEU1194" s="925"/>
      <c r="AEV1194" s="925"/>
      <c r="AEW1194" s="925"/>
      <c r="AEX1194" s="925"/>
      <c r="AEY1194" s="925"/>
      <c r="AEZ1194" s="925"/>
      <c r="AFA1194" s="925"/>
      <c r="AFB1194" s="925"/>
      <c r="AFC1194" s="925"/>
      <c r="AFD1194" s="925"/>
      <c r="AFE1194" s="925"/>
      <c r="AFF1194" s="925"/>
      <c r="AFG1194" s="925"/>
      <c r="AFH1194" s="925"/>
      <c r="AFI1194" s="925"/>
      <c r="AFJ1194" s="925"/>
      <c r="AFK1194" s="925"/>
      <c r="AFL1194" s="925"/>
      <c r="AFM1194" s="925"/>
      <c r="AFN1194" s="925"/>
      <c r="AFO1194" s="925"/>
      <c r="AFP1194" s="925"/>
      <c r="AFQ1194" s="925"/>
      <c r="AFR1194" s="925"/>
      <c r="AFS1194" s="925"/>
      <c r="AFT1194" s="925"/>
      <c r="AFU1194" s="925"/>
      <c r="AFV1194" s="925"/>
      <c r="AFW1194" s="925"/>
      <c r="AFX1194" s="925"/>
      <c r="AFY1194" s="925"/>
      <c r="AFZ1194" s="925"/>
      <c r="AGA1194" s="925"/>
      <c r="AGB1194" s="925"/>
      <c r="AGC1194" s="925"/>
      <c r="AGD1194" s="925"/>
      <c r="AGE1194" s="925"/>
      <c r="AGF1194" s="925"/>
      <c r="AGG1194" s="925"/>
      <c r="AGH1194" s="925"/>
      <c r="AGI1194" s="925"/>
      <c r="AGJ1194" s="925"/>
    </row>
    <row r="1195" spans="1:868" s="918" customFormat="1" hidden="1">
      <c r="A1195" s="918" t="str">
        <f>Clothing!A271</f>
        <v>Clothing (product sector)</v>
      </c>
      <c r="B1195" s="918" t="str">
        <f>Clothing!B271</f>
        <v>Boots</v>
      </c>
      <c r="C1195" s="918" t="str">
        <f>Clothing!C271</f>
        <v>NL</v>
      </c>
      <c r="D1195" s="918" t="str">
        <f>Clothing!D271</f>
        <v>PET</v>
      </c>
      <c r="E1195" s="921">
        <f>Clothing!E271</f>
        <v>3.8578329863190999E-2</v>
      </c>
      <c r="F1195" s="918">
        <f>Clothing!F271</f>
        <v>1</v>
      </c>
      <c r="G1195" s="918" t="str">
        <f>Clothing!G271</f>
        <v>https://eeb.org/library/draft-product-environmental-footprint-category-rules-pefcr-apparel-and-footwear/</v>
      </c>
      <c r="H1195" s="922">
        <f>Clothing!H271</f>
        <v>2</v>
      </c>
      <c r="I1195" s="922" t="str">
        <f>Clothing!I271</f>
        <v/>
      </c>
      <c r="J1195" s="922">
        <f>Clothing!J271</f>
        <v>2</v>
      </c>
      <c r="K1195" s="922">
        <f>Clothing!K271</f>
        <v>1</v>
      </c>
      <c r="L1195" s="922">
        <f>Clothing!L271</f>
        <v>2</v>
      </c>
      <c r="M1195" s="922">
        <f>Clothing!M271</f>
        <v>3</v>
      </c>
      <c r="N1195" s="186">
        <f t="shared" si="99"/>
        <v>1.0301997916669636</v>
      </c>
      <c r="O1195" s="160" t="e">
        <f t="shared" si="100"/>
        <v>#VALUE!</v>
      </c>
      <c r="Q1195" s="925"/>
      <c r="R1195" s="925"/>
      <c r="S1195" s="925"/>
      <c r="T1195" s="925"/>
      <c r="U1195" s="925"/>
      <c r="V1195" s="925"/>
      <c r="W1195" s="925"/>
      <c r="X1195" s="925"/>
      <c r="Y1195" s="925"/>
      <c r="Z1195" s="925"/>
      <c r="AA1195" s="925"/>
      <c r="AB1195" s="925"/>
      <c r="AC1195" s="925"/>
      <c r="AD1195" s="925"/>
      <c r="AE1195" s="925"/>
      <c r="AF1195" s="925"/>
      <c r="AG1195" s="925"/>
      <c r="AH1195" s="925"/>
      <c r="AI1195" s="925"/>
      <c r="AJ1195" s="925"/>
      <c r="AK1195" s="925"/>
      <c r="AL1195" s="925"/>
      <c r="AM1195" s="925"/>
      <c r="AN1195" s="925"/>
      <c r="AO1195" s="925"/>
      <c r="AP1195" s="925"/>
      <c r="AQ1195" s="925"/>
      <c r="AR1195" s="925"/>
      <c r="AS1195" s="925"/>
      <c r="AT1195" s="925"/>
      <c r="AU1195" s="925"/>
      <c r="AV1195" s="925"/>
      <c r="AW1195" s="925"/>
      <c r="AX1195" s="925"/>
      <c r="AY1195" s="925"/>
      <c r="AZ1195" s="925"/>
      <c r="BA1195" s="925"/>
      <c r="BB1195" s="925"/>
      <c r="BC1195" s="925"/>
      <c r="BD1195" s="925"/>
      <c r="BE1195" s="925"/>
      <c r="BF1195" s="925"/>
      <c r="BG1195" s="925"/>
      <c r="BH1195" s="925"/>
      <c r="BI1195" s="925"/>
      <c r="BJ1195" s="925"/>
      <c r="BK1195" s="925"/>
      <c r="BL1195" s="925"/>
      <c r="BM1195" s="925"/>
      <c r="BN1195" s="925"/>
      <c r="BO1195" s="925"/>
      <c r="BP1195" s="925"/>
      <c r="BQ1195" s="925"/>
      <c r="BR1195" s="925"/>
      <c r="BS1195" s="925"/>
      <c r="BT1195" s="925"/>
      <c r="BU1195" s="925"/>
      <c r="BV1195" s="925"/>
      <c r="BW1195" s="925"/>
      <c r="BX1195" s="925"/>
      <c r="BY1195" s="925"/>
      <c r="BZ1195" s="925"/>
      <c r="CA1195" s="925"/>
      <c r="CB1195" s="925"/>
      <c r="CC1195" s="925"/>
      <c r="CD1195" s="925"/>
      <c r="CE1195" s="925"/>
      <c r="CF1195" s="925"/>
      <c r="CG1195" s="925"/>
      <c r="CH1195" s="925"/>
      <c r="CI1195" s="925"/>
      <c r="CJ1195" s="925"/>
      <c r="CK1195" s="925"/>
      <c r="CL1195" s="925"/>
      <c r="CM1195" s="925"/>
      <c r="CN1195" s="925"/>
      <c r="CO1195" s="925"/>
      <c r="CP1195" s="925"/>
      <c r="CQ1195" s="925"/>
      <c r="CR1195" s="925"/>
      <c r="CS1195" s="925"/>
      <c r="CT1195" s="925"/>
      <c r="CU1195" s="925"/>
      <c r="CV1195" s="925"/>
      <c r="CW1195" s="925"/>
      <c r="CX1195" s="925"/>
      <c r="CY1195" s="925"/>
      <c r="CZ1195" s="925"/>
      <c r="DA1195" s="925"/>
      <c r="DB1195" s="925"/>
      <c r="DC1195" s="925"/>
      <c r="DD1195" s="925"/>
      <c r="DE1195" s="925"/>
      <c r="DF1195" s="925"/>
      <c r="DG1195" s="925"/>
      <c r="DH1195" s="925"/>
      <c r="DI1195" s="925"/>
      <c r="DJ1195" s="925"/>
      <c r="DK1195" s="925"/>
      <c r="DL1195" s="925"/>
      <c r="DM1195" s="925"/>
      <c r="DN1195" s="925"/>
      <c r="DO1195" s="925"/>
      <c r="DP1195" s="925"/>
      <c r="DQ1195" s="925"/>
      <c r="DR1195" s="925"/>
      <c r="DS1195" s="925"/>
      <c r="DT1195" s="925"/>
      <c r="DU1195" s="925"/>
      <c r="DV1195" s="925"/>
      <c r="DW1195" s="925"/>
      <c r="DX1195" s="925"/>
      <c r="DY1195" s="925"/>
      <c r="DZ1195" s="925"/>
      <c r="EA1195" s="925"/>
      <c r="EB1195" s="925"/>
      <c r="EC1195" s="925"/>
      <c r="ED1195" s="925"/>
      <c r="EE1195" s="925"/>
      <c r="EF1195" s="925"/>
      <c r="EG1195" s="925"/>
      <c r="EH1195" s="925"/>
      <c r="EI1195" s="925"/>
      <c r="EJ1195" s="925"/>
      <c r="EK1195" s="925"/>
      <c r="EL1195" s="925"/>
      <c r="EM1195" s="925"/>
      <c r="EN1195" s="925"/>
      <c r="EO1195" s="925"/>
      <c r="EP1195" s="925"/>
      <c r="EQ1195" s="925"/>
      <c r="ER1195" s="925"/>
      <c r="ES1195" s="925"/>
      <c r="ET1195" s="925"/>
      <c r="EU1195" s="925"/>
      <c r="EV1195" s="925"/>
      <c r="EW1195" s="925"/>
      <c r="EX1195" s="925"/>
      <c r="EY1195" s="925"/>
      <c r="EZ1195" s="925"/>
      <c r="FA1195" s="925"/>
      <c r="FB1195" s="925"/>
      <c r="FC1195" s="925"/>
      <c r="FD1195" s="925"/>
      <c r="FE1195" s="925"/>
      <c r="FF1195" s="925"/>
      <c r="FG1195" s="925"/>
      <c r="FH1195" s="925"/>
      <c r="FI1195" s="925"/>
      <c r="FJ1195" s="925"/>
      <c r="FK1195" s="925"/>
      <c r="FL1195" s="925"/>
      <c r="FM1195" s="925"/>
      <c r="FN1195" s="925"/>
      <c r="FO1195" s="925"/>
      <c r="FP1195" s="925"/>
      <c r="FQ1195" s="925"/>
      <c r="FR1195" s="925"/>
      <c r="FS1195" s="925"/>
      <c r="FT1195" s="925"/>
      <c r="FU1195" s="925"/>
      <c r="FV1195" s="925"/>
      <c r="FW1195" s="925"/>
      <c r="FX1195" s="925"/>
      <c r="FY1195" s="925"/>
      <c r="FZ1195" s="925"/>
      <c r="GA1195" s="925"/>
      <c r="GB1195" s="925"/>
      <c r="GC1195" s="925"/>
      <c r="GD1195" s="925"/>
      <c r="GE1195" s="925"/>
      <c r="GF1195" s="925"/>
      <c r="GG1195" s="925"/>
      <c r="GH1195" s="925"/>
      <c r="GI1195" s="925"/>
      <c r="GJ1195" s="925"/>
      <c r="GK1195" s="925"/>
      <c r="GL1195" s="925"/>
      <c r="GM1195" s="925"/>
      <c r="GN1195" s="925"/>
      <c r="GO1195" s="925"/>
      <c r="GP1195" s="925"/>
      <c r="GQ1195" s="925"/>
      <c r="GR1195" s="925"/>
      <c r="GS1195" s="925"/>
      <c r="GT1195" s="925"/>
      <c r="GU1195" s="925"/>
      <c r="GV1195" s="925"/>
      <c r="GW1195" s="925"/>
      <c r="GX1195" s="925"/>
      <c r="GY1195" s="925"/>
      <c r="GZ1195" s="925"/>
      <c r="HA1195" s="925"/>
      <c r="HB1195" s="925"/>
      <c r="HC1195" s="925"/>
      <c r="HD1195" s="925"/>
      <c r="HE1195" s="925"/>
      <c r="HF1195" s="925"/>
      <c r="HG1195" s="925"/>
      <c r="HH1195" s="925"/>
      <c r="HI1195" s="925"/>
      <c r="HJ1195" s="925"/>
      <c r="HK1195" s="925"/>
      <c r="HL1195" s="925"/>
      <c r="HM1195" s="925"/>
      <c r="HN1195" s="925"/>
      <c r="HO1195" s="925"/>
      <c r="HP1195" s="925"/>
      <c r="HQ1195" s="925"/>
      <c r="HR1195" s="925"/>
      <c r="HS1195" s="925"/>
      <c r="HT1195" s="925"/>
      <c r="HU1195" s="925"/>
      <c r="HV1195" s="925"/>
      <c r="HW1195" s="925"/>
      <c r="HX1195" s="925"/>
      <c r="HY1195" s="925"/>
      <c r="HZ1195" s="925"/>
      <c r="IA1195" s="925"/>
      <c r="IB1195" s="925"/>
      <c r="IC1195" s="925"/>
      <c r="ID1195" s="925"/>
      <c r="IE1195" s="925"/>
      <c r="IF1195" s="925"/>
      <c r="IG1195" s="925"/>
      <c r="IH1195" s="925"/>
      <c r="II1195" s="925"/>
      <c r="IJ1195" s="925"/>
      <c r="IK1195" s="925"/>
      <c r="IL1195" s="925"/>
      <c r="IM1195" s="925"/>
      <c r="IN1195" s="925"/>
      <c r="IO1195" s="925"/>
      <c r="IP1195" s="925"/>
      <c r="IQ1195" s="925"/>
      <c r="IR1195" s="925"/>
      <c r="IS1195" s="925"/>
      <c r="IT1195" s="925"/>
      <c r="IU1195" s="925"/>
      <c r="IV1195" s="925"/>
      <c r="IW1195" s="925"/>
      <c r="IX1195" s="925"/>
      <c r="IY1195" s="925"/>
      <c r="IZ1195" s="925"/>
      <c r="JA1195" s="925"/>
      <c r="JB1195" s="925"/>
      <c r="JC1195" s="925"/>
      <c r="JD1195" s="925"/>
      <c r="JE1195" s="925"/>
      <c r="JF1195" s="925"/>
      <c r="JG1195" s="925"/>
      <c r="JH1195" s="925"/>
      <c r="JI1195" s="925"/>
      <c r="JJ1195" s="925"/>
      <c r="JK1195" s="925"/>
      <c r="JL1195" s="925"/>
      <c r="JM1195" s="925"/>
      <c r="JN1195" s="925"/>
      <c r="JO1195" s="925"/>
      <c r="JP1195" s="925"/>
      <c r="JQ1195" s="925"/>
      <c r="JR1195" s="925"/>
      <c r="JS1195" s="925"/>
      <c r="JT1195" s="925"/>
      <c r="JU1195" s="925"/>
      <c r="JV1195" s="925"/>
      <c r="JW1195" s="925"/>
      <c r="JX1195" s="925"/>
      <c r="JY1195" s="925"/>
      <c r="JZ1195" s="925"/>
      <c r="KA1195" s="925"/>
      <c r="KB1195" s="925"/>
      <c r="KC1195" s="925"/>
      <c r="KD1195" s="925"/>
      <c r="KE1195" s="925"/>
      <c r="KF1195" s="925"/>
      <c r="KG1195" s="925"/>
      <c r="KH1195" s="925"/>
      <c r="KI1195" s="925"/>
      <c r="KJ1195" s="925"/>
      <c r="KK1195" s="925"/>
      <c r="KL1195" s="925"/>
      <c r="KM1195" s="925"/>
      <c r="KN1195" s="925"/>
      <c r="KO1195" s="925"/>
      <c r="KP1195" s="925"/>
      <c r="KQ1195" s="925"/>
      <c r="KR1195" s="925"/>
      <c r="KS1195" s="925"/>
      <c r="KT1195" s="925"/>
      <c r="KU1195" s="925"/>
      <c r="KV1195" s="925"/>
      <c r="KW1195" s="925"/>
      <c r="KX1195" s="925"/>
      <c r="KY1195" s="925"/>
      <c r="KZ1195" s="925"/>
      <c r="LA1195" s="925"/>
      <c r="LB1195" s="925"/>
      <c r="LC1195" s="925"/>
      <c r="LD1195" s="925"/>
      <c r="LE1195" s="925"/>
      <c r="LF1195" s="925"/>
      <c r="LG1195" s="925"/>
      <c r="LH1195" s="925"/>
      <c r="LI1195" s="925"/>
      <c r="LJ1195" s="925"/>
      <c r="LK1195" s="925"/>
      <c r="LL1195" s="925"/>
      <c r="LM1195" s="925"/>
      <c r="LN1195" s="925"/>
      <c r="LO1195" s="925"/>
      <c r="LP1195" s="925"/>
      <c r="LQ1195" s="925"/>
      <c r="LR1195" s="925"/>
      <c r="LS1195" s="925"/>
      <c r="LT1195" s="925"/>
      <c r="LU1195" s="925"/>
      <c r="LV1195" s="925"/>
      <c r="LW1195" s="925"/>
      <c r="LX1195" s="925"/>
      <c r="LY1195" s="925"/>
      <c r="LZ1195" s="925"/>
      <c r="MA1195" s="925"/>
      <c r="MB1195" s="925"/>
      <c r="MC1195" s="925"/>
      <c r="MD1195" s="925"/>
      <c r="ME1195" s="925"/>
      <c r="MF1195" s="925"/>
      <c r="MG1195" s="925"/>
      <c r="MH1195" s="925"/>
      <c r="MI1195" s="925"/>
      <c r="MJ1195" s="925"/>
      <c r="MK1195" s="925"/>
      <c r="ML1195" s="925"/>
      <c r="MM1195" s="925"/>
      <c r="MN1195" s="925"/>
      <c r="MO1195" s="925"/>
      <c r="MP1195" s="925"/>
      <c r="MQ1195" s="925"/>
      <c r="MR1195" s="925"/>
      <c r="MS1195" s="925"/>
      <c r="MT1195" s="925"/>
      <c r="MU1195" s="925"/>
      <c r="MV1195" s="925"/>
      <c r="MW1195" s="925"/>
      <c r="MX1195" s="925"/>
      <c r="MY1195" s="925"/>
      <c r="MZ1195" s="925"/>
      <c r="NA1195" s="925"/>
      <c r="NB1195" s="925"/>
      <c r="NC1195" s="925"/>
      <c r="ND1195" s="925"/>
      <c r="NE1195" s="925"/>
      <c r="NF1195" s="925"/>
      <c r="NG1195" s="925"/>
      <c r="NH1195" s="925"/>
      <c r="NI1195" s="925"/>
      <c r="NJ1195" s="925"/>
      <c r="NK1195" s="925"/>
      <c r="NL1195" s="925"/>
      <c r="NM1195" s="925"/>
      <c r="NN1195" s="925"/>
      <c r="NO1195" s="925"/>
      <c r="NP1195" s="925"/>
      <c r="NQ1195" s="925"/>
      <c r="NR1195" s="925"/>
      <c r="NS1195" s="925"/>
      <c r="NT1195" s="925"/>
      <c r="NU1195" s="925"/>
      <c r="NV1195" s="925"/>
      <c r="NW1195" s="925"/>
      <c r="NX1195" s="925"/>
      <c r="NY1195" s="925"/>
      <c r="NZ1195" s="925"/>
      <c r="OA1195" s="925"/>
      <c r="OB1195" s="925"/>
      <c r="OC1195" s="925"/>
      <c r="OD1195" s="925"/>
      <c r="OE1195" s="925"/>
      <c r="OF1195" s="925"/>
      <c r="OG1195" s="925"/>
      <c r="OH1195" s="925"/>
      <c r="OI1195" s="925"/>
      <c r="OJ1195" s="925"/>
      <c r="OK1195" s="925"/>
      <c r="OL1195" s="925"/>
      <c r="OM1195" s="925"/>
      <c r="ON1195" s="925"/>
      <c r="OO1195" s="925"/>
      <c r="OP1195" s="925"/>
      <c r="OQ1195" s="925"/>
      <c r="OR1195" s="925"/>
      <c r="OS1195" s="925"/>
      <c r="OT1195" s="925"/>
      <c r="OU1195" s="925"/>
      <c r="OV1195" s="925"/>
      <c r="OW1195" s="925"/>
      <c r="OX1195" s="925"/>
      <c r="OY1195" s="925"/>
      <c r="OZ1195" s="925"/>
      <c r="PA1195" s="925"/>
      <c r="PB1195" s="925"/>
      <c r="PC1195" s="925"/>
      <c r="PD1195" s="925"/>
      <c r="PE1195" s="925"/>
      <c r="PF1195" s="925"/>
      <c r="PG1195" s="925"/>
      <c r="PH1195" s="925"/>
      <c r="PI1195" s="925"/>
      <c r="PJ1195" s="925"/>
      <c r="PK1195" s="925"/>
      <c r="PL1195" s="925"/>
      <c r="PM1195" s="925"/>
      <c r="PN1195" s="925"/>
      <c r="PO1195" s="925"/>
      <c r="PP1195" s="925"/>
      <c r="PQ1195" s="925"/>
      <c r="PR1195" s="925"/>
      <c r="PS1195" s="925"/>
      <c r="PT1195" s="925"/>
      <c r="PU1195" s="925"/>
      <c r="PV1195" s="925"/>
      <c r="PW1195" s="925"/>
      <c r="PX1195" s="925"/>
      <c r="PY1195" s="925"/>
      <c r="PZ1195" s="925"/>
      <c r="QA1195" s="925"/>
      <c r="QB1195" s="925"/>
      <c r="QC1195" s="925"/>
      <c r="QD1195" s="925"/>
      <c r="QE1195" s="925"/>
      <c r="QF1195" s="925"/>
      <c r="QG1195" s="925"/>
      <c r="QH1195" s="925"/>
      <c r="QI1195" s="925"/>
      <c r="QJ1195" s="925"/>
      <c r="QK1195" s="925"/>
      <c r="QL1195" s="925"/>
      <c r="QM1195" s="925"/>
      <c r="QN1195" s="925"/>
      <c r="QO1195" s="925"/>
      <c r="QP1195" s="925"/>
      <c r="QQ1195" s="925"/>
      <c r="QR1195" s="925"/>
      <c r="QS1195" s="925"/>
      <c r="QT1195" s="925"/>
      <c r="QU1195" s="925"/>
      <c r="QV1195" s="925"/>
      <c r="QW1195" s="925"/>
      <c r="QX1195" s="925"/>
      <c r="QY1195" s="925"/>
      <c r="QZ1195" s="925"/>
      <c r="RA1195" s="925"/>
      <c r="RB1195" s="925"/>
      <c r="RC1195" s="925"/>
      <c r="RD1195" s="925"/>
      <c r="RE1195" s="925"/>
      <c r="RF1195" s="925"/>
      <c r="RG1195" s="925"/>
      <c r="RH1195" s="925"/>
      <c r="RI1195" s="925"/>
      <c r="RJ1195" s="925"/>
      <c r="RK1195" s="925"/>
      <c r="RL1195" s="925"/>
      <c r="RM1195" s="925"/>
      <c r="RN1195" s="925"/>
      <c r="RO1195" s="925"/>
      <c r="RP1195" s="925"/>
      <c r="RQ1195" s="925"/>
      <c r="RR1195" s="925"/>
      <c r="RS1195" s="925"/>
      <c r="RT1195" s="925"/>
      <c r="RU1195" s="925"/>
      <c r="RV1195" s="925"/>
      <c r="RW1195" s="925"/>
      <c r="RX1195" s="925"/>
      <c r="RY1195" s="925"/>
      <c r="RZ1195" s="925"/>
      <c r="SA1195" s="925"/>
      <c r="SB1195" s="925"/>
      <c r="SC1195" s="925"/>
      <c r="SD1195" s="925"/>
      <c r="SE1195" s="925"/>
      <c r="SF1195" s="925"/>
      <c r="SG1195" s="925"/>
      <c r="SH1195" s="925"/>
      <c r="SI1195" s="925"/>
      <c r="SJ1195" s="925"/>
      <c r="SK1195" s="925"/>
      <c r="SL1195" s="925"/>
      <c r="SM1195" s="925"/>
      <c r="SN1195" s="925"/>
      <c r="SO1195" s="925"/>
      <c r="SP1195" s="925"/>
      <c r="SQ1195" s="925"/>
      <c r="SR1195" s="925"/>
      <c r="SS1195" s="925"/>
      <c r="ST1195" s="925"/>
      <c r="SU1195" s="925"/>
      <c r="SV1195" s="925"/>
      <c r="SW1195" s="925"/>
      <c r="SX1195" s="925"/>
      <c r="SY1195" s="925"/>
      <c r="SZ1195" s="925"/>
      <c r="TA1195" s="925"/>
      <c r="TB1195" s="925"/>
      <c r="TC1195" s="925"/>
      <c r="TD1195" s="925"/>
      <c r="TE1195" s="925"/>
      <c r="TF1195" s="925"/>
      <c r="TG1195" s="925"/>
      <c r="TH1195" s="925"/>
      <c r="TI1195" s="925"/>
      <c r="TJ1195" s="925"/>
      <c r="TK1195" s="925"/>
      <c r="TL1195" s="925"/>
      <c r="TM1195" s="925"/>
      <c r="TN1195" s="925"/>
      <c r="TO1195" s="925"/>
      <c r="TP1195" s="925"/>
      <c r="TQ1195" s="925"/>
      <c r="TR1195" s="925"/>
      <c r="TS1195" s="925"/>
      <c r="TT1195" s="925"/>
      <c r="TU1195" s="925"/>
      <c r="TV1195" s="925"/>
      <c r="TW1195" s="925"/>
      <c r="TX1195" s="925"/>
      <c r="TY1195" s="925"/>
      <c r="TZ1195" s="925"/>
      <c r="UA1195" s="925"/>
      <c r="UB1195" s="925"/>
      <c r="UC1195" s="925"/>
      <c r="UD1195" s="925"/>
      <c r="UE1195" s="925"/>
      <c r="UF1195" s="925"/>
      <c r="UG1195" s="925"/>
      <c r="UH1195" s="925"/>
      <c r="UI1195" s="925"/>
      <c r="UJ1195" s="925"/>
      <c r="UK1195" s="925"/>
      <c r="UL1195" s="925"/>
      <c r="UM1195" s="925"/>
      <c r="UN1195" s="925"/>
      <c r="UO1195" s="925"/>
      <c r="UP1195" s="925"/>
      <c r="UQ1195" s="925"/>
      <c r="UR1195" s="925"/>
      <c r="US1195" s="925"/>
      <c r="UT1195" s="925"/>
      <c r="UU1195" s="925"/>
      <c r="UV1195" s="925"/>
      <c r="UW1195" s="925"/>
      <c r="UX1195" s="925"/>
      <c r="UY1195" s="925"/>
      <c r="UZ1195" s="925"/>
      <c r="VA1195" s="925"/>
      <c r="VB1195" s="925"/>
      <c r="VC1195" s="925"/>
      <c r="VD1195" s="925"/>
      <c r="VE1195" s="925"/>
      <c r="VF1195" s="925"/>
      <c r="VG1195" s="925"/>
      <c r="VH1195" s="925"/>
      <c r="VI1195" s="925"/>
      <c r="VJ1195" s="925"/>
      <c r="VK1195" s="925"/>
      <c r="VL1195" s="925"/>
      <c r="VM1195" s="925"/>
      <c r="VN1195" s="925"/>
      <c r="VO1195" s="925"/>
      <c r="VP1195" s="925"/>
      <c r="VQ1195" s="925"/>
      <c r="VR1195" s="925"/>
      <c r="VS1195" s="925"/>
      <c r="VT1195" s="925"/>
      <c r="VU1195" s="925"/>
      <c r="VV1195" s="925"/>
      <c r="VW1195" s="925"/>
      <c r="VX1195" s="925"/>
      <c r="VY1195" s="925"/>
      <c r="VZ1195" s="925"/>
      <c r="WA1195" s="925"/>
      <c r="WB1195" s="925"/>
      <c r="WC1195" s="925"/>
      <c r="WD1195" s="925"/>
      <c r="WE1195" s="925"/>
      <c r="WF1195" s="925"/>
      <c r="WG1195" s="925"/>
      <c r="WH1195" s="925"/>
      <c r="WI1195" s="925"/>
      <c r="WJ1195" s="925"/>
      <c r="WK1195" s="925"/>
      <c r="WL1195" s="925"/>
      <c r="WM1195" s="925"/>
      <c r="WN1195" s="925"/>
      <c r="WO1195" s="925"/>
      <c r="WP1195" s="925"/>
      <c r="WQ1195" s="925"/>
      <c r="WR1195" s="925"/>
      <c r="WS1195" s="925"/>
      <c r="WT1195" s="925"/>
      <c r="WU1195" s="925"/>
      <c r="WV1195" s="925"/>
      <c r="WW1195" s="925"/>
      <c r="WX1195" s="925"/>
      <c r="WY1195" s="925"/>
      <c r="WZ1195" s="925"/>
      <c r="XA1195" s="925"/>
      <c r="XB1195" s="925"/>
      <c r="XC1195" s="925"/>
      <c r="XD1195" s="925"/>
      <c r="XE1195" s="925"/>
      <c r="XF1195" s="925"/>
      <c r="XG1195" s="925"/>
      <c r="XH1195" s="925"/>
      <c r="XI1195" s="925"/>
      <c r="XJ1195" s="925"/>
      <c r="XK1195" s="925"/>
      <c r="XL1195" s="925"/>
      <c r="XM1195" s="925"/>
      <c r="XN1195" s="925"/>
      <c r="XO1195" s="925"/>
      <c r="XP1195" s="925"/>
      <c r="XQ1195" s="925"/>
      <c r="XR1195" s="925"/>
      <c r="XS1195" s="925"/>
      <c r="XT1195" s="925"/>
      <c r="XU1195" s="925"/>
      <c r="XV1195" s="925"/>
      <c r="XW1195" s="925"/>
      <c r="XX1195" s="925"/>
      <c r="XY1195" s="925"/>
      <c r="XZ1195" s="925"/>
      <c r="YA1195" s="925"/>
      <c r="YB1195" s="925"/>
      <c r="YC1195" s="925"/>
      <c r="YD1195" s="925"/>
      <c r="YE1195" s="925"/>
      <c r="YF1195" s="925"/>
      <c r="YG1195" s="925"/>
      <c r="YH1195" s="925"/>
      <c r="YI1195" s="925"/>
      <c r="YJ1195" s="925"/>
      <c r="YK1195" s="925"/>
      <c r="YL1195" s="925"/>
      <c r="YM1195" s="925"/>
      <c r="YN1195" s="925"/>
      <c r="YO1195" s="925"/>
      <c r="YP1195" s="925"/>
      <c r="YQ1195" s="925"/>
      <c r="YR1195" s="925"/>
      <c r="YS1195" s="925"/>
      <c r="YT1195" s="925"/>
      <c r="YU1195" s="925"/>
      <c r="YV1195" s="925"/>
      <c r="YW1195" s="925"/>
      <c r="YX1195" s="925"/>
      <c r="YY1195" s="925"/>
      <c r="YZ1195" s="925"/>
      <c r="ZA1195" s="925"/>
      <c r="ZB1195" s="925"/>
      <c r="ZC1195" s="925"/>
      <c r="ZD1195" s="925"/>
      <c r="ZE1195" s="925"/>
      <c r="ZF1195" s="925"/>
      <c r="ZG1195" s="925"/>
      <c r="ZH1195" s="925"/>
      <c r="ZI1195" s="925"/>
      <c r="ZJ1195" s="925"/>
      <c r="ZK1195" s="925"/>
      <c r="ZL1195" s="925"/>
      <c r="ZM1195" s="925"/>
      <c r="ZN1195" s="925"/>
      <c r="ZO1195" s="925"/>
      <c r="ZP1195" s="925"/>
      <c r="ZQ1195" s="925"/>
      <c r="ZR1195" s="925"/>
      <c r="ZS1195" s="925"/>
      <c r="ZT1195" s="925"/>
      <c r="ZU1195" s="925"/>
      <c r="ZV1195" s="925"/>
      <c r="ZW1195" s="925"/>
      <c r="ZX1195" s="925"/>
      <c r="ZY1195" s="925"/>
      <c r="ZZ1195" s="925"/>
      <c r="AAA1195" s="925"/>
      <c r="AAB1195" s="925"/>
      <c r="AAC1195" s="925"/>
      <c r="AAD1195" s="925"/>
      <c r="AAE1195" s="925"/>
      <c r="AAF1195" s="925"/>
      <c r="AAG1195" s="925"/>
      <c r="AAH1195" s="925"/>
      <c r="AAI1195" s="925"/>
      <c r="AAJ1195" s="925"/>
      <c r="AAK1195" s="925"/>
      <c r="AAL1195" s="925"/>
      <c r="AAM1195" s="925"/>
      <c r="AAN1195" s="925"/>
      <c r="AAO1195" s="925"/>
      <c r="AAP1195" s="925"/>
      <c r="AAQ1195" s="925"/>
      <c r="AAR1195" s="925"/>
      <c r="AAS1195" s="925"/>
      <c r="AAT1195" s="925"/>
      <c r="AAU1195" s="925"/>
      <c r="AAV1195" s="925"/>
      <c r="AAW1195" s="925"/>
      <c r="AAX1195" s="925"/>
      <c r="AAY1195" s="925"/>
      <c r="AAZ1195" s="925"/>
      <c r="ABA1195" s="925"/>
      <c r="ABB1195" s="925"/>
      <c r="ABC1195" s="925"/>
      <c r="ABD1195" s="925"/>
      <c r="ABE1195" s="925"/>
      <c r="ABF1195" s="925"/>
      <c r="ABG1195" s="925"/>
      <c r="ABH1195" s="925"/>
      <c r="ABI1195" s="925"/>
      <c r="ABJ1195" s="925"/>
      <c r="ABK1195" s="925"/>
      <c r="ABL1195" s="925"/>
      <c r="ABM1195" s="925"/>
      <c r="ABN1195" s="925"/>
      <c r="ABO1195" s="925"/>
      <c r="ABP1195" s="925"/>
      <c r="ABQ1195" s="925"/>
      <c r="ABR1195" s="925"/>
      <c r="ABS1195" s="925"/>
      <c r="ABT1195" s="925"/>
      <c r="ABU1195" s="925"/>
      <c r="ABV1195" s="925"/>
      <c r="ABW1195" s="925"/>
      <c r="ABX1195" s="925"/>
      <c r="ABY1195" s="925"/>
      <c r="ABZ1195" s="925"/>
      <c r="ACA1195" s="925"/>
      <c r="ACB1195" s="925"/>
      <c r="ACC1195" s="925"/>
      <c r="ACD1195" s="925"/>
      <c r="ACE1195" s="925"/>
      <c r="ACF1195" s="925"/>
      <c r="ACG1195" s="925"/>
      <c r="ACH1195" s="925"/>
      <c r="ACI1195" s="925"/>
      <c r="ACJ1195" s="925"/>
      <c r="ACK1195" s="925"/>
      <c r="ACL1195" s="925"/>
      <c r="ACM1195" s="925"/>
      <c r="ACN1195" s="925"/>
      <c r="ACO1195" s="925"/>
      <c r="ACP1195" s="925"/>
      <c r="ACQ1195" s="925"/>
      <c r="ACR1195" s="925"/>
      <c r="ACS1195" s="925"/>
      <c r="ACT1195" s="925"/>
      <c r="ACU1195" s="925"/>
      <c r="ACV1195" s="925"/>
      <c r="ACW1195" s="925"/>
      <c r="ACX1195" s="925"/>
      <c r="ACY1195" s="925"/>
      <c r="ACZ1195" s="925"/>
      <c r="ADA1195" s="925"/>
      <c r="ADB1195" s="925"/>
      <c r="ADC1195" s="925"/>
      <c r="ADD1195" s="925"/>
      <c r="ADE1195" s="925"/>
      <c r="ADF1195" s="925"/>
      <c r="ADG1195" s="925"/>
      <c r="ADH1195" s="925"/>
      <c r="ADI1195" s="925"/>
      <c r="ADJ1195" s="925"/>
      <c r="ADK1195" s="925"/>
      <c r="ADL1195" s="925"/>
      <c r="ADM1195" s="925"/>
      <c r="ADN1195" s="925"/>
      <c r="ADO1195" s="925"/>
      <c r="ADP1195" s="925"/>
      <c r="ADQ1195" s="925"/>
      <c r="ADR1195" s="925"/>
      <c r="ADS1195" s="925"/>
      <c r="ADT1195" s="925"/>
      <c r="ADU1195" s="925"/>
      <c r="ADV1195" s="925"/>
      <c r="ADW1195" s="925"/>
      <c r="ADX1195" s="925"/>
      <c r="ADY1195" s="925"/>
      <c r="ADZ1195" s="925"/>
      <c r="AEA1195" s="925"/>
      <c r="AEB1195" s="925"/>
      <c r="AEC1195" s="925"/>
      <c r="AED1195" s="925"/>
      <c r="AEE1195" s="925"/>
      <c r="AEF1195" s="925"/>
      <c r="AEG1195" s="925"/>
      <c r="AEH1195" s="925"/>
      <c r="AEI1195" s="925"/>
      <c r="AEJ1195" s="925"/>
      <c r="AEK1195" s="925"/>
      <c r="AEL1195" s="925"/>
      <c r="AEM1195" s="925"/>
      <c r="AEN1195" s="925"/>
      <c r="AEO1195" s="925"/>
      <c r="AEP1195" s="925"/>
      <c r="AEQ1195" s="925"/>
      <c r="AER1195" s="925"/>
      <c r="AES1195" s="925"/>
      <c r="AET1195" s="925"/>
      <c r="AEU1195" s="925"/>
      <c r="AEV1195" s="925"/>
      <c r="AEW1195" s="925"/>
      <c r="AEX1195" s="925"/>
      <c r="AEY1195" s="925"/>
      <c r="AEZ1195" s="925"/>
      <c r="AFA1195" s="925"/>
      <c r="AFB1195" s="925"/>
      <c r="AFC1195" s="925"/>
      <c r="AFD1195" s="925"/>
      <c r="AFE1195" s="925"/>
      <c r="AFF1195" s="925"/>
      <c r="AFG1195" s="925"/>
      <c r="AFH1195" s="925"/>
      <c r="AFI1195" s="925"/>
      <c r="AFJ1195" s="925"/>
      <c r="AFK1195" s="925"/>
      <c r="AFL1195" s="925"/>
      <c r="AFM1195" s="925"/>
      <c r="AFN1195" s="925"/>
      <c r="AFO1195" s="925"/>
      <c r="AFP1195" s="925"/>
      <c r="AFQ1195" s="925"/>
      <c r="AFR1195" s="925"/>
      <c r="AFS1195" s="925"/>
      <c r="AFT1195" s="925"/>
      <c r="AFU1195" s="925"/>
      <c r="AFV1195" s="925"/>
      <c r="AFW1195" s="925"/>
      <c r="AFX1195" s="925"/>
      <c r="AFY1195" s="925"/>
      <c r="AFZ1195" s="925"/>
      <c r="AGA1195" s="925"/>
      <c r="AGB1195" s="925"/>
      <c r="AGC1195" s="925"/>
      <c r="AGD1195" s="925"/>
      <c r="AGE1195" s="925"/>
      <c r="AGF1195" s="925"/>
      <c r="AGG1195" s="925"/>
      <c r="AGH1195" s="925"/>
      <c r="AGI1195" s="925"/>
      <c r="AGJ1195" s="925"/>
    </row>
    <row r="1196" spans="1:868" s="918" customFormat="1" hidden="1">
      <c r="A1196" s="918" t="str">
        <f>Clothing!A272</f>
        <v>Clothing (product sector)</v>
      </c>
      <c r="B1196" s="918" t="str">
        <f>Clothing!B272</f>
        <v>Boots</v>
      </c>
      <c r="C1196" s="918" t="str">
        <f>Clothing!C272</f>
        <v>NL</v>
      </c>
      <c r="D1196" s="918" t="str">
        <f>Clothing!D272</f>
        <v>PUR</v>
      </c>
      <c r="E1196" s="921">
        <f>Clothing!E272</f>
        <v>0.498308676791128</v>
      </c>
      <c r="F1196" s="918">
        <f>Clothing!F272</f>
        <v>1</v>
      </c>
      <c r="G1196" s="918" t="str">
        <f>Clothing!G272</f>
        <v>https://eeb.org/library/draft-product-environmental-footprint-category-rules-pefcr-apparel-and-footwear/</v>
      </c>
      <c r="H1196" s="922">
        <f>Clothing!H272</f>
        <v>2</v>
      </c>
      <c r="I1196" s="922" t="str">
        <f>Clothing!I272</f>
        <v/>
      </c>
      <c r="J1196" s="922">
        <f>Clothing!J272</f>
        <v>2</v>
      </c>
      <c r="K1196" s="922">
        <f>Clothing!K272</f>
        <v>1</v>
      </c>
      <c r="L1196" s="922">
        <f>Clothing!L272</f>
        <v>2</v>
      </c>
      <c r="M1196" s="922">
        <f>Clothing!M272</f>
        <v>3</v>
      </c>
      <c r="N1196" s="186">
        <f t="shared" si="99"/>
        <v>1.0301997916669636</v>
      </c>
      <c r="O1196" s="160" t="e">
        <f t="shared" si="100"/>
        <v>#VALUE!</v>
      </c>
      <c r="Q1196" s="925"/>
      <c r="R1196" s="925"/>
      <c r="S1196" s="925"/>
      <c r="T1196" s="925"/>
      <c r="U1196" s="925"/>
      <c r="V1196" s="925"/>
      <c r="W1196" s="925"/>
      <c r="X1196" s="925"/>
      <c r="Y1196" s="925"/>
      <c r="Z1196" s="925"/>
      <c r="AA1196" s="925"/>
      <c r="AB1196" s="925"/>
      <c r="AC1196" s="925"/>
      <c r="AD1196" s="925"/>
      <c r="AE1196" s="925"/>
      <c r="AF1196" s="925"/>
      <c r="AG1196" s="925"/>
      <c r="AH1196" s="925"/>
      <c r="AI1196" s="925"/>
      <c r="AJ1196" s="925"/>
      <c r="AK1196" s="925"/>
      <c r="AL1196" s="925"/>
      <c r="AM1196" s="925"/>
      <c r="AN1196" s="925"/>
      <c r="AO1196" s="925"/>
      <c r="AP1196" s="925"/>
      <c r="AQ1196" s="925"/>
      <c r="AR1196" s="925"/>
      <c r="AS1196" s="925"/>
      <c r="AT1196" s="925"/>
      <c r="AU1196" s="925"/>
      <c r="AV1196" s="925"/>
      <c r="AW1196" s="925"/>
      <c r="AX1196" s="925"/>
      <c r="AY1196" s="925"/>
      <c r="AZ1196" s="925"/>
      <c r="BA1196" s="925"/>
      <c r="BB1196" s="925"/>
      <c r="BC1196" s="925"/>
      <c r="BD1196" s="925"/>
      <c r="BE1196" s="925"/>
      <c r="BF1196" s="925"/>
      <c r="BG1196" s="925"/>
      <c r="BH1196" s="925"/>
      <c r="BI1196" s="925"/>
      <c r="BJ1196" s="925"/>
      <c r="BK1196" s="925"/>
      <c r="BL1196" s="925"/>
      <c r="BM1196" s="925"/>
      <c r="BN1196" s="925"/>
      <c r="BO1196" s="925"/>
      <c r="BP1196" s="925"/>
      <c r="BQ1196" s="925"/>
      <c r="BR1196" s="925"/>
      <c r="BS1196" s="925"/>
      <c r="BT1196" s="925"/>
      <c r="BU1196" s="925"/>
      <c r="BV1196" s="925"/>
      <c r="BW1196" s="925"/>
      <c r="BX1196" s="925"/>
      <c r="BY1196" s="925"/>
      <c r="BZ1196" s="925"/>
      <c r="CA1196" s="925"/>
      <c r="CB1196" s="925"/>
      <c r="CC1196" s="925"/>
      <c r="CD1196" s="925"/>
      <c r="CE1196" s="925"/>
      <c r="CF1196" s="925"/>
      <c r="CG1196" s="925"/>
      <c r="CH1196" s="925"/>
      <c r="CI1196" s="925"/>
      <c r="CJ1196" s="925"/>
      <c r="CK1196" s="925"/>
      <c r="CL1196" s="925"/>
      <c r="CM1196" s="925"/>
      <c r="CN1196" s="925"/>
      <c r="CO1196" s="925"/>
      <c r="CP1196" s="925"/>
      <c r="CQ1196" s="925"/>
      <c r="CR1196" s="925"/>
      <c r="CS1196" s="925"/>
      <c r="CT1196" s="925"/>
      <c r="CU1196" s="925"/>
      <c r="CV1196" s="925"/>
      <c r="CW1196" s="925"/>
      <c r="CX1196" s="925"/>
      <c r="CY1196" s="925"/>
      <c r="CZ1196" s="925"/>
      <c r="DA1196" s="925"/>
      <c r="DB1196" s="925"/>
      <c r="DC1196" s="925"/>
      <c r="DD1196" s="925"/>
      <c r="DE1196" s="925"/>
      <c r="DF1196" s="925"/>
      <c r="DG1196" s="925"/>
      <c r="DH1196" s="925"/>
      <c r="DI1196" s="925"/>
      <c r="DJ1196" s="925"/>
      <c r="DK1196" s="925"/>
      <c r="DL1196" s="925"/>
      <c r="DM1196" s="925"/>
      <c r="DN1196" s="925"/>
      <c r="DO1196" s="925"/>
      <c r="DP1196" s="925"/>
      <c r="DQ1196" s="925"/>
      <c r="DR1196" s="925"/>
      <c r="DS1196" s="925"/>
      <c r="DT1196" s="925"/>
      <c r="DU1196" s="925"/>
      <c r="DV1196" s="925"/>
      <c r="DW1196" s="925"/>
      <c r="DX1196" s="925"/>
      <c r="DY1196" s="925"/>
      <c r="DZ1196" s="925"/>
      <c r="EA1196" s="925"/>
      <c r="EB1196" s="925"/>
      <c r="EC1196" s="925"/>
      <c r="ED1196" s="925"/>
      <c r="EE1196" s="925"/>
      <c r="EF1196" s="925"/>
      <c r="EG1196" s="925"/>
      <c r="EH1196" s="925"/>
      <c r="EI1196" s="925"/>
      <c r="EJ1196" s="925"/>
      <c r="EK1196" s="925"/>
      <c r="EL1196" s="925"/>
      <c r="EM1196" s="925"/>
      <c r="EN1196" s="925"/>
      <c r="EO1196" s="925"/>
      <c r="EP1196" s="925"/>
      <c r="EQ1196" s="925"/>
      <c r="ER1196" s="925"/>
      <c r="ES1196" s="925"/>
      <c r="ET1196" s="925"/>
      <c r="EU1196" s="925"/>
      <c r="EV1196" s="925"/>
      <c r="EW1196" s="925"/>
      <c r="EX1196" s="925"/>
      <c r="EY1196" s="925"/>
      <c r="EZ1196" s="925"/>
      <c r="FA1196" s="925"/>
      <c r="FB1196" s="925"/>
      <c r="FC1196" s="925"/>
      <c r="FD1196" s="925"/>
      <c r="FE1196" s="925"/>
      <c r="FF1196" s="925"/>
      <c r="FG1196" s="925"/>
      <c r="FH1196" s="925"/>
      <c r="FI1196" s="925"/>
      <c r="FJ1196" s="925"/>
      <c r="FK1196" s="925"/>
      <c r="FL1196" s="925"/>
      <c r="FM1196" s="925"/>
      <c r="FN1196" s="925"/>
      <c r="FO1196" s="925"/>
      <c r="FP1196" s="925"/>
      <c r="FQ1196" s="925"/>
      <c r="FR1196" s="925"/>
      <c r="FS1196" s="925"/>
      <c r="FT1196" s="925"/>
      <c r="FU1196" s="925"/>
      <c r="FV1196" s="925"/>
      <c r="FW1196" s="925"/>
      <c r="FX1196" s="925"/>
      <c r="FY1196" s="925"/>
      <c r="FZ1196" s="925"/>
      <c r="GA1196" s="925"/>
      <c r="GB1196" s="925"/>
      <c r="GC1196" s="925"/>
      <c r="GD1196" s="925"/>
      <c r="GE1196" s="925"/>
      <c r="GF1196" s="925"/>
      <c r="GG1196" s="925"/>
      <c r="GH1196" s="925"/>
      <c r="GI1196" s="925"/>
      <c r="GJ1196" s="925"/>
      <c r="GK1196" s="925"/>
      <c r="GL1196" s="925"/>
      <c r="GM1196" s="925"/>
      <c r="GN1196" s="925"/>
      <c r="GO1196" s="925"/>
      <c r="GP1196" s="925"/>
      <c r="GQ1196" s="925"/>
      <c r="GR1196" s="925"/>
      <c r="GS1196" s="925"/>
      <c r="GT1196" s="925"/>
      <c r="GU1196" s="925"/>
      <c r="GV1196" s="925"/>
      <c r="GW1196" s="925"/>
      <c r="GX1196" s="925"/>
      <c r="GY1196" s="925"/>
      <c r="GZ1196" s="925"/>
      <c r="HA1196" s="925"/>
      <c r="HB1196" s="925"/>
      <c r="HC1196" s="925"/>
      <c r="HD1196" s="925"/>
      <c r="HE1196" s="925"/>
      <c r="HF1196" s="925"/>
      <c r="HG1196" s="925"/>
      <c r="HH1196" s="925"/>
      <c r="HI1196" s="925"/>
      <c r="HJ1196" s="925"/>
      <c r="HK1196" s="925"/>
      <c r="HL1196" s="925"/>
      <c r="HM1196" s="925"/>
      <c r="HN1196" s="925"/>
      <c r="HO1196" s="925"/>
      <c r="HP1196" s="925"/>
      <c r="HQ1196" s="925"/>
      <c r="HR1196" s="925"/>
      <c r="HS1196" s="925"/>
      <c r="HT1196" s="925"/>
      <c r="HU1196" s="925"/>
      <c r="HV1196" s="925"/>
      <c r="HW1196" s="925"/>
      <c r="HX1196" s="925"/>
      <c r="HY1196" s="925"/>
      <c r="HZ1196" s="925"/>
      <c r="IA1196" s="925"/>
      <c r="IB1196" s="925"/>
      <c r="IC1196" s="925"/>
      <c r="ID1196" s="925"/>
      <c r="IE1196" s="925"/>
      <c r="IF1196" s="925"/>
      <c r="IG1196" s="925"/>
      <c r="IH1196" s="925"/>
      <c r="II1196" s="925"/>
      <c r="IJ1196" s="925"/>
      <c r="IK1196" s="925"/>
      <c r="IL1196" s="925"/>
      <c r="IM1196" s="925"/>
      <c r="IN1196" s="925"/>
      <c r="IO1196" s="925"/>
      <c r="IP1196" s="925"/>
      <c r="IQ1196" s="925"/>
      <c r="IR1196" s="925"/>
      <c r="IS1196" s="925"/>
      <c r="IT1196" s="925"/>
      <c r="IU1196" s="925"/>
      <c r="IV1196" s="925"/>
      <c r="IW1196" s="925"/>
      <c r="IX1196" s="925"/>
      <c r="IY1196" s="925"/>
      <c r="IZ1196" s="925"/>
      <c r="JA1196" s="925"/>
      <c r="JB1196" s="925"/>
      <c r="JC1196" s="925"/>
      <c r="JD1196" s="925"/>
      <c r="JE1196" s="925"/>
      <c r="JF1196" s="925"/>
      <c r="JG1196" s="925"/>
      <c r="JH1196" s="925"/>
      <c r="JI1196" s="925"/>
      <c r="JJ1196" s="925"/>
      <c r="JK1196" s="925"/>
      <c r="JL1196" s="925"/>
      <c r="JM1196" s="925"/>
      <c r="JN1196" s="925"/>
      <c r="JO1196" s="925"/>
      <c r="JP1196" s="925"/>
      <c r="JQ1196" s="925"/>
      <c r="JR1196" s="925"/>
      <c r="JS1196" s="925"/>
      <c r="JT1196" s="925"/>
      <c r="JU1196" s="925"/>
      <c r="JV1196" s="925"/>
      <c r="JW1196" s="925"/>
      <c r="JX1196" s="925"/>
      <c r="JY1196" s="925"/>
      <c r="JZ1196" s="925"/>
      <c r="KA1196" s="925"/>
      <c r="KB1196" s="925"/>
      <c r="KC1196" s="925"/>
      <c r="KD1196" s="925"/>
      <c r="KE1196" s="925"/>
      <c r="KF1196" s="925"/>
      <c r="KG1196" s="925"/>
      <c r="KH1196" s="925"/>
      <c r="KI1196" s="925"/>
      <c r="KJ1196" s="925"/>
      <c r="KK1196" s="925"/>
      <c r="KL1196" s="925"/>
      <c r="KM1196" s="925"/>
      <c r="KN1196" s="925"/>
      <c r="KO1196" s="925"/>
      <c r="KP1196" s="925"/>
      <c r="KQ1196" s="925"/>
      <c r="KR1196" s="925"/>
      <c r="KS1196" s="925"/>
      <c r="KT1196" s="925"/>
      <c r="KU1196" s="925"/>
      <c r="KV1196" s="925"/>
      <c r="KW1196" s="925"/>
      <c r="KX1196" s="925"/>
      <c r="KY1196" s="925"/>
      <c r="KZ1196" s="925"/>
      <c r="LA1196" s="925"/>
      <c r="LB1196" s="925"/>
      <c r="LC1196" s="925"/>
      <c r="LD1196" s="925"/>
      <c r="LE1196" s="925"/>
      <c r="LF1196" s="925"/>
      <c r="LG1196" s="925"/>
      <c r="LH1196" s="925"/>
      <c r="LI1196" s="925"/>
      <c r="LJ1196" s="925"/>
      <c r="LK1196" s="925"/>
      <c r="LL1196" s="925"/>
      <c r="LM1196" s="925"/>
      <c r="LN1196" s="925"/>
      <c r="LO1196" s="925"/>
      <c r="LP1196" s="925"/>
      <c r="LQ1196" s="925"/>
      <c r="LR1196" s="925"/>
      <c r="LS1196" s="925"/>
      <c r="LT1196" s="925"/>
      <c r="LU1196" s="925"/>
      <c r="LV1196" s="925"/>
      <c r="LW1196" s="925"/>
      <c r="LX1196" s="925"/>
      <c r="LY1196" s="925"/>
      <c r="LZ1196" s="925"/>
      <c r="MA1196" s="925"/>
      <c r="MB1196" s="925"/>
      <c r="MC1196" s="925"/>
      <c r="MD1196" s="925"/>
      <c r="ME1196" s="925"/>
      <c r="MF1196" s="925"/>
      <c r="MG1196" s="925"/>
      <c r="MH1196" s="925"/>
      <c r="MI1196" s="925"/>
      <c r="MJ1196" s="925"/>
      <c r="MK1196" s="925"/>
      <c r="ML1196" s="925"/>
      <c r="MM1196" s="925"/>
      <c r="MN1196" s="925"/>
      <c r="MO1196" s="925"/>
      <c r="MP1196" s="925"/>
      <c r="MQ1196" s="925"/>
      <c r="MR1196" s="925"/>
      <c r="MS1196" s="925"/>
      <c r="MT1196" s="925"/>
      <c r="MU1196" s="925"/>
      <c r="MV1196" s="925"/>
      <c r="MW1196" s="925"/>
      <c r="MX1196" s="925"/>
      <c r="MY1196" s="925"/>
      <c r="MZ1196" s="925"/>
      <c r="NA1196" s="925"/>
      <c r="NB1196" s="925"/>
      <c r="NC1196" s="925"/>
      <c r="ND1196" s="925"/>
      <c r="NE1196" s="925"/>
      <c r="NF1196" s="925"/>
      <c r="NG1196" s="925"/>
      <c r="NH1196" s="925"/>
      <c r="NI1196" s="925"/>
      <c r="NJ1196" s="925"/>
      <c r="NK1196" s="925"/>
      <c r="NL1196" s="925"/>
      <c r="NM1196" s="925"/>
      <c r="NN1196" s="925"/>
      <c r="NO1196" s="925"/>
      <c r="NP1196" s="925"/>
      <c r="NQ1196" s="925"/>
      <c r="NR1196" s="925"/>
      <c r="NS1196" s="925"/>
      <c r="NT1196" s="925"/>
      <c r="NU1196" s="925"/>
      <c r="NV1196" s="925"/>
      <c r="NW1196" s="925"/>
      <c r="NX1196" s="925"/>
      <c r="NY1196" s="925"/>
      <c r="NZ1196" s="925"/>
      <c r="OA1196" s="925"/>
      <c r="OB1196" s="925"/>
      <c r="OC1196" s="925"/>
      <c r="OD1196" s="925"/>
      <c r="OE1196" s="925"/>
      <c r="OF1196" s="925"/>
      <c r="OG1196" s="925"/>
      <c r="OH1196" s="925"/>
      <c r="OI1196" s="925"/>
      <c r="OJ1196" s="925"/>
      <c r="OK1196" s="925"/>
      <c r="OL1196" s="925"/>
      <c r="OM1196" s="925"/>
      <c r="ON1196" s="925"/>
      <c r="OO1196" s="925"/>
      <c r="OP1196" s="925"/>
      <c r="OQ1196" s="925"/>
      <c r="OR1196" s="925"/>
      <c r="OS1196" s="925"/>
      <c r="OT1196" s="925"/>
      <c r="OU1196" s="925"/>
      <c r="OV1196" s="925"/>
      <c r="OW1196" s="925"/>
      <c r="OX1196" s="925"/>
      <c r="OY1196" s="925"/>
      <c r="OZ1196" s="925"/>
      <c r="PA1196" s="925"/>
      <c r="PB1196" s="925"/>
      <c r="PC1196" s="925"/>
      <c r="PD1196" s="925"/>
      <c r="PE1196" s="925"/>
      <c r="PF1196" s="925"/>
      <c r="PG1196" s="925"/>
      <c r="PH1196" s="925"/>
      <c r="PI1196" s="925"/>
      <c r="PJ1196" s="925"/>
      <c r="PK1196" s="925"/>
      <c r="PL1196" s="925"/>
      <c r="PM1196" s="925"/>
      <c r="PN1196" s="925"/>
      <c r="PO1196" s="925"/>
      <c r="PP1196" s="925"/>
      <c r="PQ1196" s="925"/>
      <c r="PR1196" s="925"/>
      <c r="PS1196" s="925"/>
      <c r="PT1196" s="925"/>
      <c r="PU1196" s="925"/>
      <c r="PV1196" s="925"/>
      <c r="PW1196" s="925"/>
      <c r="PX1196" s="925"/>
      <c r="PY1196" s="925"/>
      <c r="PZ1196" s="925"/>
      <c r="QA1196" s="925"/>
      <c r="QB1196" s="925"/>
      <c r="QC1196" s="925"/>
      <c r="QD1196" s="925"/>
      <c r="QE1196" s="925"/>
      <c r="QF1196" s="925"/>
      <c r="QG1196" s="925"/>
      <c r="QH1196" s="925"/>
      <c r="QI1196" s="925"/>
      <c r="QJ1196" s="925"/>
      <c r="QK1196" s="925"/>
      <c r="QL1196" s="925"/>
      <c r="QM1196" s="925"/>
      <c r="QN1196" s="925"/>
      <c r="QO1196" s="925"/>
      <c r="QP1196" s="925"/>
      <c r="QQ1196" s="925"/>
      <c r="QR1196" s="925"/>
      <c r="QS1196" s="925"/>
      <c r="QT1196" s="925"/>
      <c r="QU1196" s="925"/>
      <c r="QV1196" s="925"/>
      <c r="QW1196" s="925"/>
      <c r="QX1196" s="925"/>
      <c r="QY1196" s="925"/>
      <c r="QZ1196" s="925"/>
      <c r="RA1196" s="925"/>
      <c r="RB1196" s="925"/>
      <c r="RC1196" s="925"/>
      <c r="RD1196" s="925"/>
      <c r="RE1196" s="925"/>
      <c r="RF1196" s="925"/>
      <c r="RG1196" s="925"/>
      <c r="RH1196" s="925"/>
      <c r="RI1196" s="925"/>
      <c r="RJ1196" s="925"/>
      <c r="RK1196" s="925"/>
      <c r="RL1196" s="925"/>
      <c r="RM1196" s="925"/>
      <c r="RN1196" s="925"/>
      <c r="RO1196" s="925"/>
      <c r="RP1196" s="925"/>
      <c r="RQ1196" s="925"/>
      <c r="RR1196" s="925"/>
      <c r="RS1196" s="925"/>
      <c r="RT1196" s="925"/>
      <c r="RU1196" s="925"/>
      <c r="RV1196" s="925"/>
      <c r="RW1196" s="925"/>
      <c r="RX1196" s="925"/>
      <c r="RY1196" s="925"/>
      <c r="RZ1196" s="925"/>
      <c r="SA1196" s="925"/>
      <c r="SB1196" s="925"/>
      <c r="SC1196" s="925"/>
      <c r="SD1196" s="925"/>
      <c r="SE1196" s="925"/>
      <c r="SF1196" s="925"/>
      <c r="SG1196" s="925"/>
      <c r="SH1196" s="925"/>
      <c r="SI1196" s="925"/>
      <c r="SJ1196" s="925"/>
      <c r="SK1196" s="925"/>
      <c r="SL1196" s="925"/>
      <c r="SM1196" s="925"/>
      <c r="SN1196" s="925"/>
      <c r="SO1196" s="925"/>
      <c r="SP1196" s="925"/>
      <c r="SQ1196" s="925"/>
      <c r="SR1196" s="925"/>
      <c r="SS1196" s="925"/>
      <c r="ST1196" s="925"/>
      <c r="SU1196" s="925"/>
      <c r="SV1196" s="925"/>
      <c r="SW1196" s="925"/>
      <c r="SX1196" s="925"/>
      <c r="SY1196" s="925"/>
      <c r="SZ1196" s="925"/>
      <c r="TA1196" s="925"/>
      <c r="TB1196" s="925"/>
      <c r="TC1196" s="925"/>
      <c r="TD1196" s="925"/>
      <c r="TE1196" s="925"/>
      <c r="TF1196" s="925"/>
      <c r="TG1196" s="925"/>
      <c r="TH1196" s="925"/>
      <c r="TI1196" s="925"/>
      <c r="TJ1196" s="925"/>
      <c r="TK1196" s="925"/>
      <c r="TL1196" s="925"/>
      <c r="TM1196" s="925"/>
      <c r="TN1196" s="925"/>
      <c r="TO1196" s="925"/>
      <c r="TP1196" s="925"/>
      <c r="TQ1196" s="925"/>
      <c r="TR1196" s="925"/>
      <c r="TS1196" s="925"/>
      <c r="TT1196" s="925"/>
      <c r="TU1196" s="925"/>
      <c r="TV1196" s="925"/>
      <c r="TW1196" s="925"/>
      <c r="TX1196" s="925"/>
      <c r="TY1196" s="925"/>
      <c r="TZ1196" s="925"/>
      <c r="UA1196" s="925"/>
      <c r="UB1196" s="925"/>
      <c r="UC1196" s="925"/>
      <c r="UD1196" s="925"/>
      <c r="UE1196" s="925"/>
      <c r="UF1196" s="925"/>
      <c r="UG1196" s="925"/>
      <c r="UH1196" s="925"/>
      <c r="UI1196" s="925"/>
      <c r="UJ1196" s="925"/>
      <c r="UK1196" s="925"/>
      <c r="UL1196" s="925"/>
      <c r="UM1196" s="925"/>
      <c r="UN1196" s="925"/>
      <c r="UO1196" s="925"/>
      <c r="UP1196" s="925"/>
      <c r="UQ1196" s="925"/>
      <c r="UR1196" s="925"/>
      <c r="US1196" s="925"/>
      <c r="UT1196" s="925"/>
      <c r="UU1196" s="925"/>
      <c r="UV1196" s="925"/>
      <c r="UW1196" s="925"/>
      <c r="UX1196" s="925"/>
      <c r="UY1196" s="925"/>
      <c r="UZ1196" s="925"/>
      <c r="VA1196" s="925"/>
      <c r="VB1196" s="925"/>
      <c r="VC1196" s="925"/>
      <c r="VD1196" s="925"/>
      <c r="VE1196" s="925"/>
      <c r="VF1196" s="925"/>
      <c r="VG1196" s="925"/>
      <c r="VH1196" s="925"/>
      <c r="VI1196" s="925"/>
      <c r="VJ1196" s="925"/>
      <c r="VK1196" s="925"/>
      <c r="VL1196" s="925"/>
      <c r="VM1196" s="925"/>
      <c r="VN1196" s="925"/>
      <c r="VO1196" s="925"/>
      <c r="VP1196" s="925"/>
      <c r="VQ1196" s="925"/>
      <c r="VR1196" s="925"/>
      <c r="VS1196" s="925"/>
      <c r="VT1196" s="925"/>
      <c r="VU1196" s="925"/>
      <c r="VV1196" s="925"/>
      <c r="VW1196" s="925"/>
      <c r="VX1196" s="925"/>
      <c r="VY1196" s="925"/>
      <c r="VZ1196" s="925"/>
      <c r="WA1196" s="925"/>
      <c r="WB1196" s="925"/>
      <c r="WC1196" s="925"/>
      <c r="WD1196" s="925"/>
      <c r="WE1196" s="925"/>
      <c r="WF1196" s="925"/>
      <c r="WG1196" s="925"/>
      <c r="WH1196" s="925"/>
      <c r="WI1196" s="925"/>
      <c r="WJ1196" s="925"/>
      <c r="WK1196" s="925"/>
      <c r="WL1196" s="925"/>
      <c r="WM1196" s="925"/>
      <c r="WN1196" s="925"/>
      <c r="WO1196" s="925"/>
      <c r="WP1196" s="925"/>
      <c r="WQ1196" s="925"/>
      <c r="WR1196" s="925"/>
      <c r="WS1196" s="925"/>
      <c r="WT1196" s="925"/>
      <c r="WU1196" s="925"/>
      <c r="WV1196" s="925"/>
      <c r="WW1196" s="925"/>
      <c r="WX1196" s="925"/>
      <c r="WY1196" s="925"/>
      <c r="WZ1196" s="925"/>
      <c r="XA1196" s="925"/>
      <c r="XB1196" s="925"/>
      <c r="XC1196" s="925"/>
      <c r="XD1196" s="925"/>
      <c r="XE1196" s="925"/>
      <c r="XF1196" s="925"/>
      <c r="XG1196" s="925"/>
      <c r="XH1196" s="925"/>
      <c r="XI1196" s="925"/>
      <c r="XJ1196" s="925"/>
      <c r="XK1196" s="925"/>
      <c r="XL1196" s="925"/>
      <c r="XM1196" s="925"/>
      <c r="XN1196" s="925"/>
      <c r="XO1196" s="925"/>
      <c r="XP1196" s="925"/>
      <c r="XQ1196" s="925"/>
      <c r="XR1196" s="925"/>
      <c r="XS1196" s="925"/>
      <c r="XT1196" s="925"/>
      <c r="XU1196" s="925"/>
      <c r="XV1196" s="925"/>
      <c r="XW1196" s="925"/>
      <c r="XX1196" s="925"/>
      <c r="XY1196" s="925"/>
      <c r="XZ1196" s="925"/>
      <c r="YA1196" s="925"/>
      <c r="YB1196" s="925"/>
      <c r="YC1196" s="925"/>
      <c r="YD1196" s="925"/>
      <c r="YE1196" s="925"/>
      <c r="YF1196" s="925"/>
      <c r="YG1196" s="925"/>
      <c r="YH1196" s="925"/>
      <c r="YI1196" s="925"/>
      <c r="YJ1196" s="925"/>
      <c r="YK1196" s="925"/>
      <c r="YL1196" s="925"/>
      <c r="YM1196" s="925"/>
      <c r="YN1196" s="925"/>
      <c r="YO1196" s="925"/>
      <c r="YP1196" s="925"/>
      <c r="YQ1196" s="925"/>
      <c r="YR1196" s="925"/>
      <c r="YS1196" s="925"/>
      <c r="YT1196" s="925"/>
      <c r="YU1196" s="925"/>
      <c r="YV1196" s="925"/>
      <c r="YW1196" s="925"/>
      <c r="YX1196" s="925"/>
      <c r="YY1196" s="925"/>
      <c r="YZ1196" s="925"/>
      <c r="ZA1196" s="925"/>
      <c r="ZB1196" s="925"/>
      <c r="ZC1196" s="925"/>
      <c r="ZD1196" s="925"/>
      <c r="ZE1196" s="925"/>
      <c r="ZF1196" s="925"/>
      <c r="ZG1196" s="925"/>
      <c r="ZH1196" s="925"/>
      <c r="ZI1196" s="925"/>
      <c r="ZJ1196" s="925"/>
      <c r="ZK1196" s="925"/>
      <c r="ZL1196" s="925"/>
      <c r="ZM1196" s="925"/>
      <c r="ZN1196" s="925"/>
      <c r="ZO1196" s="925"/>
      <c r="ZP1196" s="925"/>
      <c r="ZQ1196" s="925"/>
      <c r="ZR1196" s="925"/>
      <c r="ZS1196" s="925"/>
      <c r="ZT1196" s="925"/>
      <c r="ZU1196" s="925"/>
      <c r="ZV1196" s="925"/>
      <c r="ZW1196" s="925"/>
      <c r="ZX1196" s="925"/>
      <c r="ZY1196" s="925"/>
      <c r="ZZ1196" s="925"/>
      <c r="AAA1196" s="925"/>
      <c r="AAB1196" s="925"/>
      <c r="AAC1196" s="925"/>
      <c r="AAD1196" s="925"/>
      <c r="AAE1196" s="925"/>
      <c r="AAF1196" s="925"/>
      <c r="AAG1196" s="925"/>
      <c r="AAH1196" s="925"/>
      <c r="AAI1196" s="925"/>
      <c r="AAJ1196" s="925"/>
      <c r="AAK1196" s="925"/>
      <c r="AAL1196" s="925"/>
      <c r="AAM1196" s="925"/>
      <c r="AAN1196" s="925"/>
      <c r="AAO1196" s="925"/>
      <c r="AAP1196" s="925"/>
      <c r="AAQ1196" s="925"/>
      <c r="AAR1196" s="925"/>
      <c r="AAS1196" s="925"/>
      <c r="AAT1196" s="925"/>
      <c r="AAU1196" s="925"/>
      <c r="AAV1196" s="925"/>
      <c r="AAW1196" s="925"/>
      <c r="AAX1196" s="925"/>
      <c r="AAY1196" s="925"/>
      <c r="AAZ1196" s="925"/>
      <c r="ABA1196" s="925"/>
      <c r="ABB1196" s="925"/>
      <c r="ABC1196" s="925"/>
      <c r="ABD1196" s="925"/>
      <c r="ABE1196" s="925"/>
      <c r="ABF1196" s="925"/>
      <c r="ABG1196" s="925"/>
      <c r="ABH1196" s="925"/>
      <c r="ABI1196" s="925"/>
      <c r="ABJ1196" s="925"/>
      <c r="ABK1196" s="925"/>
      <c r="ABL1196" s="925"/>
      <c r="ABM1196" s="925"/>
      <c r="ABN1196" s="925"/>
      <c r="ABO1196" s="925"/>
      <c r="ABP1196" s="925"/>
      <c r="ABQ1196" s="925"/>
      <c r="ABR1196" s="925"/>
      <c r="ABS1196" s="925"/>
      <c r="ABT1196" s="925"/>
      <c r="ABU1196" s="925"/>
      <c r="ABV1196" s="925"/>
      <c r="ABW1196" s="925"/>
      <c r="ABX1196" s="925"/>
      <c r="ABY1196" s="925"/>
      <c r="ABZ1196" s="925"/>
      <c r="ACA1196" s="925"/>
      <c r="ACB1196" s="925"/>
      <c r="ACC1196" s="925"/>
      <c r="ACD1196" s="925"/>
      <c r="ACE1196" s="925"/>
      <c r="ACF1196" s="925"/>
      <c r="ACG1196" s="925"/>
      <c r="ACH1196" s="925"/>
      <c r="ACI1196" s="925"/>
      <c r="ACJ1196" s="925"/>
      <c r="ACK1196" s="925"/>
      <c r="ACL1196" s="925"/>
      <c r="ACM1196" s="925"/>
      <c r="ACN1196" s="925"/>
      <c r="ACO1196" s="925"/>
      <c r="ACP1196" s="925"/>
      <c r="ACQ1196" s="925"/>
      <c r="ACR1196" s="925"/>
      <c r="ACS1196" s="925"/>
      <c r="ACT1196" s="925"/>
      <c r="ACU1196" s="925"/>
      <c r="ACV1196" s="925"/>
      <c r="ACW1196" s="925"/>
      <c r="ACX1196" s="925"/>
      <c r="ACY1196" s="925"/>
      <c r="ACZ1196" s="925"/>
      <c r="ADA1196" s="925"/>
      <c r="ADB1196" s="925"/>
      <c r="ADC1196" s="925"/>
      <c r="ADD1196" s="925"/>
      <c r="ADE1196" s="925"/>
      <c r="ADF1196" s="925"/>
      <c r="ADG1196" s="925"/>
      <c r="ADH1196" s="925"/>
      <c r="ADI1196" s="925"/>
      <c r="ADJ1196" s="925"/>
      <c r="ADK1196" s="925"/>
      <c r="ADL1196" s="925"/>
      <c r="ADM1196" s="925"/>
      <c r="ADN1196" s="925"/>
      <c r="ADO1196" s="925"/>
      <c r="ADP1196" s="925"/>
      <c r="ADQ1196" s="925"/>
      <c r="ADR1196" s="925"/>
      <c r="ADS1196" s="925"/>
      <c r="ADT1196" s="925"/>
      <c r="ADU1196" s="925"/>
      <c r="ADV1196" s="925"/>
      <c r="ADW1196" s="925"/>
      <c r="ADX1196" s="925"/>
      <c r="ADY1196" s="925"/>
      <c r="ADZ1196" s="925"/>
      <c r="AEA1196" s="925"/>
      <c r="AEB1196" s="925"/>
      <c r="AEC1196" s="925"/>
      <c r="AED1196" s="925"/>
      <c r="AEE1196" s="925"/>
      <c r="AEF1196" s="925"/>
      <c r="AEG1196" s="925"/>
      <c r="AEH1196" s="925"/>
      <c r="AEI1196" s="925"/>
      <c r="AEJ1196" s="925"/>
      <c r="AEK1196" s="925"/>
      <c r="AEL1196" s="925"/>
      <c r="AEM1196" s="925"/>
      <c r="AEN1196" s="925"/>
      <c r="AEO1196" s="925"/>
      <c r="AEP1196" s="925"/>
      <c r="AEQ1196" s="925"/>
      <c r="AER1196" s="925"/>
      <c r="AES1196" s="925"/>
      <c r="AET1196" s="925"/>
      <c r="AEU1196" s="925"/>
      <c r="AEV1196" s="925"/>
      <c r="AEW1196" s="925"/>
      <c r="AEX1196" s="925"/>
      <c r="AEY1196" s="925"/>
      <c r="AEZ1196" s="925"/>
      <c r="AFA1196" s="925"/>
      <c r="AFB1196" s="925"/>
      <c r="AFC1196" s="925"/>
      <c r="AFD1196" s="925"/>
      <c r="AFE1196" s="925"/>
      <c r="AFF1196" s="925"/>
      <c r="AFG1196" s="925"/>
      <c r="AFH1196" s="925"/>
      <c r="AFI1196" s="925"/>
      <c r="AFJ1196" s="925"/>
      <c r="AFK1196" s="925"/>
      <c r="AFL1196" s="925"/>
      <c r="AFM1196" s="925"/>
      <c r="AFN1196" s="925"/>
      <c r="AFO1196" s="925"/>
      <c r="AFP1196" s="925"/>
      <c r="AFQ1196" s="925"/>
      <c r="AFR1196" s="925"/>
      <c r="AFS1196" s="925"/>
      <c r="AFT1196" s="925"/>
      <c r="AFU1196" s="925"/>
      <c r="AFV1196" s="925"/>
      <c r="AFW1196" s="925"/>
      <c r="AFX1196" s="925"/>
      <c r="AFY1196" s="925"/>
      <c r="AFZ1196" s="925"/>
      <c r="AGA1196" s="925"/>
      <c r="AGB1196" s="925"/>
      <c r="AGC1196" s="925"/>
      <c r="AGD1196" s="925"/>
      <c r="AGE1196" s="925"/>
      <c r="AGF1196" s="925"/>
      <c r="AGG1196" s="925"/>
      <c r="AGH1196" s="925"/>
      <c r="AGI1196" s="925"/>
      <c r="AGJ1196" s="925"/>
    </row>
    <row r="1197" spans="1:868" s="918" customFormat="1" hidden="1">
      <c r="A1197" s="918" t="str">
        <f>Clothing!A273</f>
        <v>Clothing (product sector)</v>
      </c>
      <c r="B1197" s="918" t="str">
        <f>Clothing!B273</f>
        <v>Boots</v>
      </c>
      <c r="C1197" s="918" t="str">
        <f>Clothing!C273</f>
        <v>NL</v>
      </c>
      <c r="D1197" s="918" t="str">
        <f>Clothing!D273</f>
        <v>PVC</v>
      </c>
      <c r="E1197" s="921">
        <f>Clothing!E273</f>
        <v>0.45898524269309898</v>
      </c>
      <c r="F1197" s="918">
        <f>Clothing!F273</f>
        <v>1</v>
      </c>
      <c r="G1197" s="918" t="str">
        <f>Clothing!G273</f>
        <v>https://eeb.org/library/draft-product-environmental-footprint-category-rules-pefcr-apparel-and-footwear/</v>
      </c>
      <c r="H1197" s="922">
        <f>Clothing!H273</f>
        <v>2</v>
      </c>
      <c r="I1197" s="922" t="str">
        <f>Clothing!I273</f>
        <v/>
      </c>
      <c r="J1197" s="922">
        <f>Clothing!J273</f>
        <v>2</v>
      </c>
      <c r="K1197" s="922">
        <f>Clothing!K273</f>
        <v>1</v>
      </c>
      <c r="L1197" s="922">
        <f>Clothing!L273</f>
        <v>2</v>
      </c>
      <c r="M1197" s="922">
        <f>Clothing!M273</f>
        <v>3</v>
      </c>
      <c r="N1197" s="186">
        <f t="shared" si="99"/>
        <v>1.0301997916669636</v>
      </c>
      <c r="O1197" s="160" t="e">
        <f t="shared" si="100"/>
        <v>#VALUE!</v>
      </c>
      <c r="Q1197" s="925"/>
      <c r="R1197" s="925"/>
      <c r="S1197" s="925"/>
      <c r="T1197" s="925"/>
      <c r="U1197" s="925"/>
      <c r="V1197" s="925"/>
      <c r="W1197" s="925"/>
      <c r="X1197" s="925"/>
      <c r="Y1197" s="925"/>
      <c r="Z1197" s="925"/>
      <c r="AA1197" s="925"/>
      <c r="AB1197" s="925"/>
      <c r="AC1197" s="925"/>
      <c r="AD1197" s="925"/>
      <c r="AE1197" s="925"/>
      <c r="AF1197" s="925"/>
      <c r="AG1197" s="925"/>
      <c r="AH1197" s="925"/>
      <c r="AI1197" s="925"/>
      <c r="AJ1197" s="925"/>
      <c r="AK1197" s="925"/>
      <c r="AL1197" s="925"/>
      <c r="AM1197" s="925"/>
      <c r="AN1197" s="925"/>
      <c r="AO1197" s="925"/>
      <c r="AP1197" s="925"/>
      <c r="AQ1197" s="925"/>
      <c r="AR1197" s="925"/>
      <c r="AS1197" s="925"/>
      <c r="AT1197" s="925"/>
      <c r="AU1197" s="925"/>
      <c r="AV1197" s="925"/>
      <c r="AW1197" s="925"/>
      <c r="AX1197" s="925"/>
      <c r="AY1197" s="925"/>
      <c r="AZ1197" s="925"/>
      <c r="BA1197" s="925"/>
      <c r="BB1197" s="925"/>
      <c r="BC1197" s="925"/>
      <c r="BD1197" s="925"/>
      <c r="BE1197" s="925"/>
      <c r="BF1197" s="925"/>
      <c r="BG1197" s="925"/>
      <c r="BH1197" s="925"/>
      <c r="BI1197" s="925"/>
      <c r="BJ1197" s="925"/>
      <c r="BK1197" s="925"/>
      <c r="BL1197" s="925"/>
      <c r="BM1197" s="925"/>
      <c r="BN1197" s="925"/>
      <c r="BO1197" s="925"/>
      <c r="BP1197" s="925"/>
      <c r="BQ1197" s="925"/>
      <c r="BR1197" s="925"/>
      <c r="BS1197" s="925"/>
      <c r="BT1197" s="925"/>
      <c r="BU1197" s="925"/>
      <c r="BV1197" s="925"/>
      <c r="BW1197" s="925"/>
      <c r="BX1197" s="925"/>
      <c r="BY1197" s="925"/>
      <c r="BZ1197" s="925"/>
      <c r="CA1197" s="925"/>
      <c r="CB1197" s="925"/>
      <c r="CC1197" s="925"/>
      <c r="CD1197" s="925"/>
      <c r="CE1197" s="925"/>
      <c r="CF1197" s="925"/>
      <c r="CG1197" s="925"/>
      <c r="CH1197" s="925"/>
      <c r="CI1197" s="925"/>
      <c r="CJ1197" s="925"/>
      <c r="CK1197" s="925"/>
      <c r="CL1197" s="925"/>
      <c r="CM1197" s="925"/>
      <c r="CN1197" s="925"/>
      <c r="CO1197" s="925"/>
      <c r="CP1197" s="925"/>
      <c r="CQ1197" s="925"/>
      <c r="CR1197" s="925"/>
      <c r="CS1197" s="925"/>
      <c r="CT1197" s="925"/>
      <c r="CU1197" s="925"/>
      <c r="CV1197" s="925"/>
      <c r="CW1197" s="925"/>
      <c r="CX1197" s="925"/>
      <c r="CY1197" s="925"/>
      <c r="CZ1197" s="925"/>
      <c r="DA1197" s="925"/>
      <c r="DB1197" s="925"/>
      <c r="DC1197" s="925"/>
      <c r="DD1197" s="925"/>
      <c r="DE1197" s="925"/>
      <c r="DF1197" s="925"/>
      <c r="DG1197" s="925"/>
      <c r="DH1197" s="925"/>
      <c r="DI1197" s="925"/>
      <c r="DJ1197" s="925"/>
      <c r="DK1197" s="925"/>
      <c r="DL1197" s="925"/>
      <c r="DM1197" s="925"/>
      <c r="DN1197" s="925"/>
      <c r="DO1197" s="925"/>
      <c r="DP1197" s="925"/>
      <c r="DQ1197" s="925"/>
      <c r="DR1197" s="925"/>
      <c r="DS1197" s="925"/>
      <c r="DT1197" s="925"/>
      <c r="DU1197" s="925"/>
      <c r="DV1197" s="925"/>
      <c r="DW1197" s="925"/>
      <c r="DX1197" s="925"/>
      <c r="DY1197" s="925"/>
      <c r="DZ1197" s="925"/>
      <c r="EA1197" s="925"/>
      <c r="EB1197" s="925"/>
      <c r="EC1197" s="925"/>
      <c r="ED1197" s="925"/>
      <c r="EE1197" s="925"/>
      <c r="EF1197" s="925"/>
      <c r="EG1197" s="925"/>
      <c r="EH1197" s="925"/>
      <c r="EI1197" s="925"/>
      <c r="EJ1197" s="925"/>
      <c r="EK1197" s="925"/>
      <c r="EL1197" s="925"/>
      <c r="EM1197" s="925"/>
      <c r="EN1197" s="925"/>
      <c r="EO1197" s="925"/>
      <c r="EP1197" s="925"/>
      <c r="EQ1197" s="925"/>
      <c r="ER1197" s="925"/>
      <c r="ES1197" s="925"/>
      <c r="ET1197" s="925"/>
      <c r="EU1197" s="925"/>
      <c r="EV1197" s="925"/>
      <c r="EW1197" s="925"/>
      <c r="EX1197" s="925"/>
      <c r="EY1197" s="925"/>
      <c r="EZ1197" s="925"/>
      <c r="FA1197" s="925"/>
      <c r="FB1197" s="925"/>
      <c r="FC1197" s="925"/>
      <c r="FD1197" s="925"/>
      <c r="FE1197" s="925"/>
      <c r="FF1197" s="925"/>
      <c r="FG1197" s="925"/>
      <c r="FH1197" s="925"/>
      <c r="FI1197" s="925"/>
      <c r="FJ1197" s="925"/>
      <c r="FK1197" s="925"/>
      <c r="FL1197" s="925"/>
      <c r="FM1197" s="925"/>
      <c r="FN1197" s="925"/>
      <c r="FO1197" s="925"/>
      <c r="FP1197" s="925"/>
      <c r="FQ1197" s="925"/>
      <c r="FR1197" s="925"/>
      <c r="FS1197" s="925"/>
      <c r="FT1197" s="925"/>
      <c r="FU1197" s="925"/>
      <c r="FV1197" s="925"/>
      <c r="FW1197" s="925"/>
      <c r="FX1197" s="925"/>
      <c r="FY1197" s="925"/>
      <c r="FZ1197" s="925"/>
      <c r="GA1197" s="925"/>
      <c r="GB1197" s="925"/>
      <c r="GC1197" s="925"/>
      <c r="GD1197" s="925"/>
      <c r="GE1197" s="925"/>
      <c r="GF1197" s="925"/>
      <c r="GG1197" s="925"/>
      <c r="GH1197" s="925"/>
      <c r="GI1197" s="925"/>
      <c r="GJ1197" s="925"/>
      <c r="GK1197" s="925"/>
      <c r="GL1197" s="925"/>
      <c r="GM1197" s="925"/>
      <c r="GN1197" s="925"/>
      <c r="GO1197" s="925"/>
      <c r="GP1197" s="925"/>
      <c r="GQ1197" s="925"/>
      <c r="GR1197" s="925"/>
      <c r="GS1197" s="925"/>
      <c r="GT1197" s="925"/>
      <c r="GU1197" s="925"/>
      <c r="GV1197" s="925"/>
      <c r="GW1197" s="925"/>
      <c r="GX1197" s="925"/>
      <c r="GY1197" s="925"/>
      <c r="GZ1197" s="925"/>
      <c r="HA1197" s="925"/>
      <c r="HB1197" s="925"/>
      <c r="HC1197" s="925"/>
      <c r="HD1197" s="925"/>
      <c r="HE1197" s="925"/>
      <c r="HF1197" s="925"/>
      <c r="HG1197" s="925"/>
      <c r="HH1197" s="925"/>
      <c r="HI1197" s="925"/>
      <c r="HJ1197" s="925"/>
      <c r="HK1197" s="925"/>
      <c r="HL1197" s="925"/>
      <c r="HM1197" s="925"/>
      <c r="HN1197" s="925"/>
      <c r="HO1197" s="925"/>
      <c r="HP1197" s="925"/>
      <c r="HQ1197" s="925"/>
      <c r="HR1197" s="925"/>
      <c r="HS1197" s="925"/>
      <c r="HT1197" s="925"/>
      <c r="HU1197" s="925"/>
      <c r="HV1197" s="925"/>
      <c r="HW1197" s="925"/>
      <c r="HX1197" s="925"/>
      <c r="HY1197" s="925"/>
      <c r="HZ1197" s="925"/>
      <c r="IA1197" s="925"/>
      <c r="IB1197" s="925"/>
      <c r="IC1197" s="925"/>
      <c r="ID1197" s="925"/>
      <c r="IE1197" s="925"/>
      <c r="IF1197" s="925"/>
      <c r="IG1197" s="925"/>
      <c r="IH1197" s="925"/>
      <c r="II1197" s="925"/>
      <c r="IJ1197" s="925"/>
      <c r="IK1197" s="925"/>
      <c r="IL1197" s="925"/>
      <c r="IM1197" s="925"/>
      <c r="IN1197" s="925"/>
      <c r="IO1197" s="925"/>
      <c r="IP1197" s="925"/>
      <c r="IQ1197" s="925"/>
      <c r="IR1197" s="925"/>
      <c r="IS1197" s="925"/>
      <c r="IT1197" s="925"/>
      <c r="IU1197" s="925"/>
      <c r="IV1197" s="925"/>
      <c r="IW1197" s="925"/>
      <c r="IX1197" s="925"/>
      <c r="IY1197" s="925"/>
      <c r="IZ1197" s="925"/>
      <c r="JA1197" s="925"/>
      <c r="JB1197" s="925"/>
      <c r="JC1197" s="925"/>
      <c r="JD1197" s="925"/>
      <c r="JE1197" s="925"/>
      <c r="JF1197" s="925"/>
      <c r="JG1197" s="925"/>
      <c r="JH1197" s="925"/>
      <c r="JI1197" s="925"/>
      <c r="JJ1197" s="925"/>
      <c r="JK1197" s="925"/>
      <c r="JL1197" s="925"/>
      <c r="JM1197" s="925"/>
      <c r="JN1197" s="925"/>
      <c r="JO1197" s="925"/>
      <c r="JP1197" s="925"/>
      <c r="JQ1197" s="925"/>
      <c r="JR1197" s="925"/>
      <c r="JS1197" s="925"/>
      <c r="JT1197" s="925"/>
      <c r="JU1197" s="925"/>
      <c r="JV1197" s="925"/>
      <c r="JW1197" s="925"/>
      <c r="JX1197" s="925"/>
      <c r="JY1197" s="925"/>
      <c r="JZ1197" s="925"/>
      <c r="KA1197" s="925"/>
      <c r="KB1197" s="925"/>
      <c r="KC1197" s="925"/>
      <c r="KD1197" s="925"/>
      <c r="KE1197" s="925"/>
      <c r="KF1197" s="925"/>
      <c r="KG1197" s="925"/>
      <c r="KH1197" s="925"/>
      <c r="KI1197" s="925"/>
      <c r="KJ1197" s="925"/>
      <c r="KK1197" s="925"/>
      <c r="KL1197" s="925"/>
      <c r="KM1197" s="925"/>
      <c r="KN1197" s="925"/>
      <c r="KO1197" s="925"/>
      <c r="KP1197" s="925"/>
      <c r="KQ1197" s="925"/>
      <c r="KR1197" s="925"/>
      <c r="KS1197" s="925"/>
      <c r="KT1197" s="925"/>
      <c r="KU1197" s="925"/>
      <c r="KV1197" s="925"/>
      <c r="KW1197" s="925"/>
      <c r="KX1197" s="925"/>
      <c r="KY1197" s="925"/>
      <c r="KZ1197" s="925"/>
      <c r="LA1197" s="925"/>
      <c r="LB1197" s="925"/>
      <c r="LC1197" s="925"/>
      <c r="LD1197" s="925"/>
      <c r="LE1197" s="925"/>
      <c r="LF1197" s="925"/>
      <c r="LG1197" s="925"/>
      <c r="LH1197" s="925"/>
      <c r="LI1197" s="925"/>
      <c r="LJ1197" s="925"/>
      <c r="LK1197" s="925"/>
      <c r="LL1197" s="925"/>
      <c r="LM1197" s="925"/>
      <c r="LN1197" s="925"/>
      <c r="LO1197" s="925"/>
      <c r="LP1197" s="925"/>
      <c r="LQ1197" s="925"/>
      <c r="LR1197" s="925"/>
      <c r="LS1197" s="925"/>
      <c r="LT1197" s="925"/>
      <c r="LU1197" s="925"/>
      <c r="LV1197" s="925"/>
      <c r="LW1197" s="925"/>
      <c r="LX1197" s="925"/>
      <c r="LY1197" s="925"/>
      <c r="LZ1197" s="925"/>
      <c r="MA1197" s="925"/>
      <c r="MB1197" s="925"/>
      <c r="MC1197" s="925"/>
      <c r="MD1197" s="925"/>
      <c r="ME1197" s="925"/>
      <c r="MF1197" s="925"/>
      <c r="MG1197" s="925"/>
      <c r="MH1197" s="925"/>
      <c r="MI1197" s="925"/>
      <c r="MJ1197" s="925"/>
      <c r="MK1197" s="925"/>
      <c r="ML1197" s="925"/>
      <c r="MM1197" s="925"/>
      <c r="MN1197" s="925"/>
      <c r="MO1197" s="925"/>
      <c r="MP1197" s="925"/>
      <c r="MQ1197" s="925"/>
      <c r="MR1197" s="925"/>
      <c r="MS1197" s="925"/>
      <c r="MT1197" s="925"/>
      <c r="MU1197" s="925"/>
      <c r="MV1197" s="925"/>
      <c r="MW1197" s="925"/>
      <c r="MX1197" s="925"/>
      <c r="MY1197" s="925"/>
      <c r="MZ1197" s="925"/>
      <c r="NA1197" s="925"/>
      <c r="NB1197" s="925"/>
      <c r="NC1197" s="925"/>
      <c r="ND1197" s="925"/>
      <c r="NE1197" s="925"/>
      <c r="NF1197" s="925"/>
      <c r="NG1197" s="925"/>
      <c r="NH1197" s="925"/>
      <c r="NI1197" s="925"/>
      <c r="NJ1197" s="925"/>
      <c r="NK1197" s="925"/>
      <c r="NL1197" s="925"/>
      <c r="NM1197" s="925"/>
      <c r="NN1197" s="925"/>
      <c r="NO1197" s="925"/>
      <c r="NP1197" s="925"/>
      <c r="NQ1197" s="925"/>
      <c r="NR1197" s="925"/>
      <c r="NS1197" s="925"/>
      <c r="NT1197" s="925"/>
      <c r="NU1197" s="925"/>
      <c r="NV1197" s="925"/>
      <c r="NW1197" s="925"/>
      <c r="NX1197" s="925"/>
      <c r="NY1197" s="925"/>
      <c r="NZ1197" s="925"/>
      <c r="OA1197" s="925"/>
      <c r="OB1197" s="925"/>
      <c r="OC1197" s="925"/>
      <c r="OD1197" s="925"/>
      <c r="OE1197" s="925"/>
      <c r="OF1197" s="925"/>
      <c r="OG1197" s="925"/>
      <c r="OH1197" s="925"/>
      <c r="OI1197" s="925"/>
      <c r="OJ1197" s="925"/>
      <c r="OK1197" s="925"/>
      <c r="OL1197" s="925"/>
      <c r="OM1197" s="925"/>
      <c r="ON1197" s="925"/>
      <c r="OO1197" s="925"/>
      <c r="OP1197" s="925"/>
      <c r="OQ1197" s="925"/>
      <c r="OR1197" s="925"/>
      <c r="OS1197" s="925"/>
      <c r="OT1197" s="925"/>
      <c r="OU1197" s="925"/>
      <c r="OV1197" s="925"/>
      <c r="OW1197" s="925"/>
      <c r="OX1197" s="925"/>
      <c r="OY1197" s="925"/>
      <c r="OZ1197" s="925"/>
      <c r="PA1197" s="925"/>
      <c r="PB1197" s="925"/>
      <c r="PC1197" s="925"/>
      <c r="PD1197" s="925"/>
      <c r="PE1197" s="925"/>
      <c r="PF1197" s="925"/>
      <c r="PG1197" s="925"/>
      <c r="PH1197" s="925"/>
      <c r="PI1197" s="925"/>
      <c r="PJ1197" s="925"/>
      <c r="PK1197" s="925"/>
      <c r="PL1197" s="925"/>
      <c r="PM1197" s="925"/>
      <c r="PN1197" s="925"/>
      <c r="PO1197" s="925"/>
      <c r="PP1197" s="925"/>
      <c r="PQ1197" s="925"/>
      <c r="PR1197" s="925"/>
      <c r="PS1197" s="925"/>
      <c r="PT1197" s="925"/>
      <c r="PU1197" s="925"/>
      <c r="PV1197" s="925"/>
      <c r="PW1197" s="925"/>
      <c r="PX1197" s="925"/>
      <c r="PY1197" s="925"/>
      <c r="PZ1197" s="925"/>
      <c r="QA1197" s="925"/>
      <c r="QB1197" s="925"/>
      <c r="QC1197" s="925"/>
      <c r="QD1197" s="925"/>
      <c r="QE1197" s="925"/>
      <c r="QF1197" s="925"/>
      <c r="QG1197" s="925"/>
      <c r="QH1197" s="925"/>
      <c r="QI1197" s="925"/>
      <c r="QJ1197" s="925"/>
      <c r="QK1197" s="925"/>
      <c r="QL1197" s="925"/>
      <c r="QM1197" s="925"/>
      <c r="QN1197" s="925"/>
      <c r="QO1197" s="925"/>
      <c r="QP1197" s="925"/>
      <c r="QQ1197" s="925"/>
      <c r="QR1197" s="925"/>
      <c r="QS1197" s="925"/>
      <c r="QT1197" s="925"/>
      <c r="QU1197" s="925"/>
      <c r="QV1197" s="925"/>
      <c r="QW1197" s="925"/>
      <c r="QX1197" s="925"/>
      <c r="QY1197" s="925"/>
      <c r="QZ1197" s="925"/>
      <c r="RA1197" s="925"/>
      <c r="RB1197" s="925"/>
      <c r="RC1197" s="925"/>
      <c r="RD1197" s="925"/>
      <c r="RE1197" s="925"/>
      <c r="RF1197" s="925"/>
      <c r="RG1197" s="925"/>
      <c r="RH1197" s="925"/>
      <c r="RI1197" s="925"/>
      <c r="RJ1197" s="925"/>
      <c r="RK1197" s="925"/>
      <c r="RL1197" s="925"/>
      <c r="RM1197" s="925"/>
      <c r="RN1197" s="925"/>
      <c r="RO1197" s="925"/>
      <c r="RP1197" s="925"/>
      <c r="RQ1197" s="925"/>
      <c r="RR1197" s="925"/>
      <c r="RS1197" s="925"/>
      <c r="RT1197" s="925"/>
      <c r="RU1197" s="925"/>
      <c r="RV1197" s="925"/>
      <c r="RW1197" s="925"/>
      <c r="RX1197" s="925"/>
      <c r="RY1197" s="925"/>
      <c r="RZ1197" s="925"/>
      <c r="SA1197" s="925"/>
      <c r="SB1197" s="925"/>
      <c r="SC1197" s="925"/>
      <c r="SD1197" s="925"/>
      <c r="SE1197" s="925"/>
      <c r="SF1197" s="925"/>
      <c r="SG1197" s="925"/>
      <c r="SH1197" s="925"/>
      <c r="SI1197" s="925"/>
      <c r="SJ1197" s="925"/>
      <c r="SK1197" s="925"/>
      <c r="SL1197" s="925"/>
      <c r="SM1197" s="925"/>
      <c r="SN1197" s="925"/>
      <c r="SO1197" s="925"/>
      <c r="SP1197" s="925"/>
      <c r="SQ1197" s="925"/>
      <c r="SR1197" s="925"/>
      <c r="SS1197" s="925"/>
      <c r="ST1197" s="925"/>
      <c r="SU1197" s="925"/>
      <c r="SV1197" s="925"/>
      <c r="SW1197" s="925"/>
      <c r="SX1197" s="925"/>
      <c r="SY1197" s="925"/>
      <c r="SZ1197" s="925"/>
      <c r="TA1197" s="925"/>
      <c r="TB1197" s="925"/>
      <c r="TC1197" s="925"/>
      <c r="TD1197" s="925"/>
      <c r="TE1197" s="925"/>
      <c r="TF1197" s="925"/>
      <c r="TG1197" s="925"/>
      <c r="TH1197" s="925"/>
      <c r="TI1197" s="925"/>
      <c r="TJ1197" s="925"/>
      <c r="TK1197" s="925"/>
      <c r="TL1197" s="925"/>
      <c r="TM1197" s="925"/>
      <c r="TN1197" s="925"/>
      <c r="TO1197" s="925"/>
      <c r="TP1197" s="925"/>
      <c r="TQ1197" s="925"/>
      <c r="TR1197" s="925"/>
      <c r="TS1197" s="925"/>
      <c r="TT1197" s="925"/>
      <c r="TU1197" s="925"/>
      <c r="TV1197" s="925"/>
      <c r="TW1197" s="925"/>
      <c r="TX1197" s="925"/>
      <c r="TY1197" s="925"/>
      <c r="TZ1197" s="925"/>
      <c r="UA1197" s="925"/>
      <c r="UB1197" s="925"/>
      <c r="UC1197" s="925"/>
      <c r="UD1197" s="925"/>
      <c r="UE1197" s="925"/>
      <c r="UF1197" s="925"/>
      <c r="UG1197" s="925"/>
      <c r="UH1197" s="925"/>
      <c r="UI1197" s="925"/>
      <c r="UJ1197" s="925"/>
      <c r="UK1197" s="925"/>
      <c r="UL1197" s="925"/>
      <c r="UM1197" s="925"/>
      <c r="UN1197" s="925"/>
      <c r="UO1197" s="925"/>
      <c r="UP1197" s="925"/>
      <c r="UQ1197" s="925"/>
      <c r="UR1197" s="925"/>
      <c r="US1197" s="925"/>
      <c r="UT1197" s="925"/>
      <c r="UU1197" s="925"/>
      <c r="UV1197" s="925"/>
      <c r="UW1197" s="925"/>
      <c r="UX1197" s="925"/>
      <c r="UY1197" s="925"/>
      <c r="UZ1197" s="925"/>
      <c r="VA1197" s="925"/>
      <c r="VB1197" s="925"/>
      <c r="VC1197" s="925"/>
      <c r="VD1197" s="925"/>
      <c r="VE1197" s="925"/>
      <c r="VF1197" s="925"/>
      <c r="VG1197" s="925"/>
      <c r="VH1197" s="925"/>
      <c r="VI1197" s="925"/>
      <c r="VJ1197" s="925"/>
      <c r="VK1197" s="925"/>
      <c r="VL1197" s="925"/>
      <c r="VM1197" s="925"/>
      <c r="VN1197" s="925"/>
      <c r="VO1197" s="925"/>
      <c r="VP1197" s="925"/>
      <c r="VQ1197" s="925"/>
      <c r="VR1197" s="925"/>
      <c r="VS1197" s="925"/>
      <c r="VT1197" s="925"/>
      <c r="VU1197" s="925"/>
      <c r="VV1197" s="925"/>
      <c r="VW1197" s="925"/>
      <c r="VX1197" s="925"/>
      <c r="VY1197" s="925"/>
      <c r="VZ1197" s="925"/>
      <c r="WA1197" s="925"/>
      <c r="WB1197" s="925"/>
      <c r="WC1197" s="925"/>
      <c r="WD1197" s="925"/>
      <c r="WE1197" s="925"/>
      <c r="WF1197" s="925"/>
      <c r="WG1197" s="925"/>
      <c r="WH1197" s="925"/>
      <c r="WI1197" s="925"/>
      <c r="WJ1197" s="925"/>
      <c r="WK1197" s="925"/>
      <c r="WL1197" s="925"/>
      <c r="WM1197" s="925"/>
      <c r="WN1197" s="925"/>
      <c r="WO1197" s="925"/>
      <c r="WP1197" s="925"/>
      <c r="WQ1197" s="925"/>
      <c r="WR1197" s="925"/>
      <c r="WS1197" s="925"/>
      <c r="WT1197" s="925"/>
      <c r="WU1197" s="925"/>
      <c r="WV1197" s="925"/>
      <c r="WW1197" s="925"/>
      <c r="WX1197" s="925"/>
      <c r="WY1197" s="925"/>
      <c r="WZ1197" s="925"/>
      <c r="XA1197" s="925"/>
      <c r="XB1197" s="925"/>
      <c r="XC1197" s="925"/>
      <c r="XD1197" s="925"/>
      <c r="XE1197" s="925"/>
      <c r="XF1197" s="925"/>
      <c r="XG1197" s="925"/>
      <c r="XH1197" s="925"/>
      <c r="XI1197" s="925"/>
      <c r="XJ1197" s="925"/>
      <c r="XK1197" s="925"/>
      <c r="XL1197" s="925"/>
      <c r="XM1197" s="925"/>
      <c r="XN1197" s="925"/>
      <c r="XO1197" s="925"/>
      <c r="XP1197" s="925"/>
      <c r="XQ1197" s="925"/>
      <c r="XR1197" s="925"/>
      <c r="XS1197" s="925"/>
      <c r="XT1197" s="925"/>
      <c r="XU1197" s="925"/>
      <c r="XV1197" s="925"/>
      <c r="XW1197" s="925"/>
      <c r="XX1197" s="925"/>
      <c r="XY1197" s="925"/>
      <c r="XZ1197" s="925"/>
      <c r="YA1197" s="925"/>
      <c r="YB1197" s="925"/>
      <c r="YC1197" s="925"/>
      <c r="YD1197" s="925"/>
      <c r="YE1197" s="925"/>
      <c r="YF1197" s="925"/>
      <c r="YG1197" s="925"/>
      <c r="YH1197" s="925"/>
      <c r="YI1197" s="925"/>
      <c r="YJ1197" s="925"/>
      <c r="YK1197" s="925"/>
      <c r="YL1197" s="925"/>
      <c r="YM1197" s="925"/>
      <c r="YN1197" s="925"/>
      <c r="YO1197" s="925"/>
      <c r="YP1197" s="925"/>
      <c r="YQ1197" s="925"/>
      <c r="YR1197" s="925"/>
      <c r="YS1197" s="925"/>
      <c r="YT1197" s="925"/>
      <c r="YU1197" s="925"/>
      <c r="YV1197" s="925"/>
      <c r="YW1197" s="925"/>
      <c r="YX1197" s="925"/>
      <c r="YY1197" s="925"/>
      <c r="YZ1197" s="925"/>
      <c r="ZA1197" s="925"/>
      <c r="ZB1197" s="925"/>
      <c r="ZC1197" s="925"/>
      <c r="ZD1197" s="925"/>
      <c r="ZE1197" s="925"/>
      <c r="ZF1197" s="925"/>
      <c r="ZG1197" s="925"/>
      <c r="ZH1197" s="925"/>
      <c r="ZI1197" s="925"/>
      <c r="ZJ1197" s="925"/>
      <c r="ZK1197" s="925"/>
      <c r="ZL1197" s="925"/>
      <c r="ZM1197" s="925"/>
      <c r="ZN1197" s="925"/>
      <c r="ZO1197" s="925"/>
      <c r="ZP1197" s="925"/>
      <c r="ZQ1197" s="925"/>
      <c r="ZR1197" s="925"/>
      <c r="ZS1197" s="925"/>
      <c r="ZT1197" s="925"/>
      <c r="ZU1197" s="925"/>
      <c r="ZV1197" s="925"/>
      <c r="ZW1197" s="925"/>
      <c r="ZX1197" s="925"/>
      <c r="ZY1197" s="925"/>
      <c r="ZZ1197" s="925"/>
      <c r="AAA1197" s="925"/>
      <c r="AAB1197" s="925"/>
      <c r="AAC1197" s="925"/>
      <c r="AAD1197" s="925"/>
      <c r="AAE1197" s="925"/>
      <c r="AAF1197" s="925"/>
      <c r="AAG1197" s="925"/>
      <c r="AAH1197" s="925"/>
      <c r="AAI1197" s="925"/>
      <c r="AAJ1197" s="925"/>
      <c r="AAK1197" s="925"/>
      <c r="AAL1197" s="925"/>
      <c r="AAM1197" s="925"/>
      <c r="AAN1197" s="925"/>
      <c r="AAO1197" s="925"/>
      <c r="AAP1197" s="925"/>
      <c r="AAQ1197" s="925"/>
      <c r="AAR1197" s="925"/>
      <c r="AAS1197" s="925"/>
      <c r="AAT1197" s="925"/>
      <c r="AAU1197" s="925"/>
      <c r="AAV1197" s="925"/>
      <c r="AAW1197" s="925"/>
      <c r="AAX1197" s="925"/>
      <c r="AAY1197" s="925"/>
      <c r="AAZ1197" s="925"/>
      <c r="ABA1197" s="925"/>
      <c r="ABB1197" s="925"/>
      <c r="ABC1197" s="925"/>
      <c r="ABD1197" s="925"/>
      <c r="ABE1197" s="925"/>
      <c r="ABF1197" s="925"/>
      <c r="ABG1197" s="925"/>
      <c r="ABH1197" s="925"/>
      <c r="ABI1197" s="925"/>
      <c r="ABJ1197" s="925"/>
      <c r="ABK1197" s="925"/>
      <c r="ABL1197" s="925"/>
      <c r="ABM1197" s="925"/>
      <c r="ABN1197" s="925"/>
      <c r="ABO1197" s="925"/>
      <c r="ABP1197" s="925"/>
      <c r="ABQ1197" s="925"/>
      <c r="ABR1197" s="925"/>
      <c r="ABS1197" s="925"/>
      <c r="ABT1197" s="925"/>
      <c r="ABU1197" s="925"/>
      <c r="ABV1197" s="925"/>
      <c r="ABW1197" s="925"/>
      <c r="ABX1197" s="925"/>
      <c r="ABY1197" s="925"/>
      <c r="ABZ1197" s="925"/>
      <c r="ACA1197" s="925"/>
      <c r="ACB1197" s="925"/>
      <c r="ACC1197" s="925"/>
      <c r="ACD1197" s="925"/>
      <c r="ACE1197" s="925"/>
      <c r="ACF1197" s="925"/>
      <c r="ACG1197" s="925"/>
      <c r="ACH1197" s="925"/>
      <c r="ACI1197" s="925"/>
      <c r="ACJ1197" s="925"/>
      <c r="ACK1197" s="925"/>
      <c r="ACL1197" s="925"/>
      <c r="ACM1197" s="925"/>
      <c r="ACN1197" s="925"/>
      <c r="ACO1197" s="925"/>
      <c r="ACP1197" s="925"/>
      <c r="ACQ1197" s="925"/>
      <c r="ACR1197" s="925"/>
      <c r="ACS1197" s="925"/>
      <c r="ACT1197" s="925"/>
      <c r="ACU1197" s="925"/>
      <c r="ACV1197" s="925"/>
      <c r="ACW1197" s="925"/>
      <c r="ACX1197" s="925"/>
      <c r="ACY1197" s="925"/>
      <c r="ACZ1197" s="925"/>
      <c r="ADA1197" s="925"/>
      <c r="ADB1197" s="925"/>
      <c r="ADC1197" s="925"/>
      <c r="ADD1197" s="925"/>
      <c r="ADE1197" s="925"/>
      <c r="ADF1197" s="925"/>
      <c r="ADG1197" s="925"/>
      <c r="ADH1197" s="925"/>
      <c r="ADI1197" s="925"/>
      <c r="ADJ1197" s="925"/>
      <c r="ADK1197" s="925"/>
      <c r="ADL1197" s="925"/>
      <c r="ADM1197" s="925"/>
      <c r="ADN1197" s="925"/>
      <c r="ADO1197" s="925"/>
      <c r="ADP1197" s="925"/>
      <c r="ADQ1197" s="925"/>
      <c r="ADR1197" s="925"/>
      <c r="ADS1197" s="925"/>
      <c r="ADT1197" s="925"/>
      <c r="ADU1197" s="925"/>
      <c r="ADV1197" s="925"/>
      <c r="ADW1197" s="925"/>
      <c r="ADX1197" s="925"/>
      <c r="ADY1197" s="925"/>
      <c r="ADZ1197" s="925"/>
      <c r="AEA1197" s="925"/>
      <c r="AEB1197" s="925"/>
      <c r="AEC1197" s="925"/>
      <c r="AED1197" s="925"/>
      <c r="AEE1197" s="925"/>
      <c r="AEF1197" s="925"/>
      <c r="AEG1197" s="925"/>
      <c r="AEH1197" s="925"/>
      <c r="AEI1197" s="925"/>
      <c r="AEJ1197" s="925"/>
      <c r="AEK1197" s="925"/>
      <c r="AEL1197" s="925"/>
      <c r="AEM1197" s="925"/>
      <c r="AEN1197" s="925"/>
      <c r="AEO1197" s="925"/>
      <c r="AEP1197" s="925"/>
      <c r="AEQ1197" s="925"/>
      <c r="AER1197" s="925"/>
      <c r="AES1197" s="925"/>
      <c r="AET1197" s="925"/>
      <c r="AEU1197" s="925"/>
      <c r="AEV1197" s="925"/>
      <c r="AEW1197" s="925"/>
      <c r="AEX1197" s="925"/>
      <c r="AEY1197" s="925"/>
      <c r="AEZ1197" s="925"/>
      <c r="AFA1197" s="925"/>
      <c r="AFB1197" s="925"/>
      <c r="AFC1197" s="925"/>
      <c r="AFD1197" s="925"/>
      <c r="AFE1197" s="925"/>
      <c r="AFF1197" s="925"/>
      <c r="AFG1197" s="925"/>
      <c r="AFH1197" s="925"/>
      <c r="AFI1197" s="925"/>
      <c r="AFJ1197" s="925"/>
      <c r="AFK1197" s="925"/>
      <c r="AFL1197" s="925"/>
      <c r="AFM1197" s="925"/>
      <c r="AFN1197" s="925"/>
      <c r="AFO1197" s="925"/>
      <c r="AFP1197" s="925"/>
      <c r="AFQ1197" s="925"/>
      <c r="AFR1197" s="925"/>
      <c r="AFS1197" s="925"/>
      <c r="AFT1197" s="925"/>
      <c r="AFU1197" s="925"/>
      <c r="AFV1197" s="925"/>
      <c r="AFW1197" s="925"/>
      <c r="AFX1197" s="925"/>
      <c r="AFY1197" s="925"/>
      <c r="AFZ1197" s="925"/>
      <c r="AGA1197" s="925"/>
      <c r="AGB1197" s="925"/>
      <c r="AGC1197" s="925"/>
      <c r="AGD1197" s="925"/>
      <c r="AGE1197" s="925"/>
      <c r="AGF1197" s="925"/>
      <c r="AGG1197" s="925"/>
      <c r="AGH1197" s="925"/>
      <c r="AGI1197" s="925"/>
      <c r="AGJ1197" s="925"/>
    </row>
    <row r="1198" spans="1:868" s="918" customFormat="1" hidden="1">
      <c r="A1198" s="918" t="str">
        <f>Clothing!A274</f>
        <v>Clothing (product sector)</v>
      </c>
      <c r="B1198" s="918" t="str">
        <f>Clothing!B274</f>
        <v>Boots</v>
      </c>
      <c r="C1198" s="918" t="str">
        <f>Clothing!C274</f>
        <v>NL</v>
      </c>
      <c r="D1198" s="918" t="str">
        <f>Clothing!D274</f>
        <v>RUBBER</v>
      </c>
      <c r="E1198" s="921">
        <f>Clothing!E274</f>
        <v>0.193743560355818</v>
      </c>
      <c r="F1198" s="918">
        <f>Clothing!F274</f>
        <v>1</v>
      </c>
      <c r="G1198" s="918" t="str">
        <f>Clothing!G274</f>
        <v>https://eeb.org/library/draft-product-environmental-footprint-category-rules-pefcr-apparel-and-footwear/</v>
      </c>
      <c r="H1198" s="922">
        <f>Clothing!H274</f>
        <v>2</v>
      </c>
      <c r="I1198" s="922" t="str">
        <f>Clothing!I274</f>
        <v/>
      </c>
      <c r="J1198" s="922">
        <f>Clothing!J274</f>
        <v>2</v>
      </c>
      <c r="K1198" s="922">
        <f>Clothing!K274</f>
        <v>1</v>
      </c>
      <c r="L1198" s="922">
        <f>Clothing!L274</f>
        <v>2</v>
      </c>
      <c r="M1198" s="922">
        <f>Clothing!M274</f>
        <v>3</v>
      </c>
      <c r="N1198" s="186">
        <f t="shared" si="99"/>
        <v>1.0301997916669636</v>
      </c>
      <c r="O1198" s="160" t="e">
        <f t="shared" si="100"/>
        <v>#VALUE!</v>
      </c>
      <c r="Q1198" s="925"/>
      <c r="R1198" s="925"/>
      <c r="S1198" s="925"/>
      <c r="T1198" s="925"/>
      <c r="U1198" s="925"/>
      <c r="V1198" s="925"/>
      <c r="W1198" s="925"/>
      <c r="X1198" s="925"/>
      <c r="Y1198" s="925"/>
      <c r="Z1198" s="925"/>
      <c r="AA1198" s="925"/>
      <c r="AB1198" s="925"/>
      <c r="AC1198" s="925"/>
      <c r="AD1198" s="925"/>
      <c r="AE1198" s="925"/>
      <c r="AF1198" s="925"/>
      <c r="AG1198" s="925"/>
      <c r="AH1198" s="925"/>
      <c r="AI1198" s="925"/>
      <c r="AJ1198" s="925"/>
      <c r="AK1198" s="925"/>
      <c r="AL1198" s="925"/>
      <c r="AM1198" s="925"/>
      <c r="AN1198" s="925"/>
      <c r="AO1198" s="925"/>
      <c r="AP1198" s="925"/>
      <c r="AQ1198" s="925"/>
      <c r="AR1198" s="925"/>
      <c r="AS1198" s="925"/>
      <c r="AT1198" s="925"/>
      <c r="AU1198" s="925"/>
      <c r="AV1198" s="925"/>
      <c r="AW1198" s="925"/>
      <c r="AX1198" s="925"/>
      <c r="AY1198" s="925"/>
      <c r="AZ1198" s="925"/>
      <c r="BA1198" s="925"/>
      <c r="BB1198" s="925"/>
      <c r="BC1198" s="925"/>
      <c r="BD1198" s="925"/>
      <c r="BE1198" s="925"/>
      <c r="BF1198" s="925"/>
      <c r="BG1198" s="925"/>
      <c r="BH1198" s="925"/>
      <c r="BI1198" s="925"/>
      <c r="BJ1198" s="925"/>
      <c r="BK1198" s="925"/>
      <c r="BL1198" s="925"/>
      <c r="BM1198" s="925"/>
      <c r="BN1198" s="925"/>
      <c r="BO1198" s="925"/>
      <c r="BP1198" s="925"/>
      <c r="BQ1198" s="925"/>
      <c r="BR1198" s="925"/>
      <c r="BS1198" s="925"/>
      <c r="BT1198" s="925"/>
      <c r="BU1198" s="925"/>
      <c r="BV1198" s="925"/>
      <c r="BW1198" s="925"/>
      <c r="BX1198" s="925"/>
      <c r="BY1198" s="925"/>
      <c r="BZ1198" s="925"/>
      <c r="CA1198" s="925"/>
      <c r="CB1198" s="925"/>
      <c r="CC1198" s="925"/>
      <c r="CD1198" s="925"/>
      <c r="CE1198" s="925"/>
      <c r="CF1198" s="925"/>
      <c r="CG1198" s="925"/>
      <c r="CH1198" s="925"/>
      <c r="CI1198" s="925"/>
      <c r="CJ1198" s="925"/>
      <c r="CK1198" s="925"/>
      <c r="CL1198" s="925"/>
      <c r="CM1198" s="925"/>
      <c r="CN1198" s="925"/>
      <c r="CO1198" s="925"/>
      <c r="CP1198" s="925"/>
      <c r="CQ1198" s="925"/>
      <c r="CR1198" s="925"/>
      <c r="CS1198" s="925"/>
      <c r="CT1198" s="925"/>
      <c r="CU1198" s="925"/>
      <c r="CV1198" s="925"/>
      <c r="CW1198" s="925"/>
      <c r="CX1198" s="925"/>
      <c r="CY1198" s="925"/>
      <c r="CZ1198" s="925"/>
      <c r="DA1198" s="925"/>
      <c r="DB1198" s="925"/>
      <c r="DC1198" s="925"/>
      <c r="DD1198" s="925"/>
      <c r="DE1198" s="925"/>
      <c r="DF1198" s="925"/>
      <c r="DG1198" s="925"/>
      <c r="DH1198" s="925"/>
      <c r="DI1198" s="925"/>
      <c r="DJ1198" s="925"/>
      <c r="DK1198" s="925"/>
      <c r="DL1198" s="925"/>
      <c r="DM1198" s="925"/>
      <c r="DN1198" s="925"/>
      <c r="DO1198" s="925"/>
      <c r="DP1198" s="925"/>
      <c r="DQ1198" s="925"/>
      <c r="DR1198" s="925"/>
      <c r="DS1198" s="925"/>
      <c r="DT1198" s="925"/>
      <c r="DU1198" s="925"/>
      <c r="DV1198" s="925"/>
      <c r="DW1198" s="925"/>
      <c r="DX1198" s="925"/>
      <c r="DY1198" s="925"/>
      <c r="DZ1198" s="925"/>
      <c r="EA1198" s="925"/>
      <c r="EB1198" s="925"/>
      <c r="EC1198" s="925"/>
      <c r="ED1198" s="925"/>
      <c r="EE1198" s="925"/>
      <c r="EF1198" s="925"/>
      <c r="EG1198" s="925"/>
      <c r="EH1198" s="925"/>
      <c r="EI1198" s="925"/>
      <c r="EJ1198" s="925"/>
      <c r="EK1198" s="925"/>
      <c r="EL1198" s="925"/>
      <c r="EM1198" s="925"/>
      <c r="EN1198" s="925"/>
      <c r="EO1198" s="925"/>
      <c r="EP1198" s="925"/>
      <c r="EQ1198" s="925"/>
      <c r="ER1198" s="925"/>
      <c r="ES1198" s="925"/>
      <c r="ET1198" s="925"/>
      <c r="EU1198" s="925"/>
      <c r="EV1198" s="925"/>
      <c r="EW1198" s="925"/>
      <c r="EX1198" s="925"/>
      <c r="EY1198" s="925"/>
      <c r="EZ1198" s="925"/>
      <c r="FA1198" s="925"/>
      <c r="FB1198" s="925"/>
      <c r="FC1198" s="925"/>
      <c r="FD1198" s="925"/>
      <c r="FE1198" s="925"/>
      <c r="FF1198" s="925"/>
      <c r="FG1198" s="925"/>
      <c r="FH1198" s="925"/>
      <c r="FI1198" s="925"/>
      <c r="FJ1198" s="925"/>
      <c r="FK1198" s="925"/>
      <c r="FL1198" s="925"/>
      <c r="FM1198" s="925"/>
      <c r="FN1198" s="925"/>
      <c r="FO1198" s="925"/>
      <c r="FP1198" s="925"/>
      <c r="FQ1198" s="925"/>
      <c r="FR1198" s="925"/>
      <c r="FS1198" s="925"/>
      <c r="FT1198" s="925"/>
      <c r="FU1198" s="925"/>
      <c r="FV1198" s="925"/>
      <c r="FW1198" s="925"/>
      <c r="FX1198" s="925"/>
      <c r="FY1198" s="925"/>
      <c r="FZ1198" s="925"/>
      <c r="GA1198" s="925"/>
      <c r="GB1198" s="925"/>
      <c r="GC1198" s="925"/>
      <c r="GD1198" s="925"/>
      <c r="GE1198" s="925"/>
      <c r="GF1198" s="925"/>
      <c r="GG1198" s="925"/>
      <c r="GH1198" s="925"/>
      <c r="GI1198" s="925"/>
      <c r="GJ1198" s="925"/>
      <c r="GK1198" s="925"/>
      <c r="GL1198" s="925"/>
      <c r="GM1198" s="925"/>
      <c r="GN1198" s="925"/>
      <c r="GO1198" s="925"/>
      <c r="GP1198" s="925"/>
      <c r="GQ1198" s="925"/>
      <c r="GR1198" s="925"/>
      <c r="GS1198" s="925"/>
      <c r="GT1198" s="925"/>
      <c r="GU1198" s="925"/>
      <c r="GV1198" s="925"/>
      <c r="GW1198" s="925"/>
      <c r="GX1198" s="925"/>
      <c r="GY1198" s="925"/>
      <c r="GZ1198" s="925"/>
      <c r="HA1198" s="925"/>
      <c r="HB1198" s="925"/>
      <c r="HC1198" s="925"/>
      <c r="HD1198" s="925"/>
      <c r="HE1198" s="925"/>
      <c r="HF1198" s="925"/>
      <c r="HG1198" s="925"/>
      <c r="HH1198" s="925"/>
      <c r="HI1198" s="925"/>
      <c r="HJ1198" s="925"/>
      <c r="HK1198" s="925"/>
      <c r="HL1198" s="925"/>
      <c r="HM1198" s="925"/>
      <c r="HN1198" s="925"/>
      <c r="HO1198" s="925"/>
      <c r="HP1198" s="925"/>
      <c r="HQ1198" s="925"/>
      <c r="HR1198" s="925"/>
      <c r="HS1198" s="925"/>
      <c r="HT1198" s="925"/>
      <c r="HU1198" s="925"/>
      <c r="HV1198" s="925"/>
      <c r="HW1198" s="925"/>
      <c r="HX1198" s="925"/>
      <c r="HY1198" s="925"/>
      <c r="HZ1198" s="925"/>
      <c r="IA1198" s="925"/>
      <c r="IB1198" s="925"/>
      <c r="IC1198" s="925"/>
      <c r="ID1198" s="925"/>
      <c r="IE1198" s="925"/>
      <c r="IF1198" s="925"/>
      <c r="IG1198" s="925"/>
      <c r="IH1198" s="925"/>
      <c r="II1198" s="925"/>
      <c r="IJ1198" s="925"/>
      <c r="IK1198" s="925"/>
      <c r="IL1198" s="925"/>
      <c r="IM1198" s="925"/>
      <c r="IN1198" s="925"/>
      <c r="IO1198" s="925"/>
      <c r="IP1198" s="925"/>
      <c r="IQ1198" s="925"/>
      <c r="IR1198" s="925"/>
      <c r="IS1198" s="925"/>
      <c r="IT1198" s="925"/>
      <c r="IU1198" s="925"/>
      <c r="IV1198" s="925"/>
      <c r="IW1198" s="925"/>
      <c r="IX1198" s="925"/>
      <c r="IY1198" s="925"/>
      <c r="IZ1198" s="925"/>
      <c r="JA1198" s="925"/>
      <c r="JB1198" s="925"/>
      <c r="JC1198" s="925"/>
      <c r="JD1198" s="925"/>
      <c r="JE1198" s="925"/>
      <c r="JF1198" s="925"/>
      <c r="JG1198" s="925"/>
      <c r="JH1198" s="925"/>
      <c r="JI1198" s="925"/>
      <c r="JJ1198" s="925"/>
      <c r="JK1198" s="925"/>
      <c r="JL1198" s="925"/>
      <c r="JM1198" s="925"/>
      <c r="JN1198" s="925"/>
      <c r="JO1198" s="925"/>
      <c r="JP1198" s="925"/>
      <c r="JQ1198" s="925"/>
      <c r="JR1198" s="925"/>
      <c r="JS1198" s="925"/>
      <c r="JT1198" s="925"/>
      <c r="JU1198" s="925"/>
      <c r="JV1198" s="925"/>
      <c r="JW1198" s="925"/>
      <c r="JX1198" s="925"/>
      <c r="JY1198" s="925"/>
      <c r="JZ1198" s="925"/>
      <c r="KA1198" s="925"/>
      <c r="KB1198" s="925"/>
      <c r="KC1198" s="925"/>
      <c r="KD1198" s="925"/>
      <c r="KE1198" s="925"/>
      <c r="KF1198" s="925"/>
      <c r="KG1198" s="925"/>
      <c r="KH1198" s="925"/>
      <c r="KI1198" s="925"/>
      <c r="KJ1198" s="925"/>
      <c r="KK1198" s="925"/>
      <c r="KL1198" s="925"/>
      <c r="KM1198" s="925"/>
      <c r="KN1198" s="925"/>
      <c r="KO1198" s="925"/>
      <c r="KP1198" s="925"/>
      <c r="KQ1198" s="925"/>
      <c r="KR1198" s="925"/>
      <c r="KS1198" s="925"/>
      <c r="KT1198" s="925"/>
      <c r="KU1198" s="925"/>
      <c r="KV1198" s="925"/>
      <c r="KW1198" s="925"/>
      <c r="KX1198" s="925"/>
      <c r="KY1198" s="925"/>
      <c r="KZ1198" s="925"/>
      <c r="LA1198" s="925"/>
      <c r="LB1198" s="925"/>
      <c r="LC1198" s="925"/>
      <c r="LD1198" s="925"/>
      <c r="LE1198" s="925"/>
      <c r="LF1198" s="925"/>
      <c r="LG1198" s="925"/>
      <c r="LH1198" s="925"/>
      <c r="LI1198" s="925"/>
      <c r="LJ1198" s="925"/>
      <c r="LK1198" s="925"/>
      <c r="LL1198" s="925"/>
      <c r="LM1198" s="925"/>
      <c r="LN1198" s="925"/>
      <c r="LO1198" s="925"/>
      <c r="LP1198" s="925"/>
      <c r="LQ1198" s="925"/>
      <c r="LR1198" s="925"/>
      <c r="LS1198" s="925"/>
      <c r="LT1198" s="925"/>
      <c r="LU1198" s="925"/>
      <c r="LV1198" s="925"/>
      <c r="LW1198" s="925"/>
      <c r="LX1198" s="925"/>
      <c r="LY1198" s="925"/>
      <c r="LZ1198" s="925"/>
      <c r="MA1198" s="925"/>
      <c r="MB1198" s="925"/>
      <c r="MC1198" s="925"/>
      <c r="MD1198" s="925"/>
      <c r="ME1198" s="925"/>
      <c r="MF1198" s="925"/>
      <c r="MG1198" s="925"/>
      <c r="MH1198" s="925"/>
      <c r="MI1198" s="925"/>
      <c r="MJ1198" s="925"/>
      <c r="MK1198" s="925"/>
      <c r="ML1198" s="925"/>
      <c r="MM1198" s="925"/>
      <c r="MN1198" s="925"/>
      <c r="MO1198" s="925"/>
      <c r="MP1198" s="925"/>
      <c r="MQ1198" s="925"/>
      <c r="MR1198" s="925"/>
      <c r="MS1198" s="925"/>
      <c r="MT1198" s="925"/>
      <c r="MU1198" s="925"/>
      <c r="MV1198" s="925"/>
      <c r="MW1198" s="925"/>
      <c r="MX1198" s="925"/>
      <c r="MY1198" s="925"/>
      <c r="MZ1198" s="925"/>
      <c r="NA1198" s="925"/>
      <c r="NB1198" s="925"/>
      <c r="NC1198" s="925"/>
      <c r="ND1198" s="925"/>
      <c r="NE1198" s="925"/>
      <c r="NF1198" s="925"/>
      <c r="NG1198" s="925"/>
      <c r="NH1198" s="925"/>
      <c r="NI1198" s="925"/>
      <c r="NJ1198" s="925"/>
      <c r="NK1198" s="925"/>
      <c r="NL1198" s="925"/>
      <c r="NM1198" s="925"/>
      <c r="NN1198" s="925"/>
      <c r="NO1198" s="925"/>
      <c r="NP1198" s="925"/>
      <c r="NQ1198" s="925"/>
      <c r="NR1198" s="925"/>
      <c r="NS1198" s="925"/>
      <c r="NT1198" s="925"/>
      <c r="NU1198" s="925"/>
      <c r="NV1198" s="925"/>
      <c r="NW1198" s="925"/>
      <c r="NX1198" s="925"/>
      <c r="NY1198" s="925"/>
      <c r="NZ1198" s="925"/>
      <c r="OA1198" s="925"/>
      <c r="OB1198" s="925"/>
      <c r="OC1198" s="925"/>
      <c r="OD1198" s="925"/>
      <c r="OE1198" s="925"/>
      <c r="OF1198" s="925"/>
      <c r="OG1198" s="925"/>
      <c r="OH1198" s="925"/>
      <c r="OI1198" s="925"/>
      <c r="OJ1198" s="925"/>
      <c r="OK1198" s="925"/>
      <c r="OL1198" s="925"/>
      <c r="OM1198" s="925"/>
      <c r="ON1198" s="925"/>
      <c r="OO1198" s="925"/>
      <c r="OP1198" s="925"/>
      <c r="OQ1198" s="925"/>
      <c r="OR1198" s="925"/>
      <c r="OS1198" s="925"/>
      <c r="OT1198" s="925"/>
      <c r="OU1198" s="925"/>
      <c r="OV1198" s="925"/>
      <c r="OW1198" s="925"/>
      <c r="OX1198" s="925"/>
      <c r="OY1198" s="925"/>
      <c r="OZ1198" s="925"/>
      <c r="PA1198" s="925"/>
      <c r="PB1198" s="925"/>
      <c r="PC1198" s="925"/>
      <c r="PD1198" s="925"/>
      <c r="PE1198" s="925"/>
      <c r="PF1198" s="925"/>
      <c r="PG1198" s="925"/>
      <c r="PH1198" s="925"/>
      <c r="PI1198" s="925"/>
      <c r="PJ1198" s="925"/>
      <c r="PK1198" s="925"/>
      <c r="PL1198" s="925"/>
      <c r="PM1198" s="925"/>
      <c r="PN1198" s="925"/>
      <c r="PO1198" s="925"/>
      <c r="PP1198" s="925"/>
      <c r="PQ1198" s="925"/>
      <c r="PR1198" s="925"/>
      <c r="PS1198" s="925"/>
      <c r="PT1198" s="925"/>
      <c r="PU1198" s="925"/>
      <c r="PV1198" s="925"/>
      <c r="PW1198" s="925"/>
      <c r="PX1198" s="925"/>
      <c r="PY1198" s="925"/>
      <c r="PZ1198" s="925"/>
      <c r="QA1198" s="925"/>
      <c r="QB1198" s="925"/>
      <c r="QC1198" s="925"/>
      <c r="QD1198" s="925"/>
      <c r="QE1198" s="925"/>
      <c r="QF1198" s="925"/>
      <c r="QG1198" s="925"/>
      <c r="QH1198" s="925"/>
      <c r="QI1198" s="925"/>
      <c r="QJ1198" s="925"/>
      <c r="QK1198" s="925"/>
      <c r="QL1198" s="925"/>
      <c r="QM1198" s="925"/>
      <c r="QN1198" s="925"/>
      <c r="QO1198" s="925"/>
      <c r="QP1198" s="925"/>
      <c r="QQ1198" s="925"/>
      <c r="QR1198" s="925"/>
      <c r="QS1198" s="925"/>
      <c r="QT1198" s="925"/>
      <c r="QU1198" s="925"/>
      <c r="QV1198" s="925"/>
      <c r="QW1198" s="925"/>
      <c r="QX1198" s="925"/>
      <c r="QY1198" s="925"/>
      <c r="QZ1198" s="925"/>
      <c r="RA1198" s="925"/>
      <c r="RB1198" s="925"/>
      <c r="RC1198" s="925"/>
      <c r="RD1198" s="925"/>
      <c r="RE1198" s="925"/>
      <c r="RF1198" s="925"/>
      <c r="RG1198" s="925"/>
      <c r="RH1198" s="925"/>
      <c r="RI1198" s="925"/>
      <c r="RJ1198" s="925"/>
      <c r="RK1198" s="925"/>
      <c r="RL1198" s="925"/>
      <c r="RM1198" s="925"/>
      <c r="RN1198" s="925"/>
      <c r="RO1198" s="925"/>
      <c r="RP1198" s="925"/>
      <c r="RQ1198" s="925"/>
      <c r="RR1198" s="925"/>
      <c r="RS1198" s="925"/>
      <c r="RT1198" s="925"/>
      <c r="RU1198" s="925"/>
      <c r="RV1198" s="925"/>
      <c r="RW1198" s="925"/>
      <c r="RX1198" s="925"/>
      <c r="RY1198" s="925"/>
      <c r="RZ1198" s="925"/>
      <c r="SA1198" s="925"/>
      <c r="SB1198" s="925"/>
      <c r="SC1198" s="925"/>
      <c r="SD1198" s="925"/>
      <c r="SE1198" s="925"/>
      <c r="SF1198" s="925"/>
      <c r="SG1198" s="925"/>
      <c r="SH1198" s="925"/>
      <c r="SI1198" s="925"/>
      <c r="SJ1198" s="925"/>
      <c r="SK1198" s="925"/>
      <c r="SL1198" s="925"/>
      <c r="SM1198" s="925"/>
      <c r="SN1198" s="925"/>
      <c r="SO1198" s="925"/>
      <c r="SP1198" s="925"/>
      <c r="SQ1198" s="925"/>
      <c r="SR1198" s="925"/>
      <c r="SS1198" s="925"/>
      <c r="ST1198" s="925"/>
      <c r="SU1198" s="925"/>
      <c r="SV1198" s="925"/>
      <c r="SW1198" s="925"/>
      <c r="SX1198" s="925"/>
      <c r="SY1198" s="925"/>
      <c r="SZ1198" s="925"/>
      <c r="TA1198" s="925"/>
      <c r="TB1198" s="925"/>
      <c r="TC1198" s="925"/>
      <c r="TD1198" s="925"/>
      <c r="TE1198" s="925"/>
      <c r="TF1198" s="925"/>
      <c r="TG1198" s="925"/>
      <c r="TH1198" s="925"/>
      <c r="TI1198" s="925"/>
      <c r="TJ1198" s="925"/>
      <c r="TK1198" s="925"/>
      <c r="TL1198" s="925"/>
      <c r="TM1198" s="925"/>
      <c r="TN1198" s="925"/>
      <c r="TO1198" s="925"/>
      <c r="TP1198" s="925"/>
      <c r="TQ1198" s="925"/>
      <c r="TR1198" s="925"/>
      <c r="TS1198" s="925"/>
      <c r="TT1198" s="925"/>
      <c r="TU1198" s="925"/>
      <c r="TV1198" s="925"/>
      <c r="TW1198" s="925"/>
      <c r="TX1198" s="925"/>
      <c r="TY1198" s="925"/>
      <c r="TZ1198" s="925"/>
      <c r="UA1198" s="925"/>
      <c r="UB1198" s="925"/>
      <c r="UC1198" s="925"/>
      <c r="UD1198" s="925"/>
      <c r="UE1198" s="925"/>
      <c r="UF1198" s="925"/>
      <c r="UG1198" s="925"/>
      <c r="UH1198" s="925"/>
      <c r="UI1198" s="925"/>
      <c r="UJ1198" s="925"/>
      <c r="UK1198" s="925"/>
      <c r="UL1198" s="925"/>
      <c r="UM1198" s="925"/>
      <c r="UN1198" s="925"/>
      <c r="UO1198" s="925"/>
      <c r="UP1198" s="925"/>
      <c r="UQ1198" s="925"/>
      <c r="UR1198" s="925"/>
      <c r="US1198" s="925"/>
      <c r="UT1198" s="925"/>
      <c r="UU1198" s="925"/>
      <c r="UV1198" s="925"/>
      <c r="UW1198" s="925"/>
      <c r="UX1198" s="925"/>
      <c r="UY1198" s="925"/>
      <c r="UZ1198" s="925"/>
      <c r="VA1198" s="925"/>
      <c r="VB1198" s="925"/>
      <c r="VC1198" s="925"/>
      <c r="VD1198" s="925"/>
      <c r="VE1198" s="925"/>
      <c r="VF1198" s="925"/>
      <c r="VG1198" s="925"/>
      <c r="VH1198" s="925"/>
      <c r="VI1198" s="925"/>
      <c r="VJ1198" s="925"/>
      <c r="VK1198" s="925"/>
      <c r="VL1198" s="925"/>
      <c r="VM1198" s="925"/>
      <c r="VN1198" s="925"/>
      <c r="VO1198" s="925"/>
      <c r="VP1198" s="925"/>
      <c r="VQ1198" s="925"/>
      <c r="VR1198" s="925"/>
      <c r="VS1198" s="925"/>
      <c r="VT1198" s="925"/>
      <c r="VU1198" s="925"/>
      <c r="VV1198" s="925"/>
      <c r="VW1198" s="925"/>
      <c r="VX1198" s="925"/>
      <c r="VY1198" s="925"/>
      <c r="VZ1198" s="925"/>
      <c r="WA1198" s="925"/>
      <c r="WB1198" s="925"/>
      <c r="WC1198" s="925"/>
      <c r="WD1198" s="925"/>
      <c r="WE1198" s="925"/>
      <c r="WF1198" s="925"/>
      <c r="WG1198" s="925"/>
      <c r="WH1198" s="925"/>
      <c r="WI1198" s="925"/>
      <c r="WJ1198" s="925"/>
      <c r="WK1198" s="925"/>
      <c r="WL1198" s="925"/>
      <c r="WM1198" s="925"/>
      <c r="WN1198" s="925"/>
      <c r="WO1198" s="925"/>
      <c r="WP1198" s="925"/>
      <c r="WQ1198" s="925"/>
      <c r="WR1198" s="925"/>
      <c r="WS1198" s="925"/>
      <c r="WT1198" s="925"/>
      <c r="WU1198" s="925"/>
      <c r="WV1198" s="925"/>
      <c r="WW1198" s="925"/>
      <c r="WX1198" s="925"/>
      <c r="WY1198" s="925"/>
      <c r="WZ1198" s="925"/>
      <c r="XA1198" s="925"/>
      <c r="XB1198" s="925"/>
      <c r="XC1198" s="925"/>
      <c r="XD1198" s="925"/>
      <c r="XE1198" s="925"/>
      <c r="XF1198" s="925"/>
      <c r="XG1198" s="925"/>
      <c r="XH1198" s="925"/>
      <c r="XI1198" s="925"/>
      <c r="XJ1198" s="925"/>
      <c r="XK1198" s="925"/>
      <c r="XL1198" s="925"/>
      <c r="XM1198" s="925"/>
      <c r="XN1198" s="925"/>
      <c r="XO1198" s="925"/>
      <c r="XP1198" s="925"/>
      <c r="XQ1198" s="925"/>
      <c r="XR1198" s="925"/>
      <c r="XS1198" s="925"/>
      <c r="XT1198" s="925"/>
      <c r="XU1198" s="925"/>
      <c r="XV1198" s="925"/>
      <c r="XW1198" s="925"/>
      <c r="XX1198" s="925"/>
      <c r="XY1198" s="925"/>
      <c r="XZ1198" s="925"/>
      <c r="YA1198" s="925"/>
      <c r="YB1198" s="925"/>
      <c r="YC1198" s="925"/>
      <c r="YD1198" s="925"/>
      <c r="YE1198" s="925"/>
      <c r="YF1198" s="925"/>
      <c r="YG1198" s="925"/>
      <c r="YH1198" s="925"/>
      <c r="YI1198" s="925"/>
      <c r="YJ1198" s="925"/>
      <c r="YK1198" s="925"/>
      <c r="YL1198" s="925"/>
      <c r="YM1198" s="925"/>
      <c r="YN1198" s="925"/>
      <c r="YO1198" s="925"/>
      <c r="YP1198" s="925"/>
      <c r="YQ1198" s="925"/>
      <c r="YR1198" s="925"/>
      <c r="YS1198" s="925"/>
      <c r="YT1198" s="925"/>
      <c r="YU1198" s="925"/>
      <c r="YV1198" s="925"/>
      <c r="YW1198" s="925"/>
      <c r="YX1198" s="925"/>
      <c r="YY1198" s="925"/>
      <c r="YZ1198" s="925"/>
      <c r="ZA1198" s="925"/>
      <c r="ZB1198" s="925"/>
      <c r="ZC1198" s="925"/>
      <c r="ZD1198" s="925"/>
      <c r="ZE1198" s="925"/>
      <c r="ZF1198" s="925"/>
      <c r="ZG1198" s="925"/>
      <c r="ZH1198" s="925"/>
      <c r="ZI1198" s="925"/>
      <c r="ZJ1198" s="925"/>
      <c r="ZK1198" s="925"/>
      <c r="ZL1198" s="925"/>
      <c r="ZM1198" s="925"/>
      <c r="ZN1198" s="925"/>
      <c r="ZO1198" s="925"/>
      <c r="ZP1198" s="925"/>
      <c r="ZQ1198" s="925"/>
      <c r="ZR1198" s="925"/>
      <c r="ZS1198" s="925"/>
      <c r="ZT1198" s="925"/>
      <c r="ZU1198" s="925"/>
      <c r="ZV1198" s="925"/>
      <c r="ZW1198" s="925"/>
      <c r="ZX1198" s="925"/>
      <c r="ZY1198" s="925"/>
      <c r="ZZ1198" s="925"/>
      <c r="AAA1198" s="925"/>
      <c r="AAB1198" s="925"/>
      <c r="AAC1198" s="925"/>
      <c r="AAD1198" s="925"/>
      <c r="AAE1198" s="925"/>
      <c r="AAF1198" s="925"/>
      <c r="AAG1198" s="925"/>
      <c r="AAH1198" s="925"/>
      <c r="AAI1198" s="925"/>
      <c r="AAJ1198" s="925"/>
      <c r="AAK1198" s="925"/>
      <c r="AAL1198" s="925"/>
      <c r="AAM1198" s="925"/>
      <c r="AAN1198" s="925"/>
      <c r="AAO1198" s="925"/>
      <c r="AAP1198" s="925"/>
      <c r="AAQ1198" s="925"/>
      <c r="AAR1198" s="925"/>
      <c r="AAS1198" s="925"/>
      <c r="AAT1198" s="925"/>
      <c r="AAU1198" s="925"/>
      <c r="AAV1198" s="925"/>
      <c r="AAW1198" s="925"/>
      <c r="AAX1198" s="925"/>
      <c r="AAY1198" s="925"/>
      <c r="AAZ1198" s="925"/>
      <c r="ABA1198" s="925"/>
      <c r="ABB1198" s="925"/>
      <c r="ABC1198" s="925"/>
      <c r="ABD1198" s="925"/>
      <c r="ABE1198" s="925"/>
      <c r="ABF1198" s="925"/>
      <c r="ABG1198" s="925"/>
      <c r="ABH1198" s="925"/>
      <c r="ABI1198" s="925"/>
      <c r="ABJ1198" s="925"/>
      <c r="ABK1198" s="925"/>
      <c r="ABL1198" s="925"/>
      <c r="ABM1198" s="925"/>
      <c r="ABN1198" s="925"/>
      <c r="ABO1198" s="925"/>
      <c r="ABP1198" s="925"/>
      <c r="ABQ1198" s="925"/>
      <c r="ABR1198" s="925"/>
      <c r="ABS1198" s="925"/>
      <c r="ABT1198" s="925"/>
      <c r="ABU1198" s="925"/>
      <c r="ABV1198" s="925"/>
      <c r="ABW1198" s="925"/>
      <c r="ABX1198" s="925"/>
      <c r="ABY1198" s="925"/>
      <c r="ABZ1198" s="925"/>
      <c r="ACA1198" s="925"/>
      <c r="ACB1198" s="925"/>
      <c r="ACC1198" s="925"/>
      <c r="ACD1198" s="925"/>
      <c r="ACE1198" s="925"/>
      <c r="ACF1198" s="925"/>
      <c r="ACG1198" s="925"/>
      <c r="ACH1198" s="925"/>
      <c r="ACI1198" s="925"/>
      <c r="ACJ1198" s="925"/>
      <c r="ACK1198" s="925"/>
      <c r="ACL1198" s="925"/>
      <c r="ACM1198" s="925"/>
      <c r="ACN1198" s="925"/>
      <c r="ACO1198" s="925"/>
      <c r="ACP1198" s="925"/>
      <c r="ACQ1198" s="925"/>
      <c r="ACR1198" s="925"/>
      <c r="ACS1198" s="925"/>
      <c r="ACT1198" s="925"/>
      <c r="ACU1198" s="925"/>
      <c r="ACV1198" s="925"/>
      <c r="ACW1198" s="925"/>
      <c r="ACX1198" s="925"/>
      <c r="ACY1198" s="925"/>
      <c r="ACZ1198" s="925"/>
      <c r="ADA1198" s="925"/>
      <c r="ADB1198" s="925"/>
      <c r="ADC1198" s="925"/>
      <c r="ADD1198" s="925"/>
      <c r="ADE1198" s="925"/>
      <c r="ADF1198" s="925"/>
      <c r="ADG1198" s="925"/>
      <c r="ADH1198" s="925"/>
      <c r="ADI1198" s="925"/>
      <c r="ADJ1198" s="925"/>
      <c r="ADK1198" s="925"/>
      <c r="ADL1198" s="925"/>
      <c r="ADM1198" s="925"/>
      <c r="ADN1198" s="925"/>
      <c r="ADO1198" s="925"/>
      <c r="ADP1198" s="925"/>
      <c r="ADQ1198" s="925"/>
      <c r="ADR1198" s="925"/>
      <c r="ADS1198" s="925"/>
      <c r="ADT1198" s="925"/>
      <c r="ADU1198" s="925"/>
      <c r="ADV1198" s="925"/>
      <c r="ADW1198" s="925"/>
      <c r="ADX1198" s="925"/>
      <c r="ADY1198" s="925"/>
      <c r="ADZ1198" s="925"/>
      <c r="AEA1198" s="925"/>
      <c r="AEB1198" s="925"/>
      <c r="AEC1198" s="925"/>
      <c r="AED1198" s="925"/>
      <c r="AEE1198" s="925"/>
      <c r="AEF1198" s="925"/>
      <c r="AEG1198" s="925"/>
      <c r="AEH1198" s="925"/>
      <c r="AEI1198" s="925"/>
      <c r="AEJ1198" s="925"/>
      <c r="AEK1198" s="925"/>
      <c r="AEL1198" s="925"/>
      <c r="AEM1198" s="925"/>
      <c r="AEN1198" s="925"/>
      <c r="AEO1198" s="925"/>
      <c r="AEP1198" s="925"/>
      <c r="AEQ1198" s="925"/>
      <c r="AER1198" s="925"/>
      <c r="AES1198" s="925"/>
      <c r="AET1198" s="925"/>
      <c r="AEU1198" s="925"/>
      <c r="AEV1198" s="925"/>
      <c r="AEW1198" s="925"/>
      <c r="AEX1198" s="925"/>
      <c r="AEY1198" s="925"/>
      <c r="AEZ1198" s="925"/>
      <c r="AFA1198" s="925"/>
      <c r="AFB1198" s="925"/>
      <c r="AFC1198" s="925"/>
      <c r="AFD1198" s="925"/>
      <c r="AFE1198" s="925"/>
      <c r="AFF1198" s="925"/>
      <c r="AFG1198" s="925"/>
      <c r="AFH1198" s="925"/>
      <c r="AFI1198" s="925"/>
      <c r="AFJ1198" s="925"/>
      <c r="AFK1198" s="925"/>
      <c r="AFL1198" s="925"/>
      <c r="AFM1198" s="925"/>
      <c r="AFN1198" s="925"/>
      <c r="AFO1198" s="925"/>
      <c r="AFP1198" s="925"/>
      <c r="AFQ1198" s="925"/>
      <c r="AFR1198" s="925"/>
      <c r="AFS1198" s="925"/>
      <c r="AFT1198" s="925"/>
      <c r="AFU1198" s="925"/>
      <c r="AFV1198" s="925"/>
      <c r="AFW1198" s="925"/>
      <c r="AFX1198" s="925"/>
      <c r="AFY1198" s="925"/>
      <c r="AFZ1198" s="925"/>
      <c r="AGA1198" s="925"/>
      <c r="AGB1198" s="925"/>
      <c r="AGC1198" s="925"/>
      <c r="AGD1198" s="925"/>
      <c r="AGE1198" s="925"/>
      <c r="AGF1198" s="925"/>
      <c r="AGG1198" s="925"/>
      <c r="AGH1198" s="925"/>
      <c r="AGI1198" s="925"/>
      <c r="AGJ1198" s="925"/>
    </row>
    <row r="1199" spans="1:868" s="918" customFormat="1" hidden="1">
      <c r="A1199" s="918" t="str">
        <f>Clothing!A275</f>
        <v>Clothing (product sector)</v>
      </c>
      <c r="B1199" s="918" t="str">
        <f>Clothing!B275</f>
        <v>Closed-toed shoes</v>
      </c>
      <c r="C1199" s="918" t="str">
        <f>Clothing!C275</f>
        <v>NL</v>
      </c>
      <c r="D1199" s="918" t="str">
        <f>Clothing!D275</f>
        <v>OTHER</v>
      </c>
      <c r="E1199" s="921">
        <f>Clothing!E275</f>
        <v>0.27182748545887297</v>
      </c>
      <c r="F1199" s="918">
        <f>Clothing!F275</f>
        <v>1</v>
      </c>
      <c r="G1199" s="918" t="str">
        <f>Clothing!G275</f>
        <v>https://eeb.org/library/draft-product-environmental-footprint-category-rules-pefcr-apparel-and-footwear/</v>
      </c>
      <c r="H1199" s="922">
        <f>Clothing!H275</f>
        <v>2</v>
      </c>
      <c r="I1199" s="922" t="str">
        <f>Clothing!I275</f>
        <v/>
      </c>
      <c r="J1199" s="922">
        <f>Clothing!J275</f>
        <v>2</v>
      </c>
      <c r="K1199" s="922">
        <f>Clothing!K275</f>
        <v>1</v>
      </c>
      <c r="L1199" s="922">
        <f>Clothing!L275</f>
        <v>2</v>
      </c>
      <c r="M1199" s="922">
        <f>Clothing!M275</f>
        <v>3</v>
      </c>
      <c r="N1199" s="186">
        <f t="shared" si="99"/>
        <v>1.0301997916669636</v>
      </c>
      <c r="O1199" s="160" t="e">
        <f t="shared" si="100"/>
        <v>#VALUE!</v>
      </c>
      <c r="Q1199" s="925"/>
      <c r="R1199" s="925"/>
      <c r="S1199" s="925"/>
      <c r="T1199" s="925"/>
      <c r="U1199" s="925"/>
      <c r="V1199" s="925"/>
      <c r="W1199" s="925"/>
      <c r="X1199" s="925"/>
      <c r="Y1199" s="925"/>
      <c r="Z1199" s="925"/>
      <c r="AA1199" s="925"/>
      <c r="AB1199" s="925"/>
      <c r="AC1199" s="925"/>
      <c r="AD1199" s="925"/>
      <c r="AE1199" s="925"/>
      <c r="AF1199" s="925"/>
      <c r="AG1199" s="925"/>
      <c r="AH1199" s="925"/>
      <c r="AI1199" s="925"/>
      <c r="AJ1199" s="925"/>
      <c r="AK1199" s="925"/>
      <c r="AL1199" s="925"/>
      <c r="AM1199" s="925"/>
      <c r="AN1199" s="925"/>
      <c r="AO1199" s="925"/>
      <c r="AP1199" s="925"/>
      <c r="AQ1199" s="925"/>
      <c r="AR1199" s="925"/>
      <c r="AS1199" s="925"/>
      <c r="AT1199" s="925"/>
      <c r="AU1199" s="925"/>
      <c r="AV1199" s="925"/>
      <c r="AW1199" s="925"/>
      <c r="AX1199" s="925"/>
      <c r="AY1199" s="925"/>
      <c r="AZ1199" s="925"/>
      <c r="BA1199" s="925"/>
      <c r="BB1199" s="925"/>
      <c r="BC1199" s="925"/>
      <c r="BD1199" s="925"/>
      <c r="BE1199" s="925"/>
      <c r="BF1199" s="925"/>
      <c r="BG1199" s="925"/>
      <c r="BH1199" s="925"/>
      <c r="BI1199" s="925"/>
      <c r="BJ1199" s="925"/>
      <c r="BK1199" s="925"/>
      <c r="BL1199" s="925"/>
      <c r="BM1199" s="925"/>
      <c r="BN1199" s="925"/>
      <c r="BO1199" s="925"/>
      <c r="BP1199" s="925"/>
      <c r="BQ1199" s="925"/>
      <c r="BR1199" s="925"/>
      <c r="BS1199" s="925"/>
      <c r="BT1199" s="925"/>
      <c r="BU1199" s="925"/>
      <c r="BV1199" s="925"/>
      <c r="BW1199" s="925"/>
      <c r="BX1199" s="925"/>
      <c r="BY1199" s="925"/>
      <c r="BZ1199" s="925"/>
      <c r="CA1199" s="925"/>
      <c r="CB1199" s="925"/>
      <c r="CC1199" s="925"/>
      <c r="CD1199" s="925"/>
      <c r="CE1199" s="925"/>
      <c r="CF1199" s="925"/>
      <c r="CG1199" s="925"/>
      <c r="CH1199" s="925"/>
      <c r="CI1199" s="925"/>
      <c r="CJ1199" s="925"/>
      <c r="CK1199" s="925"/>
      <c r="CL1199" s="925"/>
      <c r="CM1199" s="925"/>
      <c r="CN1199" s="925"/>
      <c r="CO1199" s="925"/>
      <c r="CP1199" s="925"/>
      <c r="CQ1199" s="925"/>
      <c r="CR1199" s="925"/>
      <c r="CS1199" s="925"/>
      <c r="CT1199" s="925"/>
      <c r="CU1199" s="925"/>
      <c r="CV1199" s="925"/>
      <c r="CW1199" s="925"/>
      <c r="CX1199" s="925"/>
      <c r="CY1199" s="925"/>
      <c r="CZ1199" s="925"/>
      <c r="DA1199" s="925"/>
      <c r="DB1199" s="925"/>
      <c r="DC1199" s="925"/>
      <c r="DD1199" s="925"/>
      <c r="DE1199" s="925"/>
      <c r="DF1199" s="925"/>
      <c r="DG1199" s="925"/>
      <c r="DH1199" s="925"/>
      <c r="DI1199" s="925"/>
      <c r="DJ1199" s="925"/>
      <c r="DK1199" s="925"/>
      <c r="DL1199" s="925"/>
      <c r="DM1199" s="925"/>
      <c r="DN1199" s="925"/>
      <c r="DO1199" s="925"/>
      <c r="DP1199" s="925"/>
      <c r="DQ1199" s="925"/>
      <c r="DR1199" s="925"/>
      <c r="DS1199" s="925"/>
      <c r="DT1199" s="925"/>
      <c r="DU1199" s="925"/>
      <c r="DV1199" s="925"/>
      <c r="DW1199" s="925"/>
      <c r="DX1199" s="925"/>
      <c r="DY1199" s="925"/>
      <c r="DZ1199" s="925"/>
      <c r="EA1199" s="925"/>
      <c r="EB1199" s="925"/>
      <c r="EC1199" s="925"/>
      <c r="ED1199" s="925"/>
      <c r="EE1199" s="925"/>
      <c r="EF1199" s="925"/>
      <c r="EG1199" s="925"/>
      <c r="EH1199" s="925"/>
      <c r="EI1199" s="925"/>
      <c r="EJ1199" s="925"/>
      <c r="EK1199" s="925"/>
      <c r="EL1199" s="925"/>
      <c r="EM1199" s="925"/>
      <c r="EN1199" s="925"/>
      <c r="EO1199" s="925"/>
      <c r="EP1199" s="925"/>
      <c r="EQ1199" s="925"/>
      <c r="ER1199" s="925"/>
      <c r="ES1199" s="925"/>
      <c r="ET1199" s="925"/>
      <c r="EU1199" s="925"/>
      <c r="EV1199" s="925"/>
      <c r="EW1199" s="925"/>
      <c r="EX1199" s="925"/>
      <c r="EY1199" s="925"/>
      <c r="EZ1199" s="925"/>
      <c r="FA1199" s="925"/>
      <c r="FB1199" s="925"/>
      <c r="FC1199" s="925"/>
      <c r="FD1199" s="925"/>
      <c r="FE1199" s="925"/>
      <c r="FF1199" s="925"/>
      <c r="FG1199" s="925"/>
      <c r="FH1199" s="925"/>
      <c r="FI1199" s="925"/>
      <c r="FJ1199" s="925"/>
      <c r="FK1199" s="925"/>
      <c r="FL1199" s="925"/>
      <c r="FM1199" s="925"/>
      <c r="FN1199" s="925"/>
      <c r="FO1199" s="925"/>
      <c r="FP1199" s="925"/>
      <c r="FQ1199" s="925"/>
      <c r="FR1199" s="925"/>
      <c r="FS1199" s="925"/>
      <c r="FT1199" s="925"/>
      <c r="FU1199" s="925"/>
      <c r="FV1199" s="925"/>
      <c r="FW1199" s="925"/>
      <c r="FX1199" s="925"/>
      <c r="FY1199" s="925"/>
      <c r="FZ1199" s="925"/>
      <c r="GA1199" s="925"/>
      <c r="GB1199" s="925"/>
      <c r="GC1199" s="925"/>
      <c r="GD1199" s="925"/>
      <c r="GE1199" s="925"/>
      <c r="GF1199" s="925"/>
      <c r="GG1199" s="925"/>
      <c r="GH1199" s="925"/>
      <c r="GI1199" s="925"/>
      <c r="GJ1199" s="925"/>
      <c r="GK1199" s="925"/>
      <c r="GL1199" s="925"/>
      <c r="GM1199" s="925"/>
      <c r="GN1199" s="925"/>
      <c r="GO1199" s="925"/>
      <c r="GP1199" s="925"/>
      <c r="GQ1199" s="925"/>
      <c r="GR1199" s="925"/>
      <c r="GS1199" s="925"/>
      <c r="GT1199" s="925"/>
      <c r="GU1199" s="925"/>
      <c r="GV1199" s="925"/>
      <c r="GW1199" s="925"/>
      <c r="GX1199" s="925"/>
      <c r="GY1199" s="925"/>
      <c r="GZ1199" s="925"/>
      <c r="HA1199" s="925"/>
      <c r="HB1199" s="925"/>
      <c r="HC1199" s="925"/>
      <c r="HD1199" s="925"/>
      <c r="HE1199" s="925"/>
      <c r="HF1199" s="925"/>
      <c r="HG1199" s="925"/>
      <c r="HH1199" s="925"/>
      <c r="HI1199" s="925"/>
      <c r="HJ1199" s="925"/>
      <c r="HK1199" s="925"/>
      <c r="HL1199" s="925"/>
      <c r="HM1199" s="925"/>
      <c r="HN1199" s="925"/>
      <c r="HO1199" s="925"/>
      <c r="HP1199" s="925"/>
      <c r="HQ1199" s="925"/>
      <c r="HR1199" s="925"/>
      <c r="HS1199" s="925"/>
      <c r="HT1199" s="925"/>
      <c r="HU1199" s="925"/>
      <c r="HV1199" s="925"/>
      <c r="HW1199" s="925"/>
      <c r="HX1199" s="925"/>
      <c r="HY1199" s="925"/>
      <c r="HZ1199" s="925"/>
      <c r="IA1199" s="925"/>
      <c r="IB1199" s="925"/>
      <c r="IC1199" s="925"/>
      <c r="ID1199" s="925"/>
      <c r="IE1199" s="925"/>
      <c r="IF1199" s="925"/>
      <c r="IG1199" s="925"/>
      <c r="IH1199" s="925"/>
      <c r="II1199" s="925"/>
      <c r="IJ1199" s="925"/>
      <c r="IK1199" s="925"/>
      <c r="IL1199" s="925"/>
      <c r="IM1199" s="925"/>
      <c r="IN1199" s="925"/>
      <c r="IO1199" s="925"/>
      <c r="IP1199" s="925"/>
      <c r="IQ1199" s="925"/>
      <c r="IR1199" s="925"/>
      <c r="IS1199" s="925"/>
      <c r="IT1199" s="925"/>
      <c r="IU1199" s="925"/>
      <c r="IV1199" s="925"/>
      <c r="IW1199" s="925"/>
      <c r="IX1199" s="925"/>
      <c r="IY1199" s="925"/>
      <c r="IZ1199" s="925"/>
      <c r="JA1199" s="925"/>
      <c r="JB1199" s="925"/>
      <c r="JC1199" s="925"/>
      <c r="JD1199" s="925"/>
      <c r="JE1199" s="925"/>
      <c r="JF1199" s="925"/>
      <c r="JG1199" s="925"/>
      <c r="JH1199" s="925"/>
      <c r="JI1199" s="925"/>
      <c r="JJ1199" s="925"/>
      <c r="JK1199" s="925"/>
      <c r="JL1199" s="925"/>
      <c r="JM1199" s="925"/>
      <c r="JN1199" s="925"/>
      <c r="JO1199" s="925"/>
      <c r="JP1199" s="925"/>
      <c r="JQ1199" s="925"/>
      <c r="JR1199" s="925"/>
      <c r="JS1199" s="925"/>
      <c r="JT1199" s="925"/>
      <c r="JU1199" s="925"/>
      <c r="JV1199" s="925"/>
      <c r="JW1199" s="925"/>
      <c r="JX1199" s="925"/>
      <c r="JY1199" s="925"/>
      <c r="JZ1199" s="925"/>
      <c r="KA1199" s="925"/>
      <c r="KB1199" s="925"/>
      <c r="KC1199" s="925"/>
      <c r="KD1199" s="925"/>
      <c r="KE1199" s="925"/>
      <c r="KF1199" s="925"/>
      <c r="KG1199" s="925"/>
      <c r="KH1199" s="925"/>
      <c r="KI1199" s="925"/>
      <c r="KJ1199" s="925"/>
      <c r="KK1199" s="925"/>
      <c r="KL1199" s="925"/>
      <c r="KM1199" s="925"/>
      <c r="KN1199" s="925"/>
      <c r="KO1199" s="925"/>
      <c r="KP1199" s="925"/>
      <c r="KQ1199" s="925"/>
      <c r="KR1199" s="925"/>
      <c r="KS1199" s="925"/>
      <c r="KT1199" s="925"/>
      <c r="KU1199" s="925"/>
      <c r="KV1199" s="925"/>
      <c r="KW1199" s="925"/>
      <c r="KX1199" s="925"/>
      <c r="KY1199" s="925"/>
      <c r="KZ1199" s="925"/>
      <c r="LA1199" s="925"/>
      <c r="LB1199" s="925"/>
      <c r="LC1199" s="925"/>
      <c r="LD1199" s="925"/>
      <c r="LE1199" s="925"/>
      <c r="LF1199" s="925"/>
      <c r="LG1199" s="925"/>
      <c r="LH1199" s="925"/>
      <c r="LI1199" s="925"/>
      <c r="LJ1199" s="925"/>
      <c r="LK1199" s="925"/>
      <c r="LL1199" s="925"/>
      <c r="LM1199" s="925"/>
      <c r="LN1199" s="925"/>
      <c r="LO1199" s="925"/>
      <c r="LP1199" s="925"/>
      <c r="LQ1199" s="925"/>
      <c r="LR1199" s="925"/>
      <c r="LS1199" s="925"/>
      <c r="LT1199" s="925"/>
      <c r="LU1199" s="925"/>
      <c r="LV1199" s="925"/>
      <c r="LW1199" s="925"/>
      <c r="LX1199" s="925"/>
      <c r="LY1199" s="925"/>
      <c r="LZ1199" s="925"/>
      <c r="MA1199" s="925"/>
      <c r="MB1199" s="925"/>
      <c r="MC1199" s="925"/>
      <c r="MD1199" s="925"/>
      <c r="ME1199" s="925"/>
      <c r="MF1199" s="925"/>
      <c r="MG1199" s="925"/>
      <c r="MH1199" s="925"/>
      <c r="MI1199" s="925"/>
      <c r="MJ1199" s="925"/>
      <c r="MK1199" s="925"/>
      <c r="ML1199" s="925"/>
      <c r="MM1199" s="925"/>
      <c r="MN1199" s="925"/>
      <c r="MO1199" s="925"/>
      <c r="MP1199" s="925"/>
      <c r="MQ1199" s="925"/>
      <c r="MR1199" s="925"/>
      <c r="MS1199" s="925"/>
      <c r="MT1199" s="925"/>
      <c r="MU1199" s="925"/>
      <c r="MV1199" s="925"/>
      <c r="MW1199" s="925"/>
      <c r="MX1199" s="925"/>
      <c r="MY1199" s="925"/>
      <c r="MZ1199" s="925"/>
      <c r="NA1199" s="925"/>
      <c r="NB1199" s="925"/>
      <c r="NC1199" s="925"/>
      <c r="ND1199" s="925"/>
      <c r="NE1199" s="925"/>
      <c r="NF1199" s="925"/>
      <c r="NG1199" s="925"/>
      <c r="NH1199" s="925"/>
      <c r="NI1199" s="925"/>
      <c r="NJ1199" s="925"/>
      <c r="NK1199" s="925"/>
      <c r="NL1199" s="925"/>
      <c r="NM1199" s="925"/>
      <c r="NN1199" s="925"/>
      <c r="NO1199" s="925"/>
      <c r="NP1199" s="925"/>
      <c r="NQ1199" s="925"/>
      <c r="NR1199" s="925"/>
      <c r="NS1199" s="925"/>
      <c r="NT1199" s="925"/>
      <c r="NU1199" s="925"/>
      <c r="NV1199" s="925"/>
      <c r="NW1199" s="925"/>
      <c r="NX1199" s="925"/>
      <c r="NY1199" s="925"/>
      <c r="NZ1199" s="925"/>
      <c r="OA1199" s="925"/>
      <c r="OB1199" s="925"/>
      <c r="OC1199" s="925"/>
      <c r="OD1199" s="925"/>
      <c r="OE1199" s="925"/>
      <c r="OF1199" s="925"/>
      <c r="OG1199" s="925"/>
      <c r="OH1199" s="925"/>
      <c r="OI1199" s="925"/>
      <c r="OJ1199" s="925"/>
      <c r="OK1199" s="925"/>
      <c r="OL1199" s="925"/>
      <c r="OM1199" s="925"/>
      <c r="ON1199" s="925"/>
      <c r="OO1199" s="925"/>
      <c r="OP1199" s="925"/>
      <c r="OQ1199" s="925"/>
      <c r="OR1199" s="925"/>
      <c r="OS1199" s="925"/>
      <c r="OT1199" s="925"/>
      <c r="OU1199" s="925"/>
      <c r="OV1199" s="925"/>
      <c r="OW1199" s="925"/>
      <c r="OX1199" s="925"/>
      <c r="OY1199" s="925"/>
      <c r="OZ1199" s="925"/>
      <c r="PA1199" s="925"/>
      <c r="PB1199" s="925"/>
      <c r="PC1199" s="925"/>
      <c r="PD1199" s="925"/>
      <c r="PE1199" s="925"/>
      <c r="PF1199" s="925"/>
      <c r="PG1199" s="925"/>
      <c r="PH1199" s="925"/>
      <c r="PI1199" s="925"/>
      <c r="PJ1199" s="925"/>
      <c r="PK1199" s="925"/>
      <c r="PL1199" s="925"/>
      <c r="PM1199" s="925"/>
      <c r="PN1199" s="925"/>
      <c r="PO1199" s="925"/>
      <c r="PP1199" s="925"/>
      <c r="PQ1199" s="925"/>
      <c r="PR1199" s="925"/>
      <c r="PS1199" s="925"/>
      <c r="PT1199" s="925"/>
      <c r="PU1199" s="925"/>
      <c r="PV1199" s="925"/>
      <c r="PW1199" s="925"/>
      <c r="PX1199" s="925"/>
      <c r="PY1199" s="925"/>
      <c r="PZ1199" s="925"/>
      <c r="QA1199" s="925"/>
      <c r="QB1199" s="925"/>
      <c r="QC1199" s="925"/>
      <c r="QD1199" s="925"/>
      <c r="QE1199" s="925"/>
      <c r="QF1199" s="925"/>
      <c r="QG1199" s="925"/>
      <c r="QH1199" s="925"/>
      <c r="QI1199" s="925"/>
      <c r="QJ1199" s="925"/>
      <c r="QK1199" s="925"/>
      <c r="QL1199" s="925"/>
      <c r="QM1199" s="925"/>
      <c r="QN1199" s="925"/>
      <c r="QO1199" s="925"/>
      <c r="QP1199" s="925"/>
      <c r="QQ1199" s="925"/>
      <c r="QR1199" s="925"/>
      <c r="QS1199" s="925"/>
      <c r="QT1199" s="925"/>
      <c r="QU1199" s="925"/>
      <c r="QV1199" s="925"/>
      <c r="QW1199" s="925"/>
      <c r="QX1199" s="925"/>
      <c r="QY1199" s="925"/>
      <c r="QZ1199" s="925"/>
      <c r="RA1199" s="925"/>
      <c r="RB1199" s="925"/>
      <c r="RC1199" s="925"/>
      <c r="RD1199" s="925"/>
      <c r="RE1199" s="925"/>
      <c r="RF1199" s="925"/>
      <c r="RG1199" s="925"/>
      <c r="RH1199" s="925"/>
      <c r="RI1199" s="925"/>
      <c r="RJ1199" s="925"/>
      <c r="RK1199" s="925"/>
      <c r="RL1199" s="925"/>
      <c r="RM1199" s="925"/>
      <c r="RN1199" s="925"/>
      <c r="RO1199" s="925"/>
      <c r="RP1199" s="925"/>
      <c r="RQ1199" s="925"/>
      <c r="RR1199" s="925"/>
      <c r="RS1199" s="925"/>
      <c r="RT1199" s="925"/>
      <c r="RU1199" s="925"/>
      <c r="RV1199" s="925"/>
      <c r="RW1199" s="925"/>
      <c r="RX1199" s="925"/>
      <c r="RY1199" s="925"/>
      <c r="RZ1199" s="925"/>
      <c r="SA1199" s="925"/>
      <c r="SB1199" s="925"/>
      <c r="SC1199" s="925"/>
      <c r="SD1199" s="925"/>
      <c r="SE1199" s="925"/>
      <c r="SF1199" s="925"/>
      <c r="SG1199" s="925"/>
      <c r="SH1199" s="925"/>
      <c r="SI1199" s="925"/>
      <c r="SJ1199" s="925"/>
      <c r="SK1199" s="925"/>
      <c r="SL1199" s="925"/>
      <c r="SM1199" s="925"/>
      <c r="SN1199" s="925"/>
      <c r="SO1199" s="925"/>
      <c r="SP1199" s="925"/>
      <c r="SQ1199" s="925"/>
      <c r="SR1199" s="925"/>
      <c r="SS1199" s="925"/>
      <c r="ST1199" s="925"/>
      <c r="SU1199" s="925"/>
      <c r="SV1199" s="925"/>
      <c r="SW1199" s="925"/>
      <c r="SX1199" s="925"/>
      <c r="SY1199" s="925"/>
      <c r="SZ1199" s="925"/>
      <c r="TA1199" s="925"/>
      <c r="TB1199" s="925"/>
      <c r="TC1199" s="925"/>
      <c r="TD1199" s="925"/>
      <c r="TE1199" s="925"/>
      <c r="TF1199" s="925"/>
      <c r="TG1199" s="925"/>
      <c r="TH1199" s="925"/>
      <c r="TI1199" s="925"/>
      <c r="TJ1199" s="925"/>
      <c r="TK1199" s="925"/>
      <c r="TL1199" s="925"/>
      <c r="TM1199" s="925"/>
      <c r="TN1199" s="925"/>
      <c r="TO1199" s="925"/>
      <c r="TP1199" s="925"/>
      <c r="TQ1199" s="925"/>
      <c r="TR1199" s="925"/>
      <c r="TS1199" s="925"/>
      <c r="TT1199" s="925"/>
      <c r="TU1199" s="925"/>
      <c r="TV1199" s="925"/>
      <c r="TW1199" s="925"/>
      <c r="TX1199" s="925"/>
      <c r="TY1199" s="925"/>
      <c r="TZ1199" s="925"/>
      <c r="UA1199" s="925"/>
      <c r="UB1199" s="925"/>
      <c r="UC1199" s="925"/>
      <c r="UD1199" s="925"/>
      <c r="UE1199" s="925"/>
      <c r="UF1199" s="925"/>
      <c r="UG1199" s="925"/>
      <c r="UH1199" s="925"/>
      <c r="UI1199" s="925"/>
      <c r="UJ1199" s="925"/>
      <c r="UK1199" s="925"/>
      <c r="UL1199" s="925"/>
      <c r="UM1199" s="925"/>
      <c r="UN1199" s="925"/>
      <c r="UO1199" s="925"/>
      <c r="UP1199" s="925"/>
      <c r="UQ1199" s="925"/>
      <c r="UR1199" s="925"/>
      <c r="US1199" s="925"/>
      <c r="UT1199" s="925"/>
      <c r="UU1199" s="925"/>
      <c r="UV1199" s="925"/>
      <c r="UW1199" s="925"/>
      <c r="UX1199" s="925"/>
      <c r="UY1199" s="925"/>
      <c r="UZ1199" s="925"/>
      <c r="VA1199" s="925"/>
      <c r="VB1199" s="925"/>
      <c r="VC1199" s="925"/>
      <c r="VD1199" s="925"/>
      <c r="VE1199" s="925"/>
      <c r="VF1199" s="925"/>
      <c r="VG1199" s="925"/>
      <c r="VH1199" s="925"/>
      <c r="VI1199" s="925"/>
      <c r="VJ1199" s="925"/>
      <c r="VK1199" s="925"/>
      <c r="VL1199" s="925"/>
      <c r="VM1199" s="925"/>
      <c r="VN1199" s="925"/>
      <c r="VO1199" s="925"/>
      <c r="VP1199" s="925"/>
      <c r="VQ1199" s="925"/>
      <c r="VR1199" s="925"/>
      <c r="VS1199" s="925"/>
      <c r="VT1199" s="925"/>
      <c r="VU1199" s="925"/>
      <c r="VV1199" s="925"/>
      <c r="VW1199" s="925"/>
      <c r="VX1199" s="925"/>
      <c r="VY1199" s="925"/>
      <c r="VZ1199" s="925"/>
      <c r="WA1199" s="925"/>
      <c r="WB1199" s="925"/>
      <c r="WC1199" s="925"/>
      <c r="WD1199" s="925"/>
      <c r="WE1199" s="925"/>
      <c r="WF1199" s="925"/>
      <c r="WG1199" s="925"/>
      <c r="WH1199" s="925"/>
      <c r="WI1199" s="925"/>
      <c r="WJ1199" s="925"/>
      <c r="WK1199" s="925"/>
      <c r="WL1199" s="925"/>
      <c r="WM1199" s="925"/>
      <c r="WN1199" s="925"/>
      <c r="WO1199" s="925"/>
      <c r="WP1199" s="925"/>
      <c r="WQ1199" s="925"/>
      <c r="WR1199" s="925"/>
      <c r="WS1199" s="925"/>
      <c r="WT1199" s="925"/>
      <c r="WU1199" s="925"/>
      <c r="WV1199" s="925"/>
      <c r="WW1199" s="925"/>
      <c r="WX1199" s="925"/>
      <c r="WY1199" s="925"/>
      <c r="WZ1199" s="925"/>
      <c r="XA1199" s="925"/>
      <c r="XB1199" s="925"/>
      <c r="XC1199" s="925"/>
      <c r="XD1199" s="925"/>
      <c r="XE1199" s="925"/>
      <c r="XF1199" s="925"/>
      <c r="XG1199" s="925"/>
      <c r="XH1199" s="925"/>
      <c r="XI1199" s="925"/>
      <c r="XJ1199" s="925"/>
      <c r="XK1199" s="925"/>
      <c r="XL1199" s="925"/>
      <c r="XM1199" s="925"/>
      <c r="XN1199" s="925"/>
      <c r="XO1199" s="925"/>
      <c r="XP1199" s="925"/>
      <c r="XQ1199" s="925"/>
      <c r="XR1199" s="925"/>
      <c r="XS1199" s="925"/>
      <c r="XT1199" s="925"/>
      <c r="XU1199" s="925"/>
      <c r="XV1199" s="925"/>
      <c r="XW1199" s="925"/>
      <c r="XX1199" s="925"/>
      <c r="XY1199" s="925"/>
      <c r="XZ1199" s="925"/>
      <c r="YA1199" s="925"/>
      <c r="YB1199" s="925"/>
      <c r="YC1199" s="925"/>
      <c r="YD1199" s="925"/>
      <c r="YE1199" s="925"/>
      <c r="YF1199" s="925"/>
      <c r="YG1199" s="925"/>
      <c r="YH1199" s="925"/>
      <c r="YI1199" s="925"/>
      <c r="YJ1199" s="925"/>
      <c r="YK1199" s="925"/>
      <c r="YL1199" s="925"/>
      <c r="YM1199" s="925"/>
      <c r="YN1199" s="925"/>
      <c r="YO1199" s="925"/>
      <c r="YP1199" s="925"/>
      <c r="YQ1199" s="925"/>
      <c r="YR1199" s="925"/>
      <c r="YS1199" s="925"/>
      <c r="YT1199" s="925"/>
      <c r="YU1199" s="925"/>
      <c r="YV1199" s="925"/>
      <c r="YW1199" s="925"/>
      <c r="YX1199" s="925"/>
      <c r="YY1199" s="925"/>
      <c r="YZ1199" s="925"/>
      <c r="ZA1199" s="925"/>
      <c r="ZB1199" s="925"/>
      <c r="ZC1199" s="925"/>
      <c r="ZD1199" s="925"/>
      <c r="ZE1199" s="925"/>
      <c r="ZF1199" s="925"/>
      <c r="ZG1199" s="925"/>
      <c r="ZH1199" s="925"/>
      <c r="ZI1199" s="925"/>
      <c r="ZJ1199" s="925"/>
      <c r="ZK1199" s="925"/>
      <c r="ZL1199" s="925"/>
      <c r="ZM1199" s="925"/>
      <c r="ZN1199" s="925"/>
      <c r="ZO1199" s="925"/>
      <c r="ZP1199" s="925"/>
      <c r="ZQ1199" s="925"/>
      <c r="ZR1199" s="925"/>
      <c r="ZS1199" s="925"/>
      <c r="ZT1199" s="925"/>
      <c r="ZU1199" s="925"/>
      <c r="ZV1199" s="925"/>
      <c r="ZW1199" s="925"/>
      <c r="ZX1199" s="925"/>
      <c r="ZY1199" s="925"/>
      <c r="ZZ1199" s="925"/>
      <c r="AAA1199" s="925"/>
      <c r="AAB1199" s="925"/>
      <c r="AAC1199" s="925"/>
      <c r="AAD1199" s="925"/>
      <c r="AAE1199" s="925"/>
      <c r="AAF1199" s="925"/>
      <c r="AAG1199" s="925"/>
      <c r="AAH1199" s="925"/>
      <c r="AAI1199" s="925"/>
      <c r="AAJ1199" s="925"/>
      <c r="AAK1199" s="925"/>
      <c r="AAL1199" s="925"/>
      <c r="AAM1199" s="925"/>
      <c r="AAN1199" s="925"/>
      <c r="AAO1199" s="925"/>
      <c r="AAP1199" s="925"/>
      <c r="AAQ1199" s="925"/>
      <c r="AAR1199" s="925"/>
      <c r="AAS1199" s="925"/>
      <c r="AAT1199" s="925"/>
      <c r="AAU1199" s="925"/>
      <c r="AAV1199" s="925"/>
      <c r="AAW1199" s="925"/>
      <c r="AAX1199" s="925"/>
      <c r="AAY1199" s="925"/>
      <c r="AAZ1199" s="925"/>
      <c r="ABA1199" s="925"/>
      <c r="ABB1199" s="925"/>
      <c r="ABC1199" s="925"/>
      <c r="ABD1199" s="925"/>
      <c r="ABE1199" s="925"/>
      <c r="ABF1199" s="925"/>
      <c r="ABG1199" s="925"/>
      <c r="ABH1199" s="925"/>
      <c r="ABI1199" s="925"/>
      <c r="ABJ1199" s="925"/>
      <c r="ABK1199" s="925"/>
      <c r="ABL1199" s="925"/>
      <c r="ABM1199" s="925"/>
      <c r="ABN1199" s="925"/>
      <c r="ABO1199" s="925"/>
      <c r="ABP1199" s="925"/>
      <c r="ABQ1199" s="925"/>
      <c r="ABR1199" s="925"/>
      <c r="ABS1199" s="925"/>
      <c r="ABT1199" s="925"/>
      <c r="ABU1199" s="925"/>
      <c r="ABV1199" s="925"/>
      <c r="ABW1199" s="925"/>
      <c r="ABX1199" s="925"/>
      <c r="ABY1199" s="925"/>
      <c r="ABZ1199" s="925"/>
      <c r="ACA1199" s="925"/>
      <c r="ACB1199" s="925"/>
      <c r="ACC1199" s="925"/>
      <c r="ACD1199" s="925"/>
      <c r="ACE1199" s="925"/>
      <c r="ACF1199" s="925"/>
      <c r="ACG1199" s="925"/>
      <c r="ACH1199" s="925"/>
      <c r="ACI1199" s="925"/>
      <c r="ACJ1199" s="925"/>
      <c r="ACK1199" s="925"/>
      <c r="ACL1199" s="925"/>
      <c r="ACM1199" s="925"/>
      <c r="ACN1199" s="925"/>
      <c r="ACO1199" s="925"/>
      <c r="ACP1199" s="925"/>
      <c r="ACQ1199" s="925"/>
      <c r="ACR1199" s="925"/>
      <c r="ACS1199" s="925"/>
      <c r="ACT1199" s="925"/>
      <c r="ACU1199" s="925"/>
      <c r="ACV1199" s="925"/>
      <c r="ACW1199" s="925"/>
      <c r="ACX1199" s="925"/>
      <c r="ACY1199" s="925"/>
      <c r="ACZ1199" s="925"/>
      <c r="ADA1199" s="925"/>
      <c r="ADB1199" s="925"/>
      <c r="ADC1199" s="925"/>
      <c r="ADD1199" s="925"/>
      <c r="ADE1199" s="925"/>
      <c r="ADF1199" s="925"/>
      <c r="ADG1199" s="925"/>
      <c r="ADH1199" s="925"/>
      <c r="ADI1199" s="925"/>
      <c r="ADJ1199" s="925"/>
      <c r="ADK1199" s="925"/>
      <c r="ADL1199" s="925"/>
      <c r="ADM1199" s="925"/>
      <c r="ADN1199" s="925"/>
      <c r="ADO1199" s="925"/>
      <c r="ADP1199" s="925"/>
      <c r="ADQ1199" s="925"/>
      <c r="ADR1199" s="925"/>
      <c r="ADS1199" s="925"/>
      <c r="ADT1199" s="925"/>
      <c r="ADU1199" s="925"/>
      <c r="ADV1199" s="925"/>
      <c r="ADW1199" s="925"/>
      <c r="ADX1199" s="925"/>
      <c r="ADY1199" s="925"/>
      <c r="ADZ1199" s="925"/>
      <c r="AEA1199" s="925"/>
      <c r="AEB1199" s="925"/>
      <c r="AEC1199" s="925"/>
      <c r="AED1199" s="925"/>
      <c r="AEE1199" s="925"/>
      <c r="AEF1199" s="925"/>
      <c r="AEG1199" s="925"/>
      <c r="AEH1199" s="925"/>
      <c r="AEI1199" s="925"/>
      <c r="AEJ1199" s="925"/>
      <c r="AEK1199" s="925"/>
      <c r="AEL1199" s="925"/>
      <c r="AEM1199" s="925"/>
      <c r="AEN1199" s="925"/>
      <c r="AEO1199" s="925"/>
      <c r="AEP1199" s="925"/>
      <c r="AEQ1199" s="925"/>
      <c r="AER1199" s="925"/>
      <c r="AES1199" s="925"/>
      <c r="AET1199" s="925"/>
      <c r="AEU1199" s="925"/>
      <c r="AEV1199" s="925"/>
      <c r="AEW1199" s="925"/>
      <c r="AEX1199" s="925"/>
      <c r="AEY1199" s="925"/>
      <c r="AEZ1199" s="925"/>
      <c r="AFA1199" s="925"/>
      <c r="AFB1199" s="925"/>
      <c r="AFC1199" s="925"/>
      <c r="AFD1199" s="925"/>
      <c r="AFE1199" s="925"/>
      <c r="AFF1199" s="925"/>
      <c r="AFG1199" s="925"/>
      <c r="AFH1199" s="925"/>
      <c r="AFI1199" s="925"/>
      <c r="AFJ1199" s="925"/>
      <c r="AFK1199" s="925"/>
      <c r="AFL1199" s="925"/>
      <c r="AFM1199" s="925"/>
      <c r="AFN1199" s="925"/>
      <c r="AFO1199" s="925"/>
      <c r="AFP1199" s="925"/>
      <c r="AFQ1199" s="925"/>
      <c r="AFR1199" s="925"/>
      <c r="AFS1199" s="925"/>
      <c r="AFT1199" s="925"/>
      <c r="AFU1199" s="925"/>
      <c r="AFV1199" s="925"/>
      <c r="AFW1199" s="925"/>
      <c r="AFX1199" s="925"/>
      <c r="AFY1199" s="925"/>
      <c r="AFZ1199" s="925"/>
      <c r="AGA1199" s="925"/>
      <c r="AGB1199" s="925"/>
      <c r="AGC1199" s="925"/>
      <c r="AGD1199" s="925"/>
      <c r="AGE1199" s="925"/>
      <c r="AGF1199" s="925"/>
      <c r="AGG1199" s="925"/>
      <c r="AGH1199" s="925"/>
      <c r="AGI1199" s="925"/>
      <c r="AGJ1199" s="925"/>
    </row>
    <row r="1200" spans="1:868" s="918" customFormat="1" hidden="1">
      <c r="A1200" s="918" t="str">
        <f>Clothing!A276</f>
        <v>Clothing (product sector)</v>
      </c>
      <c r="B1200" s="918" t="str">
        <f>Clothing!B276</f>
        <v>Closed-toed shoes</v>
      </c>
      <c r="C1200" s="918" t="str">
        <f>Clothing!C276</f>
        <v>NL</v>
      </c>
      <c r="D1200" s="918" t="str">
        <f>Clothing!D276</f>
        <v>PA</v>
      </c>
      <c r="E1200" s="921">
        <f>Clothing!E276</f>
        <v>7.85221061171269E-2</v>
      </c>
      <c r="F1200" s="918">
        <f>Clothing!F276</f>
        <v>1</v>
      </c>
      <c r="G1200" s="918" t="str">
        <f>Clothing!G276</f>
        <v>https://eeb.org/library/draft-product-environmental-footprint-category-rules-pefcr-apparel-and-footwear/</v>
      </c>
      <c r="H1200" s="922">
        <f>Clothing!H276</f>
        <v>2</v>
      </c>
      <c r="I1200" s="922" t="str">
        <f>Clothing!I276</f>
        <v/>
      </c>
      <c r="J1200" s="922">
        <f>Clothing!J276</f>
        <v>2</v>
      </c>
      <c r="K1200" s="922">
        <f>Clothing!K276</f>
        <v>1</v>
      </c>
      <c r="L1200" s="922">
        <f>Clothing!L276</f>
        <v>2</v>
      </c>
      <c r="M1200" s="922">
        <f>Clothing!M276</f>
        <v>3</v>
      </c>
      <c r="N1200" s="186">
        <f t="shared" si="99"/>
        <v>1.0301997916669636</v>
      </c>
      <c r="O1200" s="160" t="e">
        <f t="shared" si="100"/>
        <v>#VALUE!</v>
      </c>
      <c r="Q1200" s="925"/>
      <c r="R1200" s="925"/>
      <c r="S1200" s="925"/>
      <c r="T1200" s="925"/>
      <c r="U1200" s="925"/>
      <c r="V1200" s="925"/>
      <c r="W1200" s="925"/>
      <c r="X1200" s="925"/>
      <c r="Y1200" s="925"/>
      <c r="Z1200" s="925"/>
      <c r="AA1200" s="925"/>
      <c r="AB1200" s="925"/>
      <c r="AC1200" s="925"/>
      <c r="AD1200" s="925"/>
      <c r="AE1200" s="925"/>
      <c r="AF1200" s="925"/>
      <c r="AG1200" s="925"/>
      <c r="AH1200" s="925"/>
      <c r="AI1200" s="925"/>
      <c r="AJ1200" s="925"/>
      <c r="AK1200" s="925"/>
      <c r="AL1200" s="925"/>
      <c r="AM1200" s="925"/>
      <c r="AN1200" s="925"/>
      <c r="AO1200" s="925"/>
      <c r="AP1200" s="925"/>
      <c r="AQ1200" s="925"/>
      <c r="AR1200" s="925"/>
      <c r="AS1200" s="925"/>
      <c r="AT1200" s="925"/>
      <c r="AU1200" s="925"/>
      <c r="AV1200" s="925"/>
      <c r="AW1200" s="925"/>
      <c r="AX1200" s="925"/>
      <c r="AY1200" s="925"/>
      <c r="AZ1200" s="925"/>
      <c r="BA1200" s="925"/>
      <c r="BB1200" s="925"/>
      <c r="BC1200" s="925"/>
      <c r="BD1200" s="925"/>
      <c r="BE1200" s="925"/>
      <c r="BF1200" s="925"/>
      <c r="BG1200" s="925"/>
      <c r="BH1200" s="925"/>
      <c r="BI1200" s="925"/>
      <c r="BJ1200" s="925"/>
      <c r="BK1200" s="925"/>
      <c r="BL1200" s="925"/>
      <c r="BM1200" s="925"/>
      <c r="BN1200" s="925"/>
      <c r="BO1200" s="925"/>
      <c r="BP1200" s="925"/>
      <c r="BQ1200" s="925"/>
      <c r="BR1200" s="925"/>
      <c r="BS1200" s="925"/>
      <c r="BT1200" s="925"/>
      <c r="BU1200" s="925"/>
      <c r="BV1200" s="925"/>
      <c r="BW1200" s="925"/>
      <c r="BX1200" s="925"/>
      <c r="BY1200" s="925"/>
      <c r="BZ1200" s="925"/>
      <c r="CA1200" s="925"/>
      <c r="CB1200" s="925"/>
      <c r="CC1200" s="925"/>
      <c r="CD1200" s="925"/>
      <c r="CE1200" s="925"/>
      <c r="CF1200" s="925"/>
      <c r="CG1200" s="925"/>
      <c r="CH1200" s="925"/>
      <c r="CI1200" s="925"/>
      <c r="CJ1200" s="925"/>
      <c r="CK1200" s="925"/>
      <c r="CL1200" s="925"/>
      <c r="CM1200" s="925"/>
      <c r="CN1200" s="925"/>
      <c r="CO1200" s="925"/>
      <c r="CP1200" s="925"/>
      <c r="CQ1200" s="925"/>
      <c r="CR1200" s="925"/>
      <c r="CS1200" s="925"/>
      <c r="CT1200" s="925"/>
      <c r="CU1200" s="925"/>
      <c r="CV1200" s="925"/>
      <c r="CW1200" s="925"/>
      <c r="CX1200" s="925"/>
      <c r="CY1200" s="925"/>
      <c r="CZ1200" s="925"/>
      <c r="DA1200" s="925"/>
      <c r="DB1200" s="925"/>
      <c r="DC1200" s="925"/>
      <c r="DD1200" s="925"/>
      <c r="DE1200" s="925"/>
      <c r="DF1200" s="925"/>
      <c r="DG1200" s="925"/>
      <c r="DH1200" s="925"/>
      <c r="DI1200" s="925"/>
      <c r="DJ1200" s="925"/>
      <c r="DK1200" s="925"/>
      <c r="DL1200" s="925"/>
      <c r="DM1200" s="925"/>
      <c r="DN1200" s="925"/>
      <c r="DO1200" s="925"/>
      <c r="DP1200" s="925"/>
      <c r="DQ1200" s="925"/>
      <c r="DR1200" s="925"/>
      <c r="DS1200" s="925"/>
      <c r="DT1200" s="925"/>
      <c r="DU1200" s="925"/>
      <c r="DV1200" s="925"/>
      <c r="DW1200" s="925"/>
      <c r="DX1200" s="925"/>
      <c r="DY1200" s="925"/>
      <c r="DZ1200" s="925"/>
      <c r="EA1200" s="925"/>
      <c r="EB1200" s="925"/>
      <c r="EC1200" s="925"/>
      <c r="ED1200" s="925"/>
      <c r="EE1200" s="925"/>
      <c r="EF1200" s="925"/>
      <c r="EG1200" s="925"/>
      <c r="EH1200" s="925"/>
      <c r="EI1200" s="925"/>
      <c r="EJ1200" s="925"/>
      <c r="EK1200" s="925"/>
      <c r="EL1200" s="925"/>
      <c r="EM1200" s="925"/>
      <c r="EN1200" s="925"/>
      <c r="EO1200" s="925"/>
      <c r="EP1200" s="925"/>
      <c r="EQ1200" s="925"/>
      <c r="ER1200" s="925"/>
      <c r="ES1200" s="925"/>
      <c r="ET1200" s="925"/>
      <c r="EU1200" s="925"/>
      <c r="EV1200" s="925"/>
      <c r="EW1200" s="925"/>
      <c r="EX1200" s="925"/>
      <c r="EY1200" s="925"/>
      <c r="EZ1200" s="925"/>
      <c r="FA1200" s="925"/>
      <c r="FB1200" s="925"/>
      <c r="FC1200" s="925"/>
      <c r="FD1200" s="925"/>
      <c r="FE1200" s="925"/>
      <c r="FF1200" s="925"/>
      <c r="FG1200" s="925"/>
      <c r="FH1200" s="925"/>
      <c r="FI1200" s="925"/>
      <c r="FJ1200" s="925"/>
      <c r="FK1200" s="925"/>
      <c r="FL1200" s="925"/>
      <c r="FM1200" s="925"/>
      <c r="FN1200" s="925"/>
      <c r="FO1200" s="925"/>
      <c r="FP1200" s="925"/>
      <c r="FQ1200" s="925"/>
      <c r="FR1200" s="925"/>
      <c r="FS1200" s="925"/>
      <c r="FT1200" s="925"/>
      <c r="FU1200" s="925"/>
      <c r="FV1200" s="925"/>
      <c r="FW1200" s="925"/>
      <c r="FX1200" s="925"/>
      <c r="FY1200" s="925"/>
      <c r="FZ1200" s="925"/>
      <c r="GA1200" s="925"/>
      <c r="GB1200" s="925"/>
      <c r="GC1200" s="925"/>
      <c r="GD1200" s="925"/>
      <c r="GE1200" s="925"/>
      <c r="GF1200" s="925"/>
      <c r="GG1200" s="925"/>
      <c r="GH1200" s="925"/>
      <c r="GI1200" s="925"/>
      <c r="GJ1200" s="925"/>
      <c r="GK1200" s="925"/>
      <c r="GL1200" s="925"/>
      <c r="GM1200" s="925"/>
      <c r="GN1200" s="925"/>
      <c r="GO1200" s="925"/>
      <c r="GP1200" s="925"/>
      <c r="GQ1200" s="925"/>
      <c r="GR1200" s="925"/>
      <c r="GS1200" s="925"/>
      <c r="GT1200" s="925"/>
      <c r="GU1200" s="925"/>
      <c r="GV1200" s="925"/>
      <c r="GW1200" s="925"/>
      <c r="GX1200" s="925"/>
      <c r="GY1200" s="925"/>
      <c r="GZ1200" s="925"/>
      <c r="HA1200" s="925"/>
      <c r="HB1200" s="925"/>
      <c r="HC1200" s="925"/>
      <c r="HD1200" s="925"/>
      <c r="HE1200" s="925"/>
      <c r="HF1200" s="925"/>
      <c r="HG1200" s="925"/>
      <c r="HH1200" s="925"/>
      <c r="HI1200" s="925"/>
      <c r="HJ1200" s="925"/>
      <c r="HK1200" s="925"/>
      <c r="HL1200" s="925"/>
      <c r="HM1200" s="925"/>
      <c r="HN1200" s="925"/>
      <c r="HO1200" s="925"/>
      <c r="HP1200" s="925"/>
      <c r="HQ1200" s="925"/>
      <c r="HR1200" s="925"/>
      <c r="HS1200" s="925"/>
      <c r="HT1200" s="925"/>
      <c r="HU1200" s="925"/>
      <c r="HV1200" s="925"/>
      <c r="HW1200" s="925"/>
      <c r="HX1200" s="925"/>
      <c r="HY1200" s="925"/>
      <c r="HZ1200" s="925"/>
      <c r="IA1200" s="925"/>
      <c r="IB1200" s="925"/>
      <c r="IC1200" s="925"/>
      <c r="ID1200" s="925"/>
      <c r="IE1200" s="925"/>
      <c r="IF1200" s="925"/>
      <c r="IG1200" s="925"/>
      <c r="IH1200" s="925"/>
      <c r="II1200" s="925"/>
      <c r="IJ1200" s="925"/>
      <c r="IK1200" s="925"/>
      <c r="IL1200" s="925"/>
      <c r="IM1200" s="925"/>
      <c r="IN1200" s="925"/>
      <c r="IO1200" s="925"/>
      <c r="IP1200" s="925"/>
      <c r="IQ1200" s="925"/>
      <c r="IR1200" s="925"/>
      <c r="IS1200" s="925"/>
      <c r="IT1200" s="925"/>
      <c r="IU1200" s="925"/>
      <c r="IV1200" s="925"/>
      <c r="IW1200" s="925"/>
      <c r="IX1200" s="925"/>
      <c r="IY1200" s="925"/>
      <c r="IZ1200" s="925"/>
      <c r="JA1200" s="925"/>
      <c r="JB1200" s="925"/>
      <c r="JC1200" s="925"/>
      <c r="JD1200" s="925"/>
      <c r="JE1200" s="925"/>
      <c r="JF1200" s="925"/>
      <c r="JG1200" s="925"/>
      <c r="JH1200" s="925"/>
      <c r="JI1200" s="925"/>
      <c r="JJ1200" s="925"/>
      <c r="JK1200" s="925"/>
      <c r="JL1200" s="925"/>
      <c r="JM1200" s="925"/>
      <c r="JN1200" s="925"/>
      <c r="JO1200" s="925"/>
      <c r="JP1200" s="925"/>
      <c r="JQ1200" s="925"/>
      <c r="JR1200" s="925"/>
      <c r="JS1200" s="925"/>
      <c r="JT1200" s="925"/>
      <c r="JU1200" s="925"/>
      <c r="JV1200" s="925"/>
      <c r="JW1200" s="925"/>
      <c r="JX1200" s="925"/>
      <c r="JY1200" s="925"/>
      <c r="JZ1200" s="925"/>
      <c r="KA1200" s="925"/>
      <c r="KB1200" s="925"/>
      <c r="KC1200" s="925"/>
      <c r="KD1200" s="925"/>
      <c r="KE1200" s="925"/>
      <c r="KF1200" s="925"/>
      <c r="KG1200" s="925"/>
      <c r="KH1200" s="925"/>
      <c r="KI1200" s="925"/>
      <c r="KJ1200" s="925"/>
      <c r="KK1200" s="925"/>
      <c r="KL1200" s="925"/>
      <c r="KM1200" s="925"/>
      <c r="KN1200" s="925"/>
      <c r="KO1200" s="925"/>
      <c r="KP1200" s="925"/>
      <c r="KQ1200" s="925"/>
      <c r="KR1200" s="925"/>
      <c r="KS1200" s="925"/>
      <c r="KT1200" s="925"/>
      <c r="KU1200" s="925"/>
      <c r="KV1200" s="925"/>
      <c r="KW1200" s="925"/>
      <c r="KX1200" s="925"/>
      <c r="KY1200" s="925"/>
      <c r="KZ1200" s="925"/>
      <c r="LA1200" s="925"/>
      <c r="LB1200" s="925"/>
      <c r="LC1200" s="925"/>
      <c r="LD1200" s="925"/>
      <c r="LE1200" s="925"/>
      <c r="LF1200" s="925"/>
      <c r="LG1200" s="925"/>
      <c r="LH1200" s="925"/>
      <c r="LI1200" s="925"/>
      <c r="LJ1200" s="925"/>
      <c r="LK1200" s="925"/>
      <c r="LL1200" s="925"/>
      <c r="LM1200" s="925"/>
      <c r="LN1200" s="925"/>
      <c r="LO1200" s="925"/>
      <c r="LP1200" s="925"/>
      <c r="LQ1200" s="925"/>
      <c r="LR1200" s="925"/>
      <c r="LS1200" s="925"/>
      <c r="LT1200" s="925"/>
      <c r="LU1200" s="925"/>
      <c r="LV1200" s="925"/>
      <c r="LW1200" s="925"/>
      <c r="LX1200" s="925"/>
      <c r="LY1200" s="925"/>
      <c r="LZ1200" s="925"/>
      <c r="MA1200" s="925"/>
      <c r="MB1200" s="925"/>
      <c r="MC1200" s="925"/>
      <c r="MD1200" s="925"/>
      <c r="ME1200" s="925"/>
      <c r="MF1200" s="925"/>
      <c r="MG1200" s="925"/>
      <c r="MH1200" s="925"/>
      <c r="MI1200" s="925"/>
      <c r="MJ1200" s="925"/>
      <c r="MK1200" s="925"/>
      <c r="ML1200" s="925"/>
      <c r="MM1200" s="925"/>
      <c r="MN1200" s="925"/>
      <c r="MO1200" s="925"/>
      <c r="MP1200" s="925"/>
      <c r="MQ1200" s="925"/>
      <c r="MR1200" s="925"/>
      <c r="MS1200" s="925"/>
      <c r="MT1200" s="925"/>
      <c r="MU1200" s="925"/>
      <c r="MV1200" s="925"/>
      <c r="MW1200" s="925"/>
      <c r="MX1200" s="925"/>
      <c r="MY1200" s="925"/>
      <c r="MZ1200" s="925"/>
      <c r="NA1200" s="925"/>
      <c r="NB1200" s="925"/>
      <c r="NC1200" s="925"/>
      <c r="ND1200" s="925"/>
      <c r="NE1200" s="925"/>
      <c r="NF1200" s="925"/>
      <c r="NG1200" s="925"/>
      <c r="NH1200" s="925"/>
      <c r="NI1200" s="925"/>
      <c r="NJ1200" s="925"/>
      <c r="NK1200" s="925"/>
      <c r="NL1200" s="925"/>
      <c r="NM1200" s="925"/>
      <c r="NN1200" s="925"/>
      <c r="NO1200" s="925"/>
      <c r="NP1200" s="925"/>
      <c r="NQ1200" s="925"/>
      <c r="NR1200" s="925"/>
      <c r="NS1200" s="925"/>
      <c r="NT1200" s="925"/>
      <c r="NU1200" s="925"/>
      <c r="NV1200" s="925"/>
      <c r="NW1200" s="925"/>
      <c r="NX1200" s="925"/>
      <c r="NY1200" s="925"/>
      <c r="NZ1200" s="925"/>
      <c r="OA1200" s="925"/>
      <c r="OB1200" s="925"/>
      <c r="OC1200" s="925"/>
      <c r="OD1200" s="925"/>
      <c r="OE1200" s="925"/>
      <c r="OF1200" s="925"/>
      <c r="OG1200" s="925"/>
      <c r="OH1200" s="925"/>
      <c r="OI1200" s="925"/>
      <c r="OJ1200" s="925"/>
      <c r="OK1200" s="925"/>
      <c r="OL1200" s="925"/>
      <c r="OM1200" s="925"/>
      <c r="ON1200" s="925"/>
      <c r="OO1200" s="925"/>
      <c r="OP1200" s="925"/>
      <c r="OQ1200" s="925"/>
      <c r="OR1200" s="925"/>
      <c r="OS1200" s="925"/>
      <c r="OT1200" s="925"/>
      <c r="OU1200" s="925"/>
      <c r="OV1200" s="925"/>
      <c r="OW1200" s="925"/>
      <c r="OX1200" s="925"/>
      <c r="OY1200" s="925"/>
      <c r="OZ1200" s="925"/>
      <c r="PA1200" s="925"/>
      <c r="PB1200" s="925"/>
      <c r="PC1200" s="925"/>
      <c r="PD1200" s="925"/>
      <c r="PE1200" s="925"/>
      <c r="PF1200" s="925"/>
      <c r="PG1200" s="925"/>
      <c r="PH1200" s="925"/>
      <c r="PI1200" s="925"/>
      <c r="PJ1200" s="925"/>
      <c r="PK1200" s="925"/>
      <c r="PL1200" s="925"/>
      <c r="PM1200" s="925"/>
      <c r="PN1200" s="925"/>
      <c r="PO1200" s="925"/>
      <c r="PP1200" s="925"/>
      <c r="PQ1200" s="925"/>
      <c r="PR1200" s="925"/>
      <c r="PS1200" s="925"/>
      <c r="PT1200" s="925"/>
      <c r="PU1200" s="925"/>
      <c r="PV1200" s="925"/>
      <c r="PW1200" s="925"/>
      <c r="PX1200" s="925"/>
      <c r="PY1200" s="925"/>
      <c r="PZ1200" s="925"/>
      <c r="QA1200" s="925"/>
      <c r="QB1200" s="925"/>
      <c r="QC1200" s="925"/>
      <c r="QD1200" s="925"/>
      <c r="QE1200" s="925"/>
      <c r="QF1200" s="925"/>
      <c r="QG1200" s="925"/>
      <c r="QH1200" s="925"/>
      <c r="QI1200" s="925"/>
      <c r="QJ1200" s="925"/>
      <c r="QK1200" s="925"/>
      <c r="QL1200" s="925"/>
      <c r="QM1200" s="925"/>
      <c r="QN1200" s="925"/>
      <c r="QO1200" s="925"/>
      <c r="QP1200" s="925"/>
      <c r="QQ1200" s="925"/>
      <c r="QR1200" s="925"/>
      <c r="QS1200" s="925"/>
      <c r="QT1200" s="925"/>
      <c r="QU1200" s="925"/>
      <c r="QV1200" s="925"/>
      <c r="QW1200" s="925"/>
      <c r="QX1200" s="925"/>
      <c r="QY1200" s="925"/>
      <c r="QZ1200" s="925"/>
      <c r="RA1200" s="925"/>
      <c r="RB1200" s="925"/>
      <c r="RC1200" s="925"/>
      <c r="RD1200" s="925"/>
      <c r="RE1200" s="925"/>
      <c r="RF1200" s="925"/>
      <c r="RG1200" s="925"/>
      <c r="RH1200" s="925"/>
      <c r="RI1200" s="925"/>
      <c r="RJ1200" s="925"/>
      <c r="RK1200" s="925"/>
      <c r="RL1200" s="925"/>
      <c r="RM1200" s="925"/>
      <c r="RN1200" s="925"/>
      <c r="RO1200" s="925"/>
      <c r="RP1200" s="925"/>
      <c r="RQ1200" s="925"/>
      <c r="RR1200" s="925"/>
      <c r="RS1200" s="925"/>
      <c r="RT1200" s="925"/>
      <c r="RU1200" s="925"/>
      <c r="RV1200" s="925"/>
      <c r="RW1200" s="925"/>
      <c r="RX1200" s="925"/>
      <c r="RY1200" s="925"/>
      <c r="RZ1200" s="925"/>
      <c r="SA1200" s="925"/>
      <c r="SB1200" s="925"/>
      <c r="SC1200" s="925"/>
      <c r="SD1200" s="925"/>
      <c r="SE1200" s="925"/>
      <c r="SF1200" s="925"/>
      <c r="SG1200" s="925"/>
      <c r="SH1200" s="925"/>
      <c r="SI1200" s="925"/>
      <c r="SJ1200" s="925"/>
      <c r="SK1200" s="925"/>
      <c r="SL1200" s="925"/>
      <c r="SM1200" s="925"/>
      <c r="SN1200" s="925"/>
      <c r="SO1200" s="925"/>
      <c r="SP1200" s="925"/>
      <c r="SQ1200" s="925"/>
      <c r="SR1200" s="925"/>
      <c r="SS1200" s="925"/>
      <c r="ST1200" s="925"/>
      <c r="SU1200" s="925"/>
      <c r="SV1200" s="925"/>
      <c r="SW1200" s="925"/>
      <c r="SX1200" s="925"/>
      <c r="SY1200" s="925"/>
      <c r="SZ1200" s="925"/>
      <c r="TA1200" s="925"/>
      <c r="TB1200" s="925"/>
      <c r="TC1200" s="925"/>
      <c r="TD1200" s="925"/>
      <c r="TE1200" s="925"/>
      <c r="TF1200" s="925"/>
      <c r="TG1200" s="925"/>
      <c r="TH1200" s="925"/>
      <c r="TI1200" s="925"/>
      <c r="TJ1200" s="925"/>
      <c r="TK1200" s="925"/>
      <c r="TL1200" s="925"/>
      <c r="TM1200" s="925"/>
      <c r="TN1200" s="925"/>
      <c r="TO1200" s="925"/>
      <c r="TP1200" s="925"/>
      <c r="TQ1200" s="925"/>
      <c r="TR1200" s="925"/>
      <c r="TS1200" s="925"/>
      <c r="TT1200" s="925"/>
      <c r="TU1200" s="925"/>
      <c r="TV1200" s="925"/>
      <c r="TW1200" s="925"/>
      <c r="TX1200" s="925"/>
      <c r="TY1200" s="925"/>
      <c r="TZ1200" s="925"/>
      <c r="UA1200" s="925"/>
      <c r="UB1200" s="925"/>
      <c r="UC1200" s="925"/>
      <c r="UD1200" s="925"/>
      <c r="UE1200" s="925"/>
      <c r="UF1200" s="925"/>
      <c r="UG1200" s="925"/>
      <c r="UH1200" s="925"/>
      <c r="UI1200" s="925"/>
      <c r="UJ1200" s="925"/>
      <c r="UK1200" s="925"/>
      <c r="UL1200" s="925"/>
      <c r="UM1200" s="925"/>
      <c r="UN1200" s="925"/>
      <c r="UO1200" s="925"/>
      <c r="UP1200" s="925"/>
      <c r="UQ1200" s="925"/>
      <c r="UR1200" s="925"/>
      <c r="US1200" s="925"/>
      <c r="UT1200" s="925"/>
      <c r="UU1200" s="925"/>
      <c r="UV1200" s="925"/>
      <c r="UW1200" s="925"/>
      <c r="UX1200" s="925"/>
      <c r="UY1200" s="925"/>
      <c r="UZ1200" s="925"/>
      <c r="VA1200" s="925"/>
      <c r="VB1200" s="925"/>
      <c r="VC1200" s="925"/>
      <c r="VD1200" s="925"/>
      <c r="VE1200" s="925"/>
      <c r="VF1200" s="925"/>
      <c r="VG1200" s="925"/>
      <c r="VH1200" s="925"/>
      <c r="VI1200" s="925"/>
      <c r="VJ1200" s="925"/>
      <c r="VK1200" s="925"/>
      <c r="VL1200" s="925"/>
      <c r="VM1200" s="925"/>
      <c r="VN1200" s="925"/>
      <c r="VO1200" s="925"/>
      <c r="VP1200" s="925"/>
      <c r="VQ1200" s="925"/>
      <c r="VR1200" s="925"/>
      <c r="VS1200" s="925"/>
      <c r="VT1200" s="925"/>
      <c r="VU1200" s="925"/>
      <c r="VV1200" s="925"/>
      <c r="VW1200" s="925"/>
      <c r="VX1200" s="925"/>
      <c r="VY1200" s="925"/>
      <c r="VZ1200" s="925"/>
      <c r="WA1200" s="925"/>
      <c r="WB1200" s="925"/>
      <c r="WC1200" s="925"/>
      <c r="WD1200" s="925"/>
      <c r="WE1200" s="925"/>
      <c r="WF1200" s="925"/>
      <c r="WG1200" s="925"/>
      <c r="WH1200" s="925"/>
      <c r="WI1200" s="925"/>
      <c r="WJ1200" s="925"/>
      <c r="WK1200" s="925"/>
      <c r="WL1200" s="925"/>
      <c r="WM1200" s="925"/>
      <c r="WN1200" s="925"/>
      <c r="WO1200" s="925"/>
      <c r="WP1200" s="925"/>
      <c r="WQ1200" s="925"/>
      <c r="WR1200" s="925"/>
      <c r="WS1200" s="925"/>
      <c r="WT1200" s="925"/>
      <c r="WU1200" s="925"/>
      <c r="WV1200" s="925"/>
      <c r="WW1200" s="925"/>
      <c r="WX1200" s="925"/>
      <c r="WY1200" s="925"/>
      <c r="WZ1200" s="925"/>
      <c r="XA1200" s="925"/>
      <c r="XB1200" s="925"/>
      <c r="XC1200" s="925"/>
      <c r="XD1200" s="925"/>
      <c r="XE1200" s="925"/>
      <c r="XF1200" s="925"/>
      <c r="XG1200" s="925"/>
      <c r="XH1200" s="925"/>
      <c r="XI1200" s="925"/>
      <c r="XJ1200" s="925"/>
      <c r="XK1200" s="925"/>
      <c r="XL1200" s="925"/>
      <c r="XM1200" s="925"/>
      <c r="XN1200" s="925"/>
      <c r="XO1200" s="925"/>
      <c r="XP1200" s="925"/>
      <c r="XQ1200" s="925"/>
      <c r="XR1200" s="925"/>
      <c r="XS1200" s="925"/>
      <c r="XT1200" s="925"/>
      <c r="XU1200" s="925"/>
      <c r="XV1200" s="925"/>
      <c r="XW1200" s="925"/>
      <c r="XX1200" s="925"/>
      <c r="XY1200" s="925"/>
      <c r="XZ1200" s="925"/>
      <c r="YA1200" s="925"/>
      <c r="YB1200" s="925"/>
      <c r="YC1200" s="925"/>
      <c r="YD1200" s="925"/>
      <c r="YE1200" s="925"/>
      <c r="YF1200" s="925"/>
      <c r="YG1200" s="925"/>
      <c r="YH1200" s="925"/>
      <c r="YI1200" s="925"/>
      <c r="YJ1200" s="925"/>
      <c r="YK1200" s="925"/>
      <c r="YL1200" s="925"/>
      <c r="YM1200" s="925"/>
      <c r="YN1200" s="925"/>
      <c r="YO1200" s="925"/>
      <c r="YP1200" s="925"/>
      <c r="YQ1200" s="925"/>
      <c r="YR1200" s="925"/>
      <c r="YS1200" s="925"/>
      <c r="YT1200" s="925"/>
      <c r="YU1200" s="925"/>
      <c r="YV1200" s="925"/>
      <c r="YW1200" s="925"/>
      <c r="YX1200" s="925"/>
      <c r="YY1200" s="925"/>
      <c r="YZ1200" s="925"/>
      <c r="ZA1200" s="925"/>
      <c r="ZB1200" s="925"/>
      <c r="ZC1200" s="925"/>
      <c r="ZD1200" s="925"/>
      <c r="ZE1200" s="925"/>
      <c r="ZF1200" s="925"/>
      <c r="ZG1200" s="925"/>
      <c r="ZH1200" s="925"/>
      <c r="ZI1200" s="925"/>
      <c r="ZJ1200" s="925"/>
      <c r="ZK1200" s="925"/>
      <c r="ZL1200" s="925"/>
      <c r="ZM1200" s="925"/>
      <c r="ZN1200" s="925"/>
      <c r="ZO1200" s="925"/>
      <c r="ZP1200" s="925"/>
      <c r="ZQ1200" s="925"/>
      <c r="ZR1200" s="925"/>
      <c r="ZS1200" s="925"/>
      <c r="ZT1200" s="925"/>
      <c r="ZU1200" s="925"/>
      <c r="ZV1200" s="925"/>
      <c r="ZW1200" s="925"/>
      <c r="ZX1200" s="925"/>
      <c r="ZY1200" s="925"/>
      <c r="ZZ1200" s="925"/>
      <c r="AAA1200" s="925"/>
      <c r="AAB1200" s="925"/>
      <c r="AAC1200" s="925"/>
      <c r="AAD1200" s="925"/>
      <c r="AAE1200" s="925"/>
      <c r="AAF1200" s="925"/>
      <c r="AAG1200" s="925"/>
      <c r="AAH1200" s="925"/>
      <c r="AAI1200" s="925"/>
      <c r="AAJ1200" s="925"/>
      <c r="AAK1200" s="925"/>
      <c r="AAL1200" s="925"/>
      <c r="AAM1200" s="925"/>
      <c r="AAN1200" s="925"/>
      <c r="AAO1200" s="925"/>
      <c r="AAP1200" s="925"/>
      <c r="AAQ1200" s="925"/>
      <c r="AAR1200" s="925"/>
      <c r="AAS1200" s="925"/>
      <c r="AAT1200" s="925"/>
      <c r="AAU1200" s="925"/>
      <c r="AAV1200" s="925"/>
      <c r="AAW1200" s="925"/>
      <c r="AAX1200" s="925"/>
      <c r="AAY1200" s="925"/>
      <c r="AAZ1200" s="925"/>
      <c r="ABA1200" s="925"/>
      <c r="ABB1200" s="925"/>
      <c r="ABC1200" s="925"/>
      <c r="ABD1200" s="925"/>
      <c r="ABE1200" s="925"/>
      <c r="ABF1200" s="925"/>
      <c r="ABG1200" s="925"/>
      <c r="ABH1200" s="925"/>
      <c r="ABI1200" s="925"/>
      <c r="ABJ1200" s="925"/>
      <c r="ABK1200" s="925"/>
      <c r="ABL1200" s="925"/>
      <c r="ABM1200" s="925"/>
      <c r="ABN1200" s="925"/>
      <c r="ABO1200" s="925"/>
      <c r="ABP1200" s="925"/>
      <c r="ABQ1200" s="925"/>
      <c r="ABR1200" s="925"/>
      <c r="ABS1200" s="925"/>
      <c r="ABT1200" s="925"/>
      <c r="ABU1200" s="925"/>
      <c r="ABV1200" s="925"/>
      <c r="ABW1200" s="925"/>
      <c r="ABX1200" s="925"/>
      <c r="ABY1200" s="925"/>
      <c r="ABZ1200" s="925"/>
      <c r="ACA1200" s="925"/>
      <c r="ACB1200" s="925"/>
      <c r="ACC1200" s="925"/>
      <c r="ACD1200" s="925"/>
      <c r="ACE1200" s="925"/>
      <c r="ACF1200" s="925"/>
      <c r="ACG1200" s="925"/>
      <c r="ACH1200" s="925"/>
      <c r="ACI1200" s="925"/>
      <c r="ACJ1200" s="925"/>
      <c r="ACK1200" s="925"/>
      <c r="ACL1200" s="925"/>
      <c r="ACM1200" s="925"/>
      <c r="ACN1200" s="925"/>
      <c r="ACO1200" s="925"/>
      <c r="ACP1200" s="925"/>
      <c r="ACQ1200" s="925"/>
      <c r="ACR1200" s="925"/>
      <c r="ACS1200" s="925"/>
      <c r="ACT1200" s="925"/>
      <c r="ACU1200" s="925"/>
      <c r="ACV1200" s="925"/>
      <c r="ACW1200" s="925"/>
      <c r="ACX1200" s="925"/>
      <c r="ACY1200" s="925"/>
      <c r="ACZ1200" s="925"/>
      <c r="ADA1200" s="925"/>
      <c r="ADB1200" s="925"/>
      <c r="ADC1200" s="925"/>
      <c r="ADD1200" s="925"/>
      <c r="ADE1200" s="925"/>
      <c r="ADF1200" s="925"/>
      <c r="ADG1200" s="925"/>
      <c r="ADH1200" s="925"/>
      <c r="ADI1200" s="925"/>
      <c r="ADJ1200" s="925"/>
      <c r="ADK1200" s="925"/>
      <c r="ADL1200" s="925"/>
      <c r="ADM1200" s="925"/>
      <c r="ADN1200" s="925"/>
      <c r="ADO1200" s="925"/>
      <c r="ADP1200" s="925"/>
      <c r="ADQ1200" s="925"/>
      <c r="ADR1200" s="925"/>
      <c r="ADS1200" s="925"/>
      <c r="ADT1200" s="925"/>
      <c r="ADU1200" s="925"/>
      <c r="ADV1200" s="925"/>
      <c r="ADW1200" s="925"/>
      <c r="ADX1200" s="925"/>
      <c r="ADY1200" s="925"/>
      <c r="ADZ1200" s="925"/>
      <c r="AEA1200" s="925"/>
      <c r="AEB1200" s="925"/>
      <c r="AEC1200" s="925"/>
      <c r="AED1200" s="925"/>
      <c r="AEE1200" s="925"/>
      <c r="AEF1200" s="925"/>
      <c r="AEG1200" s="925"/>
      <c r="AEH1200" s="925"/>
      <c r="AEI1200" s="925"/>
      <c r="AEJ1200" s="925"/>
      <c r="AEK1200" s="925"/>
      <c r="AEL1200" s="925"/>
      <c r="AEM1200" s="925"/>
      <c r="AEN1200" s="925"/>
      <c r="AEO1200" s="925"/>
      <c r="AEP1200" s="925"/>
      <c r="AEQ1200" s="925"/>
      <c r="AER1200" s="925"/>
      <c r="AES1200" s="925"/>
      <c r="AET1200" s="925"/>
      <c r="AEU1200" s="925"/>
      <c r="AEV1200" s="925"/>
      <c r="AEW1200" s="925"/>
      <c r="AEX1200" s="925"/>
      <c r="AEY1200" s="925"/>
      <c r="AEZ1200" s="925"/>
      <c r="AFA1200" s="925"/>
      <c r="AFB1200" s="925"/>
      <c r="AFC1200" s="925"/>
      <c r="AFD1200" s="925"/>
      <c r="AFE1200" s="925"/>
      <c r="AFF1200" s="925"/>
      <c r="AFG1200" s="925"/>
      <c r="AFH1200" s="925"/>
      <c r="AFI1200" s="925"/>
      <c r="AFJ1200" s="925"/>
      <c r="AFK1200" s="925"/>
      <c r="AFL1200" s="925"/>
      <c r="AFM1200" s="925"/>
      <c r="AFN1200" s="925"/>
      <c r="AFO1200" s="925"/>
      <c r="AFP1200" s="925"/>
      <c r="AFQ1200" s="925"/>
      <c r="AFR1200" s="925"/>
      <c r="AFS1200" s="925"/>
      <c r="AFT1200" s="925"/>
      <c r="AFU1200" s="925"/>
      <c r="AFV1200" s="925"/>
      <c r="AFW1200" s="925"/>
      <c r="AFX1200" s="925"/>
      <c r="AFY1200" s="925"/>
      <c r="AFZ1200" s="925"/>
      <c r="AGA1200" s="925"/>
      <c r="AGB1200" s="925"/>
      <c r="AGC1200" s="925"/>
      <c r="AGD1200" s="925"/>
      <c r="AGE1200" s="925"/>
      <c r="AGF1200" s="925"/>
      <c r="AGG1200" s="925"/>
      <c r="AGH1200" s="925"/>
      <c r="AGI1200" s="925"/>
      <c r="AGJ1200" s="925"/>
    </row>
    <row r="1201" spans="1:868" s="918" customFormat="1" hidden="1">
      <c r="A1201" s="918" t="str">
        <f>Clothing!A277</f>
        <v>Clothing (product sector)</v>
      </c>
      <c r="B1201" s="918" t="str">
        <f>Clothing!B277</f>
        <v>Closed-toed shoes</v>
      </c>
      <c r="C1201" s="918" t="str">
        <f>Clothing!C277</f>
        <v>NL</v>
      </c>
      <c r="D1201" s="918" t="str">
        <f>Clothing!D277</f>
        <v>PET</v>
      </c>
      <c r="E1201" s="921">
        <f>Clothing!E277</f>
        <v>0.16111489938070001</v>
      </c>
      <c r="F1201" s="918">
        <f>Clothing!F277</f>
        <v>1</v>
      </c>
      <c r="G1201" s="918" t="str">
        <f>Clothing!G277</f>
        <v>https://eeb.org/library/draft-product-environmental-footprint-category-rules-pefcr-apparel-and-footwear/</v>
      </c>
      <c r="H1201" s="922">
        <f>Clothing!H277</f>
        <v>2</v>
      </c>
      <c r="I1201" s="922" t="str">
        <f>Clothing!I277</f>
        <v/>
      </c>
      <c r="J1201" s="922">
        <f>Clothing!J277</f>
        <v>2</v>
      </c>
      <c r="K1201" s="922">
        <f>Clothing!K277</f>
        <v>1</v>
      </c>
      <c r="L1201" s="922">
        <f>Clothing!L277</f>
        <v>2</v>
      </c>
      <c r="M1201" s="922">
        <f>Clothing!M277</f>
        <v>3</v>
      </c>
      <c r="N1201" s="186">
        <f t="shared" si="99"/>
        <v>1.0301997916669636</v>
      </c>
      <c r="O1201" s="160" t="e">
        <f t="shared" si="100"/>
        <v>#VALUE!</v>
      </c>
      <c r="Q1201" s="925"/>
      <c r="R1201" s="925"/>
      <c r="S1201" s="925"/>
      <c r="T1201" s="925"/>
      <c r="U1201" s="925"/>
      <c r="V1201" s="925"/>
      <c r="W1201" s="925"/>
      <c r="X1201" s="925"/>
      <c r="Y1201" s="925"/>
      <c r="Z1201" s="925"/>
      <c r="AA1201" s="925"/>
      <c r="AB1201" s="925"/>
      <c r="AC1201" s="925"/>
      <c r="AD1201" s="925"/>
      <c r="AE1201" s="925"/>
      <c r="AF1201" s="925"/>
      <c r="AG1201" s="925"/>
      <c r="AH1201" s="925"/>
      <c r="AI1201" s="925"/>
      <c r="AJ1201" s="925"/>
      <c r="AK1201" s="925"/>
      <c r="AL1201" s="925"/>
      <c r="AM1201" s="925"/>
      <c r="AN1201" s="925"/>
      <c r="AO1201" s="925"/>
      <c r="AP1201" s="925"/>
      <c r="AQ1201" s="925"/>
      <c r="AR1201" s="925"/>
      <c r="AS1201" s="925"/>
      <c r="AT1201" s="925"/>
      <c r="AU1201" s="925"/>
      <c r="AV1201" s="925"/>
      <c r="AW1201" s="925"/>
      <c r="AX1201" s="925"/>
      <c r="AY1201" s="925"/>
      <c r="AZ1201" s="925"/>
      <c r="BA1201" s="925"/>
      <c r="BB1201" s="925"/>
      <c r="BC1201" s="925"/>
      <c r="BD1201" s="925"/>
      <c r="BE1201" s="925"/>
      <c r="BF1201" s="925"/>
      <c r="BG1201" s="925"/>
      <c r="BH1201" s="925"/>
      <c r="BI1201" s="925"/>
      <c r="BJ1201" s="925"/>
      <c r="BK1201" s="925"/>
      <c r="BL1201" s="925"/>
      <c r="BM1201" s="925"/>
      <c r="BN1201" s="925"/>
      <c r="BO1201" s="925"/>
      <c r="BP1201" s="925"/>
      <c r="BQ1201" s="925"/>
      <c r="BR1201" s="925"/>
      <c r="BS1201" s="925"/>
      <c r="BT1201" s="925"/>
      <c r="BU1201" s="925"/>
      <c r="BV1201" s="925"/>
      <c r="BW1201" s="925"/>
      <c r="BX1201" s="925"/>
      <c r="BY1201" s="925"/>
      <c r="BZ1201" s="925"/>
      <c r="CA1201" s="925"/>
      <c r="CB1201" s="925"/>
      <c r="CC1201" s="925"/>
      <c r="CD1201" s="925"/>
      <c r="CE1201" s="925"/>
      <c r="CF1201" s="925"/>
      <c r="CG1201" s="925"/>
      <c r="CH1201" s="925"/>
      <c r="CI1201" s="925"/>
      <c r="CJ1201" s="925"/>
      <c r="CK1201" s="925"/>
      <c r="CL1201" s="925"/>
      <c r="CM1201" s="925"/>
      <c r="CN1201" s="925"/>
      <c r="CO1201" s="925"/>
      <c r="CP1201" s="925"/>
      <c r="CQ1201" s="925"/>
      <c r="CR1201" s="925"/>
      <c r="CS1201" s="925"/>
      <c r="CT1201" s="925"/>
      <c r="CU1201" s="925"/>
      <c r="CV1201" s="925"/>
      <c r="CW1201" s="925"/>
      <c r="CX1201" s="925"/>
      <c r="CY1201" s="925"/>
      <c r="CZ1201" s="925"/>
      <c r="DA1201" s="925"/>
      <c r="DB1201" s="925"/>
      <c r="DC1201" s="925"/>
      <c r="DD1201" s="925"/>
      <c r="DE1201" s="925"/>
      <c r="DF1201" s="925"/>
      <c r="DG1201" s="925"/>
      <c r="DH1201" s="925"/>
      <c r="DI1201" s="925"/>
      <c r="DJ1201" s="925"/>
      <c r="DK1201" s="925"/>
      <c r="DL1201" s="925"/>
      <c r="DM1201" s="925"/>
      <c r="DN1201" s="925"/>
      <c r="DO1201" s="925"/>
      <c r="DP1201" s="925"/>
      <c r="DQ1201" s="925"/>
      <c r="DR1201" s="925"/>
      <c r="DS1201" s="925"/>
      <c r="DT1201" s="925"/>
      <c r="DU1201" s="925"/>
      <c r="DV1201" s="925"/>
      <c r="DW1201" s="925"/>
      <c r="DX1201" s="925"/>
      <c r="DY1201" s="925"/>
      <c r="DZ1201" s="925"/>
      <c r="EA1201" s="925"/>
      <c r="EB1201" s="925"/>
      <c r="EC1201" s="925"/>
      <c r="ED1201" s="925"/>
      <c r="EE1201" s="925"/>
      <c r="EF1201" s="925"/>
      <c r="EG1201" s="925"/>
      <c r="EH1201" s="925"/>
      <c r="EI1201" s="925"/>
      <c r="EJ1201" s="925"/>
      <c r="EK1201" s="925"/>
      <c r="EL1201" s="925"/>
      <c r="EM1201" s="925"/>
      <c r="EN1201" s="925"/>
      <c r="EO1201" s="925"/>
      <c r="EP1201" s="925"/>
      <c r="EQ1201" s="925"/>
      <c r="ER1201" s="925"/>
      <c r="ES1201" s="925"/>
      <c r="ET1201" s="925"/>
      <c r="EU1201" s="925"/>
      <c r="EV1201" s="925"/>
      <c r="EW1201" s="925"/>
      <c r="EX1201" s="925"/>
      <c r="EY1201" s="925"/>
      <c r="EZ1201" s="925"/>
      <c r="FA1201" s="925"/>
      <c r="FB1201" s="925"/>
      <c r="FC1201" s="925"/>
      <c r="FD1201" s="925"/>
      <c r="FE1201" s="925"/>
      <c r="FF1201" s="925"/>
      <c r="FG1201" s="925"/>
      <c r="FH1201" s="925"/>
      <c r="FI1201" s="925"/>
      <c r="FJ1201" s="925"/>
      <c r="FK1201" s="925"/>
      <c r="FL1201" s="925"/>
      <c r="FM1201" s="925"/>
      <c r="FN1201" s="925"/>
      <c r="FO1201" s="925"/>
      <c r="FP1201" s="925"/>
      <c r="FQ1201" s="925"/>
      <c r="FR1201" s="925"/>
      <c r="FS1201" s="925"/>
      <c r="FT1201" s="925"/>
      <c r="FU1201" s="925"/>
      <c r="FV1201" s="925"/>
      <c r="FW1201" s="925"/>
      <c r="FX1201" s="925"/>
      <c r="FY1201" s="925"/>
      <c r="FZ1201" s="925"/>
      <c r="GA1201" s="925"/>
      <c r="GB1201" s="925"/>
      <c r="GC1201" s="925"/>
      <c r="GD1201" s="925"/>
      <c r="GE1201" s="925"/>
      <c r="GF1201" s="925"/>
      <c r="GG1201" s="925"/>
      <c r="GH1201" s="925"/>
      <c r="GI1201" s="925"/>
      <c r="GJ1201" s="925"/>
      <c r="GK1201" s="925"/>
      <c r="GL1201" s="925"/>
      <c r="GM1201" s="925"/>
      <c r="GN1201" s="925"/>
      <c r="GO1201" s="925"/>
      <c r="GP1201" s="925"/>
      <c r="GQ1201" s="925"/>
      <c r="GR1201" s="925"/>
      <c r="GS1201" s="925"/>
      <c r="GT1201" s="925"/>
      <c r="GU1201" s="925"/>
      <c r="GV1201" s="925"/>
      <c r="GW1201" s="925"/>
      <c r="GX1201" s="925"/>
      <c r="GY1201" s="925"/>
      <c r="GZ1201" s="925"/>
      <c r="HA1201" s="925"/>
      <c r="HB1201" s="925"/>
      <c r="HC1201" s="925"/>
      <c r="HD1201" s="925"/>
      <c r="HE1201" s="925"/>
      <c r="HF1201" s="925"/>
      <c r="HG1201" s="925"/>
      <c r="HH1201" s="925"/>
      <c r="HI1201" s="925"/>
      <c r="HJ1201" s="925"/>
      <c r="HK1201" s="925"/>
      <c r="HL1201" s="925"/>
      <c r="HM1201" s="925"/>
      <c r="HN1201" s="925"/>
      <c r="HO1201" s="925"/>
      <c r="HP1201" s="925"/>
      <c r="HQ1201" s="925"/>
      <c r="HR1201" s="925"/>
      <c r="HS1201" s="925"/>
      <c r="HT1201" s="925"/>
      <c r="HU1201" s="925"/>
      <c r="HV1201" s="925"/>
      <c r="HW1201" s="925"/>
      <c r="HX1201" s="925"/>
      <c r="HY1201" s="925"/>
      <c r="HZ1201" s="925"/>
      <c r="IA1201" s="925"/>
      <c r="IB1201" s="925"/>
      <c r="IC1201" s="925"/>
      <c r="ID1201" s="925"/>
      <c r="IE1201" s="925"/>
      <c r="IF1201" s="925"/>
      <c r="IG1201" s="925"/>
      <c r="IH1201" s="925"/>
      <c r="II1201" s="925"/>
      <c r="IJ1201" s="925"/>
      <c r="IK1201" s="925"/>
      <c r="IL1201" s="925"/>
      <c r="IM1201" s="925"/>
      <c r="IN1201" s="925"/>
      <c r="IO1201" s="925"/>
      <c r="IP1201" s="925"/>
      <c r="IQ1201" s="925"/>
      <c r="IR1201" s="925"/>
      <c r="IS1201" s="925"/>
      <c r="IT1201" s="925"/>
      <c r="IU1201" s="925"/>
      <c r="IV1201" s="925"/>
      <c r="IW1201" s="925"/>
      <c r="IX1201" s="925"/>
      <c r="IY1201" s="925"/>
      <c r="IZ1201" s="925"/>
      <c r="JA1201" s="925"/>
      <c r="JB1201" s="925"/>
      <c r="JC1201" s="925"/>
      <c r="JD1201" s="925"/>
      <c r="JE1201" s="925"/>
      <c r="JF1201" s="925"/>
      <c r="JG1201" s="925"/>
      <c r="JH1201" s="925"/>
      <c r="JI1201" s="925"/>
      <c r="JJ1201" s="925"/>
      <c r="JK1201" s="925"/>
      <c r="JL1201" s="925"/>
      <c r="JM1201" s="925"/>
      <c r="JN1201" s="925"/>
      <c r="JO1201" s="925"/>
      <c r="JP1201" s="925"/>
      <c r="JQ1201" s="925"/>
      <c r="JR1201" s="925"/>
      <c r="JS1201" s="925"/>
      <c r="JT1201" s="925"/>
      <c r="JU1201" s="925"/>
      <c r="JV1201" s="925"/>
      <c r="JW1201" s="925"/>
      <c r="JX1201" s="925"/>
      <c r="JY1201" s="925"/>
      <c r="JZ1201" s="925"/>
      <c r="KA1201" s="925"/>
      <c r="KB1201" s="925"/>
      <c r="KC1201" s="925"/>
      <c r="KD1201" s="925"/>
      <c r="KE1201" s="925"/>
      <c r="KF1201" s="925"/>
      <c r="KG1201" s="925"/>
      <c r="KH1201" s="925"/>
      <c r="KI1201" s="925"/>
      <c r="KJ1201" s="925"/>
      <c r="KK1201" s="925"/>
      <c r="KL1201" s="925"/>
      <c r="KM1201" s="925"/>
      <c r="KN1201" s="925"/>
      <c r="KO1201" s="925"/>
      <c r="KP1201" s="925"/>
      <c r="KQ1201" s="925"/>
      <c r="KR1201" s="925"/>
      <c r="KS1201" s="925"/>
      <c r="KT1201" s="925"/>
      <c r="KU1201" s="925"/>
      <c r="KV1201" s="925"/>
      <c r="KW1201" s="925"/>
      <c r="KX1201" s="925"/>
      <c r="KY1201" s="925"/>
      <c r="KZ1201" s="925"/>
      <c r="LA1201" s="925"/>
      <c r="LB1201" s="925"/>
      <c r="LC1201" s="925"/>
      <c r="LD1201" s="925"/>
      <c r="LE1201" s="925"/>
      <c r="LF1201" s="925"/>
      <c r="LG1201" s="925"/>
      <c r="LH1201" s="925"/>
      <c r="LI1201" s="925"/>
      <c r="LJ1201" s="925"/>
      <c r="LK1201" s="925"/>
      <c r="LL1201" s="925"/>
      <c r="LM1201" s="925"/>
      <c r="LN1201" s="925"/>
      <c r="LO1201" s="925"/>
      <c r="LP1201" s="925"/>
      <c r="LQ1201" s="925"/>
      <c r="LR1201" s="925"/>
      <c r="LS1201" s="925"/>
      <c r="LT1201" s="925"/>
      <c r="LU1201" s="925"/>
      <c r="LV1201" s="925"/>
      <c r="LW1201" s="925"/>
      <c r="LX1201" s="925"/>
      <c r="LY1201" s="925"/>
      <c r="LZ1201" s="925"/>
      <c r="MA1201" s="925"/>
      <c r="MB1201" s="925"/>
      <c r="MC1201" s="925"/>
      <c r="MD1201" s="925"/>
      <c r="ME1201" s="925"/>
      <c r="MF1201" s="925"/>
      <c r="MG1201" s="925"/>
      <c r="MH1201" s="925"/>
      <c r="MI1201" s="925"/>
      <c r="MJ1201" s="925"/>
      <c r="MK1201" s="925"/>
      <c r="ML1201" s="925"/>
      <c r="MM1201" s="925"/>
      <c r="MN1201" s="925"/>
      <c r="MO1201" s="925"/>
      <c r="MP1201" s="925"/>
      <c r="MQ1201" s="925"/>
      <c r="MR1201" s="925"/>
      <c r="MS1201" s="925"/>
      <c r="MT1201" s="925"/>
      <c r="MU1201" s="925"/>
      <c r="MV1201" s="925"/>
      <c r="MW1201" s="925"/>
      <c r="MX1201" s="925"/>
      <c r="MY1201" s="925"/>
      <c r="MZ1201" s="925"/>
      <c r="NA1201" s="925"/>
      <c r="NB1201" s="925"/>
      <c r="NC1201" s="925"/>
      <c r="ND1201" s="925"/>
      <c r="NE1201" s="925"/>
      <c r="NF1201" s="925"/>
      <c r="NG1201" s="925"/>
      <c r="NH1201" s="925"/>
      <c r="NI1201" s="925"/>
      <c r="NJ1201" s="925"/>
      <c r="NK1201" s="925"/>
      <c r="NL1201" s="925"/>
      <c r="NM1201" s="925"/>
      <c r="NN1201" s="925"/>
      <c r="NO1201" s="925"/>
      <c r="NP1201" s="925"/>
      <c r="NQ1201" s="925"/>
      <c r="NR1201" s="925"/>
      <c r="NS1201" s="925"/>
      <c r="NT1201" s="925"/>
      <c r="NU1201" s="925"/>
      <c r="NV1201" s="925"/>
      <c r="NW1201" s="925"/>
      <c r="NX1201" s="925"/>
      <c r="NY1201" s="925"/>
      <c r="NZ1201" s="925"/>
      <c r="OA1201" s="925"/>
      <c r="OB1201" s="925"/>
      <c r="OC1201" s="925"/>
      <c r="OD1201" s="925"/>
      <c r="OE1201" s="925"/>
      <c r="OF1201" s="925"/>
      <c r="OG1201" s="925"/>
      <c r="OH1201" s="925"/>
      <c r="OI1201" s="925"/>
      <c r="OJ1201" s="925"/>
      <c r="OK1201" s="925"/>
      <c r="OL1201" s="925"/>
      <c r="OM1201" s="925"/>
      <c r="ON1201" s="925"/>
      <c r="OO1201" s="925"/>
      <c r="OP1201" s="925"/>
      <c r="OQ1201" s="925"/>
      <c r="OR1201" s="925"/>
      <c r="OS1201" s="925"/>
      <c r="OT1201" s="925"/>
      <c r="OU1201" s="925"/>
      <c r="OV1201" s="925"/>
      <c r="OW1201" s="925"/>
      <c r="OX1201" s="925"/>
      <c r="OY1201" s="925"/>
      <c r="OZ1201" s="925"/>
      <c r="PA1201" s="925"/>
      <c r="PB1201" s="925"/>
      <c r="PC1201" s="925"/>
      <c r="PD1201" s="925"/>
      <c r="PE1201" s="925"/>
      <c r="PF1201" s="925"/>
      <c r="PG1201" s="925"/>
      <c r="PH1201" s="925"/>
      <c r="PI1201" s="925"/>
      <c r="PJ1201" s="925"/>
      <c r="PK1201" s="925"/>
      <c r="PL1201" s="925"/>
      <c r="PM1201" s="925"/>
      <c r="PN1201" s="925"/>
      <c r="PO1201" s="925"/>
      <c r="PP1201" s="925"/>
      <c r="PQ1201" s="925"/>
      <c r="PR1201" s="925"/>
      <c r="PS1201" s="925"/>
      <c r="PT1201" s="925"/>
      <c r="PU1201" s="925"/>
      <c r="PV1201" s="925"/>
      <c r="PW1201" s="925"/>
      <c r="PX1201" s="925"/>
      <c r="PY1201" s="925"/>
      <c r="PZ1201" s="925"/>
      <c r="QA1201" s="925"/>
      <c r="QB1201" s="925"/>
      <c r="QC1201" s="925"/>
      <c r="QD1201" s="925"/>
      <c r="QE1201" s="925"/>
      <c r="QF1201" s="925"/>
      <c r="QG1201" s="925"/>
      <c r="QH1201" s="925"/>
      <c r="QI1201" s="925"/>
      <c r="QJ1201" s="925"/>
      <c r="QK1201" s="925"/>
      <c r="QL1201" s="925"/>
      <c r="QM1201" s="925"/>
      <c r="QN1201" s="925"/>
      <c r="QO1201" s="925"/>
      <c r="QP1201" s="925"/>
      <c r="QQ1201" s="925"/>
      <c r="QR1201" s="925"/>
      <c r="QS1201" s="925"/>
      <c r="QT1201" s="925"/>
      <c r="QU1201" s="925"/>
      <c r="QV1201" s="925"/>
      <c r="QW1201" s="925"/>
      <c r="QX1201" s="925"/>
      <c r="QY1201" s="925"/>
      <c r="QZ1201" s="925"/>
      <c r="RA1201" s="925"/>
      <c r="RB1201" s="925"/>
      <c r="RC1201" s="925"/>
      <c r="RD1201" s="925"/>
      <c r="RE1201" s="925"/>
      <c r="RF1201" s="925"/>
      <c r="RG1201" s="925"/>
      <c r="RH1201" s="925"/>
      <c r="RI1201" s="925"/>
      <c r="RJ1201" s="925"/>
      <c r="RK1201" s="925"/>
      <c r="RL1201" s="925"/>
      <c r="RM1201" s="925"/>
      <c r="RN1201" s="925"/>
      <c r="RO1201" s="925"/>
      <c r="RP1201" s="925"/>
      <c r="RQ1201" s="925"/>
      <c r="RR1201" s="925"/>
      <c r="RS1201" s="925"/>
      <c r="RT1201" s="925"/>
      <c r="RU1201" s="925"/>
      <c r="RV1201" s="925"/>
      <c r="RW1201" s="925"/>
      <c r="RX1201" s="925"/>
      <c r="RY1201" s="925"/>
      <c r="RZ1201" s="925"/>
      <c r="SA1201" s="925"/>
      <c r="SB1201" s="925"/>
      <c r="SC1201" s="925"/>
      <c r="SD1201" s="925"/>
      <c r="SE1201" s="925"/>
      <c r="SF1201" s="925"/>
      <c r="SG1201" s="925"/>
      <c r="SH1201" s="925"/>
      <c r="SI1201" s="925"/>
      <c r="SJ1201" s="925"/>
      <c r="SK1201" s="925"/>
      <c r="SL1201" s="925"/>
      <c r="SM1201" s="925"/>
      <c r="SN1201" s="925"/>
      <c r="SO1201" s="925"/>
      <c r="SP1201" s="925"/>
      <c r="SQ1201" s="925"/>
      <c r="SR1201" s="925"/>
      <c r="SS1201" s="925"/>
      <c r="ST1201" s="925"/>
      <c r="SU1201" s="925"/>
      <c r="SV1201" s="925"/>
      <c r="SW1201" s="925"/>
      <c r="SX1201" s="925"/>
      <c r="SY1201" s="925"/>
      <c r="SZ1201" s="925"/>
      <c r="TA1201" s="925"/>
      <c r="TB1201" s="925"/>
      <c r="TC1201" s="925"/>
      <c r="TD1201" s="925"/>
      <c r="TE1201" s="925"/>
      <c r="TF1201" s="925"/>
      <c r="TG1201" s="925"/>
      <c r="TH1201" s="925"/>
      <c r="TI1201" s="925"/>
      <c r="TJ1201" s="925"/>
      <c r="TK1201" s="925"/>
      <c r="TL1201" s="925"/>
      <c r="TM1201" s="925"/>
      <c r="TN1201" s="925"/>
      <c r="TO1201" s="925"/>
      <c r="TP1201" s="925"/>
      <c r="TQ1201" s="925"/>
      <c r="TR1201" s="925"/>
      <c r="TS1201" s="925"/>
      <c r="TT1201" s="925"/>
      <c r="TU1201" s="925"/>
      <c r="TV1201" s="925"/>
      <c r="TW1201" s="925"/>
      <c r="TX1201" s="925"/>
      <c r="TY1201" s="925"/>
      <c r="TZ1201" s="925"/>
      <c r="UA1201" s="925"/>
      <c r="UB1201" s="925"/>
      <c r="UC1201" s="925"/>
      <c r="UD1201" s="925"/>
      <c r="UE1201" s="925"/>
      <c r="UF1201" s="925"/>
      <c r="UG1201" s="925"/>
      <c r="UH1201" s="925"/>
      <c r="UI1201" s="925"/>
      <c r="UJ1201" s="925"/>
      <c r="UK1201" s="925"/>
      <c r="UL1201" s="925"/>
      <c r="UM1201" s="925"/>
      <c r="UN1201" s="925"/>
      <c r="UO1201" s="925"/>
      <c r="UP1201" s="925"/>
      <c r="UQ1201" s="925"/>
      <c r="UR1201" s="925"/>
      <c r="US1201" s="925"/>
      <c r="UT1201" s="925"/>
      <c r="UU1201" s="925"/>
      <c r="UV1201" s="925"/>
      <c r="UW1201" s="925"/>
      <c r="UX1201" s="925"/>
      <c r="UY1201" s="925"/>
      <c r="UZ1201" s="925"/>
      <c r="VA1201" s="925"/>
      <c r="VB1201" s="925"/>
      <c r="VC1201" s="925"/>
      <c r="VD1201" s="925"/>
      <c r="VE1201" s="925"/>
      <c r="VF1201" s="925"/>
      <c r="VG1201" s="925"/>
      <c r="VH1201" s="925"/>
      <c r="VI1201" s="925"/>
      <c r="VJ1201" s="925"/>
      <c r="VK1201" s="925"/>
      <c r="VL1201" s="925"/>
      <c r="VM1201" s="925"/>
      <c r="VN1201" s="925"/>
      <c r="VO1201" s="925"/>
      <c r="VP1201" s="925"/>
      <c r="VQ1201" s="925"/>
      <c r="VR1201" s="925"/>
      <c r="VS1201" s="925"/>
      <c r="VT1201" s="925"/>
      <c r="VU1201" s="925"/>
      <c r="VV1201" s="925"/>
      <c r="VW1201" s="925"/>
      <c r="VX1201" s="925"/>
      <c r="VY1201" s="925"/>
      <c r="VZ1201" s="925"/>
      <c r="WA1201" s="925"/>
      <c r="WB1201" s="925"/>
      <c r="WC1201" s="925"/>
      <c r="WD1201" s="925"/>
      <c r="WE1201" s="925"/>
      <c r="WF1201" s="925"/>
      <c r="WG1201" s="925"/>
      <c r="WH1201" s="925"/>
      <c r="WI1201" s="925"/>
      <c r="WJ1201" s="925"/>
      <c r="WK1201" s="925"/>
      <c r="WL1201" s="925"/>
      <c r="WM1201" s="925"/>
      <c r="WN1201" s="925"/>
      <c r="WO1201" s="925"/>
      <c r="WP1201" s="925"/>
      <c r="WQ1201" s="925"/>
      <c r="WR1201" s="925"/>
      <c r="WS1201" s="925"/>
      <c r="WT1201" s="925"/>
      <c r="WU1201" s="925"/>
      <c r="WV1201" s="925"/>
      <c r="WW1201" s="925"/>
      <c r="WX1201" s="925"/>
      <c r="WY1201" s="925"/>
      <c r="WZ1201" s="925"/>
      <c r="XA1201" s="925"/>
      <c r="XB1201" s="925"/>
      <c r="XC1201" s="925"/>
      <c r="XD1201" s="925"/>
      <c r="XE1201" s="925"/>
      <c r="XF1201" s="925"/>
      <c r="XG1201" s="925"/>
      <c r="XH1201" s="925"/>
      <c r="XI1201" s="925"/>
      <c r="XJ1201" s="925"/>
      <c r="XK1201" s="925"/>
      <c r="XL1201" s="925"/>
      <c r="XM1201" s="925"/>
      <c r="XN1201" s="925"/>
      <c r="XO1201" s="925"/>
      <c r="XP1201" s="925"/>
      <c r="XQ1201" s="925"/>
      <c r="XR1201" s="925"/>
      <c r="XS1201" s="925"/>
      <c r="XT1201" s="925"/>
      <c r="XU1201" s="925"/>
      <c r="XV1201" s="925"/>
      <c r="XW1201" s="925"/>
      <c r="XX1201" s="925"/>
      <c r="XY1201" s="925"/>
      <c r="XZ1201" s="925"/>
      <c r="YA1201" s="925"/>
      <c r="YB1201" s="925"/>
      <c r="YC1201" s="925"/>
      <c r="YD1201" s="925"/>
      <c r="YE1201" s="925"/>
      <c r="YF1201" s="925"/>
      <c r="YG1201" s="925"/>
      <c r="YH1201" s="925"/>
      <c r="YI1201" s="925"/>
      <c r="YJ1201" s="925"/>
      <c r="YK1201" s="925"/>
      <c r="YL1201" s="925"/>
      <c r="YM1201" s="925"/>
      <c r="YN1201" s="925"/>
      <c r="YO1201" s="925"/>
      <c r="YP1201" s="925"/>
      <c r="YQ1201" s="925"/>
      <c r="YR1201" s="925"/>
      <c r="YS1201" s="925"/>
      <c r="YT1201" s="925"/>
      <c r="YU1201" s="925"/>
      <c r="YV1201" s="925"/>
      <c r="YW1201" s="925"/>
      <c r="YX1201" s="925"/>
      <c r="YY1201" s="925"/>
      <c r="YZ1201" s="925"/>
      <c r="ZA1201" s="925"/>
      <c r="ZB1201" s="925"/>
      <c r="ZC1201" s="925"/>
      <c r="ZD1201" s="925"/>
      <c r="ZE1201" s="925"/>
      <c r="ZF1201" s="925"/>
      <c r="ZG1201" s="925"/>
      <c r="ZH1201" s="925"/>
      <c r="ZI1201" s="925"/>
      <c r="ZJ1201" s="925"/>
      <c r="ZK1201" s="925"/>
      <c r="ZL1201" s="925"/>
      <c r="ZM1201" s="925"/>
      <c r="ZN1201" s="925"/>
      <c r="ZO1201" s="925"/>
      <c r="ZP1201" s="925"/>
      <c r="ZQ1201" s="925"/>
      <c r="ZR1201" s="925"/>
      <c r="ZS1201" s="925"/>
      <c r="ZT1201" s="925"/>
      <c r="ZU1201" s="925"/>
      <c r="ZV1201" s="925"/>
      <c r="ZW1201" s="925"/>
      <c r="ZX1201" s="925"/>
      <c r="ZY1201" s="925"/>
      <c r="ZZ1201" s="925"/>
      <c r="AAA1201" s="925"/>
      <c r="AAB1201" s="925"/>
      <c r="AAC1201" s="925"/>
      <c r="AAD1201" s="925"/>
      <c r="AAE1201" s="925"/>
      <c r="AAF1201" s="925"/>
      <c r="AAG1201" s="925"/>
      <c r="AAH1201" s="925"/>
      <c r="AAI1201" s="925"/>
      <c r="AAJ1201" s="925"/>
      <c r="AAK1201" s="925"/>
      <c r="AAL1201" s="925"/>
      <c r="AAM1201" s="925"/>
      <c r="AAN1201" s="925"/>
      <c r="AAO1201" s="925"/>
      <c r="AAP1201" s="925"/>
      <c r="AAQ1201" s="925"/>
      <c r="AAR1201" s="925"/>
      <c r="AAS1201" s="925"/>
      <c r="AAT1201" s="925"/>
      <c r="AAU1201" s="925"/>
      <c r="AAV1201" s="925"/>
      <c r="AAW1201" s="925"/>
      <c r="AAX1201" s="925"/>
      <c r="AAY1201" s="925"/>
      <c r="AAZ1201" s="925"/>
      <c r="ABA1201" s="925"/>
      <c r="ABB1201" s="925"/>
      <c r="ABC1201" s="925"/>
      <c r="ABD1201" s="925"/>
      <c r="ABE1201" s="925"/>
      <c r="ABF1201" s="925"/>
      <c r="ABG1201" s="925"/>
      <c r="ABH1201" s="925"/>
      <c r="ABI1201" s="925"/>
      <c r="ABJ1201" s="925"/>
      <c r="ABK1201" s="925"/>
      <c r="ABL1201" s="925"/>
      <c r="ABM1201" s="925"/>
      <c r="ABN1201" s="925"/>
      <c r="ABO1201" s="925"/>
      <c r="ABP1201" s="925"/>
      <c r="ABQ1201" s="925"/>
      <c r="ABR1201" s="925"/>
      <c r="ABS1201" s="925"/>
      <c r="ABT1201" s="925"/>
      <c r="ABU1201" s="925"/>
      <c r="ABV1201" s="925"/>
      <c r="ABW1201" s="925"/>
      <c r="ABX1201" s="925"/>
      <c r="ABY1201" s="925"/>
      <c r="ABZ1201" s="925"/>
      <c r="ACA1201" s="925"/>
      <c r="ACB1201" s="925"/>
      <c r="ACC1201" s="925"/>
      <c r="ACD1201" s="925"/>
      <c r="ACE1201" s="925"/>
      <c r="ACF1201" s="925"/>
      <c r="ACG1201" s="925"/>
      <c r="ACH1201" s="925"/>
      <c r="ACI1201" s="925"/>
      <c r="ACJ1201" s="925"/>
      <c r="ACK1201" s="925"/>
      <c r="ACL1201" s="925"/>
      <c r="ACM1201" s="925"/>
      <c r="ACN1201" s="925"/>
      <c r="ACO1201" s="925"/>
      <c r="ACP1201" s="925"/>
      <c r="ACQ1201" s="925"/>
      <c r="ACR1201" s="925"/>
      <c r="ACS1201" s="925"/>
      <c r="ACT1201" s="925"/>
      <c r="ACU1201" s="925"/>
      <c r="ACV1201" s="925"/>
      <c r="ACW1201" s="925"/>
      <c r="ACX1201" s="925"/>
      <c r="ACY1201" s="925"/>
      <c r="ACZ1201" s="925"/>
      <c r="ADA1201" s="925"/>
      <c r="ADB1201" s="925"/>
      <c r="ADC1201" s="925"/>
      <c r="ADD1201" s="925"/>
      <c r="ADE1201" s="925"/>
      <c r="ADF1201" s="925"/>
      <c r="ADG1201" s="925"/>
      <c r="ADH1201" s="925"/>
      <c r="ADI1201" s="925"/>
      <c r="ADJ1201" s="925"/>
      <c r="ADK1201" s="925"/>
      <c r="ADL1201" s="925"/>
      <c r="ADM1201" s="925"/>
      <c r="ADN1201" s="925"/>
      <c r="ADO1201" s="925"/>
      <c r="ADP1201" s="925"/>
      <c r="ADQ1201" s="925"/>
      <c r="ADR1201" s="925"/>
      <c r="ADS1201" s="925"/>
      <c r="ADT1201" s="925"/>
      <c r="ADU1201" s="925"/>
      <c r="ADV1201" s="925"/>
      <c r="ADW1201" s="925"/>
      <c r="ADX1201" s="925"/>
      <c r="ADY1201" s="925"/>
      <c r="ADZ1201" s="925"/>
      <c r="AEA1201" s="925"/>
      <c r="AEB1201" s="925"/>
      <c r="AEC1201" s="925"/>
      <c r="AED1201" s="925"/>
      <c r="AEE1201" s="925"/>
      <c r="AEF1201" s="925"/>
      <c r="AEG1201" s="925"/>
      <c r="AEH1201" s="925"/>
      <c r="AEI1201" s="925"/>
      <c r="AEJ1201" s="925"/>
      <c r="AEK1201" s="925"/>
      <c r="AEL1201" s="925"/>
      <c r="AEM1201" s="925"/>
      <c r="AEN1201" s="925"/>
      <c r="AEO1201" s="925"/>
      <c r="AEP1201" s="925"/>
      <c r="AEQ1201" s="925"/>
      <c r="AER1201" s="925"/>
      <c r="AES1201" s="925"/>
      <c r="AET1201" s="925"/>
      <c r="AEU1201" s="925"/>
      <c r="AEV1201" s="925"/>
      <c r="AEW1201" s="925"/>
      <c r="AEX1201" s="925"/>
      <c r="AEY1201" s="925"/>
      <c r="AEZ1201" s="925"/>
      <c r="AFA1201" s="925"/>
      <c r="AFB1201" s="925"/>
      <c r="AFC1201" s="925"/>
      <c r="AFD1201" s="925"/>
      <c r="AFE1201" s="925"/>
      <c r="AFF1201" s="925"/>
      <c r="AFG1201" s="925"/>
      <c r="AFH1201" s="925"/>
      <c r="AFI1201" s="925"/>
      <c r="AFJ1201" s="925"/>
      <c r="AFK1201" s="925"/>
      <c r="AFL1201" s="925"/>
      <c r="AFM1201" s="925"/>
      <c r="AFN1201" s="925"/>
      <c r="AFO1201" s="925"/>
      <c r="AFP1201" s="925"/>
      <c r="AFQ1201" s="925"/>
      <c r="AFR1201" s="925"/>
      <c r="AFS1201" s="925"/>
      <c r="AFT1201" s="925"/>
      <c r="AFU1201" s="925"/>
      <c r="AFV1201" s="925"/>
      <c r="AFW1201" s="925"/>
      <c r="AFX1201" s="925"/>
      <c r="AFY1201" s="925"/>
      <c r="AFZ1201" s="925"/>
      <c r="AGA1201" s="925"/>
      <c r="AGB1201" s="925"/>
      <c r="AGC1201" s="925"/>
      <c r="AGD1201" s="925"/>
      <c r="AGE1201" s="925"/>
      <c r="AGF1201" s="925"/>
      <c r="AGG1201" s="925"/>
      <c r="AGH1201" s="925"/>
      <c r="AGI1201" s="925"/>
      <c r="AGJ1201" s="925"/>
    </row>
    <row r="1202" spans="1:868" s="918" customFormat="1" hidden="1">
      <c r="A1202" s="918" t="str">
        <f>Clothing!A278</f>
        <v>Clothing (product sector)</v>
      </c>
      <c r="B1202" s="918" t="str">
        <f>Clothing!B278</f>
        <v>Closed-toed shoes</v>
      </c>
      <c r="C1202" s="918" t="str">
        <f>Clothing!C278</f>
        <v>NL</v>
      </c>
      <c r="D1202" s="918" t="str">
        <f>Clothing!D278</f>
        <v>PUR</v>
      </c>
      <c r="E1202" s="921">
        <f>Clothing!E278</f>
        <v>0.403659576736695</v>
      </c>
      <c r="F1202" s="918">
        <f>Clothing!F278</f>
        <v>1</v>
      </c>
      <c r="G1202" s="918" t="str">
        <f>Clothing!G278</f>
        <v>https://eeb.org/library/draft-product-environmental-footprint-category-rules-pefcr-apparel-and-footwear/</v>
      </c>
      <c r="H1202" s="922">
        <f>Clothing!H278</f>
        <v>2</v>
      </c>
      <c r="I1202" s="922" t="str">
        <f>Clothing!I278</f>
        <v/>
      </c>
      <c r="J1202" s="922">
        <f>Clothing!J278</f>
        <v>2</v>
      </c>
      <c r="K1202" s="922">
        <f>Clothing!K278</f>
        <v>1</v>
      </c>
      <c r="L1202" s="922">
        <f>Clothing!L278</f>
        <v>2</v>
      </c>
      <c r="M1202" s="922">
        <f>Clothing!M278</f>
        <v>3</v>
      </c>
      <c r="N1202" s="186">
        <f t="shared" si="99"/>
        <v>1.0301997916669636</v>
      </c>
      <c r="O1202" s="160" t="e">
        <f t="shared" si="100"/>
        <v>#VALUE!</v>
      </c>
      <c r="Q1202" s="925"/>
      <c r="R1202" s="925"/>
      <c r="S1202" s="925"/>
      <c r="T1202" s="925"/>
      <c r="U1202" s="925"/>
      <c r="V1202" s="925"/>
      <c r="W1202" s="925"/>
      <c r="X1202" s="925"/>
      <c r="Y1202" s="925"/>
      <c r="Z1202" s="925"/>
      <c r="AA1202" s="925"/>
      <c r="AB1202" s="925"/>
      <c r="AC1202" s="925"/>
      <c r="AD1202" s="925"/>
      <c r="AE1202" s="925"/>
      <c r="AF1202" s="925"/>
      <c r="AG1202" s="925"/>
      <c r="AH1202" s="925"/>
      <c r="AI1202" s="925"/>
      <c r="AJ1202" s="925"/>
      <c r="AK1202" s="925"/>
      <c r="AL1202" s="925"/>
      <c r="AM1202" s="925"/>
      <c r="AN1202" s="925"/>
      <c r="AO1202" s="925"/>
      <c r="AP1202" s="925"/>
      <c r="AQ1202" s="925"/>
      <c r="AR1202" s="925"/>
      <c r="AS1202" s="925"/>
      <c r="AT1202" s="925"/>
      <c r="AU1202" s="925"/>
      <c r="AV1202" s="925"/>
      <c r="AW1202" s="925"/>
      <c r="AX1202" s="925"/>
      <c r="AY1202" s="925"/>
      <c r="AZ1202" s="925"/>
      <c r="BA1202" s="925"/>
      <c r="BB1202" s="925"/>
      <c r="BC1202" s="925"/>
      <c r="BD1202" s="925"/>
      <c r="BE1202" s="925"/>
      <c r="BF1202" s="925"/>
      <c r="BG1202" s="925"/>
      <c r="BH1202" s="925"/>
      <c r="BI1202" s="925"/>
      <c r="BJ1202" s="925"/>
      <c r="BK1202" s="925"/>
      <c r="BL1202" s="925"/>
      <c r="BM1202" s="925"/>
      <c r="BN1202" s="925"/>
      <c r="BO1202" s="925"/>
      <c r="BP1202" s="925"/>
      <c r="BQ1202" s="925"/>
      <c r="BR1202" s="925"/>
      <c r="BS1202" s="925"/>
      <c r="BT1202" s="925"/>
      <c r="BU1202" s="925"/>
      <c r="BV1202" s="925"/>
      <c r="BW1202" s="925"/>
      <c r="BX1202" s="925"/>
      <c r="BY1202" s="925"/>
      <c r="BZ1202" s="925"/>
      <c r="CA1202" s="925"/>
      <c r="CB1202" s="925"/>
      <c r="CC1202" s="925"/>
      <c r="CD1202" s="925"/>
      <c r="CE1202" s="925"/>
      <c r="CF1202" s="925"/>
      <c r="CG1202" s="925"/>
      <c r="CH1202" s="925"/>
      <c r="CI1202" s="925"/>
      <c r="CJ1202" s="925"/>
      <c r="CK1202" s="925"/>
      <c r="CL1202" s="925"/>
      <c r="CM1202" s="925"/>
      <c r="CN1202" s="925"/>
      <c r="CO1202" s="925"/>
      <c r="CP1202" s="925"/>
      <c r="CQ1202" s="925"/>
      <c r="CR1202" s="925"/>
      <c r="CS1202" s="925"/>
      <c r="CT1202" s="925"/>
      <c r="CU1202" s="925"/>
      <c r="CV1202" s="925"/>
      <c r="CW1202" s="925"/>
      <c r="CX1202" s="925"/>
      <c r="CY1202" s="925"/>
      <c r="CZ1202" s="925"/>
      <c r="DA1202" s="925"/>
      <c r="DB1202" s="925"/>
      <c r="DC1202" s="925"/>
      <c r="DD1202" s="925"/>
      <c r="DE1202" s="925"/>
      <c r="DF1202" s="925"/>
      <c r="DG1202" s="925"/>
      <c r="DH1202" s="925"/>
      <c r="DI1202" s="925"/>
      <c r="DJ1202" s="925"/>
      <c r="DK1202" s="925"/>
      <c r="DL1202" s="925"/>
      <c r="DM1202" s="925"/>
      <c r="DN1202" s="925"/>
      <c r="DO1202" s="925"/>
      <c r="DP1202" s="925"/>
      <c r="DQ1202" s="925"/>
      <c r="DR1202" s="925"/>
      <c r="DS1202" s="925"/>
      <c r="DT1202" s="925"/>
      <c r="DU1202" s="925"/>
      <c r="DV1202" s="925"/>
      <c r="DW1202" s="925"/>
      <c r="DX1202" s="925"/>
      <c r="DY1202" s="925"/>
      <c r="DZ1202" s="925"/>
      <c r="EA1202" s="925"/>
      <c r="EB1202" s="925"/>
      <c r="EC1202" s="925"/>
      <c r="ED1202" s="925"/>
      <c r="EE1202" s="925"/>
      <c r="EF1202" s="925"/>
      <c r="EG1202" s="925"/>
      <c r="EH1202" s="925"/>
      <c r="EI1202" s="925"/>
      <c r="EJ1202" s="925"/>
      <c r="EK1202" s="925"/>
      <c r="EL1202" s="925"/>
      <c r="EM1202" s="925"/>
      <c r="EN1202" s="925"/>
      <c r="EO1202" s="925"/>
      <c r="EP1202" s="925"/>
      <c r="EQ1202" s="925"/>
      <c r="ER1202" s="925"/>
      <c r="ES1202" s="925"/>
      <c r="ET1202" s="925"/>
      <c r="EU1202" s="925"/>
      <c r="EV1202" s="925"/>
      <c r="EW1202" s="925"/>
      <c r="EX1202" s="925"/>
      <c r="EY1202" s="925"/>
      <c r="EZ1202" s="925"/>
      <c r="FA1202" s="925"/>
      <c r="FB1202" s="925"/>
      <c r="FC1202" s="925"/>
      <c r="FD1202" s="925"/>
      <c r="FE1202" s="925"/>
      <c r="FF1202" s="925"/>
      <c r="FG1202" s="925"/>
      <c r="FH1202" s="925"/>
      <c r="FI1202" s="925"/>
      <c r="FJ1202" s="925"/>
      <c r="FK1202" s="925"/>
      <c r="FL1202" s="925"/>
      <c r="FM1202" s="925"/>
      <c r="FN1202" s="925"/>
      <c r="FO1202" s="925"/>
      <c r="FP1202" s="925"/>
      <c r="FQ1202" s="925"/>
      <c r="FR1202" s="925"/>
      <c r="FS1202" s="925"/>
      <c r="FT1202" s="925"/>
      <c r="FU1202" s="925"/>
      <c r="FV1202" s="925"/>
      <c r="FW1202" s="925"/>
      <c r="FX1202" s="925"/>
      <c r="FY1202" s="925"/>
      <c r="FZ1202" s="925"/>
      <c r="GA1202" s="925"/>
      <c r="GB1202" s="925"/>
      <c r="GC1202" s="925"/>
      <c r="GD1202" s="925"/>
      <c r="GE1202" s="925"/>
      <c r="GF1202" s="925"/>
      <c r="GG1202" s="925"/>
      <c r="GH1202" s="925"/>
      <c r="GI1202" s="925"/>
      <c r="GJ1202" s="925"/>
      <c r="GK1202" s="925"/>
      <c r="GL1202" s="925"/>
      <c r="GM1202" s="925"/>
      <c r="GN1202" s="925"/>
      <c r="GO1202" s="925"/>
      <c r="GP1202" s="925"/>
      <c r="GQ1202" s="925"/>
      <c r="GR1202" s="925"/>
      <c r="GS1202" s="925"/>
      <c r="GT1202" s="925"/>
      <c r="GU1202" s="925"/>
      <c r="GV1202" s="925"/>
      <c r="GW1202" s="925"/>
      <c r="GX1202" s="925"/>
      <c r="GY1202" s="925"/>
      <c r="GZ1202" s="925"/>
      <c r="HA1202" s="925"/>
      <c r="HB1202" s="925"/>
      <c r="HC1202" s="925"/>
      <c r="HD1202" s="925"/>
      <c r="HE1202" s="925"/>
      <c r="HF1202" s="925"/>
      <c r="HG1202" s="925"/>
      <c r="HH1202" s="925"/>
      <c r="HI1202" s="925"/>
      <c r="HJ1202" s="925"/>
      <c r="HK1202" s="925"/>
      <c r="HL1202" s="925"/>
      <c r="HM1202" s="925"/>
      <c r="HN1202" s="925"/>
      <c r="HO1202" s="925"/>
      <c r="HP1202" s="925"/>
      <c r="HQ1202" s="925"/>
      <c r="HR1202" s="925"/>
      <c r="HS1202" s="925"/>
      <c r="HT1202" s="925"/>
      <c r="HU1202" s="925"/>
      <c r="HV1202" s="925"/>
      <c r="HW1202" s="925"/>
      <c r="HX1202" s="925"/>
      <c r="HY1202" s="925"/>
      <c r="HZ1202" s="925"/>
      <c r="IA1202" s="925"/>
      <c r="IB1202" s="925"/>
      <c r="IC1202" s="925"/>
      <c r="ID1202" s="925"/>
      <c r="IE1202" s="925"/>
      <c r="IF1202" s="925"/>
      <c r="IG1202" s="925"/>
      <c r="IH1202" s="925"/>
      <c r="II1202" s="925"/>
      <c r="IJ1202" s="925"/>
      <c r="IK1202" s="925"/>
      <c r="IL1202" s="925"/>
      <c r="IM1202" s="925"/>
      <c r="IN1202" s="925"/>
      <c r="IO1202" s="925"/>
      <c r="IP1202" s="925"/>
      <c r="IQ1202" s="925"/>
      <c r="IR1202" s="925"/>
      <c r="IS1202" s="925"/>
      <c r="IT1202" s="925"/>
      <c r="IU1202" s="925"/>
      <c r="IV1202" s="925"/>
      <c r="IW1202" s="925"/>
      <c r="IX1202" s="925"/>
      <c r="IY1202" s="925"/>
      <c r="IZ1202" s="925"/>
      <c r="JA1202" s="925"/>
      <c r="JB1202" s="925"/>
      <c r="JC1202" s="925"/>
      <c r="JD1202" s="925"/>
      <c r="JE1202" s="925"/>
      <c r="JF1202" s="925"/>
      <c r="JG1202" s="925"/>
      <c r="JH1202" s="925"/>
      <c r="JI1202" s="925"/>
      <c r="JJ1202" s="925"/>
      <c r="JK1202" s="925"/>
      <c r="JL1202" s="925"/>
      <c r="JM1202" s="925"/>
      <c r="JN1202" s="925"/>
      <c r="JO1202" s="925"/>
      <c r="JP1202" s="925"/>
      <c r="JQ1202" s="925"/>
      <c r="JR1202" s="925"/>
      <c r="JS1202" s="925"/>
      <c r="JT1202" s="925"/>
      <c r="JU1202" s="925"/>
      <c r="JV1202" s="925"/>
      <c r="JW1202" s="925"/>
      <c r="JX1202" s="925"/>
      <c r="JY1202" s="925"/>
      <c r="JZ1202" s="925"/>
      <c r="KA1202" s="925"/>
      <c r="KB1202" s="925"/>
      <c r="KC1202" s="925"/>
      <c r="KD1202" s="925"/>
      <c r="KE1202" s="925"/>
      <c r="KF1202" s="925"/>
      <c r="KG1202" s="925"/>
      <c r="KH1202" s="925"/>
      <c r="KI1202" s="925"/>
      <c r="KJ1202" s="925"/>
      <c r="KK1202" s="925"/>
      <c r="KL1202" s="925"/>
      <c r="KM1202" s="925"/>
      <c r="KN1202" s="925"/>
      <c r="KO1202" s="925"/>
      <c r="KP1202" s="925"/>
      <c r="KQ1202" s="925"/>
      <c r="KR1202" s="925"/>
      <c r="KS1202" s="925"/>
      <c r="KT1202" s="925"/>
      <c r="KU1202" s="925"/>
      <c r="KV1202" s="925"/>
      <c r="KW1202" s="925"/>
      <c r="KX1202" s="925"/>
      <c r="KY1202" s="925"/>
      <c r="KZ1202" s="925"/>
      <c r="LA1202" s="925"/>
      <c r="LB1202" s="925"/>
      <c r="LC1202" s="925"/>
      <c r="LD1202" s="925"/>
      <c r="LE1202" s="925"/>
      <c r="LF1202" s="925"/>
      <c r="LG1202" s="925"/>
      <c r="LH1202" s="925"/>
      <c r="LI1202" s="925"/>
      <c r="LJ1202" s="925"/>
      <c r="LK1202" s="925"/>
      <c r="LL1202" s="925"/>
      <c r="LM1202" s="925"/>
      <c r="LN1202" s="925"/>
      <c r="LO1202" s="925"/>
      <c r="LP1202" s="925"/>
      <c r="LQ1202" s="925"/>
      <c r="LR1202" s="925"/>
      <c r="LS1202" s="925"/>
      <c r="LT1202" s="925"/>
      <c r="LU1202" s="925"/>
      <c r="LV1202" s="925"/>
      <c r="LW1202" s="925"/>
      <c r="LX1202" s="925"/>
      <c r="LY1202" s="925"/>
      <c r="LZ1202" s="925"/>
      <c r="MA1202" s="925"/>
      <c r="MB1202" s="925"/>
      <c r="MC1202" s="925"/>
      <c r="MD1202" s="925"/>
      <c r="ME1202" s="925"/>
      <c r="MF1202" s="925"/>
      <c r="MG1202" s="925"/>
      <c r="MH1202" s="925"/>
      <c r="MI1202" s="925"/>
      <c r="MJ1202" s="925"/>
      <c r="MK1202" s="925"/>
      <c r="ML1202" s="925"/>
      <c r="MM1202" s="925"/>
      <c r="MN1202" s="925"/>
      <c r="MO1202" s="925"/>
      <c r="MP1202" s="925"/>
      <c r="MQ1202" s="925"/>
      <c r="MR1202" s="925"/>
      <c r="MS1202" s="925"/>
      <c r="MT1202" s="925"/>
      <c r="MU1202" s="925"/>
      <c r="MV1202" s="925"/>
      <c r="MW1202" s="925"/>
      <c r="MX1202" s="925"/>
      <c r="MY1202" s="925"/>
      <c r="MZ1202" s="925"/>
      <c r="NA1202" s="925"/>
      <c r="NB1202" s="925"/>
      <c r="NC1202" s="925"/>
      <c r="ND1202" s="925"/>
      <c r="NE1202" s="925"/>
      <c r="NF1202" s="925"/>
      <c r="NG1202" s="925"/>
      <c r="NH1202" s="925"/>
      <c r="NI1202" s="925"/>
      <c r="NJ1202" s="925"/>
      <c r="NK1202" s="925"/>
      <c r="NL1202" s="925"/>
      <c r="NM1202" s="925"/>
      <c r="NN1202" s="925"/>
      <c r="NO1202" s="925"/>
      <c r="NP1202" s="925"/>
      <c r="NQ1202" s="925"/>
      <c r="NR1202" s="925"/>
      <c r="NS1202" s="925"/>
      <c r="NT1202" s="925"/>
      <c r="NU1202" s="925"/>
      <c r="NV1202" s="925"/>
      <c r="NW1202" s="925"/>
      <c r="NX1202" s="925"/>
      <c r="NY1202" s="925"/>
      <c r="NZ1202" s="925"/>
      <c r="OA1202" s="925"/>
      <c r="OB1202" s="925"/>
      <c r="OC1202" s="925"/>
      <c r="OD1202" s="925"/>
      <c r="OE1202" s="925"/>
      <c r="OF1202" s="925"/>
      <c r="OG1202" s="925"/>
      <c r="OH1202" s="925"/>
      <c r="OI1202" s="925"/>
      <c r="OJ1202" s="925"/>
      <c r="OK1202" s="925"/>
      <c r="OL1202" s="925"/>
      <c r="OM1202" s="925"/>
      <c r="ON1202" s="925"/>
      <c r="OO1202" s="925"/>
      <c r="OP1202" s="925"/>
      <c r="OQ1202" s="925"/>
      <c r="OR1202" s="925"/>
      <c r="OS1202" s="925"/>
      <c r="OT1202" s="925"/>
      <c r="OU1202" s="925"/>
      <c r="OV1202" s="925"/>
      <c r="OW1202" s="925"/>
      <c r="OX1202" s="925"/>
      <c r="OY1202" s="925"/>
      <c r="OZ1202" s="925"/>
      <c r="PA1202" s="925"/>
      <c r="PB1202" s="925"/>
      <c r="PC1202" s="925"/>
      <c r="PD1202" s="925"/>
      <c r="PE1202" s="925"/>
      <c r="PF1202" s="925"/>
      <c r="PG1202" s="925"/>
      <c r="PH1202" s="925"/>
      <c r="PI1202" s="925"/>
      <c r="PJ1202" s="925"/>
      <c r="PK1202" s="925"/>
      <c r="PL1202" s="925"/>
      <c r="PM1202" s="925"/>
      <c r="PN1202" s="925"/>
      <c r="PO1202" s="925"/>
      <c r="PP1202" s="925"/>
      <c r="PQ1202" s="925"/>
      <c r="PR1202" s="925"/>
      <c r="PS1202" s="925"/>
      <c r="PT1202" s="925"/>
      <c r="PU1202" s="925"/>
      <c r="PV1202" s="925"/>
      <c r="PW1202" s="925"/>
      <c r="PX1202" s="925"/>
      <c r="PY1202" s="925"/>
      <c r="PZ1202" s="925"/>
      <c r="QA1202" s="925"/>
      <c r="QB1202" s="925"/>
      <c r="QC1202" s="925"/>
      <c r="QD1202" s="925"/>
      <c r="QE1202" s="925"/>
      <c r="QF1202" s="925"/>
      <c r="QG1202" s="925"/>
      <c r="QH1202" s="925"/>
      <c r="QI1202" s="925"/>
      <c r="QJ1202" s="925"/>
      <c r="QK1202" s="925"/>
      <c r="QL1202" s="925"/>
      <c r="QM1202" s="925"/>
      <c r="QN1202" s="925"/>
      <c r="QO1202" s="925"/>
      <c r="QP1202" s="925"/>
      <c r="QQ1202" s="925"/>
      <c r="QR1202" s="925"/>
      <c r="QS1202" s="925"/>
      <c r="QT1202" s="925"/>
      <c r="QU1202" s="925"/>
      <c r="QV1202" s="925"/>
      <c r="QW1202" s="925"/>
      <c r="QX1202" s="925"/>
      <c r="QY1202" s="925"/>
      <c r="QZ1202" s="925"/>
      <c r="RA1202" s="925"/>
      <c r="RB1202" s="925"/>
      <c r="RC1202" s="925"/>
      <c r="RD1202" s="925"/>
      <c r="RE1202" s="925"/>
      <c r="RF1202" s="925"/>
      <c r="RG1202" s="925"/>
      <c r="RH1202" s="925"/>
      <c r="RI1202" s="925"/>
      <c r="RJ1202" s="925"/>
      <c r="RK1202" s="925"/>
      <c r="RL1202" s="925"/>
      <c r="RM1202" s="925"/>
      <c r="RN1202" s="925"/>
      <c r="RO1202" s="925"/>
      <c r="RP1202" s="925"/>
      <c r="RQ1202" s="925"/>
      <c r="RR1202" s="925"/>
      <c r="RS1202" s="925"/>
      <c r="RT1202" s="925"/>
      <c r="RU1202" s="925"/>
      <c r="RV1202" s="925"/>
      <c r="RW1202" s="925"/>
      <c r="RX1202" s="925"/>
      <c r="RY1202" s="925"/>
      <c r="RZ1202" s="925"/>
      <c r="SA1202" s="925"/>
      <c r="SB1202" s="925"/>
      <c r="SC1202" s="925"/>
      <c r="SD1202" s="925"/>
      <c r="SE1202" s="925"/>
      <c r="SF1202" s="925"/>
      <c r="SG1202" s="925"/>
      <c r="SH1202" s="925"/>
      <c r="SI1202" s="925"/>
      <c r="SJ1202" s="925"/>
      <c r="SK1202" s="925"/>
      <c r="SL1202" s="925"/>
      <c r="SM1202" s="925"/>
      <c r="SN1202" s="925"/>
      <c r="SO1202" s="925"/>
      <c r="SP1202" s="925"/>
      <c r="SQ1202" s="925"/>
      <c r="SR1202" s="925"/>
      <c r="SS1202" s="925"/>
      <c r="ST1202" s="925"/>
      <c r="SU1202" s="925"/>
      <c r="SV1202" s="925"/>
      <c r="SW1202" s="925"/>
      <c r="SX1202" s="925"/>
      <c r="SY1202" s="925"/>
      <c r="SZ1202" s="925"/>
      <c r="TA1202" s="925"/>
      <c r="TB1202" s="925"/>
      <c r="TC1202" s="925"/>
      <c r="TD1202" s="925"/>
      <c r="TE1202" s="925"/>
      <c r="TF1202" s="925"/>
      <c r="TG1202" s="925"/>
      <c r="TH1202" s="925"/>
      <c r="TI1202" s="925"/>
      <c r="TJ1202" s="925"/>
      <c r="TK1202" s="925"/>
      <c r="TL1202" s="925"/>
      <c r="TM1202" s="925"/>
      <c r="TN1202" s="925"/>
      <c r="TO1202" s="925"/>
      <c r="TP1202" s="925"/>
      <c r="TQ1202" s="925"/>
      <c r="TR1202" s="925"/>
      <c r="TS1202" s="925"/>
      <c r="TT1202" s="925"/>
      <c r="TU1202" s="925"/>
      <c r="TV1202" s="925"/>
      <c r="TW1202" s="925"/>
      <c r="TX1202" s="925"/>
      <c r="TY1202" s="925"/>
      <c r="TZ1202" s="925"/>
      <c r="UA1202" s="925"/>
      <c r="UB1202" s="925"/>
      <c r="UC1202" s="925"/>
      <c r="UD1202" s="925"/>
      <c r="UE1202" s="925"/>
      <c r="UF1202" s="925"/>
      <c r="UG1202" s="925"/>
      <c r="UH1202" s="925"/>
      <c r="UI1202" s="925"/>
      <c r="UJ1202" s="925"/>
      <c r="UK1202" s="925"/>
      <c r="UL1202" s="925"/>
      <c r="UM1202" s="925"/>
      <c r="UN1202" s="925"/>
      <c r="UO1202" s="925"/>
      <c r="UP1202" s="925"/>
      <c r="UQ1202" s="925"/>
      <c r="UR1202" s="925"/>
      <c r="US1202" s="925"/>
      <c r="UT1202" s="925"/>
      <c r="UU1202" s="925"/>
      <c r="UV1202" s="925"/>
      <c r="UW1202" s="925"/>
      <c r="UX1202" s="925"/>
      <c r="UY1202" s="925"/>
      <c r="UZ1202" s="925"/>
      <c r="VA1202" s="925"/>
      <c r="VB1202" s="925"/>
      <c r="VC1202" s="925"/>
      <c r="VD1202" s="925"/>
      <c r="VE1202" s="925"/>
      <c r="VF1202" s="925"/>
      <c r="VG1202" s="925"/>
      <c r="VH1202" s="925"/>
      <c r="VI1202" s="925"/>
      <c r="VJ1202" s="925"/>
      <c r="VK1202" s="925"/>
      <c r="VL1202" s="925"/>
      <c r="VM1202" s="925"/>
      <c r="VN1202" s="925"/>
      <c r="VO1202" s="925"/>
      <c r="VP1202" s="925"/>
      <c r="VQ1202" s="925"/>
      <c r="VR1202" s="925"/>
      <c r="VS1202" s="925"/>
      <c r="VT1202" s="925"/>
      <c r="VU1202" s="925"/>
      <c r="VV1202" s="925"/>
      <c r="VW1202" s="925"/>
      <c r="VX1202" s="925"/>
      <c r="VY1202" s="925"/>
      <c r="VZ1202" s="925"/>
      <c r="WA1202" s="925"/>
      <c r="WB1202" s="925"/>
      <c r="WC1202" s="925"/>
      <c r="WD1202" s="925"/>
      <c r="WE1202" s="925"/>
      <c r="WF1202" s="925"/>
      <c r="WG1202" s="925"/>
      <c r="WH1202" s="925"/>
      <c r="WI1202" s="925"/>
      <c r="WJ1202" s="925"/>
      <c r="WK1202" s="925"/>
      <c r="WL1202" s="925"/>
      <c r="WM1202" s="925"/>
      <c r="WN1202" s="925"/>
      <c r="WO1202" s="925"/>
      <c r="WP1202" s="925"/>
      <c r="WQ1202" s="925"/>
      <c r="WR1202" s="925"/>
      <c r="WS1202" s="925"/>
      <c r="WT1202" s="925"/>
      <c r="WU1202" s="925"/>
      <c r="WV1202" s="925"/>
      <c r="WW1202" s="925"/>
      <c r="WX1202" s="925"/>
      <c r="WY1202" s="925"/>
      <c r="WZ1202" s="925"/>
      <c r="XA1202" s="925"/>
      <c r="XB1202" s="925"/>
      <c r="XC1202" s="925"/>
      <c r="XD1202" s="925"/>
      <c r="XE1202" s="925"/>
      <c r="XF1202" s="925"/>
      <c r="XG1202" s="925"/>
      <c r="XH1202" s="925"/>
      <c r="XI1202" s="925"/>
      <c r="XJ1202" s="925"/>
      <c r="XK1202" s="925"/>
      <c r="XL1202" s="925"/>
      <c r="XM1202" s="925"/>
      <c r="XN1202" s="925"/>
      <c r="XO1202" s="925"/>
      <c r="XP1202" s="925"/>
      <c r="XQ1202" s="925"/>
      <c r="XR1202" s="925"/>
      <c r="XS1202" s="925"/>
      <c r="XT1202" s="925"/>
      <c r="XU1202" s="925"/>
      <c r="XV1202" s="925"/>
      <c r="XW1202" s="925"/>
      <c r="XX1202" s="925"/>
      <c r="XY1202" s="925"/>
      <c r="XZ1202" s="925"/>
      <c r="YA1202" s="925"/>
      <c r="YB1202" s="925"/>
      <c r="YC1202" s="925"/>
      <c r="YD1202" s="925"/>
      <c r="YE1202" s="925"/>
      <c r="YF1202" s="925"/>
      <c r="YG1202" s="925"/>
      <c r="YH1202" s="925"/>
      <c r="YI1202" s="925"/>
      <c r="YJ1202" s="925"/>
      <c r="YK1202" s="925"/>
      <c r="YL1202" s="925"/>
      <c r="YM1202" s="925"/>
      <c r="YN1202" s="925"/>
      <c r="YO1202" s="925"/>
      <c r="YP1202" s="925"/>
      <c r="YQ1202" s="925"/>
      <c r="YR1202" s="925"/>
      <c r="YS1202" s="925"/>
      <c r="YT1202" s="925"/>
      <c r="YU1202" s="925"/>
      <c r="YV1202" s="925"/>
      <c r="YW1202" s="925"/>
      <c r="YX1202" s="925"/>
      <c r="YY1202" s="925"/>
      <c r="YZ1202" s="925"/>
      <c r="ZA1202" s="925"/>
      <c r="ZB1202" s="925"/>
      <c r="ZC1202" s="925"/>
      <c r="ZD1202" s="925"/>
      <c r="ZE1202" s="925"/>
      <c r="ZF1202" s="925"/>
      <c r="ZG1202" s="925"/>
      <c r="ZH1202" s="925"/>
      <c r="ZI1202" s="925"/>
      <c r="ZJ1202" s="925"/>
      <c r="ZK1202" s="925"/>
      <c r="ZL1202" s="925"/>
      <c r="ZM1202" s="925"/>
      <c r="ZN1202" s="925"/>
      <c r="ZO1202" s="925"/>
      <c r="ZP1202" s="925"/>
      <c r="ZQ1202" s="925"/>
      <c r="ZR1202" s="925"/>
      <c r="ZS1202" s="925"/>
      <c r="ZT1202" s="925"/>
      <c r="ZU1202" s="925"/>
      <c r="ZV1202" s="925"/>
      <c r="ZW1202" s="925"/>
      <c r="ZX1202" s="925"/>
      <c r="ZY1202" s="925"/>
      <c r="ZZ1202" s="925"/>
      <c r="AAA1202" s="925"/>
      <c r="AAB1202" s="925"/>
      <c r="AAC1202" s="925"/>
      <c r="AAD1202" s="925"/>
      <c r="AAE1202" s="925"/>
      <c r="AAF1202" s="925"/>
      <c r="AAG1202" s="925"/>
      <c r="AAH1202" s="925"/>
      <c r="AAI1202" s="925"/>
      <c r="AAJ1202" s="925"/>
      <c r="AAK1202" s="925"/>
      <c r="AAL1202" s="925"/>
      <c r="AAM1202" s="925"/>
      <c r="AAN1202" s="925"/>
      <c r="AAO1202" s="925"/>
      <c r="AAP1202" s="925"/>
      <c r="AAQ1202" s="925"/>
      <c r="AAR1202" s="925"/>
      <c r="AAS1202" s="925"/>
      <c r="AAT1202" s="925"/>
      <c r="AAU1202" s="925"/>
      <c r="AAV1202" s="925"/>
      <c r="AAW1202" s="925"/>
      <c r="AAX1202" s="925"/>
      <c r="AAY1202" s="925"/>
      <c r="AAZ1202" s="925"/>
      <c r="ABA1202" s="925"/>
      <c r="ABB1202" s="925"/>
      <c r="ABC1202" s="925"/>
      <c r="ABD1202" s="925"/>
      <c r="ABE1202" s="925"/>
      <c r="ABF1202" s="925"/>
      <c r="ABG1202" s="925"/>
      <c r="ABH1202" s="925"/>
      <c r="ABI1202" s="925"/>
      <c r="ABJ1202" s="925"/>
      <c r="ABK1202" s="925"/>
      <c r="ABL1202" s="925"/>
      <c r="ABM1202" s="925"/>
      <c r="ABN1202" s="925"/>
      <c r="ABO1202" s="925"/>
      <c r="ABP1202" s="925"/>
      <c r="ABQ1202" s="925"/>
      <c r="ABR1202" s="925"/>
      <c r="ABS1202" s="925"/>
      <c r="ABT1202" s="925"/>
      <c r="ABU1202" s="925"/>
      <c r="ABV1202" s="925"/>
      <c r="ABW1202" s="925"/>
      <c r="ABX1202" s="925"/>
      <c r="ABY1202" s="925"/>
      <c r="ABZ1202" s="925"/>
      <c r="ACA1202" s="925"/>
      <c r="ACB1202" s="925"/>
      <c r="ACC1202" s="925"/>
      <c r="ACD1202" s="925"/>
      <c r="ACE1202" s="925"/>
      <c r="ACF1202" s="925"/>
      <c r="ACG1202" s="925"/>
      <c r="ACH1202" s="925"/>
      <c r="ACI1202" s="925"/>
      <c r="ACJ1202" s="925"/>
      <c r="ACK1202" s="925"/>
      <c r="ACL1202" s="925"/>
      <c r="ACM1202" s="925"/>
      <c r="ACN1202" s="925"/>
      <c r="ACO1202" s="925"/>
      <c r="ACP1202" s="925"/>
      <c r="ACQ1202" s="925"/>
      <c r="ACR1202" s="925"/>
      <c r="ACS1202" s="925"/>
      <c r="ACT1202" s="925"/>
      <c r="ACU1202" s="925"/>
      <c r="ACV1202" s="925"/>
      <c r="ACW1202" s="925"/>
      <c r="ACX1202" s="925"/>
      <c r="ACY1202" s="925"/>
      <c r="ACZ1202" s="925"/>
      <c r="ADA1202" s="925"/>
      <c r="ADB1202" s="925"/>
      <c r="ADC1202" s="925"/>
      <c r="ADD1202" s="925"/>
      <c r="ADE1202" s="925"/>
      <c r="ADF1202" s="925"/>
      <c r="ADG1202" s="925"/>
      <c r="ADH1202" s="925"/>
      <c r="ADI1202" s="925"/>
      <c r="ADJ1202" s="925"/>
      <c r="ADK1202" s="925"/>
      <c r="ADL1202" s="925"/>
      <c r="ADM1202" s="925"/>
      <c r="ADN1202" s="925"/>
      <c r="ADO1202" s="925"/>
      <c r="ADP1202" s="925"/>
      <c r="ADQ1202" s="925"/>
      <c r="ADR1202" s="925"/>
      <c r="ADS1202" s="925"/>
      <c r="ADT1202" s="925"/>
      <c r="ADU1202" s="925"/>
      <c r="ADV1202" s="925"/>
      <c r="ADW1202" s="925"/>
      <c r="ADX1202" s="925"/>
      <c r="ADY1202" s="925"/>
      <c r="ADZ1202" s="925"/>
      <c r="AEA1202" s="925"/>
      <c r="AEB1202" s="925"/>
      <c r="AEC1202" s="925"/>
      <c r="AED1202" s="925"/>
      <c r="AEE1202" s="925"/>
      <c r="AEF1202" s="925"/>
      <c r="AEG1202" s="925"/>
      <c r="AEH1202" s="925"/>
      <c r="AEI1202" s="925"/>
      <c r="AEJ1202" s="925"/>
      <c r="AEK1202" s="925"/>
      <c r="AEL1202" s="925"/>
      <c r="AEM1202" s="925"/>
      <c r="AEN1202" s="925"/>
      <c r="AEO1202" s="925"/>
      <c r="AEP1202" s="925"/>
      <c r="AEQ1202" s="925"/>
      <c r="AER1202" s="925"/>
      <c r="AES1202" s="925"/>
      <c r="AET1202" s="925"/>
      <c r="AEU1202" s="925"/>
      <c r="AEV1202" s="925"/>
      <c r="AEW1202" s="925"/>
      <c r="AEX1202" s="925"/>
      <c r="AEY1202" s="925"/>
      <c r="AEZ1202" s="925"/>
      <c r="AFA1202" s="925"/>
      <c r="AFB1202" s="925"/>
      <c r="AFC1202" s="925"/>
      <c r="AFD1202" s="925"/>
      <c r="AFE1202" s="925"/>
      <c r="AFF1202" s="925"/>
      <c r="AFG1202" s="925"/>
      <c r="AFH1202" s="925"/>
      <c r="AFI1202" s="925"/>
      <c r="AFJ1202" s="925"/>
      <c r="AFK1202" s="925"/>
      <c r="AFL1202" s="925"/>
      <c r="AFM1202" s="925"/>
      <c r="AFN1202" s="925"/>
      <c r="AFO1202" s="925"/>
      <c r="AFP1202" s="925"/>
      <c r="AFQ1202" s="925"/>
      <c r="AFR1202" s="925"/>
      <c r="AFS1202" s="925"/>
      <c r="AFT1202" s="925"/>
      <c r="AFU1202" s="925"/>
      <c r="AFV1202" s="925"/>
      <c r="AFW1202" s="925"/>
      <c r="AFX1202" s="925"/>
      <c r="AFY1202" s="925"/>
      <c r="AFZ1202" s="925"/>
      <c r="AGA1202" s="925"/>
      <c r="AGB1202" s="925"/>
      <c r="AGC1202" s="925"/>
      <c r="AGD1202" s="925"/>
      <c r="AGE1202" s="925"/>
      <c r="AGF1202" s="925"/>
      <c r="AGG1202" s="925"/>
      <c r="AGH1202" s="925"/>
      <c r="AGI1202" s="925"/>
      <c r="AGJ1202" s="925"/>
    </row>
    <row r="1203" spans="1:868" hidden="1">
      <c r="A1203" s="918" t="str">
        <f>Clothing!A279</f>
        <v>Clothing (product sector)</v>
      </c>
      <c r="B1203" s="918" t="str">
        <f>Clothing!B279</f>
        <v>Closed-toed shoes</v>
      </c>
      <c r="C1203" s="918" t="str">
        <f>Clothing!C279</f>
        <v>NL</v>
      </c>
      <c r="D1203" s="918" t="str">
        <f>Clothing!D279</f>
        <v>PVC</v>
      </c>
      <c r="E1203" s="921">
        <f>Clothing!E279</f>
        <v>0.42492030094842498</v>
      </c>
      <c r="F1203" s="918">
        <f>Clothing!F279</f>
        <v>1</v>
      </c>
      <c r="G1203" s="918" t="str">
        <f>Clothing!G279</f>
        <v>https://eeb.org/library/draft-product-environmental-footprint-category-rules-pefcr-apparel-and-footwear/</v>
      </c>
      <c r="H1203" s="922">
        <f>Clothing!H279</f>
        <v>2</v>
      </c>
      <c r="I1203" s="922" t="str">
        <f>Clothing!I279</f>
        <v/>
      </c>
      <c r="J1203" s="922">
        <f>Clothing!J279</f>
        <v>2</v>
      </c>
      <c r="K1203" s="922">
        <f>Clothing!K279</f>
        <v>1</v>
      </c>
      <c r="L1203" s="922">
        <f>Clothing!L279</f>
        <v>2</v>
      </c>
      <c r="M1203" s="922">
        <f>Clothing!M279</f>
        <v>3</v>
      </c>
      <c r="N1203" s="186">
        <f t="shared" si="99"/>
        <v>1.0301997916669636</v>
      </c>
      <c r="O1203" s="160" t="e">
        <f t="shared" si="100"/>
        <v>#VALUE!</v>
      </c>
    </row>
    <row r="1204" spans="1:868" hidden="1">
      <c r="A1204" s="918" t="str">
        <f>Clothing!A280</f>
        <v>Clothing (product sector)</v>
      </c>
      <c r="B1204" s="918" t="str">
        <f>Clothing!B280</f>
        <v>Closed-toed shoes</v>
      </c>
      <c r="C1204" s="918" t="str">
        <f>Clothing!C280</f>
        <v>NL</v>
      </c>
      <c r="D1204" s="918" t="str">
        <f>Clothing!D280</f>
        <v>RUBBER</v>
      </c>
      <c r="E1204" s="921">
        <f>Clothing!E280</f>
        <v>0.60875160214096102</v>
      </c>
      <c r="F1204" s="918">
        <f>Clothing!F280</f>
        <v>1</v>
      </c>
      <c r="G1204" s="918" t="str">
        <f>Clothing!G280</f>
        <v>https://eeb.org/library/draft-product-environmental-footprint-category-rules-pefcr-apparel-and-footwear/</v>
      </c>
      <c r="H1204" s="922">
        <f>Clothing!H280</f>
        <v>2</v>
      </c>
      <c r="I1204" s="922" t="str">
        <f>Clothing!I280</f>
        <v/>
      </c>
      <c r="J1204" s="922">
        <f>Clothing!J280</f>
        <v>2</v>
      </c>
      <c r="K1204" s="922">
        <f>Clothing!K280</f>
        <v>1</v>
      </c>
      <c r="L1204" s="922">
        <f>Clothing!L280</f>
        <v>2</v>
      </c>
      <c r="M1204" s="922">
        <f>Clothing!M280</f>
        <v>3</v>
      </c>
      <c r="N1204" s="186">
        <f t="shared" si="99"/>
        <v>1.0301997916669636</v>
      </c>
      <c r="O1204" s="160" t="e">
        <f t="shared" si="100"/>
        <v>#VALUE!</v>
      </c>
    </row>
    <row r="1205" spans="1:868" hidden="1">
      <c r="A1205" s="918" t="str">
        <f>Clothing!A281</f>
        <v>Clothing (product sector)</v>
      </c>
      <c r="B1205" s="918" t="str">
        <f>Clothing!B281</f>
        <v>Dresses skirts and jumpsuits</v>
      </c>
      <c r="C1205" s="918" t="str">
        <f>Clothing!C281</f>
        <v>NL</v>
      </c>
      <c r="D1205" s="918" t="str">
        <f>Clothing!D281</f>
        <v>Acryl</v>
      </c>
      <c r="E1205" s="921">
        <f>Clothing!E281</f>
        <v>0</v>
      </c>
      <c r="F1205" s="918">
        <f>Clothing!F281</f>
        <v>1</v>
      </c>
      <c r="G1205" s="918" t="str">
        <f>Clothing!G281</f>
        <v>https://eeb.org/library/draft-product-environmental-footprint-category-rules-pefcr-apparel-and-footwear/</v>
      </c>
      <c r="H1205" s="922">
        <f>Clothing!H281</f>
        <v>2</v>
      </c>
      <c r="I1205" s="922" t="str">
        <f>Clothing!I281</f>
        <v/>
      </c>
      <c r="J1205" s="922">
        <f>Clothing!J281</f>
        <v>2</v>
      </c>
      <c r="K1205" s="922">
        <f>Clothing!K281</f>
        <v>1</v>
      </c>
      <c r="L1205" s="922">
        <f>Clothing!L281</f>
        <v>2</v>
      </c>
      <c r="M1205" s="922">
        <f>Clothing!M281</f>
        <v>3</v>
      </c>
      <c r="N1205" s="186">
        <f t="shared" si="99"/>
        <v>1.0301997916669636</v>
      </c>
      <c r="O1205" s="160" t="e">
        <f t="shared" si="100"/>
        <v>#VALUE!</v>
      </c>
    </row>
    <row r="1206" spans="1:868" hidden="1">
      <c r="A1206" s="918" t="str">
        <f>Clothing!A282</f>
        <v>Clothing (product sector)</v>
      </c>
      <c r="B1206" s="918" t="str">
        <f>Clothing!B282</f>
        <v>Dresses skirts and jumpsuits</v>
      </c>
      <c r="C1206" s="918" t="str">
        <f>Clothing!C282</f>
        <v>NL</v>
      </c>
      <c r="D1206" s="918" t="str">
        <f>Clothing!D282</f>
        <v>OTHER</v>
      </c>
      <c r="E1206" s="921">
        <f>Clothing!E282</f>
        <v>0</v>
      </c>
      <c r="F1206" s="918">
        <f>Clothing!F282</f>
        <v>1</v>
      </c>
      <c r="G1206" s="918" t="str">
        <f>Clothing!G282</f>
        <v>https://eeb.org/library/draft-product-environmental-footprint-category-rules-pefcr-apparel-and-footwear/</v>
      </c>
      <c r="H1206" s="922">
        <f>Clothing!H282</f>
        <v>2</v>
      </c>
      <c r="I1206" s="922" t="str">
        <f>Clothing!I282</f>
        <v/>
      </c>
      <c r="J1206" s="922">
        <f>Clothing!J282</f>
        <v>2</v>
      </c>
      <c r="K1206" s="922">
        <f>Clothing!K282</f>
        <v>1</v>
      </c>
      <c r="L1206" s="922">
        <f>Clothing!L282</f>
        <v>2</v>
      </c>
      <c r="M1206" s="922">
        <f>Clothing!M282</f>
        <v>3</v>
      </c>
      <c r="N1206" s="186">
        <f t="shared" si="99"/>
        <v>1.0301997916669636</v>
      </c>
      <c r="O1206" s="160" t="e">
        <f t="shared" si="100"/>
        <v>#VALUE!</v>
      </c>
    </row>
    <row r="1207" spans="1:868" hidden="1">
      <c r="A1207" s="918" t="str">
        <f>Clothing!A283</f>
        <v>Clothing (product sector)</v>
      </c>
      <c r="B1207" s="918" t="str">
        <f>Clothing!B283</f>
        <v>Dresses skirts and jumpsuits</v>
      </c>
      <c r="C1207" s="918" t="str">
        <f>Clothing!C283</f>
        <v>NL</v>
      </c>
      <c r="D1207" s="918" t="str">
        <f>Clothing!D283</f>
        <v>PA</v>
      </c>
      <c r="E1207" s="921">
        <f>Clothing!E283</f>
        <v>2.6768924468610299E-2</v>
      </c>
      <c r="F1207" s="918">
        <f>Clothing!F283</f>
        <v>1</v>
      </c>
      <c r="G1207" s="918" t="str">
        <f>Clothing!G283</f>
        <v>https://eeb.org/library/draft-product-environmental-footprint-category-rules-pefcr-apparel-and-footwear/</v>
      </c>
      <c r="H1207" s="922">
        <f>Clothing!H283</f>
        <v>2</v>
      </c>
      <c r="I1207" s="922" t="str">
        <f>Clothing!I283</f>
        <v/>
      </c>
      <c r="J1207" s="922">
        <f>Clothing!J283</f>
        <v>2</v>
      </c>
      <c r="K1207" s="922">
        <f>Clothing!K283</f>
        <v>1</v>
      </c>
      <c r="L1207" s="922">
        <f>Clothing!L283</f>
        <v>2</v>
      </c>
      <c r="M1207" s="922">
        <f>Clothing!M283</f>
        <v>3</v>
      </c>
      <c r="N1207" s="186">
        <f t="shared" si="99"/>
        <v>1.0301997916669636</v>
      </c>
      <c r="O1207" s="160" t="e">
        <f t="shared" si="100"/>
        <v>#VALUE!</v>
      </c>
    </row>
    <row r="1208" spans="1:868" hidden="1">
      <c r="A1208" s="918" t="str">
        <f>Clothing!A284</f>
        <v>Clothing (product sector)</v>
      </c>
      <c r="B1208" s="918" t="str">
        <f>Clothing!B284</f>
        <v>Dresses skirts and jumpsuits</v>
      </c>
      <c r="C1208" s="918" t="str">
        <f>Clothing!C284</f>
        <v>NL</v>
      </c>
      <c r="D1208" s="918" t="str">
        <f>Clothing!D284</f>
        <v>PET</v>
      </c>
      <c r="E1208" s="921">
        <f>Clothing!E284</f>
        <v>3.7642965218586497E-2</v>
      </c>
      <c r="F1208" s="918">
        <f>Clothing!F284</f>
        <v>1</v>
      </c>
      <c r="G1208" s="918" t="str">
        <f>Clothing!G284</f>
        <v>https://eeb.org/library/draft-product-environmental-footprint-category-rules-pefcr-apparel-and-footwear/</v>
      </c>
      <c r="H1208" s="922">
        <f>Clothing!H284</f>
        <v>2</v>
      </c>
      <c r="I1208" s="922" t="str">
        <f>Clothing!I284</f>
        <v/>
      </c>
      <c r="J1208" s="922">
        <f>Clothing!J284</f>
        <v>2</v>
      </c>
      <c r="K1208" s="922">
        <f>Clothing!K284</f>
        <v>1</v>
      </c>
      <c r="L1208" s="922">
        <f>Clothing!L284</f>
        <v>2</v>
      </c>
      <c r="M1208" s="922">
        <f>Clothing!M284</f>
        <v>3</v>
      </c>
      <c r="N1208" s="186">
        <f t="shared" si="99"/>
        <v>1.0301997916669636</v>
      </c>
      <c r="O1208" s="160" t="e">
        <f t="shared" si="100"/>
        <v>#VALUE!</v>
      </c>
    </row>
    <row r="1209" spans="1:868" hidden="1">
      <c r="A1209" s="918" t="str">
        <f>Clothing!A285</f>
        <v>Clothing (product sector)</v>
      </c>
      <c r="B1209" s="918" t="str">
        <f>Clothing!B285</f>
        <v>Jackets and coats</v>
      </c>
      <c r="C1209" s="918" t="str">
        <f>Clothing!C285</f>
        <v>NL</v>
      </c>
      <c r="D1209" s="918" t="str">
        <f>Clothing!D285</f>
        <v>Acryl</v>
      </c>
      <c r="E1209" s="921">
        <f>Clothing!E285</f>
        <v>0.54133729510796103</v>
      </c>
      <c r="F1209" s="918">
        <f>Clothing!F285</f>
        <v>1</v>
      </c>
      <c r="G1209" s="918" t="str">
        <f>Clothing!G285</f>
        <v>https://eeb.org/library/draft-product-environmental-footprint-category-rules-pefcr-apparel-and-footwear/</v>
      </c>
      <c r="H1209" s="922">
        <f>Clothing!H285</f>
        <v>2</v>
      </c>
      <c r="I1209" s="922" t="str">
        <f>Clothing!I285</f>
        <v/>
      </c>
      <c r="J1209" s="922">
        <f>Clothing!J285</f>
        <v>2</v>
      </c>
      <c r="K1209" s="922">
        <f>Clothing!K285</f>
        <v>1</v>
      </c>
      <c r="L1209" s="922">
        <f>Clothing!L285</f>
        <v>2</v>
      </c>
      <c r="M1209" s="922">
        <f>Clothing!M285</f>
        <v>3</v>
      </c>
      <c r="N1209" s="186">
        <f t="shared" si="99"/>
        <v>1.0301997916669636</v>
      </c>
      <c r="O1209" s="160" t="e">
        <f t="shared" si="100"/>
        <v>#VALUE!</v>
      </c>
    </row>
    <row r="1210" spans="1:868" hidden="1">
      <c r="A1210" s="918" t="str">
        <f>Clothing!A286</f>
        <v>Clothing (product sector)</v>
      </c>
      <c r="B1210" s="918" t="str">
        <f>Clothing!B286</f>
        <v>Jackets and coats</v>
      </c>
      <c r="C1210" s="918" t="str">
        <f>Clothing!C286</f>
        <v>NL</v>
      </c>
      <c r="D1210" s="918" t="str">
        <f>Clothing!D286</f>
        <v>OTHER</v>
      </c>
      <c r="E1210" s="921">
        <f>Clothing!E286</f>
        <v>5.6392942598084E-2</v>
      </c>
      <c r="F1210" s="918">
        <f>Clothing!F286</f>
        <v>1</v>
      </c>
      <c r="G1210" s="918" t="str">
        <f>Clothing!G286</f>
        <v>https://eeb.org/library/draft-product-environmental-footprint-category-rules-pefcr-apparel-and-footwear/</v>
      </c>
      <c r="H1210" s="922">
        <f>Clothing!H286</f>
        <v>2</v>
      </c>
      <c r="I1210" s="922" t="str">
        <f>Clothing!I286</f>
        <v/>
      </c>
      <c r="J1210" s="922">
        <f>Clothing!J286</f>
        <v>2</v>
      </c>
      <c r="K1210" s="922">
        <f>Clothing!K286</f>
        <v>1</v>
      </c>
      <c r="L1210" s="922">
        <f>Clothing!L286</f>
        <v>2</v>
      </c>
      <c r="M1210" s="922">
        <f>Clothing!M286</f>
        <v>3</v>
      </c>
      <c r="N1210" s="186">
        <f t="shared" si="99"/>
        <v>1.0301997916669636</v>
      </c>
      <c r="O1210" s="160" t="e">
        <f t="shared" si="100"/>
        <v>#VALUE!</v>
      </c>
    </row>
    <row r="1211" spans="1:868" hidden="1">
      <c r="A1211" s="918" t="str">
        <f>Clothing!A287</f>
        <v>Clothing (product sector)</v>
      </c>
      <c r="B1211" s="918" t="str">
        <f>Clothing!B287</f>
        <v>Jackets and coats</v>
      </c>
      <c r="C1211" s="918" t="str">
        <f>Clothing!C287</f>
        <v>NL</v>
      </c>
      <c r="D1211" s="918" t="str">
        <f>Clothing!D287</f>
        <v>PA</v>
      </c>
      <c r="E1211" s="921">
        <f>Clothing!E287</f>
        <v>0.316751637003654</v>
      </c>
      <c r="F1211" s="918">
        <f>Clothing!F287</f>
        <v>1</v>
      </c>
      <c r="G1211" s="918" t="str">
        <f>Clothing!G287</f>
        <v>https://eeb.org/library/draft-product-environmental-footprint-category-rules-pefcr-apparel-and-footwear/</v>
      </c>
      <c r="H1211" s="922">
        <f>Clothing!H287</f>
        <v>2</v>
      </c>
      <c r="I1211" s="922" t="str">
        <f>Clothing!I287</f>
        <v/>
      </c>
      <c r="J1211" s="922">
        <f>Clothing!J287</f>
        <v>2</v>
      </c>
      <c r="K1211" s="922">
        <f>Clothing!K287</f>
        <v>1</v>
      </c>
      <c r="L1211" s="922">
        <f>Clothing!L287</f>
        <v>2</v>
      </c>
      <c r="M1211" s="922">
        <f>Clothing!M287</f>
        <v>3</v>
      </c>
      <c r="N1211" s="186">
        <f t="shared" si="99"/>
        <v>1.0301997916669636</v>
      </c>
      <c r="O1211" s="160" t="e">
        <f t="shared" si="100"/>
        <v>#VALUE!</v>
      </c>
    </row>
    <row r="1212" spans="1:868" hidden="1">
      <c r="A1212" s="918" t="str">
        <f>Clothing!A288</f>
        <v>Clothing (product sector)</v>
      </c>
      <c r="B1212" s="918" t="str">
        <f>Clothing!B288</f>
        <v>Jackets and coats</v>
      </c>
      <c r="C1212" s="918" t="str">
        <f>Clothing!C288</f>
        <v>NL</v>
      </c>
      <c r="D1212" s="918" t="str">
        <f>Clothing!D288</f>
        <v>PET</v>
      </c>
      <c r="E1212" s="921">
        <f>Clothing!E288</f>
        <v>0.177496509266894</v>
      </c>
      <c r="F1212" s="918">
        <f>Clothing!F288</f>
        <v>1</v>
      </c>
      <c r="G1212" s="918" t="str">
        <f>Clothing!G288</f>
        <v>https://eeb.org/library/draft-product-environmental-footprint-category-rules-pefcr-apparel-and-footwear/</v>
      </c>
      <c r="H1212" s="922">
        <f>Clothing!H288</f>
        <v>2</v>
      </c>
      <c r="I1212" s="922" t="str">
        <f>Clothing!I288</f>
        <v/>
      </c>
      <c r="J1212" s="922">
        <f>Clothing!J288</f>
        <v>2</v>
      </c>
      <c r="K1212" s="922">
        <f>Clothing!K288</f>
        <v>1</v>
      </c>
      <c r="L1212" s="922">
        <f>Clothing!L288</f>
        <v>2</v>
      </c>
      <c r="M1212" s="922">
        <f>Clothing!M288</f>
        <v>3</v>
      </c>
      <c r="N1212" s="186">
        <f t="shared" si="99"/>
        <v>1.0301997916669636</v>
      </c>
      <c r="O1212" s="160" t="e">
        <f t="shared" si="100"/>
        <v>#VALUE!</v>
      </c>
    </row>
    <row r="1213" spans="1:868" hidden="1">
      <c r="A1213" s="918" t="str">
        <f>Clothing!A289</f>
        <v>Clothing (product sector)</v>
      </c>
      <c r="B1213" s="918" t="str">
        <f>Clothing!B289</f>
        <v>Leggings stockings tights and socks</v>
      </c>
      <c r="C1213" s="918" t="str">
        <f>Clothing!C289</f>
        <v>NL</v>
      </c>
      <c r="D1213" s="918" t="str">
        <f>Clothing!D289</f>
        <v>Acryl</v>
      </c>
      <c r="E1213" s="921">
        <f>Clothing!E289</f>
        <v>8.7360882099383006E-3</v>
      </c>
      <c r="F1213" s="918">
        <f>Clothing!F289</f>
        <v>1</v>
      </c>
      <c r="G1213" s="918" t="str">
        <f>Clothing!G289</f>
        <v>https://eeb.org/library/draft-product-environmental-footprint-category-rules-pefcr-apparel-and-footwear/</v>
      </c>
      <c r="H1213" s="922">
        <f>Clothing!H289</f>
        <v>2</v>
      </c>
      <c r="I1213" s="922" t="str">
        <f>Clothing!I289</f>
        <v/>
      </c>
      <c r="J1213" s="922">
        <f>Clothing!J289</f>
        <v>2</v>
      </c>
      <c r="K1213" s="922">
        <f>Clothing!K289</f>
        <v>1</v>
      </c>
      <c r="L1213" s="922">
        <f>Clothing!L289</f>
        <v>2</v>
      </c>
      <c r="M1213" s="922">
        <f>Clothing!M289</f>
        <v>3</v>
      </c>
      <c r="N1213" s="186">
        <f t="shared" si="99"/>
        <v>1.0301997916669636</v>
      </c>
      <c r="O1213" s="160" t="e">
        <f t="shared" si="100"/>
        <v>#VALUE!</v>
      </c>
    </row>
    <row r="1214" spans="1:868" hidden="1">
      <c r="A1214" s="918" t="str">
        <f>Clothing!A290</f>
        <v>Clothing (product sector)</v>
      </c>
      <c r="B1214" s="918" t="str">
        <f>Clothing!B290</f>
        <v>Leggings stockings tights and socks</v>
      </c>
      <c r="C1214" s="918" t="str">
        <f>Clothing!C290</f>
        <v>NL</v>
      </c>
      <c r="D1214" s="918" t="str">
        <f>Clothing!D290</f>
        <v>OTHER</v>
      </c>
      <c r="E1214" s="921">
        <f>Clothing!E290</f>
        <v>7.1505338716285304E-3</v>
      </c>
      <c r="F1214" s="918">
        <f>Clothing!F290</f>
        <v>1</v>
      </c>
      <c r="G1214" s="918" t="str">
        <f>Clothing!G290</f>
        <v>https://eeb.org/library/draft-product-environmental-footprint-category-rules-pefcr-apparel-and-footwear/</v>
      </c>
      <c r="H1214" s="922">
        <f>Clothing!H290</f>
        <v>2</v>
      </c>
      <c r="I1214" s="922" t="str">
        <f>Clothing!I290</f>
        <v/>
      </c>
      <c r="J1214" s="922">
        <f>Clothing!J290</f>
        <v>2</v>
      </c>
      <c r="K1214" s="922">
        <f>Clothing!K290</f>
        <v>1</v>
      </c>
      <c r="L1214" s="922">
        <f>Clothing!L290</f>
        <v>2</v>
      </c>
      <c r="M1214" s="922">
        <f>Clothing!M290</f>
        <v>3</v>
      </c>
      <c r="N1214" s="186">
        <f t="shared" si="99"/>
        <v>1.0301997916669636</v>
      </c>
      <c r="O1214" s="160" t="e">
        <f t="shared" si="100"/>
        <v>#VALUE!</v>
      </c>
    </row>
    <row r="1215" spans="1:868" hidden="1">
      <c r="A1215" s="918" t="str">
        <f>Clothing!A291</f>
        <v>Clothing (product sector)</v>
      </c>
      <c r="B1215" s="918" t="str">
        <f>Clothing!B291</f>
        <v>Leggings stockings tights and socks</v>
      </c>
      <c r="C1215" s="918" t="str">
        <f>Clothing!C291</f>
        <v>NL</v>
      </c>
      <c r="D1215" s="918" t="str">
        <f>Clothing!D291</f>
        <v>PA</v>
      </c>
      <c r="E1215" s="921">
        <f>Clothing!E291</f>
        <v>1.6600952614077898E-2</v>
      </c>
      <c r="F1215" s="918">
        <f>Clothing!F291</f>
        <v>1</v>
      </c>
      <c r="G1215" s="918" t="str">
        <f>Clothing!G291</f>
        <v>https://eeb.org/library/draft-product-environmental-footprint-category-rules-pefcr-apparel-and-footwear/</v>
      </c>
      <c r="H1215" s="922">
        <f>Clothing!H291</f>
        <v>2</v>
      </c>
      <c r="I1215" s="922" t="str">
        <f>Clothing!I291</f>
        <v/>
      </c>
      <c r="J1215" s="922">
        <f>Clothing!J291</f>
        <v>2</v>
      </c>
      <c r="K1215" s="922">
        <f>Clothing!K291</f>
        <v>1</v>
      </c>
      <c r="L1215" s="922">
        <f>Clothing!L291</f>
        <v>2</v>
      </c>
      <c r="M1215" s="922">
        <f>Clothing!M291</f>
        <v>3</v>
      </c>
      <c r="N1215" s="186">
        <f t="shared" si="99"/>
        <v>1.0301997916669636</v>
      </c>
      <c r="O1215" s="160" t="e">
        <f t="shared" si="100"/>
        <v>#VALUE!</v>
      </c>
    </row>
    <row r="1216" spans="1:868" hidden="1">
      <c r="A1216" s="918" t="str">
        <f>Clothing!A292</f>
        <v>Clothing (product sector)</v>
      </c>
      <c r="B1216" s="918" t="str">
        <f>Clothing!B292</f>
        <v>Leggings stockings tights and socks</v>
      </c>
      <c r="C1216" s="918" t="str">
        <f>Clothing!C292</f>
        <v>NL</v>
      </c>
      <c r="D1216" s="918" t="str">
        <f>Clothing!D292</f>
        <v>PET</v>
      </c>
      <c r="E1216" s="921">
        <f>Clothing!E292</f>
        <v>2.3642950478169398E-3</v>
      </c>
      <c r="F1216" s="918">
        <f>Clothing!F292</f>
        <v>1</v>
      </c>
      <c r="G1216" s="918" t="str">
        <f>Clothing!G292</f>
        <v>https://eeb.org/library/draft-product-environmental-footprint-category-rules-pefcr-apparel-and-footwear/</v>
      </c>
      <c r="H1216" s="922">
        <f>Clothing!H292</f>
        <v>2</v>
      </c>
      <c r="I1216" s="922" t="str">
        <f>Clothing!I292</f>
        <v/>
      </c>
      <c r="J1216" s="922">
        <f>Clothing!J292</f>
        <v>2</v>
      </c>
      <c r="K1216" s="922">
        <f>Clothing!K292</f>
        <v>1</v>
      </c>
      <c r="L1216" s="922">
        <f>Clothing!L292</f>
        <v>2</v>
      </c>
      <c r="M1216" s="922">
        <f>Clothing!M292</f>
        <v>3</v>
      </c>
      <c r="N1216" s="186">
        <f t="shared" si="99"/>
        <v>1.0301997916669636</v>
      </c>
      <c r="O1216" s="160" t="e">
        <f t="shared" si="100"/>
        <v>#VALUE!</v>
      </c>
    </row>
    <row r="1217" spans="1:15" hidden="1">
      <c r="A1217" s="918" t="str">
        <f>Clothing!A293</f>
        <v>Clothing (product sector)</v>
      </c>
      <c r="B1217" s="918" t="str">
        <f>Clothing!B293</f>
        <v>Open-toed shoes</v>
      </c>
      <c r="C1217" s="918" t="str">
        <f>Clothing!C293</f>
        <v>NL</v>
      </c>
      <c r="D1217" s="918" t="str">
        <f>Clothing!D293</f>
        <v>OTHER</v>
      </c>
      <c r="E1217" s="921">
        <f>Clothing!E293</f>
        <v>0.29706901814013198</v>
      </c>
      <c r="F1217" s="918">
        <f>Clothing!F293</f>
        <v>1</v>
      </c>
      <c r="G1217" s="918" t="str">
        <f>Clothing!G293</f>
        <v>https://eeb.org/library/draft-product-environmental-footprint-category-rules-pefcr-apparel-and-footwear/</v>
      </c>
      <c r="H1217" s="922">
        <f>Clothing!H293</f>
        <v>2</v>
      </c>
      <c r="I1217" s="922" t="str">
        <f>Clothing!I293</f>
        <v/>
      </c>
      <c r="J1217" s="922">
        <f>Clothing!J293</f>
        <v>2</v>
      </c>
      <c r="K1217" s="922">
        <f>Clothing!K293</f>
        <v>1</v>
      </c>
      <c r="L1217" s="922">
        <f>Clothing!L293</f>
        <v>2</v>
      </c>
      <c r="M1217" s="922">
        <f>Clothing!M293</f>
        <v>3</v>
      </c>
      <c r="N1217" s="186">
        <f t="shared" si="99"/>
        <v>1.0301997916669636</v>
      </c>
      <c r="O1217" s="160" t="e">
        <f t="shared" si="100"/>
        <v>#VALUE!</v>
      </c>
    </row>
    <row r="1218" spans="1:15" hidden="1">
      <c r="A1218" s="918" t="str">
        <f>Clothing!A294</f>
        <v>Clothing (product sector)</v>
      </c>
      <c r="B1218" s="918" t="str">
        <f>Clothing!B294</f>
        <v>Open-toed shoes</v>
      </c>
      <c r="C1218" s="918" t="str">
        <f>Clothing!C294</f>
        <v>NL</v>
      </c>
      <c r="D1218" s="918" t="str">
        <f>Clothing!D294</f>
        <v>PA</v>
      </c>
      <c r="E1218" s="921">
        <f>Clothing!E294</f>
        <v>0</v>
      </c>
      <c r="F1218" s="918">
        <f>Clothing!F294</f>
        <v>1</v>
      </c>
      <c r="G1218" s="918" t="str">
        <f>Clothing!G294</f>
        <v>https://eeb.org/library/draft-product-environmental-footprint-category-rules-pefcr-apparel-and-footwear/</v>
      </c>
      <c r="H1218" s="922">
        <f>Clothing!H294</f>
        <v>2</v>
      </c>
      <c r="I1218" s="922" t="str">
        <f>Clothing!I294</f>
        <v/>
      </c>
      <c r="J1218" s="922">
        <f>Clothing!J294</f>
        <v>2</v>
      </c>
      <c r="K1218" s="922">
        <f>Clothing!K294</f>
        <v>1</v>
      </c>
      <c r="L1218" s="922">
        <f>Clothing!L294</f>
        <v>2</v>
      </c>
      <c r="M1218" s="922">
        <f>Clothing!M294</f>
        <v>3</v>
      </c>
      <c r="N1218" s="186">
        <f t="shared" si="99"/>
        <v>1.0301997916669636</v>
      </c>
      <c r="O1218" s="160" t="e">
        <f t="shared" si="100"/>
        <v>#VALUE!</v>
      </c>
    </row>
    <row r="1219" spans="1:15" hidden="1">
      <c r="A1219" s="918" t="str">
        <f>Clothing!A295</f>
        <v>Clothing (product sector)</v>
      </c>
      <c r="B1219" s="918" t="str">
        <f>Clothing!B295</f>
        <v>Open-toed shoes</v>
      </c>
      <c r="C1219" s="918" t="str">
        <f>Clothing!C295</f>
        <v>NL</v>
      </c>
      <c r="D1219" s="918" t="str">
        <f>Clothing!D295</f>
        <v>PET</v>
      </c>
      <c r="E1219" s="921">
        <f>Clothing!E295</f>
        <v>4.55368476843149E-3</v>
      </c>
      <c r="F1219" s="918">
        <f>Clothing!F295</f>
        <v>1</v>
      </c>
      <c r="G1219" s="918" t="str">
        <f>Clothing!G295</f>
        <v>https://eeb.org/library/draft-product-environmental-footprint-category-rules-pefcr-apparel-and-footwear/</v>
      </c>
      <c r="H1219" s="922">
        <f>Clothing!H295</f>
        <v>2</v>
      </c>
      <c r="I1219" s="922" t="str">
        <f>Clothing!I295</f>
        <v/>
      </c>
      <c r="J1219" s="922">
        <f>Clothing!J295</f>
        <v>2</v>
      </c>
      <c r="K1219" s="922">
        <f>Clothing!K295</f>
        <v>1</v>
      </c>
      <c r="L1219" s="922">
        <f>Clothing!L295</f>
        <v>2</v>
      </c>
      <c r="M1219" s="922">
        <f>Clothing!M295</f>
        <v>3</v>
      </c>
      <c r="N1219" s="186">
        <f t="shared" si="99"/>
        <v>1.0301997916669636</v>
      </c>
      <c r="O1219" s="160" t="e">
        <f t="shared" si="100"/>
        <v>#VALUE!</v>
      </c>
    </row>
    <row r="1220" spans="1:15" hidden="1">
      <c r="A1220" s="918" t="str">
        <f>Clothing!A296</f>
        <v>Clothing (product sector)</v>
      </c>
      <c r="B1220" s="918" t="str">
        <f>Clothing!B296</f>
        <v>Open-toed shoes</v>
      </c>
      <c r="C1220" s="918" t="str">
        <f>Clothing!C296</f>
        <v>NL</v>
      </c>
      <c r="D1220" s="918" t="str">
        <f>Clothing!D296</f>
        <v>PUR</v>
      </c>
      <c r="E1220" s="921">
        <f>Clothing!E296</f>
        <v>9.8031746472176898E-2</v>
      </c>
      <c r="F1220" s="918">
        <f>Clothing!F296</f>
        <v>1</v>
      </c>
      <c r="G1220" s="918" t="str">
        <f>Clothing!G296</f>
        <v>https://eeb.org/library/draft-product-environmental-footprint-category-rules-pefcr-apparel-and-footwear/</v>
      </c>
      <c r="H1220" s="922">
        <f>Clothing!H296</f>
        <v>2</v>
      </c>
      <c r="I1220" s="922" t="str">
        <f>Clothing!I296</f>
        <v/>
      </c>
      <c r="J1220" s="922">
        <f>Clothing!J296</f>
        <v>2</v>
      </c>
      <c r="K1220" s="922">
        <f>Clothing!K296</f>
        <v>1</v>
      </c>
      <c r="L1220" s="922">
        <f>Clothing!L296</f>
        <v>2</v>
      </c>
      <c r="M1220" s="922">
        <f>Clothing!M296</f>
        <v>3</v>
      </c>
      <c r="N1220" s="186">
        <f t="shared" si="99"/>
        <v>1.0301997916669636</v>
      </c>
      <c r="O1220" s="160" t="e">
        <f t="shared" si="100"/>
        <v>#VALUE!</v>
      </c>
    </row>
    <row r="1221" spans="1:15" hidden="1">
      <c r="A1221" s="918" t="str">
        <f>Clothing!A297</f>
        <v>Clothing (product sector)</v>
      </c>
      <c r="B1221" s="918" t="str">
        <f>Clothing!B297</f>
        <v>Open-toed shoes</v>
      </c>
      <c r="C1221" s="918" t="str">
        <f>Clothing!C297</f>
        <v>NL</v>
      </c>
      <c r="D1221" s="918" t="str">
        <f>Clothing!D297</f>
        <v>PVC</v>
      </c>
      <c r="E1221" s="921">
        <f>Clothing!E297</f>
        <v>0.116094456358476</v>
      </c>
      <c r="F1221" s="918">
        <f>Clothing!F297</f>
        <v>1</v>
      </c>
      <c r="G1221" s="918" t="str">
        <f>Clothing!G297</f>
        <v>https://eeb.org/library/draft-product-environmental-footprint-category-rules-pefcr-apparel-and-footwear/</v>
      </c>
      <c r="H1221" s="922">
        <f>Clothing!H297</f>
        <v>2</v>
      </c>
      <c r="I1221" s="922" t="str">
        <f>Clothing!I297</f>
        <v/>
      </c>
      <c r="J1221" s="922">
        <f>Clothing!J297</f>
        <v>2</v>
      </c>
      <c r="K1221" s="922">
        <f>Clothing!K297</f>
        <v>1</v>
      </c>
      <c r="L1221" s="922">
        <f>Clothing!L297</f>
        <v>2</v>
      </c>
      <c r="M1221" s="922">
        <f>Clothing!M297</f>
        <v>3</v>
      </c>
      <c r="N1221" s="186">
        <f t="shared" si="99"/>
        <v>1.0301997916669636</v>
      </c>
      <c r="O1221" s="160" t="e">
        <f t="shared" si="100"/>
        <v>#VALUE!</v>
      </c>
    </row>
    <row r="1222" spans="1:15" hidden="1">
      <c r="A1222" s="918" t="str">
        <f>Clothing!A298</f>
        <v>Clothing (product sector)</v>
      </c>
      <c r="B1222" s="918" t="str">
        <f>Clothing!B298</f>
        <v>Open-toed shoes</v>
      </c>
      <c r="C1222" s="918" t="str">
        <f>Clothing!C298</f>
        <v>NL</v>
      </c>
      <c r="D1222" s="918" t="str">
        <f>Clothing!D298</f>
        <v>RUBBER</v>
      </c>
      <c r="E1222" s="921">
        <f>Clothing!E298</f>
        <v>0.19750483750322201</v>
      </c>
      <c r="F1222" s="918">
        <f>Clothing!F298</f>
        <v>1</v>
      </c>
      <c r="G1222" s="918" t="str">
        <f>Clothing!G298</f>
        <v>https://eeb.org/library/draft-product-environmental-footprint-category-rules-pefcr-apparel-and-footwear/</v>
      </c>
      <c r="H1222" s="922">
        <f>Clothing!H298</f>
        <v>2</v>
      </c>
      <c r="I1222" s="922" t="str">
        <f>Clothing!I298</f>
        <v/>
      </c>
      <c r="J1222" s="922">
        <f>Clothing!J298</f>
        <v>2</v>
      </c>
      <c r="K1222" s="922">
        <f>Clothing!K298</f>
        <v>1</v>
      </c>
      <c r="L1222" s="922">
        <f>Clothing!L298</f>
        <v>2</v>
      </c>
      <c r="M1222" s="922">
        <f>Clothing!M298</f>
        <v>3</v>
      </c>
      <c r="N1222" s="186">
        <f t="shared" si="99"/>
        <v>1.0301997916669636</v>
      </c>
      <c r="O1222" s="160" t="e">
        <f t="shared" si="100"/>
        <v>#VALUE!</v>
      </c>
    </row>
    <row r="1223" spans="1:15" hidden="1">
      <c r="A1223" s="918" t="str">
        <f>Clothing!A299</f>
        <v>Clothing (product sector)</v>
      </c>
      <c r="B1223" s="918" t="str">
        <f>Clothing!B299</f>
        <v>Pants and shorts</v>
      </c>
      <c r="C1223" s="918" t="str">
        <f>Clothing!C299</f>
        <v>NL</v>
      </c>
      <c r="D1223" s="918" t="str">
        <f>Clothing!D299</f>
        <v>Acryl</v>
      </c>
      <c r="E1223" s="921">
        <f>Clothing!E299</f>
        <v>0</v>
      </c>
      <c r="F1223" s="918">
        <f>Clothing!F299</f>
        <v>1</v>
      </c>
      <c r="G1223" s="918" t="str">
        <f>Clothing!G299</f>
        <v>https://eeb.org/library/draft-product-environmental-footprint-category-rules-pefcr-apparel-and-footwear/</v>
      </c>
      <c r="H1223" s="922">
        <f>Clothing!H299</f>
        <v>2</v>
      </c>
      <c r="I1223" s="922" t="str">
        <f>Clothing!I299</f>
        <v/>
      </c>
      <c r="J1223" s="922">
        <f>Clothing!J299</f>
        <v>2</v>
      </c>
      <c r="K1223" s="922">
        <f>Clothing!K299</f>
        <v>1</v>
      </c>
      <c r="L1223" s="922">
        <f>Clothing!L299</f>
        <v>2</v>
      </c>
      <c r="M1223" s="922">
        <f>Clothing!M299</f>
        <v>3</v>
      </c>
      <c r="N1223" s="186">
        <f t="shared" si="99"/>
        <v>1.0301997916669636</v>
      </c>
      <c r="O1223" s="160" t="e">
        <f t="shared" si="100"/>
        <v>#VALUE!</v>
      </c>
    </row>
    <row r="1224" spans="1:15" hidden="1">
      <c r="A1224" s="918" t="str">
        <f>Clothing!A300</f>
        <v>Clothing (product sector)</v>
      </c>
      <c r="B1224" s="918" t="str">
        <f>Clothing!B300</f>
        <v>Pants and shorts</v>
      </c>
      <c r="C1224" s="918" t="str">
        <f>Clothing!C300</f>
        <v>NL</v>
      </c>
      <c r="D1224" s="918" t="str">
        <f>Clothing!D300</f>
        <v>OTHER</v>
      </c>
      <c r="E1224" s="921">
        <f>Clothing!E300</f>
        <v>0.24244671248286101</v>
      </c>
      <c r="F1224" s="918">
        <f>Clothing!F300</f>
        <v>1</v>
      </c>
      <c r="G1224" s="918" t="str">
        <f>Clothing!G300</f>
        <v>https://eeb.org/library/draft-product-environmental-footprint-category-rules-pefcr-apparel-and-footwear/</v>
      </c>
      <c r="H1224" s="922">
        <f>Clothing!H300</f>
        <v>2</v>
      </c>
      <c r="I1224" s="922" t="str">
        <f>Clothing!I300</f>
        <v/>
      </c>
      <c r="J1224" s="922">
        <f>Clothing!J300</f>
        <v>2</v>
      </c>
      <c r="K1224" s="922">
        <f>Clothing!K300</f>
        <v>1</v>
      </c>
      <c r="L1224" s="922">
        <f>Clothing!L300</f>
        <v>2</v>
      </c>
      <c r="M1224" s="922">
        <f>Clothing!M300</f>
        <v>3</v>
      </c>
      <c r="N1224" s="186">
        <f t="shared" si="99"/>
        <v>1.0301997916669636</v>
      </c>
      <c r="O1224" s="160" t="e">
        <f t="shared" si="100"/>
        <v>#VALUE!</v>
      </c>
    </row>
    <row r="1225" spans="1:15" hidden="1">
      <c r="A1225" s="918" t="str">
        <f>Clothing!A301</f>
        <v>Clothing (product sector)</v>
      </c>
      <c r="B1225" s="918" t="str">
        <f>Clothing!B301</f>
        <v>Pants and shorts</v>
      </c>
      <c r="C1225" s="918" t="str">
        <f>Clothing!C301</f>
        <v>NL</v>
      </c>
      <c r="D1225" s="918" t="str">
        <f>Clothing!D301</f>
        <v>PA</v>
      </c>
      <c r="E1225" s="921">
        <f>Clothing!E301</f>
        <v>0.28597607786863399</v>
      </c>
      <c r="F1225" s="918">
        <f>Clothing!F301</f>
        <v>1</v>
      </c>
      <c r="G1225" s="918" t="str">
        <f>Clothing!G301</f>
        <v>https://eeb.org/library/draft-product-environmental-footprint-category-rules-pefcr-apparel-and-footwear/</v>
      </c>
      <c r="H1225" s="922">
        <f>Clothing!H301</f>
        <v>2</v>
      </c>
      <c r="I1225" s="922" t="str">
        <f>Clothing!I301</f>
        <v/>
      </c>
      <c r="J1225" s="922">
        <f>Clothing!J301</f>
        <v>2</v>
      </c>
      <c r="K1225" s="922">
        <f>Clothing!K301</f>
        <v>1</v>
      </c>
      <c r="L1225" s="922">
        <f>Clothing!L301</f>
        <v>2</v>
      </c>
      <c r="M1225" s="922">
        <f>Clothing!M301</f>
        <v>3</v>
      </c>
      <c r="N1225" s="186">
        <f t="shared" si="99"/>
        <v>1.0301997916669636</v>
      </c>
      <c r="O1225" s="160" t="e">
        <f t="shared" si="100"/>
        <v>#VALUE!</v>
      </c>
    </row>
    <row r="1226" spans="1:15" hidden="1">
      <c r="A1226" s="918" t="str">
        <f>Clothing!A302</f>
        <v>Clothing (product sector)</v>
      </c>
      <c r="B1226" s="918" t="str">
        <f>Clothing!B302</f>
        <v>Pants and shorts</v>
      </c>
      <c r="C1226" s="918" t="str">
        <f>Clothing!C302</f>
        <v>NL</v>
      </c>
      <c r="D1226" s="918" t="str">
        <f>Clothing!D302</f>
        <v>PET</v>
      </c>
      <c r="E1226" s="921">
        <f>Clothing!E302</f>
        <v>0.29396686796317101</v>
      </c>
      <c r="F1226" s="918">
        <f>Clothing!F302</f>
        <v>1</v>
      </c>
      <c r="G1226" s="918" t="str">
        <f>Clothing!G302</f>
        <v>https://eeb.org/library/draft-product-environmental-footprint-category-rules-pefcr-apparel-and-footwear/</v>
      </c>
      <c r="H1226" s="922">
        <f>Clothing!H302</f>
        <v>2</v>
      </c>
      <c r="I1226" s="922" t="str">
        <f>Clothing!I302</f>
        <v/>
      </c>
      <c r="J1226" s="922">
        <f>Clothing!J302</f>
        <v>2</v>
      </c>
      <c r="K1226" s="922">
        <f>Clothing!K302</f>
        <v>1</v>
      </c>
      <c r="L1226" s="922">
        <f>Clothing!L302</f>
        <v>2</v>
      </c>
      <c r="M1226" s="922">
        <f>Clothing!M302</f>
        <v>3</v>
      </c>
      <c r="N1226" s="186">
        <f t="shared" si="99"/>
        <v>1.0301997916669636</v>
      </c>
      <c r="O1226" s="160" t="e">
        <f t="shared" si="100"/>
        <v>#VALUE!</v>
      </c>
    </row>
    <row r="1227" spans="1:15" hidden="1">
      <c r="A1227" s="918" t="str">
        <f>Clothing!A303</f>
        <v>Clothing (product sector)</v>
      </c>
      <c r="B1227" s="918" t="str">
        <f>Clothing!B303</f>
        <v>Shirts and blouses</v>
      </c>
      <c r="C1227" s="918" t="str">
        <f>Clothing!C303</f>
        <v>NL</v>
      </c>
      <c r="D1227" s="918" t="str">
        <f>Clothing!D303</f>
        <v>Acryl</v>
      </c>
      <c r="E1227" s="921">
        <f>Clothing!E303</f>
        <v>0</v>
      </c>
      <c r="F1227" s="918">
        <f>Clothing!F303</f>
        <v>1</v>
      </c>
      <c r="G1227" s="918" t="str">
        <f>Clothing!G303</f>
        <v>https://eeb.org/library/draft-product-environmental-footprint-category-rules-pefcr-apparel-and-footwear/</v>
      </c>
      <c r="H1227" s="922">
        <f>Clothing!H303</f>
        <v>2</v>
      </c>
      <c r="I1227" s="922" t="str">
        <f>Clothing!I303</f>
        <v/>
      </c>
      <c r="J1227" s="922">
        <f>Clothing!J303</f>
        <v>2</v>
      </c>
      <c r="K1227" s="922">
        <f>Clothing!K303</f>
        <v>1</v>
      </c>
      <c r="L1227" s="922">
        <f>Clothing!L303</f>
        <v>2</v>
      </c>
      <c r="M1227" s="922">
        <f>Clothing!M303</f>
        <v>3</v>
      </c>
      <c r="N1227" s="186">
        <f t="shared" si="99"/>
        <v>1.0301997916669636</v>
      </c>
      <c r="O1227" s="160" t="e">
        <f t="shared" si="100"/>
        <v>#VALUE!</v>
      </c>
    </row>
    <row r="1228" spans="1:15" hidden="1">
      <c r="A1228" s="918" t="str">
        <f>Clothing!A304</f>
        <v>Clothing (product sector)</v>
      </c>
      <c r="B1228" s="918" t="str">
        <f>Clothing!B304</f>
        <v>Shirts and blouses</v>
      </c>
      <c r="C1228" s="918" t="str">
        <f>Clothing!C304</f>
        <v>NL</v>
      </c>
      <c r="D1228" s="918" t="str">
        <f>Clothing!D304</f>
        <v>OTHER</v>
      </c>
      <c r="E1228" s="921">
        <f>Clothing!E304</f>
        <v>0</v>
      </c>
      <c r="F1228" s="918">
        <f>Clothing!F304</f>
        <v>1</v>
      </c>
      <c r="G1228" s="918" t="str">
        <f>Clothing!G304</f>
        <v>https://eeb.org/library/draft-product-environmental-footprint-category-rules-pefcr-apparel-and-footwear/</v>
      </c>
      <c r="H1228" s="922">
        <f>Clothing!H304</f>
        <v>2</v>
      </c>
      <c r="I1228" s="922" t="str">
        <f>Clothing!I304</f>
        <v/>
      </c>
      <c r="J1228" s="922">
        <f>Clothing!J304</f>
        <v>2</v>
      </c>
      <c r="K1228" s="922">
        <f>Clothing!K304</f>
        <v>1</v>
      </c>
      <c r="L1228" s="922">
        <f>Clothing!L304</f>
        <v>2</v>
      </c>
      <c r="M1228" s="922">
        <f>Clothing!M304</f>
        <v>3</v>
      </c>
      <c r="N1228" s="186">
        <f t="shared" si="99"/>
        <v>1.0301997916669636</v>
      </c>
      <c r="O1228" s="160" t="e">
        <f t="shared" si="100"/>
        <v>#VALUE!</v>
      </c>
    </row>
    <row r="1229" spans="1:15" hidden="1">
      <c r="A1229" s="918" t="str">
        <f>Clothing!A305</f>
        <v>Clothing (product sector)</v>
      </c>
      <c r="B1229" s="918" t="str">
        <f>Clothing!B305</f>
        <v>Shirts and blouses</v>
      </c>
      <c r="C1229" s="918" t="str">
        <f>Clothing!C305</f>
        <v>NL</v>
      </c>
      <c r="D1229" s="918" t="str">
        <f>Clothing!D305</f>
        <v>PA</v>
      </c>
      <c r="E1229" s="921">
        <f>Clothing!E305</f>
        <v>0</v>
      </c>
      <c r="F1229" s="918">
        <f>Clothing!F305</f>
        <v>1</v>
      </c>
      <c r="G1229" s="918" t="str">
        <f>Clothing!G305</f>
        <v>https://eeb.org/library/draft-product-environmental-footprint-category-rules-pefcr-apparel-and-footwear/</v>
      </c>
      <c r="H1229" s="922">
        <f>Clothing!H305</f>
        <v>2</v>
      </c>
      <c r="I1229" s="922" t="str">
        <f>Clothing!I305</f>
        <v/>
      </c>
      <c r="J1229" s="922">
        <f>Clothing!J305</f>
        <v>2</v>
      </c>
      <c r="K1229" s="922">
        <f>Clothing!K305</f>
        <v>1</v>
      </c>
      <c r="L1229" s="922">
        <f>Clothing!L305</f>
        <v>2</v>
      </c>
      <c r="M1229" s="922">
        <f>Clothing!M305</f>
        <v>3</v>
      </c>
      <c r="N1229" s="186">
        <f t="shared" si="99"/>
        <v>1.0301997916669636</v>
      </c>
      <c r="O1229" s="160" t="e">
        <f t="shared" si="100"/>
        <v>#VALUE!</v>
      </c>
    </row>
    <row r="1230" spans="1:15" hidden="1">
      <c r="A1230" s="918" t="str">
        <f>Clothing!A306</f>
        <v>Clothing (product sector)</v>
      </c>
      <c r="B1230" s="918" t="str">
        <f>Clothing!B306</f>
        <v>Shirts and blouses</v>
      </c>
      <c r="C1230" s="918" t="str">
        <f>Clothing!C306</f>
        <v>NL</v>
      </c>
      <c r="D1230" s="918" t="str">
        <f>Clothing!D306</f>
        <v>PET</v>
      </c>
      <c r="E1230" s="921">
        <f>Clothing!E306</f>
        <v>3.5289348959709699E-2</v>
      </c>
      <c r="F1230" s="918">
        <f>Clothing!F306</f>
        <v>1</v>
      </c>
      <c r="G1230" s="918" t="str">
        <f>Clothing!G306</f>
        <v>https://eeb.org/library/draft-product-environmental-footprint-category-rules-pefcr-apparel-and-footwear/</v>
      </c>
      <c r="H1230" s="922">
        <f>Clothing!H306</f>
        <v>2</v>
      </c>
      <c r="I1230" s="922" t="str">
        <f>Clothing!I306</f>
        <v/>
      </c>
      <c r="J1230" s="922">
        <f>Clothing!J306</f>
        <v>2</v>
      </c>
      <c r="K1230" s="922">
        <f>Clothing!K306</f>
        <v>1</v>
      </c>
      <c r="L1230" s="922">
        <f>Clothing!L306</f>
        <v>2</v>
      </c>
      <c r="M1230" s="922">
        <f>Clothing!M306</f>
        <v>3</v>
      </c>
      <c r="N1230" s="186">
        <f t="shared" si="99"/>
        <v>1.0301997916669636</v>
      </c>
      <c r="O1230" s="160" t="e">
        <f t="shared" si="100"/>
        <v>#VALUE!</v>
      </c>
    </row>
    <row r="1231" spans="1:15" hidden="1">
      <c r="A1231" s="918" t="str">
        <f>Clothing!A307</f>
        <v>Clothing (product sector)</v>
      </c>
      <c r="B1231" s="918" t="str">
        <f>Clothing!B307</f>
        <v>Sweaters and midlayers</v>
      </c>
      <c r="C1231" s="918" t="str">
        <f>Clothing!C307</f>
        <v>NL</v>
      </c>
      <c r="D1231" s="918" t="str">
        <f>Clothing!D307</f>
        <v>Acryl</v>
      </c>
      <c r="E1231" s="921">
        <f>Clothing!E307</f>
        <v>0.27112317706827499</v>
      </c>
      <c r="F1231" s="918">
        <f>Clothing!F307</f>
        <v>1</v>
      </c>
      <c r="G1231" s="918" t="str">
        <f>Clothing!G307</f>
        <v>https://eeb.org/library/draft-product-environmental-footprint-category-rules-pefcr-apparel-and-footwear/</v>
      </c>
      <c r="H1231" s="922">
        <f>Clothing!H307</f>
        <v>2</v>
      </c>
      <c r="I1231" s="922" t="str">
        <f>Clothing!I307</f>
        <v/>
      </c>
      <c r="J1231" s="922">
        <f>Clothing!J307</f>
        <v>2</v>
      </c>
      <c r="K1231" s="922">
        <f>Clothing!K307</f>
        <v>1</v>
      </c>
      <c r="L1231" s="922">
        <f>Clothing!L307</f>
        <v>2</v>
      </c>
      <c r="M1231" s="922">
        <f>Clothing!M307</f>
        <v>3</v>
      </c>
      <c r="N1231" s="186">
        <f t="shared" si="99"/>
        <v>1.0301997916669636</v>
      </c>
      <c r="O1231" s="160" t="e">
        <f t="shared" si="100"/>
        <v>#VALUE!</v>
      </c>
    </row>
    <row r="1232" spans="1:15" hidden="1">
      <c r="A1232" s="918" t="str">
        <f>Clothing!A308</f>
        <v>Clothing (product sector)</v>
      </c>
      <c r="B1232" s="918" t="str">
        <f>Clothing!B308</f>
        <v>Sweaters and midlayers</v>
      </c>
      <c r="C1232" s="918" t="str">
        <f>Clothing!C308</f>
        <v>NL</v>
      </c>
      <c r="D1232" s="918" t="str">
        <f>Clothing!D308</f>
        <v>OTHER</v>
      </c>
      <c r="E1232" s="921">
        <f>Clothing!E308</f>
        <v>0</v>
      </c>
      <c r="F1232" s="918">
        <f>Clothing!F308</f>
        <v>1</v>
      </c>
      <c r="G1232" s="918" t="str">
        <f>Clothing!G308</f>
        <v>https://eeb.org/library/draft-product-environmental-footprint-category-rules-pefcr-apparel-and-footwear/</v>
      </c>
      <c r="H1232" s="922">
        <f>Clothing!H308</f>
        <v>2</v>
      </c>
      <c r="I1232" s="922" t="str">
        <f>Clothing!I308</f>
        <v/>
      </c>
      <c r="J1232" s="922">
        <f>Clothing!J308</f>
        <v>2</v>
      </c>
      <c r="K1232" s="922">
        <f>Clothing!K308</f>
        <v>1</v>
      </c>
      <c r="L1232" s="922">
        <f>Clothing!L308</f>
        <v>2</v>
      </c>
      <c r="M1232" s="922">
        <f>Clothing!M308</f>
        <v>3</v>
      </c>
      <c r="N1232" s="186">
        <f t="shared" si="99"/>
        <v>1.0301997916669636</v>
      </c>
      <c r="O1232" s="160" t="e">
        <f t="shared" si="100"/>
        <v>#VALUE!</v>
      </c>
    </row>
    <row r="1233" spans="1:15" hidden="1">
      <c r="A1233" s="918" t="str">
        <f>Clothing!A309</f>
        <v>Clothing (product sector)</v>
      </c>
      <c r="B1233" s="918" t="str">
        <f>Clothing!B309</f>
        <v>Sweaters and midlayers</v>
      </c>
      <c r="C1233" s="918" t="str">
        <f>Clothing!C309</f>
        <v>NL</v>
      </c>
      <c r="D1233" s="918" t="str">
        <f>Clothing!D309</f>
        <v>PA</v>
      </c>
      <c r="E1233" s="921">
        <f>Clothing!E309</f>
        <v>4.6534921098200503E-2</v>
      </c>
      <c r="F1233" s="918">
        <f>Clothing!F309</f>
        <v>1</v>
      </c>
      <c r="G1233" s="918" t="str">
        <f>Clothing!G309</f>
        <v>https://eeb.org/library/draft-product-environmental-footprint-category-rules-pefcr-apparel-and-footwear/</v>
      </c>
      <c r="H1233" s="922">
        <f>Clothing!H309</f>
        <v>2</v>
      </c>
      <c r="I1233" s="922" t="str">
        <f>Clothing!I309</f>
        <v/>
      </c>
      <c r="J1233" s="922">
        <f>Clothing!J309</f>
        <v>2</v>
      </c>
      <c r="K1233" s="922">
        <f>Clothing!K309</f>
        <v>1</v>
      </c>
      <c r="L1233" s="922">
        <f>Clothing!L309</f>
        <v>2</v>
      </c>
      <c r="M1233" s="922">
        <f>Clothing!M309</f>
        <v>3</v>
      </c>
      <c r="N1233" s="186">
        <f t="shared" si="99"/>
        <v>1.0301997916669636</v>
      </c>
      <c r="O1233" s="160" t="e">
        <f t="shared" si="100"/>
        <v>#VALUE!</v>
      </c>
    </row>
    <row r="1234" spans="1:15" hidden="1">
      <c r="A1234" s="918" t="str">
        <f>Clothing!A310</f>
        <v>Clothing (product sector)</v>
      </c>
      <c r="B1234" s="918" t="str">
        <f>Clothing!B310</f>
        <v>Sweaters and midlayers</v>
      </c>
      <c r="C1234" s="918" t="str">
        <f>Clothing!C310</f>
        <v>NL</v>
      </c>
      <c r="D1234" s="918" t="str">
        <f>Clothing!D310</f>
        <v>PET</v>
      </c>
      <c r="E1234" s="921">
        <f>Clothing!E310</f>
        <v>0.12692557252900899</v>
      </c>
      <c r="F1234" s="918">
        <f>Clothing!F310</f>
        <v>1</v>
      </c>
      <c r="G1234" s="918" t="str">
        <f>Clothing!G310</f>
        <v>https://eeb.org/library/draft-product-environmental-footprint-category-rules-pefcr-apparel-and-footwear/</v>
      </c>
      <c r="H1234" s="922">
        <f>Clothing!H310</f>
        <v>2</v>
      </c>
      <c r="I1234" s="922" t="str">
        <f>Clothing!I310</f>
        <v/>
      </c>
      <c r="J1234" s="922">
        <f>Clothing!J310</f>
        <v>2</v>
      </c>
      <c r="K1234" s="922">
        <f>Clothing!K310</f>
        <v>1</v>
      </c>
      <c r="L1234" s="922">
        <f>Clothing!L310</f>
        <v>2</v>
      </c>
      <c r="M1234" s="922">
        <f>Clothing!M310</f>
        <v>3</v>
      </c>
      <c r="N1234" s="186">
        <f t="shared" si="99"/>
        <v>1.0301997916669636</v>
      </c>
      <c r="O1234" s="160" t="e">
        <f t="shared" si="100"/>
        <v>#VALUE!</v>
      </c>
    </row>
    <row r="1235" spans="1:15" hidden="1">
      <c r="A1235" s="918" t="str">
        <f>Clothing!A311</f>
        <v>Clothing (product sector)</v>
      </c>
      <c r="B1235" s="918" t="str">
        <f>Clothing!B311</f>
        <v>Swimwear</v>
      </c>
      <c r="C1235" s="918" t="str">
        <f>Clothing!C311</f>
        <v>NL</v>
      </c>
      <c r="D1235" s="918" t="str">
        <f>Clothing!D311</f>
        <v>Acryl</v>
      </c>
      <c r="E1235" s="921">
        <f>Clothing!E311</f>
        <v>0</v>
      </c>
      <c r="F1235" s="918">
        <f>Clothing!F311</f>
        <v>1</v>
      </c>
      <c r="G1235" s="918" t="str">
        <f>Clothing!G311</f>
        <v>https://eeb.org/library/draft-product-environmental-footprint-category-rules-pefcr-apparel-and-footwear/</v>
      </c>
      <c r="H1235" s="922">
        <f>Clothing!H311</f>
        <v>2</v>
      </c>
      <c r="I1235" s="922" t="str">
        <f>Clothing!I311</f>
        <v/>
      </c>
      <c r="J1235" s="922">
        <f>Clothing!J311</f>
        <v>2</v>
      </c>
      <c r="K1235" s="922">
        <f>Clothing!K311</f>
        <v>1</v>
      </c>
      <c r="L1235" s="922">
        <f>Clothing!L311</f>
        <v>2</v>
      </c>
      <c r="M1235" s="922">
        <f>Clothing!M311</f>
        <v>3</v>
      </c>
      <c r="N1235" s="186">
        <f t="shared" si="99"/>
        <v>1.0301997916669636</v>
      </c>
      <c r="O1235" s="160" t="e">
        <f t="shared" si="100"/>
        <v>#VALUE!</v>
      </c>
    </row>
    <row r="1236" spans="1:15" hidden="1">
      <c r="A1236" s="918" t="str">
        <f>Clothing!A312</f>
        <v>Clothing (product sector)</v>
      </c>
      <c r="B1236" s="918" t="str">
        <f>Clothing!B312</f>
        <v>Swimwear</v>
      </c>
      <c r="C1236" s="918" t="str">
        <f>Clothing!C312</f>
        <v>NL</v>
      </c>
      <c r="D1236" s="918" t="str">
        <f>Clothing!D312</f>
        <v>OTHER</v>
      </c>
      <c r="E1236" s="921">
        <f>Clothing!E312</f>
        <v>1.0791935569565101E-2</v>
      </c>
      <c r="F1236" s="918">
        <f>Clothing!F312</f>
        <v>1</v>
      </c>
      <c r="G1236" s="918" t="str">
        <f>Clothing!G312</f>
        <v>https://eeb.org/library/draft-product-environmental-footprint-category-rules-pefcr-apparel-and-footwear/</v>
      </c>
      <c r="H1236" s="922">
        <f>Clothing!H312</f>
        <v>2</v>
      </c>
      <c r="I1236" s="922" t="str">
        <f>Clothing!I312</f>
        <v/>
      </c>
      <c r="J1236" s="922">
        <f>Clothing!J312</f>
        <v>2</v>
      </c>
      <c r="K1236" s="922">
        <f>Clothing!K312</f>
        <v>1</v>
      </c>
      <c r="L1236" s="922">
        <f>Clothing!L312</f>
        <v>2</v>
      </c>
      <c r="M1236" s="922">
        <f>Clothing!M312</f>
        <v>3</v>
      </c>
      <c r="N1236" s="186">
        <f t="shared" si="99"/>
        <v>1.0301997916669636</v>
      </c>
      <c r="O1236" s="160" t="e">
        <f t="shared" si="100"/>
        <v>#VALUE!</v>
      </c>
    </row>
    <row r="1237" spans="1:15" hidden="1">
      <c r="A1237" s="918" t="str">
        <f>Clothing!A313</f>
        <v>Clothing (product sector)</v>
      </c>
      <c r="B1237" s="918" t="str">
        <f>Clothing!B313</f>
        <v>Swimwear</v>
      </c>
      <c r="C1237" s="918" t="str">
        <f>Clothing!C313</f>
        <v>NL</v>
      </c>
      <c r="D1237" s="918" t="str">
        <f>Clothing!D313</f>
        <v>PA</v>
      </c>
      <c r="E1237" s="921">
        <f>Clothing!E313</f>
        <v>4.1219466628532E-2</v>
      </c>
      <c r="F1237" s="918">
        <f>Clothing!F313</f>
        <v>1</v>
      </c>
      <c r="G1237" s="918" t="str">
        <f>Clothing!G313</f>
        <v>https://eeb.org/library/draft-product-environmental-footprint-category-rules-pefcr-apparel-and-footwear/</v>
      </c>
      <c r="H1237" s="922">
        <f>Clothing!H313</f>
        <v>2</v>
      </c>
      <c r="I1237" s="922" t="str">
        <f>Clothing!I313</f>
        <v/>
      </c>
      <c r="J1237" s="922">
        <f>Clothing!J313</f>
        <v>2</v>
      </c>
      <c r="K1237" s="922">
        <f>Clothing!K313</f>
        <v>1</v>
      </c>
      <c r="L1237" s="922">
        <f>Clothing!L313</f>
        <v>2</v>
      </c>
      <c r="M1237" s="922">
        <f>Clothing!M313</f>
        <v>3</v>
      </c>
      <c r="N1237" s="186">
        <f t="shared" si="99"/>
        <v>1.0301997916669636</v>
      </c>
      <c r="O1237" s="160" t="e">
        <f t="shared" si="100"/>
        <v>#VALUE!</v>
      </c>
    </row>
    <row r="1238" spans="1:15" hidden="1">
      <c r="A1238" s="918" t="str">
        <f>Clothing!A314</f>
        <v>Clothing (product sector)</v>
      </c>
      <c r="B1238" s="918" t="str">
        <f>Clothing!B314</f>
        <v>Swimwear</v>
      </c>
      <c r="C1238" s="918" t="str">
        <f>Clothing!C314</f>
        <v>NL</v>
      </c>
      <c r="D1238" s="918" t="str">
        <f>Clothing!D314</f>
        <v>PET</v>
      </c>
      <c r="E1238" s="921">
        <f>Clothing!E314</f>
        <v>6.7935128176699004E-3</v>
      </c>
      <c r="F1238" s="918">
        <f>Clothing!F314</f>
        <v>1</v>
      </c>
      <c r="G1238" s="918" t="str">
        <f>Clothing!G314</f>
        <v>https://eeb.org/library/draft-product-environmental-footprint-category-rules-pefcr-apparel-and-footwear/</v>
      </c>
      <c r="H1238" s="922">
        <f>Clothing!H314</f>
        <v>2</v>
      </c>
      <c r="I1238" s="922" t="str">
        <f>Clothing!I314</f>
        <v/>
      </c>
      <c r="J1238" s="922">
        <f>Clothing!J314</f>
        <v>2</v>
      </c>
      <c r="K1238" s="922">
        <f>Clothing!K314</f>
        <v>1</v>
      </c>
      <c r="L1238" s="922">
        <f>Clothing!L314</f>
        <v>2</v>
      </c>
      <c r="M1238" s="922">
        <f>Clothing!M314</f>
        <v>3</v>
      </c>
      <c r="N1238" s="186">
        <f t="shared" si="99"/>
        <v>1.0301997916669636</v>
      </c>
      <c r="O1238" s="160" t="e">
        <f t="shared" si="100"/>
        <v>#VALUE!</v>
      </c>
    </row>
    <row r="1239" spans="1:15" hidden="1">
      <c r="A1239" s="918" t="str">
        <f>Clothing!A315</f>
        <v>Clothing (product sector)</v>
      </c>
      <c r="B1239" s="918" t="str">
        <f>Clothing!B315</f>
        <v>T-shirts</v>
      </c>
      <c r="C1239" s="918" t="str">
        <f>Clothing!C315</f>
        <v>NL</v>
      </c>
      <c r="D1239" s="918" t="str">
        <f>Clothing!D315</f>
        <v>Acryl</v>
      </c>
      <c r="E1239" s="921">
        <f>Clothing!E315</f>
        <v>0</v>
      </c>
      <c r="F1239" s="918">
        <f>Clothing!F315</f>
        <v>1</v>
      </c>
      <c r="G1239" s="918" t="str">
        <f>Clothing!G315</f>
        <v>https://eeb.org/library/draft-product-environmental-footprint-category-rules-pefcr-apparel-and-footwear/</v>
      </c>
      <c r="H1239" s="922">
        <f>Clothing!H315</f>
        <v>2</v>
      </c>
      <c r="I1239" s="922" t="str">
        <f>Clothing!I315</f>
        <v/>
      </c>
      <c r="J1239" s="922">
        <f>Clothing!J315</f>
        <v>2</v>
      </c>
      <c r="K1239" s="922">
        <f>Clothing!K315</f>
        <v>1</v>
      </c>
      <c r="L1239" s="922">
        <f>Clothing!L315</f>
        <v>2</v>
      </c>
      <c r="M1239" s="922">
        <f>Clothing!M315</f>
        <v>3</v>
      </c>
      <c r="N1239" s="186">
        <f t="shared" si="99"/>
        <v>1.0301997916669636</v>
      </c>
      <c r="O1239" s="160" t="e">
        <f t="shared" si="100"/>
        <v>#VALUE!</v>
      </c>
    </row>
    <row r="1240" spans="1:15" hidden="1">
      <c r="A1240" s="918" t="str">
        <f>Clothing!A316</f>
        <v>Clothing (product sector)</v>
      </c>
      <c r="B1240" s="918" t="str">
        <f>Clothing!B316</f>
        <v>T-shirts</v>
      </c>
      <c r="C1240" s="918" t="str">
        <f>Clothing!C316</f>
        <v>NL</v>
      </c>
      <c r="D1240" s="918" t="str">
        <f>Clothing!D316</f>
        <v>OTHER</v>
      </c>
      <c r="E1240" s="921">
        <f>Clothing!E316</f>
        <v>0</v>
      </c>
      <c r="F1240" s="918">
        <f>Clothing!F316</f>
        <v>1</v>
      </c>
      <c r="G1240" s="918" t="str">
        <f>Clothing!G316</f>
        <v>https://eeb.org/library/draft-product-environmental-footprint-category-rules-pefcr-apparel-and-footwear/</v>
      </c>
      <c r="H1240" s="922">
        <f>Clothing!H316</f>
        <v>2</v>
      </c>
      <c r="I1240" s="922" t="str">
        <f>Clothing!I316</f>
        <v/>
      </c>
      <c r="J1240" s="922">
        <f>Clothing!J316</f>
        <v>2</v>
      </c>
      <c r="K1240" s="922">
        <f>Clothing!K316</f>
        <v>1</v>
      </c>
      <c r="L1240" s="922">
        <f>Clothing!L316</f>
        <v>2</v>
      </c>
      <c r="M1240" s="922">
        <f>Clothing!M316</f>
        <v>3</v>
      </c>
      <c r="N1240" s="186">
        <f t="shared" si="99"/>
        <v>1.0301997916669636</v>
      </c>
      <c r="O1240" s="160" t="e">
        <f t="shared" si="100"/>
        <v>#VALUE!</v>
      </c>
    </row>
    <row r="1241" spans="1:15" hidden="1">
      <c r="A1241" s="918" t="str">
        <f>Clothing!A317</f>
        <v>Clothing (product sector)</v>
      </c>
      <c r="B1241" s="918" t="str">
        <f>Clothing!B317</f>
        <v>T-shirts</v>
      </c>
      <c r="C1241" s="918" t="str">
        <f>Clothing!C317</f>
        <v>NL</v>
      </c>
      <c r="D1241" s="918" t="str">
        <f>Clothing!D317</f>
        <v>PA</v>
      </c>
      <c r="E1241" s="921">
        <f>Clothing!E317</f>
        <v>0</v>
      </c>
      <c r="F1241" s="918">
        <f>Clothing!F317</f>
        <v>1</v>
      </c>
      <c r="G1241" s="918" t="str">
        <f>Clothing!G317</f>
        <v>https://eeb.org/library/draft-product-environmental-footprint-category-rules-pefcr-apparel-and-footwear/</v>
      </c>
      <c r="H1241" s="922">
        <f>Clothing!H317</f>
        <v>2</v>
      </c>
      <c r="I1241" s="922" t="str">
        <f>Clothing!I317</f>
        <v/>
      </c>
      <c r="J1241" s="922">
        <f>Clothing!J317</f>
        <v>2</v>
      </c>
      <c r="K1241" s="922">
        <f>Clothing!K317</f>
        <v>1</v>
      </c>
      <c r="L1241" s="922">
        <f>Clothing!L317</f>
        <v>2</v>
      </c>
      <c r="M1241" s="922">
        <f>Clothing!M317</f>
        <v>3</v>
      </c>
      <c r="N1241" s="186">
        <f t="shared" ref="N1241:N1304" si="101">IF( OR( ISBLANK(H1241),ISBLANK(J1241), ISBLANK(K1241), ISBLANK(L1241), ISBLANK(M1241) ), "", 1.5*SQRT(   EXP(2.21*(H1241-1)) + EXP(2.21*(J1241-1)) + EXP(2.21*(K1241-1)) + EXP(2.21*(L1241-1)) + EXP(2.21*M1241)   )/100*2.45 )</f>
        <v>1.0301997916669636</v>
      </c>
      <c r="O1241" s="160" t="e">
        <f t="shared" ref="O1241:O1304" si="102">IF( OR( ISBLANK(I1241),ISBLANK(J1241), ISBLANK(K1241), ISBLANK(L1241), ISBLANK(M1241) ), "", 1.5*SQRT( EXP(2.21*(I1241-1)) + EXP(2.21*(J1241-1)) + EXP(2.21*(K1241-1)) + EXP(2.21*(L1241-1)) + EXP(2.21*M1241)   )/100*2.45 )</f>
        <v>#VALUE!</v>
      </c>
    </row>
    <row r="1242" spans="1:15" hidden="1">
      <c r="A1242" s="918" t="str">
        <f>Clothing!A318</f>
        <v>Clothing (product sector)</v>
      </c>
      <c r="B1242" s="918" t="str">
        <f>Clothing!B318</f>
        <v>T-shirts</v>
      </c>
      <c r="C1242" s="918" t="str">
        <f>Clothing!C318</f>
        <v>NL</v>
      </c>
      <c r="D1242" s="918" t="str">
        <f>Clothing!D318</f>
        <v>PET</v>
      </c>
      <c r="E1242" s="921">
        <f>Clothing!E318</f>
        <v>7.2517450647606799E-2</v>
      </c>
      <c r="F1242" s="918">
        <f>Clothing!F318</f>
        <v>1</v>
      </c>
      <c r="G1242" s="918" t="str">
        <f>Clothing!G318</f>
        <v>https://eeb.org/library/draft-product-environmental-footprint-category-rules-pefcr-apparel-and-footwear/</v>
      </c>
      <c r="H1242" s="922">
        <f>Clothing!H318</f>
        <v>2</v>
      </c>
      <c r="I1242" s="922" t="str">
        <f>Clothing!I318</f>
        <v/>
      </c>
      <c r="J1242" s="922">
        <f>Clothing!J318</f>
        <v>2</v>
      </c>
      <c r="K1242" s="922">
        <f>Clothing!K318</f>
        <v>1</v>
      </c>
      <c r="L1242" s="922">
        <f>Clothing!L318</f>
        <v>2</v>
      </c>
      <c r="M1242" s="922">
        <f>Clothing!M318</f>
        <v>3</v>
      </c>
      <c r="N1242" s="186">
        <f t="shared" si="101"/>
        <v>1.0301997916669636</v>
      </c>
      <c r="O1242" s="160" t="e">
        <f t="shared" si="102"/>
        <v>#VALUE!</v>
      </c>
    </row>
    <row r="1243" spans="1:15" hidden="1">
      <c r="A1243" s="918" t="str">
        <f>Clothing!A319</f>
        <v>Clothing (product sector)</v>
      </c>
      <c r="B1243" s="918" t="str">
        <f>Clothing!B319</f>
        <v>Underwear</v>
      </c>
      <c r="C1243" s="918" t="str">
        <f>Clothing!C319</f>
        <v>NL</v>
      </c>
      <c r="D1243" s="918" t="str">
        <f>Clothing!D319</f>
        <v>Acryl</v>
      </c>
      <c r="E1243" s="921">
        <f>Clothing!E319</f>
        <v>0</v>
      </c>
      <c r="F1243" s="918">
        <f>Clothing!F319</f>
        <v>1</v>
      </c>
      <c r="G1243" s="918" t="str">
        <f>Clothing!G319</f>
        <v>https://eeb.org/library/draft-product-environmental-footprint-category-rules-pefcr-apparel-and-footwear/</v>
      </c>
      <c r="H1243" s="922">
        <f>Clothing!H319</f>
        <v>2</v>
      </c>
      <c r="I1243" s="922" t="str">
        <f>Clothing!I319</f>
        <v/>
      </c>
      <c r="J1243" s="922">
        <f>Clothing!J319</f>
        <v>2</v>
      </c>
      <c r="K1243" s="922">
        <f>Clothing!K319</f>
        <v>1</v>
      </c>
      <c r="L1243" s="922">
        <f>Clothing!L319</f>
        <v>2</v>
      </c>
      <c r="M1243" s="922">
        <f>Clothing!M319</f>
        <v>3</v>
      </c>
      <c r="N1243" s="186">
        <f t="shared" si="101"/>
        <v>1.0301997916669636</v>
      </c>
      <c r="O1243" s="160" t="e">
        <f t="shared" si="102"/>
        <v>#VALUE!</v>
      </c>
    </row>
    <row r="1244" spans="1:15" hidden="1">
      <c r="A1244" s="918" t="str">
        <f>Clothing!A320</f>
        <v>Clothing (product sector)</v>
      </c>
      <c r="B1244" s="918" t="str">
        <f>Clothing!B320</f>
        <v>Underwear</v>
      </c>
      <c r="C1244" s="918" t="str">
        <f>Clothing!C320</f>
        <v>NL</v>
      </c>
      <c r="D1244" s="918" t="str">
        <f>Clothing!D320</f>
        <v>OTHER</v>
      </c>
      <c r="E1244" s="921">
        <f>Clothing!E320</f>
        <v>0.11432137187885601</v>
      </c>
      <c r="F1244" s="918">
        <f>Clothing!F320</f>
        <v>1</v>
      </c>
      <c r="G1244" s="918" t="str">
        <f>Clothing!G320</f>
        <v>https://eeb.org/library/draft-product-environmental-footprint-category-rules-pefcr-apparel-and-footwear/</v>
      </c>
      <c r="H1244" s="922">
        <f>Clothing!H320</f>
        <v>2</v>
      </c>
      <c r="I1244" s="922" t="str">
        <f>Clothing!I320</f>
        <v/>
      </c>
      <c r="J1244" s="922">
        <f>Clothing!J320</f>
        <v>2</v>
      </c>
      <c r="K1244" s="922">
        <f>Clothing!K320</f>
        <v>1</v>
      </c>
      <c r="L1244" s="922">
        <f>Clothing!L320</f>
        <v>2</v>
      </c>
      <c r="M1244" s="922">
        <f>Clothing!M320</f>
        <v>3</v>
      </c>
      <c r="N1244" s="186">
        <f t="shared" si="101"/>
        <v>1.0301997916669636</v>
      </c>
      <c r="O1244" s="160" t="e">
        <f t="shared" si="102"/>
        <v>#VALUE!</v>
      </c>
    </row>
    <row r="1245" spans="1:15" hidden="1">
      <c r="A1245" s="918" t="str">
        <f>Clothing!A321</f>
        <v>Clothing (product sector)</v>
      </c>
      <c r="B1245" s="918" t="str">
        <f>Clothing!B321</f>
        <v>Underwear</v>
      </c>
      <c r="C1245" s="918" t="str">
        <f>Clothing!C321</f>
        <v>NL</v>
      </c>
      <c r="D1245" s="918" t="str">
        <f>Clothing!D321</f>
        <v>PA</v>
      </c>
      <c r="E1245" s="921">
        <f>Clothing!E321</f>
        <v>0.13209488185454599</v>
      </c>
      <c r="F1245" s="918">
        <f>Clothing!F321</f>
        <v>1</v>
      </c>
      <c r="G1245" s="918" t="str">
        <f>Clothing!G321</f>
        <v>https://eeb.org/library/draft-product-environmental-footprint-category-rules-pefcr-apparel-and-footwear/</v>
      </c>
      <c r="H1245" s="922">
        <f>Clothing!H321</f>
        <v>2</v>
      </c>
      <c r="I1245" s="922" t="str">
        <f>Clothing!I321</f>
        <v/>
      </c>
      <c r="J1245" s="922">
        <f>Clothing!J321</f>
        <v>2</v>
      </c>
      <c r="K1245" s="922">
        <f>Clothing!K321</f>
        <v>1</v>
      </c>
      <c r="L1245" s="922">
        <f>Clothing!L321</f>
        <v>2</v>
      </c>
      <c r="M1245" s="922">
        <f>Clothing!M321</f>
        <v>3</v>
      </c>
      <c r="N1245" s="186">
        <f t="shared" si="101"/>
        <v>1.0301997916669636</v>
      </c>
      <c r="O1245" s="160" t="e">
        <f t="shared" si="102"/>
        <v>#VALUE!</v>
      </c>
    </row>
    <row r="1246" spans="1:15" ht="15.75" hidden="1" thickBot="1">
      <c r="A1246" s="933" t="str">
        <f>Clothing!A322</f>
        <v>Clothing (product sector)</v>
      </c>
      <c r="B1246" s="933" t="str">
        <f>Clothing!B322</f>
        <v>Underwear</v>
      </c>
      <c r="C1246" s="933" t="str">
        <f>Clothing!C322</f>
        <v>NL</v>
      </c>
      <c r="D1246" s="933" t="str">
        <f>Clothing!D322</f>
        <v>PET</v>
      </c>
      <c r="E1246" s="936">
        <f>Clothing!E322</f>
        <v>1.1916314104423099E-2</v>
      </c>
      <c r="F1246" s="933">
        <f>Clothing!F322</f>
        <v>1</v>
      </c>
      <c r="G1246" s="933" t="str">
        <f>Clothing!G322</f>
        <v>https://eeb.org/library/draft-product-environmental-footprint-category-rules-pefcr-apparel-and-footwear/</v>
      </c>
      <c r="H1246" s="934">
        <f>Clothing!H322</f>
        <v>2</v>
      </c>
      <c r="I1246" s="934" t="str">
        <f>Clothing!I322</f>
        <v/>
      </c>
      <c r="J1246" s="934">
        <f>Clothing!J322</f>
        <v>2</v>
      </c>
      <c r="K1246" s="934">
        <f>Clothing!K322</f>
        <v>1</v>
      </c>
      <c r="L1246" s="934">
        <f>Clothing!L322</f>
        <v>2</v>
      </c>
      <c r="M1246" s="934">
        <f>Clothing!M322</f>
        <v>3</v>
      </c>
      <c r="N1246" s="935">
        <f t="shared" si="101"/>
        <v>1.0301997916669636</v>
      </c>
      <c r="O1246" s="161" t="e">
        <f t="shared" si="102"/>
        <v>#VALUE!</v>
      </c>
    </row>
    <row r="1247" spans="1:15" hidden="1">
      <c r="A1247" s="918" t="str">
        <f>Clothing!A327</f>
        <v>Clothing (product sector)</v>
      </c>
      <c r="B1247" s="918" t="str">
        <f>Clothing!B327</f>
        <v>Apparel accessories</v>
      </c>
      <c r="C1247" s="918" t="str">
        <f>Clothing!C327</f>
        <v>EU</v>
      </c>
      <c r="D1247" s="918" t="str">
        <f>Clothing!D327</f>
        <v>Acryl</v>
      </c>
      <c r="E1247" s="918">
        <f>Clothing!E327</f>
        <v>0.20473868095515499</v>
      </c>
      <c r="F1247" s="918">
        <f>Clothing!F327</f>
        <v>1</v>
      </c>
      <c r="G1247" s="918" t="str">
        <f>Clothing!G327</f>
        <v>https://eeb.org/library/draft-product-environmental-footprint-category-rules-pefcr-apparel-and-footwear/</v>
      </c>
      <c r="H1247" s="931" t="str">
        <f>Clothing!H327</f>
        <v/>
      </c>
      <c r="I1247" s="931">
        <f>Clothing!I327</f>
        <v>1</v>
      </c>
      <c r="J1247" s="931">
        <f>Clothing!J327</f>
        <v>2</v>
      </c>
      <c r="K1247" s="931">
        <f>Clothing!K327</f>
        <v>1</v>
      </c>
      <c r="L1247" s="931">
        <f>Clothing!L327</f>
        <v>2</v>
      </c>
      <c r="M1247" s="931">
        <f>Clothing!M327</f>
        <v>3</v>
      </c>
      <c r="N1247" s="932" t="e">
        <f t="shared" si="101"/>
        <v>#VALUE!</v>
      </c>
      <c r="O1247" s="834">
        <f t="shared" si="102"/>
        <v>1.0248662490928169</v>
      </c>
    </row>
    <row r="1248" spans="1:15" hidden="1">
      <c r="A1248" s="918" t="str">
        <f>Clothing!A328</f>
        <v>Clothing (product sector)</v>
      </c>
      <c r="B1248" s="918" t="str">
        <f>Clothing!B328</f>
        <v>Apparel accessories</v>
      </c>
      <c r="C1248" s="918" t="str">
        <f>Clothing!C328</f>
        <v>EU</v>
      </c>
      <c r="D1248" s="918" t="str">
        <f>Clothing!D328</f>
        <v>OTHER</v>
      </c>
      <c r="E1248" s="918">
        <f>Clothing!E328</f>
        <v>0</v>
      </c>
      <c r="F1248" s="918">
        <f>Clothing!F328</f>
        <v>1</v>
      </c>
      <c r="G1248" s="918" t="str">
        <f>Clothing!G328</f>
        <v>https://eeb.org/library/draft-product-environmental-footprint-category-rules-pefcr-apparel-and-footwear/</v>
      </c>
      <c r="H1248" s="922" t="str">
        <f>Clothing!H328</f>
        <v/>
      </c>
      <c r="I1248" s="922">
        <f>Clothing!I328</f>
        <v>1</v>
      </c>
      <c r="J1248" s="922">
        <f>Clothing!J328</f>
        <v>2</v>
      </c>
      <c r="K1248" s="922">
        <f>Clothing!K328</f>
        <v>1</v>
      </c>
      <c r="L1248" s="922">
        <f>Clothing!L328</f>
        <v>2</v>
      </c>
      <c r="M1248" s="922">
        <f>Clothing!M328</f>
        <v>3</v>
      </c>
      <c r="N1248" s="186" t="e">
        <f t="shared" si="101"/>
        <v>#VALUE!</v>
      </c>
      <c r="O1248" s="160">
        <f t="shared" si="102"/>
        <v>1.0248662490928169</v>
      </c>
    </row>
    <row r="1249" spans="1:15" hidden="1">
      <c r="A1249" s="918" t="str">
        <f>Clothing!A329</f>
        <v>Clothing (product sector)</v>
      </c>
      <c r="B1249" s="918" t="str">
        <f>Clothing!B329</f>
        <v>Apparel accessories</v>
      </c>
      <c r="C1249" s="918" t="str">
        <f>Clothing!C329</f>
        <v>EU</v>
      </c>
      <c r="D1249" s="918" t="str">
        <f>Clothing!D329</f>
        <v>PA</v>
      </c>
      <c r="E1249" s="918">
        <f>Clothing!E329</f>
        <v>2.3681463973251202E-2</v>
      </c>
      <c r="F1249" s="918">
        <f>Clothing!F329</f>
        <v>1</v>
      </c>
      <c r="G1249" s="918" t="str">
        <f>Clothing!G329</f>
        <v>https://eeb.org/library/draft-product-environmental-footprint-category-rules-pefcr-apparel-and-footwear/</v>
      </c>
      <c r="H1249" s="922" t="str">
        <f>Clothing!H329</f>
        <v/>
      </c>
      <c r="I1249" s="922">
        <f>Clothing!I329</f>
        <v>1</v>
      </c>
      <c r="J1249" s="922">
        <f>Clothing!J329</f>
        <v>2</v>
      </c>
      <c r="K1249" s="922">
        <f>Clothing!K329</f>
        <v>1</v>
      </c>
      <c r="L1249" s="922">
        <f>Clothing!L329</f>
        <v>2</v>
      </c>
      <c r="M1249" s="922">
        <f>Clothing!M329</f>
        <v>3</v>
      </c>
      <c r="N1249" s="186" t="e">
        <f t="shared" si="101"/>
        <v>#VALUE!</v>
      </c>
      <c r="O1249" s="160">
        <f t="shared" si="102"/>
        <v>1.0248662490928169</v>
      </c>
    </row>
    <row r="1250" spans="1:15" hidden="1">
      <c r="A1250" s="918" t="str">
        <f>Clothing!A330</f>
        <v>Clothing (product sector)</v>
      </c>
      <c r="B1250" s="918" t="str">
        <f>Clothing!B330</f>
        <v>Apparel accessories</v>
      </c>
      <c r="C1250" s="918" t="str">
        <f>Clothing!C330</f>
        <v>EU</v>
      </c>
      <c r="D1250" s="918" t="str">
        <f>Clothing!D330</f>
        <v>PET</v>
      </c>
      <c r="E1250" s="918">
        <f>Clothing!E330</f>
        <v>3.8019718326065099E-2</v>
      </c>
      <c r="F1250" s="918">
        <f>Clothing!F330</f>
        <v>1</v>
      </c>
      <c r="G1250" s="918" t="str">
        <f>Clothing!G330</f>
        <v>https://eeb.org/library/draft-product-environmental-footprint-category-rules-pefcr-apparel-and-footwear/</v>
      </c>
      <c r="H1250" s="922" t="str">
        <f>Clothing!H330</f>
        <v/>
      </c>
      <c r="I1250" s="922">
        <f>Clothing!I330</f>
        <v>1</v>
      </c>
      <c r="J1250" s="922">
        <f>Clothing!J330</f>
        <v>2</v>
      </c>
      <c r="K1250" s="922">
        <f>Clothing!K330</f>
        <v>1</v>
      </c>
      <c r="L1250" s="922">
        <f>Clothing!L330</f>
        <v>2</v>
      </c>
      <c r="M1250" s="922">
        <f>Clothing!M330</f>
        <v>3</v>
      </c>
      <c r="N1250" s="186" t="e">
        <f t="shared" si="101"/>
        <v>#VALUE!</v>
      </c>
      <c r="O1250" s="160">
        <f t="shared" si="102"/>
        <v>1.0248662490928169</v>
      </c>
    </row>
    <row r="1251" spans="1:15" hidden="1">
      <c r="A1251" s="918" t="str">
        <f>Clothing!A331</f>
        <v>Clothing (product sector)</v>
      </c>
      <c r="B1251" s="918" t="str">
        <f>Clothing!B331</f>
        <v>Boots</v>
      </c>
      <c r="C1251" s="918" t="str">
        <f>Clothing!C331</f>
        <v>EU</v>
      </c>
      <c r="D1251" s="918" t="str">
        <f>Clothing!D331</f>
        <v>OTHER</v>
      </c>
      <c r="E1251" s="918">
        <f>Clothing!E331</f>
        <v>0</v>
      </c>
      <c r="F1251" s="918">
        <f>Clothing!F331</f>
        <v>1</v>
      </c>
      <c r="G1251" s="918" t="str">
        <f>Clothing!G331</f>
        <v>https://eeb.org/library/draft-product-environmental-footprint-category-rules-pefcr-apparel-and-footwear/</v>
      </c>
      <c r="H1251" s="922" t="str">
        <f>Clothing!H331</f>
        <v/>
      </c>
      <c r="I1251" s="922">
        <f>Clothing!I331</f>
        <v>1</v>
      </c>
      <c r="J1251" s="922">
        <f>Clothing!J331</f>
        <v>2</v>
      </c>
      <c r="K1251" s="922">
        <f>Clothing!K331</f>
        <v>1</v>
      </c>
      <c r="L1251" s="922">
        <f>Clothing!L331</f>
        <v>2</v>
      </c>
      <c r="M1251" s="922">
        <f>Clothing!M331</f>
        <v>3</v>
      </c>
      <c r="N1251" s="186" t="e">
        <f t="shared" si="101"/>
        <v>#VALUE!</v>
      </c>
      <c r="O1251" s="160">
        <f t="shared" si="102"/>
        <v>1.0248662490928169</v>
      </c>
    </row>
    <row r="1252" spans="1:15" hidden="1">
      <c r="A1252" s="918" t="str">
        <f>Clothing!A332</f>
        <v>Clothing (product sector)</v>
      </c>
      <c r="B1252" s="918" t="str">
        <f>Clothing!B332</f>
        <v>Boots</v>
      </c>
      <c r="C1252" s="918" t="str">
        <f>Clothing!C332</f>
        <v>EU</v>
      </c>
      <c r="D1252" s="918" t="str">
        <f>Clothing!D332</f>
        <v>PA</v>
      </c>
      <c r="E1252" s="918">
        <f>Clothing!E332</f>
        <v>3.7359578080546699E-2</v>
      </c>
      <c r="F1252" s="918">
        <f>Clothing!F332</f>
        <v>1</v>
      </c>
      <c r="G1252" s="918" t="str">
        <f>Clothing!G332</f>
        <v>https://eeb.org/library/draft-product-environmental-footprint-category-rules-pefcr-apparel-and-footwear/</v>
      </c>
      <c r="H1252" s="922" t="str">
        <f>Clothing!H332</f>
        <v/>
      </c>
      <c r="I1252" s="922">
        <f>Clothing!I332</f>
        <v>1</v>
      </c>
      <c r="J1252" s="922">
        <f>Clothing!J332</f>
        <v>2</v>
      </c>
      <c r="K1252" s="922">
        <f>Clothing!K332</f>
        <v>1</v>
      </c>
      <c r="L1252" s="922">
        <f>Clothing!L332</f>
        <v>2</v>
      </c>
      <c r="M1252" s="922">
        <f>Clothing!M332</f>
        <v>3</v>
      </c>
      <c r="N1252" s="186" t="e">
        <f t="shared" si="101"/>
        <v>#VALUE!</v>
      </c>
      <c r="O1252" s="160">
        <f t="shared" si="102"/>
        <v>1.0248662490928169</v>
      </c>
    </row>
    <row r="1253" spans="1:15" hidden="1">
      <c r="A1253" s="918" t="str">
        <f>Clothing!A333</f>
        <v>Clothing (product sector)</v>
      </c>
      <c r="B1253" s="918" t="str">
        <f>Clothing!B333</f>
        <v>Boots</v>
      </c>
      <c r="C1253" s="918" t="str">
        <f>Clothing!C333</f>
        <v>EU</v>
      </c>
      <c r="D1253" s="918" t="str">
        <f>Clothing!D333</f>
        <v>PET</v>
      </c>
      <c r="E1253" s="918">
        <f>Clothing!E333</f>
        <v>3.9590380740080401E-2</v>
      </c>
      <c r="F1253" s="918">
        <f>Clothing!F333</f>
        <v>1</v>
      </c>
      <c r="G1253" s="918" t="str">
        <f>Clothing!G333</f>
        <v>https://eeb.org/library/draft-product-environmental-footprint-category-rules-pefcr-apparel-and-footwear/</v>
      </c>
      <c r="H1253" s="922" t="str">
        <f>Clothing!H333</f>
        <v/>
      </c>
      <c r="I1253" s="922">
        <f>Clothing!I333</f>
        <v>1</v>
      </c>
      <c r="J1253" s="922">
        <f>Clothing!J333</f>
        <v>2</v>
      </c>
      <c r="K1253" s="922">
        <f>Clothing!K333</f>
        <v>1</v>
      </c>
      <c r="L1253" s="922">
        <f>Clothing!L333</f>
        <v>2</v>
      </c>
      <c r="M1253" s="922">
        <f>Clothing!M333</f>
        <v>3</v>
      </c>
      <c r="N1253" s="186" t="e">
        <f t="shared" si="101"/>
        <v>#VALUE!</v>
      </c>
      <c r="O1253" s="160">
        <f t="shared" si="102"/>
        <v>1.0248662490928169</v>
      </c>
    </row>
    <row r="1254" spans="1:15" hidden="1">
      <c r="A1254" s="918" t="str">
        <f>Clothing!A334</f>
        <v>Clothing (product sector)</v>
      </c>
      <c r="B1254" s="918" t="str">
        <f>Clothing!B334</f>
        <v>Boots</v>
      </c>
      <c r="C1254" s="918" t="str">
        <f>Clothing!C334</f>
        <v>EU</v>
      </c>
      <c r="D1254" s="918" t="str">
        <f>Clothing!D334</f>
        <v>PUR</v>
      </c>
      <c r="E1254" s="918">
        <f>Clothing!E334</f>
        <v>0.48339514392578797</v>
      </c>
      <c r="F1254" s="918">
        <f>Clothing!F334</f>
        <v>1</v>
      </c>
      <c r="G1254" s="918" t="str">
        <f>Clothing!G334</f>
        <v>https://eeb.org/library/draft-product-environmental-footprint-category-rules-pefcr-apparel-and-footwear/</v>
      </c>
      <c r="H1254" s="922" t="str">
        <f>Clothing!H334</f>
        <v/>
      </c>
      <c r="I1254" s="922">
        <f>Clothing!I334</f>
        <v>1</v>
      </c>
      <c r="J1254" s="922">
        <f>Clothing!J334</f>
        <v>2</v>
      </c>
      <c r="K1254" s="922">
        <f>Clothing!K334</f>
        <v>1</v>
      </c>
      <c r="L1254" s="922">
        <f>Clothing!L334</f>
        <v>2</v>
      </c>
      <c r="M1254" s="922">
        <f>Clothing!M334</f>
        <v>3</v>
      </c>
      <c r="N1254" s="186" t="e">
        <f t="shared" si="101"/>
        <v>#VALUE!</v>
      </c>
      <c r="O1254" s="160">
        <f t="shared" si="102"/>
        <v>1.0248662490928169</v>
      </c>
    </row>
    <row r="1255" spans="1:15" hidden="1">
      <c r="A1255" s="918" t="str">
        <f>Clothing!A335</f>
        <v>Clothing (product sector)</v>
      </c>
      <c r="B1255" s="918" t="str">
        <f>Clothing!B335</f>
        <v>Boots</v>
      </c>
      <c r="C1255" s="918" t="str">
        <f>Clothing!C335</f>
        <v>EU</v>
      </c>
      <c r="D1255" s="918" t="str">
        <f>Clothing!D335</f>
        <v>PVC</v>
      </c>
      <c r="E1255" s="918">
        <f>Clothing!E335</f>
        <v>0.44302860064517702</v>
      </c>
      <c r="F1255" s="918">
        <f>Clothing!F335</f>
        <v>1</v>
      </c>
      <c r="G1255" s="918" t="str">
        <f>Clothing!G335</f>
        <v>https://eeb.org/library/draft-product-environmental-footprint-category-rules-pefcr-apparel-and-footwear/</v>
      </c>
      <c r="H1255" s="922" t="str">
        <f>Clothing!H335</f>
        <v/>
      </c>
      <c r="I1255" s="922">
        <f>Clothing!I335</f>
        <v>1</v>
      </c>
      <c r="J1255" s="922">
        <f>Clothing!J335</f>
        <v>2</v>
      </c>
      <c r="K1255" s="922">
        <f>Clothing!K335</f>
        <v>1</v>
      </c>
      <c r="L1255" s="922">
        <f>Clothing!L335</f>
        <v>2</v>
      </c>
      <c r="M1255" s="922">
        <f>Clothing!M335</f>
        <v>3</v>
      </c>
      <c r="N1255" s="186" t="e">
        <f t="shared" si="101"/>
        <v>#VALUE!</v>
      </c>
      <c r="O1255" s="160">
        <f t="shared" si="102"/>
        <v>1.0248662490928169</v>
      </c>
    </row>
    <row r="1256" spans="1:15" hidden="1">
      <c r="A1256" s="918" t="str">
        <f>Clothing!A336</f>
        <v>Clothing (product sector)</v>
      </c>
      <c r="B1256" s="918" t="str">
        <f>Clothing!B336</f>
        <v>Boots</v>
      </c>
      <c r="C1256" s="918" t="str">
        <f>Clothing!C336</f>
        <v>EU</v>
      </c>
      <c r="D1256" s="918" t="str">
        <f>Clothing!D336</f>
        <v>RUBBER</v>
      </c>
      <c r="E1256" s="918">
        <f>Clothing!E336</f>
        <v>0.18274958314372799</v>
      </c>
      <c r="F1256" s="918">
        <f>Clothing!F336</f>
        <v>1</v>
      </c>
      <c r="G1256" s="918" t="str">
        <f>Clothing!G336</f>
        <v>https://eeb.org/library/draft-product-environmental-footprint-category-rules-pefcr-apparel-and-footwear/</v>
      </c>
      <c r="H1256" s="922" t="str">
        <f>Clothing!H336</f>
        <v/>
      </c>
      <c r="I1256" s="922">
        <f>Clothing!I336</f>
        <v>1</v>
      </c>
      <c r="J1256" s="922">
        <f>Clothing!J336</f>
        <v>2</v>
      </c>
      <c r="K1256" s="922">
        <f>Clothing!K336</f>
        <v>1</v>
      </c>
      <c r="L1256" s="922">
        <f>Clothing!L336</f>
        <v>2</v>
      </c>
      <c r="M1256" s="922">
        <f>Clothing!M336</f>
        <v>3</v>
      </c>
      <c r="N1256" s="186" t="e">
        <f t="shared" si="101"/>
        <v>#VALUE!</v>
      </c>
      <c r="O1256" s="160">
        <f t="shared" si="102"/>
        <v>1.0248662490928169</v>
      </c>
    </row>
    <row r="1257" spans="1:15" hidden="1">
      <c r="A1257" s="918" t="str">
        <f>Clothing!A337</f>
        <v>Clothing (product sector)</v>
      </c>
      <c r="B1257" s="918" t="str">
        <f>Clothing!B337</f>
        <v>Closed-toed shoes</v>
      </c>
      <c r="C1257" s="918" t="str">
        <f>Clothing!C337</f>
        <v>EU</v>
      </c>
      <c r="D1257" s="918" t="str">
        <f>Clothing!D337</f>
        <v>OTHER</v>
      </c>
      <c r="E1257" s="918">
        <f>Clothing!E337</f>
        <v>0.26221150695503298</v>
      </c>
      <c r="F1257" s="918">
        <f>Clothing!F337</f>
        <v>1</v>
      </c>
      <c r="G1257" s="918" t="str">
        <f>Clothing!G337</f>
        <v>https://eeb.org/library/draft-product-environmental-footprint-category-rules-pefcr-apparel-and-footwear/</v>
      </c>
      <c r="H1257" s="922" t="str">
        <f>Clothing!H337</f>
        <v/>
      </c>
      <c r="I1257" s="922">
        <f>Clothing!I337</f>
        <v>1</v>
      </c>
      <c r="J1257" s="922">
        <f>Clothing!J337</f>
        <v>2</v>
      </c>
      <c r="K1257" s="922">
        <f>Clothing!K337</f>
        <v>1</v>
      </c>
      <c r="L1257" s="922">
        <f>Clothing!L337</f>
        <v>2</v>
      </c>
      <c r="M1257" s="922">
        <f>Clothing!M337</f>
        <v>3</v>
      </c>
      <c r="N1257" s="186" t="e">
        <f t="shared" si="101"/>
        <v>#VALUE!</v>
      </c>
      <c r="O1257" s="160">
        <f t="shared" si="102"/>
        <v>1.0248662490928169</v>
      </c>
    </row>
    <row r="1258" spans="1:15" hidden="1">
      <c r="A1258" s="918" t="str">
        <f>Clothing!A338</f>
        <v>Clothing (product sector)</v>
      </c>
      <c r="B1258" s="918" t="str">
        <f>Clothing!B338</f>
        <v>Closed-toed shoes</v>
      </c>
      <c r="C1258" s="918" t="str">
        <f>Clothing!C338</f>
        <v>EU</v>
      </c>
      <c r="D1258" s="918" t="str">
        <f>Clothing!D338</f>
        <v>PA</v>
      </c>
      <c r="E1258" s="918">
        <f>Clothing!E338</f>
        <v>8.1491138548843198E-2</v>
      </c>
      <c r="F1258" s="918">
        <f>Clothing!F338</f>
        <v>1</v>
      </c>
      <c r="G1258" s="918" t="str">
        <f>Clothing!G338</f>
        <v>https://eeb.org/library/draft-product-environmental-footprint-category-rules-pefcr-apparel-and-footwear/</v>
      </c>
      <c r="H1258" s="922" t="str">
        <f>Clothing!H338</f>
        <v/>
      </c>
      <c r="I1258" s="922">
        <f>Clothing!I338</f>
        <v>1</v>
      </c>
      <c r="J1258" s="922">
        <f>Clothing!J338</f>
        <v>2</v>
      </c>
      <c r="K1258" s="922">
        <f>Clothing!K338</f>
        <v>1</v>
      </c>
      <c r="L1258" s="922">
        <f>Clothing!L338</f>
        <v>2</v>
      </c>
      <c r="M1258" s="922">
        <f>Clothing!M338</f>
        <v>3</v>
      </c>
      <c r="N1258" s="186" t="e">
        <f t="shared" si="101"/>
        <v>#VALUE!</v>
      </c>
      <c r="O1258" s="160">
        <f t="shared" si="102"/>
        <v>1.0248662490928169</v>
      </c>
    </row>
    <row r="1259" spans="1:15" hidden="1">
      <c r="A1259" s="918" t="str">
        <f>Clothing!A339</f>
        <v>Clothing (product sector)</v>
      </c>
      <c r="B1259" s="918" t="str">
        <f>Clothing!B339</f>
        <v>Closed-toed shoes</v>
      </c>
      <c r="C1259" s="918" t="str">
        <f>Clothing!C339</f>
        <v>EU</v>
      </c>
      <c r="D1259" s="918" t="str">
        <f>Clothing!D339</f>
        <v>PET</v>
      </c>
      <c r="E1259" s="918">
        <f>Clothing!E339</f>
        <v>0.16695707975953999</v>
      </c>
      <c r="F1259" s="918">
        <f>Clothing!F339</f>
        <v>1</v>
      </c>
      <c r="G1259" s="918" t="str">
        <f>Clothing!G339</f>
        <v>https://eeb.org/library/draft-product-environmental-footprint-category-rules-pefcr-apparel-and-footwear/</v>
      </c>
      <c r="H1259" s="922" t="str">
        <f>Clothing!H339</f>
        <v/>
      </c>
      <c r="I1259" s="922">
        <f>Clothing!I339</f>
        <v>1</v>
      </c>
      <c r="J1259" s="922">
        <f>Clothing!J339</f>
        <v>2</v>
      </c>
      <c r="K1259" s="922">
        <f>Clothing!K339</f>
        <v>1</v>
      </c>
      <c r="L1259" s="922">
        <f>Clothing!L339</f>
        <v>2</v>
      </c>
      <c r="M1259" s="922">
        <f>Clothing!M339</f>
        <v>3</v>
      </c>
      <c r="N1259" s="186" t="e">
        <f t="shared" si="101"/>
        <v>#VALUE!</v>
      </c>
      <c r="O1259" s="160">
        <f t="shared" si="102"/>
        <v>1.0248662490928169</v>
      </c>
    </row>
    <row r="1260" spans="1:15" hidden="1">
      <c r="A1260" s="918" t="str">
        <f>Clothing!A340</f>
        <v>Clothing (product sector)</v>
      </c>
      <c r="B1260" s="918" t="str">
        <f>Clothing!B340</f>
        <v>Closed-toed shoes</v>
      </c>
      <c r="C1260" s="918" t="str">
        <f>Clothing!C340</f>
        <v>EU</v>
      </c>
      <c r="D1260" s="918" t="str">
        <f>Clothing!D340</f>
        <v>PUR</v>
      </c>
      <c r="E1260" s="918">
        <f>Clothing!E340</f>
        <v>0.395404833292331</v>
      </c>
      <c r="F1260" s="918">
        <f>Clothing!F340</f>
        <v>1</v>
      </c>
      <c r="G1260" s="918" t="str">
        <f>Clothing!G340</f>
        <v>https://eeb.org/library/draft-product-environmental-footprint-category-rules-pefcr-apparel-and-footwear/</v>
      </c>
      <c r="H1260" s="922" t="str">
        <f>Clothing!H340</f>
        <v/>
      </c>
      <c r="I1260" s="922">
        <f>Clothing!I340</f>
        <v>1</v>
      </c>
      <c r="J1260" s="922">
        <f>Clothing!J340</f>
        <v>2</v>
      </c>
      <c r="K1260" s="922">
        <f>Clothing!K340</f>
        <v>1</v>
      </c>
      <c r="L1260" s="922">
        <f>Clothing!L340</f>
        <v>2</v>
      </c>
      <c r="M1260" s="922">
        <f>Clothing!M340</f>
        <v>3</v>
      </c>
      <c r="N1260" s="186" t="e">
        <f t="shared" si="101"/>
        <v>#VALUE!</v>
      </c>
      <c r="O1260" s="160">
        <f t="shared" si="102"/>
        <v>1.0248662490928169</v>
      </c>
    </row>
    <row r="1261" spans="1:15" hidden="1">
      <c r="A1261" s="918" t="str">
        <f>Clothing!A341</f>
        <v>Clothing (product sector)</v>
      </c>
      <c r="B1261" s="918" t="str">
        <f>Clothing!B341</f>
        <v>Closed-toed shoes</v>
      </c>
      <c r="C1261" s="918" t="str">
        <f>Clothing!C341</f>
        <v>EU</v>
      </c>
      <c r="D1261" s="918" t="str">
        <f>Clothing!D341</f>
        <v>PVC</v>
      </c>
      <c r="E1261" s="918">
        <f>Clothing!E341</f>
        <v>0.41415546960298899</v>
      </c>
      <c r="F1261" s="918">
        <f>Clothing!F341</f>
        <v>1</v>
      </c>
      <c r="G1261" s="918" t="str">
        <f>Clothing!G341</f>
        <v>https://eeb.org/library/draft-product-environmental-footprint-category-rules-pefcr-apparel-and-footwear/</v>
      </c>
      <c r="H1261" s="922" t="str">
        <f>Clothing!H341</f>
        <v/>
      </c>
      <c r="I1261" s="922">
        <f>Clothing!I341</f>
        <v>1</v>
      </c>
      <c r="J1261" s="922">
        <f>Clothing!J341</f>
        <v>2</v>
      </c>
      <c r="K1261" s="922">
        <f>Clothing!K341</f>
        <v>1</v>
      </c>
      <c r="L1261" s="922">
        <f>Clothing!L341</f>
        <v>2</v>
      </c>
      <c r="M1261" s="922">
        <f>Clothing!M341</f>
        <v>3</v>
      </c>
      <c r="N1261" s="186" t="e">
        <f t="shared" si="101"/>
        <v>#VALUE!</v>
      </c>
      <c r="O1261" s="160">
        <f t="shared" si="102"/>
        <v>1.0248662490928169</v>
      </c>
    </row>
    <row r="1262" spans="1:15" hidden="1">
      <c r="A1262" s="918" t="str">
        <f>Clothing!A342</f>
        <v>Clothing (product sector)</v>
      </c>
      <c r="B1262" s="918" t="str">
        <f>Clothing!B342</f>
        <v>Closed-toed shoes</v>
      </c>
      <c r="C1262" s="918" t="str">
        <f>Clothing!C342</f>
        <v>EU</v>
      </c>
      <c r="D1262" s="918" t="str">
        <f>Clothing!D342</f>
        <v>RUBBER</v>
      </c>
      <c r="E1262" s="918">
        <f>Clothing!E342</f>
        <v>0.57981856287566402</v>
      </c>
      <c r="F1262" s="918">
        <f>Clothing!F342</f>
        <v>1</v>
      </c>
      <c r="G1262" s="918" t="str">
        <f>Clothing!G342</f>
        <v>https://eeb.org/library/draft-product-environmental-footprint-category-rules-pefcr-apparel-and-footwear/</v>
      </c>
      <c r="H1262" s="922" t="str">
        <f>Clothing!H342</f>
        <v/>
      </c>
      <c r="I1262" s="922">
        <f>Clothing!I342</f>
        <v>1</v>
      </c>
      <c r="J1262" s="922">
        <f>Clothing!J342</f>
        <v>2</v>
      </c>
      <c r="K1262" s="922">
        <f>Clothing!K342</f>
        <v>1</v>
      </c>
      <c r="L1262" s="922">
        <f>Clothing!L342</f>
        <v>2</v>
      </c>
      <c r="M1262" s="922">
        <f>Clothing!M342</f>
        <v>3</v>
      </c>
      <c r="N1262" s="186" t="e">
        <f t="shared" si="101"/>
        <v>#VALUE!</v>
      </c>
      <c r="O1262" s="160">
        <f t="shared" si="102"/>
        <v>1.0248662490928169</v>
      </c>
    </row>
    <row r="1263" spans="1:15" hidden="1">
      <c r="A1263" s="918" t="str">
        <f>Clothing!A343</f>
        <v>Clothing (product sector)</v>
      </c>
      <c r="B1263" s="918" t="str">
        <f>Clothing!B343</f>
        <v>Dresses skirts and jumpsuits</v>
      </c>
      <c r="C1263" s="918" t="str">
        <f>Clothing!C343</f>
        <v>EU</v>
      </c>
      <c r="D1263" s="918" t="str">
        <f>Clothing!D343</f>
        <v>Acryl</v>
      </c>
      <c r="E1263" s="918">
        <f>Clothing!E343</f>
        <v>0</v>
      </c>
      <c r="F1263" s="918">
        <f>Clothing!F343</f>
        <v>1</v>
      </c>
      <c r="G1263" s="918" t="str">
        <f>Clothing!G343</f>
        <v>https://eeb.org/library/draft-product-environmental-footprint-category-rules-pefcr-apparel-and-footwear/</v>
      </c>
      <c r="H1263" s="922" t="str">
        <f>Clothing!H343</f>
        <v/>
      </c>
      <c r="I1263" s="922">
        <f>Clothing!I343</f>
        <v>1</v>
      </c>
      <c r="J1263" s="922">
        <f>Clothing!J343</f>
        <v>2</v>
      </c>
      <c r="K1263" s="922">
        <f>Clothing!K343</f>
        <v>1</v>
      </c>
      <c r="L1263" s="922">
        <f>Clothing!L343</f>
        <v>2</v>
      </c>
      <c r="M1263" s="922">
        <f>Clothing!M343</f>
        <v>3</v>
      </c>
      <c r="N1263" s="186" t="e">
        <f t="shared" si="101"/>
        <v>#VALUE!</v>
      </c>
      <c r="O1263" s="160">
        <f t="shared" si="102"/>
        <v>1.0248662490928169</v>
      </c>
    </row>
    <row r="1264" spans="1:15" hidden="1">
      <c r="A1264" s="918" t="str">
        <f>Clothing!A344</f>
        <v>Clothing (product sector)</v>
      </c>
      <c r="B1264" s="918" t="str">
        <f>Clothing!B344</f>
        <v>Dresses skirts and jumpsuits</v>
      </c>
      <c r="C1264" s="918" t="str">
        <f>Clothing!C344</f>
        <v>EU</v>
      </c>
      <c r="D1264" s="918" t="str">
        <f>Clothing!D344</f>
        <v>OTHER</v>
      </c>
      <c r="E1264" s="918">
        <f>Clothing!E344</f>
        <v>0</v>
      </c>
      <c r="F1264" s="918">
        <f>Clothing!F344</f>
        <v>1</v>
      </c>
      <c r="G1264" s="918" t="str">
        <f>Clothing!G344</f>
        <v>https://eeb.org/library/draft-product-environmental-footprint-category-rules-pefcr-apparel-and-footwear/</v>
      </c>
      <c r="H1264" s="922" t="str">
        <f>Clothing!H344</f>
        <v/>
      </c>
      <c r="I1264" s="922">
        <f>Clothing!I344</f>
        <v>1</v>
      </c>
      <c r="J1264" s="922">
        <f>Clothing!J344</f>
        <v>2</v>
      </c>
      <c r="K1264" s="922">
        <f>Clothing!K344</f>
        <v>1</v>
      </c>
      <c r="L1264" s="922">
        <f>Clothing!L344</f>
        <v>2</v>
      </c>
      <c r="M1264" s="922">
        <f>Clothing!M344</f>
        <v>3</v>
      </c>
      <c r="N1264" s="186" t="e">
        <f t="shared" si="101"/>
        <v>#VALUE!</v>
      </c>
      <c r="O1264" s="160">
        <f t="shared" si="102"/>
        <v>1.0248662490928169</v>
      </c>
    </row>
    <row r="1265" spans="1:15" hidden="1">
      <c r="A1265" s="918" t="str">
        <f>Clothing!A345</f>
        <v>Clothing (product sector)</v>
      </c>
      <c r="B1265" s="918" t="str">
        <f>Clothing!B345</f>
        <v>Dresses skirts and jumpsuits</v>
      </c>
      <c r="C1265" s="918" t="str">
        <f>Clothing!C345</f>
        <v>EU</v>
      </c>
      <c r="D1265" s="918" t="str">
        <f>Clothing!D345</f>
        <v>PA</v>
      </c>
      <c r="E1265" s="918">
        <f>Clothing!E345</f>
        <v>2.66840978650866E-2</v>
      </c>
      <c r="F1265" s="918">
        <f>Clothing!F345</f>
        <v>1</v>
      </c>
      <c r="G1265" s="918" t="str">
        <f>Clothing!G345</f>
        <v>https://eeb.org/library/draft-product-environmental-footprint-category-rules-pefcr-apparel-and-footwear/</v>
      </c>
      <c r="H1265" s="922" t="str">
        <f>Clothing!H345</f>
        <v/>
      </c>
      <c r="I1265" s="922">
        <f>Clothing!I345</f>
        <v>1</v>
      </c>
      <c r="J1265" s="922">
        <f>Clothing!J345</f>
        <v>2</v>
      </c>
      <c r="K1265" s="922">
        <f>Clothing!K345</f>
        <v>1</v>
      </c>
      <c r="L1265" s="922">
        <f>Clothing!L345</f>
        <v>2</v>
      </c>
      <c r="M1265" s="922">
        <f>Clothing!M345</f>
        <v>3</v>
      </c>
      <c r="N1265" s="186" t="e">
        <f t="shared" si="101"/>
        <v>#VALUE!</v>
      </c>
      <c r="O1265" s="160">
        <f t="shared" si="102"/>
        <v>1.0248662490928169</v>
      </c>
    </row>
    <row r="1266" spans="1:15" hidden="1">
      <c r="A1266" s="918" t="str">
        <f>Clothing!A346</f>
        <v>Clothing (product sector)</v>
      </c>
      <c r="B1266" s="918" t="str">
        <f>Clothing!B346</f>
        <v>Dresses skirts and jumpsuits</v>
      </c>
      <c r="C1266" s="918" t="str">
        <f>Clothing!C346</f>
        <v>EU</v>
      </c>
      <c r="D1266" s="918" t="str">
        <f>Clothing!D346</f>
        <v>PET</v>
      </c>
      <c r="E1266" s="918">
        <f>Clothing!E346</f>
        <v>3.7467621001403197E-2</v>
      </c>
      <c r="F1266" s="918">
        <f>Clothing!F346</f>
        <v>1</v>
      </c>
      <c r="G1266" s="918" t="str">
        <f>Clothing!G346</f>
        <v>https://eeb.org/library/draft-product-environmental-footprint-category-rules-pefcr-apparel-and-footwear/</v>
      </c>
      <c r="H1266" s="922" t="str">
        <f>Clothing!H346</f>
        <v/>
      </c>
      <c r="I1266" s="922">
        <f>Clothing!I346</f>
        <v>1</v>
      </c>
      <c r="J1266" s="922">
        <f>Clothing!J346</f>
        <v>2</v>
      </c>
      <c r="K1266" s="922">
        <f>Clothing!K346</f>
        <v>1</v>
      </c>
      <c r="L1266" s="922">
        <f>Clothing!L346</f>
        <v>2</v>
      </c>
      <c r="M1266" s="922">
        <f>Clothing!M346</f>
        <v>3</v>
      </c>
      <c r="N1266" s="186" t="e">
        <f t="shared" si="101"/>
        <v>#VALUE!</v>
      </c>
      <c r="O1266" s="160">
        <f t="shared" si="102"/>
        <v>1.0248662490928169</v>
      </c>
    </row>
    <row r="1267" spans="1:15" hidden="1">
      <c r="A1267" s="918" t="str">
        <f>Clothing!A347</f>
        <v>Clothing (product sector)</v>
      </c>
      <c r="B1267" s="918" t="str">
        <f>Clothing!B347</f>
        <v>Jackets and coats</v>
      </c>
      <c r="C1267" s="918" t="str">
        <f>Clothing!C347</f>
        <v>EU</v>
      </c>
      <c r="D1267" s="918" t="str">
        <f>Clothing!D347</f>
        <v>Acryl</v>
      </c>
      <c r="E1267" s="918">
        <f>Clothing!E347</f>
        <v>0.51736573665128205</v>
      </c>
      <c r="F1267" s="918">
        <f>Clothing!F347</f>
        <v>1</v>
      </c>
      <c r="G1267" s="918" t="str">
        <f>Clothing!G347</f>
        <v>https://eeb.org/library/draft-product-environmental-footprint-category-rules-pefcr-apparel-and-footwear/</v>
      </c>
      <c r="H1267" s="922" t="str">
        <f>Clothing!H347</f>
        <v/>
      </c>
      <c r="I1267" s="922">
        <f>Clothing!I347</f>
        <v>1</v>
      </c>
      <c r="J1267" s="922">
        <f>Clothing!J347</f>
        <v>2</v>
      </c>
      <c r="K1267" s="922">
        <f>Clothing!K347</f>
        <v>1</v>
      </c>
      <c r="L1267" s="922">
        <f>Clothing!L347</f>
        <v>2</v>
      </c>
      <c r="M1267" s="922">
        <f>Clothing!M347</f>
        <v>3</v>
      </c>
      <c r="N1267" s="186" t="e">
        <f t="shared" si="101"/>
        <v>#VALUE!</v>
      </c>
      <c r="O1267" s="160">
        <f t="shared" si="102"/>
        <v>1.0248662490928169</v>
      </c>
    </row>
    <row r="1268" spans="1:15" hidden="1">
      <c r="A1268" s="918" t="str">
        <f>Clothing!A348</f>
        <v>Clothing (product sector)</v>
      </c>
      <c r="B1268" s="918" t="str">
        <f>Clothing!B348</f>
        <v>Jackets and coats</v>
      </c>
      <c r="C1268" s="918" t="str">
        <f>Clothing!C348</f>
        <v>EU</v>
      </c>
      <c r="D1268" s="918" t="str">
        <f>Clothing!D348</f>
        <v>OTHER</v>
      </c>
      <c r="E1268" s="918">
        <f>Clothing!E348</f>
        <v>5.4014541765341199E-2</v>
      </c>
      <c r="F1268" s="918">
        <f>Clothing!F348</f>
        <v>1</v>
      </c>
      <c r="G1268" s="918" t="str">
        <f>Clothing!G348</f>
        <v>https://eeb.org/library/draft-product-environmental-footprint-category-rules-pefcr-apparel-and-footwear/</v>
      </c>
      <c r="H1268" s="922" t="str">
        <f>Clothing!H348</f>
        <v/>
      </c>
      <c r="I1268" s="922">
        <f>Clothing!I348</f>
        <v>1</v>
      </c>
      <c r="J1268" s="922">
        <f>Clothing!J348</f>
        <v>2</v>
      </c>
      <c r="K1268" s="922">
        <f>Clothing!K348</f>
        <v>1</v>
      </c>
      <c r="L1268" s="922">
        <f>Clothing!L348</f>
        <v>2</v>
      </c>
      <c r="M1268" s="922">
        <f>Clothing!M348</f>
        <v>3</v>
      </c>
      <c r="N1268" s="186" t="e">
        <f t="shared" si="101"/>
        <v>#VALUE!</v>
      </c>
      <c r="O1268" s="160">
        <f t="shared" si="102"/>
        <v>1.0248662490928169</v>
      </c>
    </row>
    <row r="1269" spans="1:15" hidden="1">
      <c r="A1269" s="918" t="str">
        <f>Clothing!A349</f>
        <v>Clothing (product sector)</v>
      </c>
      <c r="B1269" s="918" t="str">
        <f>Clothing!B349</f>
        <v>Jackets and coats</v>
      </c>
      <c r="C1269" s="918" t="str">
        <f>Clothing!C349</f>
        <v>EU</v>
      </c>
      <c r="D1269" s="918" t="str">
        <f>Clothing!D349</f>
        <v>PA</v>
      </c>
      <c r="E1269" s="918">
        <f>Clothing!E349</f>
        <v>0.32641106648312102</v>
      </c>
      <c r="F1269" s="918">
        <f>Clothing!F349</f>
        <v>1</v>
      </c>
      <c r="G1269" s="918" t="str">
        <f>Clothing!G349</f>
        <v>https://eeb.org/library/draft-product-environmental-footprint-category-rules-pefcr-apparel-and-footwear/</v>
      </c>
      <c r="H1269" s="922" t="str">
        <f>Clothing!H349</f>
        <v/>
      </c>
      <c r="I1269" s="922">
        <f>Clothing!I349</f>
        <v>1</v>
      </c>
      <c r="J1269" s="922">
        <f>Clothing!J349</f>
        <v>2</v>
      </c>
      <c r="K1269" s="922">
        <f>Clothing!K349</f>
        <v>1</v>
      </c>
      <c r="L1269" s="922">
        <f>Clothing!L349</f>
        <v>2</v>
      </c>
      <c r="M1269" s="922">
        <f>Clothing!M349</f>
        <v>3</v>
      </c>
      <c r="N1269" s="186" t="e">
        <f t="shared" si="101"/>
        <v>#VALUE!</v>
      </c>
      <c r="O1269" s="160">
        <f t="shared" si="102"/>
        <v>1.0248662490928169</v>
      </c>
    </row>
    <row r="1270" spans="1:15" hidden="1">
      <c r="A1270" s="918" t="str">
        <f>Clothing!A350</f>
        <v>Clothing (product sector)</v>
      </c>
      <c r="B1270" s="918" t="str">
        <f>Clothing!B350</f>
        <v>Jackets and coats</v>
      </c>
      <c r="C1270" s="918" t="str">
        <f>Clothing!C350</f>
        <v>EU</v>
      </c>
      <c r="D1270" s="918" t="str">
        <f>Clothing!D350</f>
        <v>PET</v>
      </c>
      <c r="E1270" s="918">
        <f>Clothing!E350</f>
        <v>0.18263605280568401</v>
      </c>
      <c r="F1270" s="918">
        <f>Clothing!F350</f>
        <v>1</v>
      </c>
      <c r="G1270" s="918" t="str">
        <f>Clothing!G350</f>
        <v>https://eeb.org/library/draft-product-environmental-footprint-category-rules-pefcr-apparel-and-footwear/</v>
      </c>
      <c r="H1270" s="922" t="str">
        <f>Clothing!H350</f>
        <v/>
      </c>
      <c r="I1270" s="922">
        <f>Clothing!I350</f>
        <v>1</v>
      </c>
      <c r="J1270" s="922">
        <f>Clothing!J350</f>
        <v>2</v>
      </c>
      <c r="K1270" s="922">
        <f>Clothing!K350</f>
        <v>1</v>
      </c>
      <c r="L1270" s="922">
        <f>Clothing!L350</f>
        <v>2</v>
      </c>
      <c r="M1270" s="922">
        <f>Clothing!M350</f>
        <v>3</v>
      </c>
      <c r="N1270" s="186" t="e">
        <f t="shared" si="101"/>
        <v>#VALUE!</v>
      </c>
      <c r="O1270" s="160">
        <f t="shared" si="102"/>
        <v>1.0248662490928169</v>
      </c>
    </row>
    <row r="1271" spans="1:15" hidden="1">
      <c r="A1271" s="918" t="str">
        <f>Clothing!A351</f>
        <v>Clothing (product sector)</v>
      </c>
      <c r="B1271" s="918" t="str">
        <f>Clothing!B351</f>
        <v>Leggings stockings tights and socks</v>
      </c>
      <c r="C1271" s="918" t="str">
        <f>Clothing!C351</f>
        <v>EU</v>
      </c>
      <c r="D1271" s="918" t="str">
        <f>Clothing!D351</f>
        <v>Acryl</v>
      </c>
      <c r="E1271" s="918">
        <f>Clothing!E351</f>
        <v>2.4568018849149401E-2</v>
      </c>
      <c r="F1271" s="918">
        <f>Clothing!F351</f>
        <v>1</v>
      </c>
      <c r="G1271" s="918" t="str">
        <f>Clothing!G351</f>
        <v>https://eeb.org/library/draft-product-environmental-footprint-category-rules-pefcr-apparel-and-footwear/</v>
      </c>
      <c r="H1271" s="922" t="str">
        <f>Clothing!H351</f>
        <v/>
      </c>
      <c r="I1271" s="922">
        <f>Clothing!I351</f>
        <v>1</v>
      </c>
      <c r="J1271" s="922">
        <f>Clothing!J351</f>
        <v>2</v>
      </c>
      <c r="K1271" s="922">
        <f>Clothing!K351</f>
        <v>1</v>
      </c>
      <c r="L1271" s="922">
        <f>Clothing!L351</f>
        <v>2</v>
      </c>
      <c r="M1271" s="922">
        <f>Clothing!M351</f>
        <v>3</v>
      </c>
      <c r="N1271" s="186" t="e">
        <f t="shared" si="101"/>
        <v>#VALUE!</v>
      </c>
      <c r="O1271" s="160">
        <f t="shared" si="102"/>
        <v>1.0248662490928169</v>
      </c>
    </row>
    <row r="1272" spans="1:15" hidden="1">
      <c r="A1272" s="918" t="str">
        <f>Clothing!A352</f>
        <v>Clothing (product sector)</v>
      </c>
      <c r="B1272" s="918" t="str">
        <f>Clothing!B352</f>
        <v>Leggings stockings tights and socks</v>
      </c>
      <c r="C1272" s="918" t="str">
        <f>Clothing!C352</f>
        <v>EU</v>
      </c>
      <c r="D1272" s="918" t="str">
        <f>Clothing!D352</f>
        <v>OTHER</v>
      </c>
      <c r="E1272" s="918">
        <f>Clothing!E352</f>
        <v>2.0153376516434E-2</v>
      </c>
      <c r="F1272" s="918">
        <f>Clothing!F352</f>
        <v>1</v>
      </c>
      <c r="G1272" s="918" t="str">
        <f>Clothing!G352</f>
        <v>https://eeb.org/library/draft-product-environmental-footprint-category-rules-pefcr-apparel-and-footwear/</v>
      </c>
      <c r="H1272" s="922" t="str">
        <f>Clothing!H352</f>
        <v/>
      </c>
      <c r="I1272" s="922">
        <f>Clothing!I352</f>
        <v>1</v>
      </c>
      <c r="J1272" s="922">
        <f>Clothing!J352</f>
        <v>2</v>
      </c>
      <c r="K1272" s="922">
        <f>Clothing!K352</f>
        <v>1</v>
      </c>
      <c r="L1272" s="922">
        <f>Clothing!L352</f>
        <v>2</v>
      </c>
      <c r="M1272" s="922">
        <f>Clothing!M352</f>
        <v>3</v>
      </c>
      <c r="N1272" s="186" t="e">
        <f t="shared" si="101"/>
        <v>#VALUE!</v>
      </c>
      <c r="O1272" s="160">
        <f t="shared" si="102"/>
        <v>1.0248662490928169</v>
      </c>
    </row>
    <row r="1273" spans="1:15" hidden="1">
      <c r="A1273" s="918" t="str">
        <f>Clothing!A353</f>
        <v>Clothing (product sector)</v>
      </c>
      <c r="B1273" s="918" t="str">
        <f>Clothing!B353</f>
        <v>Leggings stockings tights and socks</v>
      </c>
      <c r="C1273" s="918" t="str">
        <f>Clothing!C353</f>
        <v>EU</v>
      </c>
      <c r="D1273" s="918" t="str">
        <f>Clothing!D353</f>
        <v>PA</v>
      </c>
      <c r="E1273" s="918">
        <f>Clothing!E353</f>
        <v>5.0338750051631298E-2</v>
      </c>
      <c r="F1273" s="918">
        <f>Clothing!F353</f>
        <v>1</v>
      </c>
      <c r="G1273" s="918" t="str">
        <f>Clothing!G353</f>
        <v>https://eeb.org/library/draft-product-environmental-footprint-category-rules-pefcr-apparel-and-footwear/</v>
      </c>
      <c r="H1273" s="922" t="str">
        <f>Clothing!H353</f>
        <v/>
      </c>
      <c r="I1273" s="922">
        <f>Clothing!I353</f>
        <v>1</v>
      </c>
      <c r="J1273" s="922">
        <f>Clothing!J353</f>
        <v>2</v>
      </c>
      <c r="K1273" s="922">
        <f>Clothing!K353</f>
        <v>1</v>
      </c>
      <c r="L1273" s="922">
        <f>Clothing!L353</f>
        <v>2</v>
      </c>
      <c r="M1273" s="922">
        <f>Clothing!M353</f>
        <v>3</v>
      </c>
      <c r="N1273" s="186" t="e">
        <f t="shared" si="101"/>
        <v>#VALUE!</v>
      </c>
      <c r="O1273" s="160">
        <f t="shared" si="102"/>
        <v>1.0248662490928169</v>
      </c>
    </row>
    <row r="1274" spans="1:15" hidden="1">
      <c r="A1274" s="918" t="str">
        <f>Clothing!A354</f>
        <v>Clothing (product sector)</v>
      </c>
      <c r="B1274" s="918" t="str">
        <f>Clothing!B354</f>
        <v>Leggings stockings tights and socks</v>
      </c>
      <c r="C1274" s="918" t="str">
        <f>Clothing!C354</f>
        <v>EU</v>
      </c>
      <c r="D1274" s="918" t="str">
        <f>Clothing!D354</f>
        <v>PET</v>
      </c>
      <c r="E1274" s="918">
        <f>Clothing!E354</f>
        <v>7.1584958870518096E-3</v>
      </c>
      <c r="F1274" s="918">
        <f>Clothing!F354</f>
        <v>1</v>
      </c>
      <c r="G1274" s="918" t="str">
        <f>Clothing!G354</f>
        <v>https://eeb.org/library/draft-product-environmental-footprint-category-rules-pefcr-apparel-and-footwear/</v>
      </c>
      <c r="H1274" s="922" t="str">
        <f>Clothing!H354</f>
        <v/>
      </c>
      <c r="I1274" s="922">
        <f>Clothing!I354</f>
        <v>1</v>
      </c>
      <c r="J1274" s="922">
        <f>Clothing!J354</f>
        <v>2</v>
      </c>
      <c r="K1274" s="922">
        <f>Clothing!K354</f>
        <v>1</v>
      </c>
      <c r="L1274" s="922">
        <f>Clothing!L354</f>
        <v>2</v>
      </c>
      <c r="M1274" s="922">
        <f>Clothing!M354</f>
        <v>3</v>
      </c>
      <c r="N1274" s="186" t="e">
        <f t="shared" si="101"/>
        <v>#VALUE!</v>
      </c>
      <c r="O1274" s="160">
        <f t="shared" si="102"/>
        <v>1.0248662490928169</v>
      </c>
    </row>
    <row r="1275" spans="1:15" hidden="1">
      <c r="A1275" s="918" t="str">
        <f>Clothing!A355</f>
        <v>Clothing (product sector)</v>
      </c>
      <c r="B1275" s="918" t="str">
        <f>Clothing!B355</f>
        <v>Open-toed shoes</v>
      </c>
      <c r="C1275" s="918" t="str">
        <f>Clothing!C355</f>
        <v>EU</v>
      </c>
      <c r="D1275" s="918" t="str">
        <f>Clothing!D355</f>
        <v>OTHER</v>
      </c>
      <c r="E1275" s="918">
        <f>Clothing!E355</f>
        <v>0.36168041140019702</v>
      </c>
      <c r="F1275" s="918">
        <f>Clothing!F355</f>
        <v>1</v>
      </c>
      <c r="G1275" s="918" t="str">
        <f>Clothing!G355</f>
        <v>https://eeb.org/library/draft-product-environmental-footprint-category-rules-pefcr-apparel-and-footwear/</v>
      </c>
      <c r="H1275" s="922" t="str">
        <f>Clothing!H355</f>
        <v/>
      </c>
      <c r="I1275" s="922">
        <f>Clothing!I355</f>
        <v>1</v>
      </c>
      <c r="J1275" s="922">
        <f>Clothing!J355</f>
        <v>2</v>
      </c>
      <c r="K1275" s="922">
        <f>Clothing!K355</f>
        <v>1</v>
      </c>
      <c r="L1275" s="922">
        <f>Clothing!L355</f>
        <v>2</v>
      </c>
      <c r="M1275" s="922">
        <f>Clothing!M355</f>
        <v>3</v>
      </c>
      <c r="N1275" s="186" t="e">
        <f t="shared" si="101"/>
        <v>#VALUE!</v>
      </c>
      <c r="O1275" s="160">
        <f t="shared" si="102"/>
        <v>1.0248662490928169</v>
      </c>
    </row>
    <row r="1276" spans="1:15" hidden="1">
      <c r="A1276" s="918" t="str">
        <f>Clothing!A356</f>
        <v>Clothing (product sector)</v>
      </c>
      <c r="B1276" s="918" t="str">
        <f>Clothing!B356</f>
        <v>Open-toed shoes</v>
      </c>
      <c r="C1276" s="918" t="str">
        <f>Clothing!C356</f>
        <v>EU</v>
      </c>
      <c r="D1276" s="918" t="str">
        <f>Clothing!D356</f>
        <v>PA</v>
      </c>
      <c r="E1276" s="918">
        <f>Clothing!E356</f>
        <v>0</v>
      </c>
      <c r="F1276" s="918">
        <f>Clothing!F356</f>
        <v>1</v>
      </c>
      <c r="G1276" s="918" t="str">
        <f>Clothing!G356</f>
        <v>https://eeb.org/library/draft-product-environmental-footprint-category-rules-pefcr-apparel-and-footwear/</v>
      </c>
      <c r="H1276" s="922" t="str">
        <f>Clothing!H356</f>
        <v/>
      </c>
      <c r="I1276" s="922">
        <f>Clothing!I356</f>
        <v>1</v>
      </c>
      <c r="J1276" s="922">
        <f>Clothing!J356</f>
        <v>2</v>
      </c>
      <c r="K1276" s="922">
        <f>Clothing!K356</f>
        <v>1</v>
      </c>
      <c r="L1276" s="922">
        <f>Clothing!L356</f>
        <v>2</v>
      </c>
      <c r="M1276" s="922">
        <f>Clothing!M356</f>
        <v>3</v>
      </c>
      <c r="N1276" s="186" t="e">
        <f t="shared" si="101"/>
        <v>#VALUE!</v>
      </c>
      <c r="O1276" s="160">
        <f t="shared" si="102"/>
        <v>1.0248662490928169</v>
      </c>
    </row>
    <row r="1277" spans="1:15" hidden="1">
      <c r="A1277" s="918" t="str">
        <f>Clothing!A357</f>
        <v>Clothing (product sector)</v>
      </c>
      <c r="B1277" s="918" t="str">
        <f>Clothing!B357</f>
        <v>Open-toed shoes</v>
      </c>
      <c r="C1277" s="918" t="str">
        <f>Clothing!C357</f>
        <v>EU</v>
      </c>
      <c r="D1277" s="918" t="str">
        <f>Clothing!D357</f>
        <v>PET</v>
      </c>
      <c r="E1277" s="918">
        <f>Clothing!E357</f>
        <v>5.9558170262187298E-3</v>
      </c>
      <c r="F1277" s="918">
        <f>Clothing!F357</f>
        <v>1</v>
      </c>
      <c r="G1277" s="918" t="str">
        <f>Clothing!G357</f>
        <v>https://eeb.org/library/draft-product-environmental-footprint-category-rules-pefcr-apparel-and-footwear/</v>
      </c>
      <c r="H1277" s="922" t="str">
        <f>Clothing!H357</f>
        <v/>
      </c>
      <c r="I1277" s="922">
        <f>Clothing!I357</f>
        <v>1</v>
      </c>
      <c r="J1277" s="922">
        <f>Clothing!J357</f>
        <v>2</v>
      </c>
      <c r="K1277" s="922">
        <f>Clothing!K357</f>
        <v>1</v>
      </c>
      <c r="L1277" s="922">
        <f>Clothing!L357</f>
        <v>2</v>
      </c>
      <c r="M1277" s="922">
        <f>Clothing!M357</f>
        <v>3</v>
      </c>
      <c r="N1277" s="186" t="e">
        <f t="shared" si="101"/>
        <v>#VALUE!</v>
      </c>
      <c r="O1277" s="160">
        <f t="shared" si="102"/>
        <v>1.0248662490928169</v>
      </c>
    </row>
    <row r="1278" spans="1:15" hidden="1">
      <c r="A1278" s="918" t="str">
        <f>Clothing!A358</f>
        <v>Clothing (product sector)</v>
      </c>
      <c r="B1278" s="918" t="str">
        <f>Clothing!B358</f>
        <v>Open-toed shoes</v>
      </c>
      <c r="C1278" s="918" t="str">
        <f>Clothing!C358</f>
        <v>EU</v>
      </c>
      <c r="D1278" s="918" t="str">
        <f>Clothing!D358</f>
        <v>PUR</v>
      </c>
      <c r="E1278" s="918">
        <f>Clothing!E358</f>
        <v>0.12120002278188099</v>
      </c>
      <c r="F1278" s="918">
        <f>Clothing!F358</f>
        <v>1</v>
      </c>
      <c r="G1278" s="918" t="str">
        <f>Clothing!G358</f>
        <v>https://eeb.org/library/draft-product-environmental-footprint-category-rules-pefcr-apparel-and-footwear/</v>
      </c>
      <c r="H1278" s="922" t="str">
        <f>Clothing!H358</f>
        <v/>
      </c>
      <c r="I1278" s="922">
        <f>Clothing!I358</f>
        <v>1</v>
      </c>
      <c r="J1278" s="922">
        <f>Clothing!J358</f>
        <v>2</v>
      </c>
      <c r="K1278" s="922">
        <f>Clothing!K358</f>
        <v>1</v>
      </c>
      <c r="L1278" s="922">
        <f>Clothing!L358</f>
        <v>2</v>
      </c>
      <c r="M1278" s="922">
        <f>Clothing!M358</f>
        <v>3</v>
      </c>
      <c r="N1278" s="186" t="e">
        <f t="shared" si="101"/>
        <v>#VALUE!</v>
      </c>
      <c r="O1278" s="160">
        <f t="shared" si="102"/>
        <v>1.0248662490928169</v>
      </c>
    </row>
    <row r="1279" spans="1:15" hidden="1">
      <c r="A1279" s="918" t="str">
        <f>Clothing!A359</f>
        <v>Clothing (product sector)</v>
      </c>
      <c r="B1279" s="918" t="str">
        <f>Clothing!B359</f>
        <v>Open-toed shoes</v>
      </c>
      <c r="C1279" s="918" t="str">
        <f>Clothing!C359</f>
        <v>EU</v>
      </c>
      <c r="D1279" s="918" t="str">
        <f>Clothing!D359</f>
        <v>PVC</v>
      </c>
      <c r="E1279" s="918">
        <f>Clothing!E359</f>
        <v>0.14281592975183499</v>
      </c>
      <c r="F1279" s="918">
        <f>Clothing!F359</f>
        <v>1</v>
      </c>
      <c r="G1279" s="918" t="str">
        <f>Clothing!G359</f>
        <v>https://eeb.org/library/draft-product-environmental-footprint-category-rules-pefcr-apparel-and-footwear/</v>
      </c>
      <c r="H1279" s="922" t="str">
        <f>Clothing!H359</f>
        <v/>
      </c>
      <c r="I1279" s="922">
        <f>Clothing!I359</f>
        <v>1</v>
      </c>
      <c r="J1279" s="922">
        <f>Clothing!J359</f>
        <v>2</v>
      </c>
      <c r="K1279" s="922">
        <f>Clothing!K359</f>
        <v>1</v>
      </c>
      <c r="L1279" s="922">
        <f>Clothing!L359</f>
        <v>2</v>
      </c>
      <c r="M1279" s="922">
        <f>Clothing!M359</f>
        <v>3</v>
      </c>
      <c r="N1279" s="186" t="e">
        <f t="shared" si="101"/>
        <v>#VALUE!</v>
      </c>
      <c r="O1279" s="160">
        <f t="shared" si="102"/>
        <v>1.0248662490928169</v>
      </c>
    </row>
    <row r="1280" spans="1:15" hidden="1">
      <c r="A1280" s="918" t="str">
        <f>Clothing!A360</f>
        <v>Clothing (product sector)</v>
      </c>
      <c r="B1280" s="918" t="str">
        <f>Clothing!B360</f>
        <v>Open-toed shoes</v>
      </c>
      <c r="C1280" s="918" t="str">
        <f>Clothing!C360</f>
        <v>EU</v>
      </c>
      <c r="D1280" s="918" t="str">
        <f>Clothing!D360</f>
        <v>RUBBER</v>
      </c>
      <c r="E1280" s="918">
        <f>Clothing!E360</f>
        <v>0.23743185398060801</v>
      </c>
      <c r="F1280" s="918">
        <f>Clothing!F360</f>
        <v>1</v>
      </c>
      <c r="G1280" s="918" t="str">
        <f>Clothing!G360</f>
        <v>https://eeb.org/library/draft-product-environmental-footprint-category-rules-pefcr-apparel-and-footwear/</v>
      </c>
      <c r="H1280" s="922" t="str">
        <f>Clothing!H360</f>
        <v/>
      </c>
      <c r="I1280" s="922">
        <f>Clothing!I360</f>
        <v>1</v>
      </c>
      <c r="J1280" s="922">
        <f>Clothing!J360</f>
        <v>2</v>
      </c>
      <c r="K1280" s="922">
        <f>Clothing!K360</f>
        <v>1</v>
      </c>
      <c r="L1280" s="922">
        <f>Clothing!L360</f>
        <v>2</v>
      </c>
      <c r="M1280" s="922">
        <f>Clothing!M360</f>
        <v>3</v>
      </c>
      <c r="N1280" s="186" t="e">
        <f t="shared" si="101"/>
        <v>#VALUE!</v>
      </c>
      <c r="O1280" s="160">
        <f t="shared" si="102"/>
        <v>1.0248662490928169</v>
      </c>
    </row>
    <row r="1281" spans="1:15" hidden="1">
      <c r="A1281" s="918" t="str">
        <f>Clothing!A361</f>
        <v>Clothing (product sector)</v>
      </c>
      <c r="B1281" s="918" t="str">
        <f>Clothing!B361</f>
        <v>Pants and shorts</v>
      </c>
      <c r="C1281" s="918" t="str">
        <f>Clothing!C361</f>
        <v>EU</v>
      </c>
      <c r="D1281" s="918" t="str">
        <f>Clothing!D361</f>
        <v>Acryl</v>
      </c>
      <c r="E1281" s="918">
        <f>Clothing!E361</f>
        <v>0</v>
      </c>
      <c r="F1281" s="918">
        <f>Clothing!F361</f>
        <v>1</v>
      </c>
      <c r="G1281" s="918" t="str">
        <f>Clothing!G361</f>
        <v>https://eeb.org/library/draft-product-environmental-footprint-category-rules-pefcr-apparel-and-footwear/</v>
      </c>
      <c r="H1281" s="922" t="str">
        <f>Clothing!H361</f>
        <v/>
      </c>
      <c r="I1281" s="922">
        <f>Clothing!I361</f>
        <v>1</v>
      </c>
      <c r="J1281" s="922">
        <f>Clothing!J361</f>
        <v>2</v>
      </c>
      <c r="K1281" s="922">
        <f>Clothing!K361</f>
        <v>1</v>
      </c>
      <c r="L1281" s="922">
        <f>Clothing!L361</f>
        <v>2</v>
      </c>
      <c r="M1281" s="922">
        <f>Clothing!M361</f>
        <v>3</v>
      </c>
      <c r="N1281" s="186" t="e">
        <f t="shared" si="101"/>
        <v>#VALUE!</v>
      </c>
      <c r="O1281" s="160">
        <f t="shared" si="102"/>
        <v>1.0248662490928169</v>
      </c>
    </row>
    <row r="1282" spans="1:15" hidden="1">
      <c r="A1282" s="918" t="str">
        <f>Clothing!A362</f>
        <v>Clothing (product sector)</v>
      </c>
      <c r="B1282" s="918" t="str">
        <f>Clothing!B362</f>
        <v>Pants and shorts</v>
      </c>
      <c r="C1282" s="918" t="str">
        <f>Clothing!C362</f>
        <v>EU</v>
      </c>
      <c r="D1282" s="918" t="str">
        <f>Clothing!D362</f>
        <v>OTHER</v>
      </c>
      <c r="E1282" s="918">
        <f>Clothing!E362</f>
        <v>0.204823445098268</v>
      </c>
      <c r="F1282" s="918">
        <f>Clothing!F362</f>
        <v>1</v>
      </c>
      <c r="G1282" s="918" t="str">
        <f>Clothing!G362</f>
        <v>https://eeb.org/library/draft-product-environmental-footprint-category-rules-pefcr-apparel-and-footwear/</v>
      </c>
      <c r="H1282" s="922" t="str">
        <f>Clothing!H362</f>
        <v/>
      </c>
      <c r="I1282" s="922">
        <f>Clothing!I362</f>
        <v>1</v>
      </c>
      <c r="J1282" s="922">
        <f>Clothing!J362</f>
        <v>2</v>
      </c>
      <c r="K1282" s="922">
        <f>Clothing!K362</f>
        <v>1</v>
      </c>
      <c r="L1282" s="922">
        <f>Clothing!L362</f>
        <v>2</v>
      </c>
      <c r="M1282" s="922">
        <f>Clothing!M362</f>
        <v>3</v>
      </c>
      <c r="N1282" s="186" t="e">
        <f t="shared" si="101"/>
        <v>#VALUE!</v>
      </c>
      <c r="O1282" s="160">
        <f t="shared" si="102"/>
        <v>1.0248662490928169</v>
      </c>
    </row>
    <row r="1283" spans="1:15" hidden="1">
      <c r="A1283" s="918" t="str">
        <f>Clothing!A363</f>
        <v>Clothing (product sector)</v>
      </c>
      <c r="B1283" s="918" t="str">
        <f>Clothing!B363</f>
        <v>Pants and shorts</v>
      </c>
      <c r="C1283" s="918" t="str">
        <f>Clothing!C363</f>
        <v>EU</v>
      </c>
      <c r="D1283" s="918" t="str">
        <f>Clothing!D363</f>
        <v>PA</v>
      </c>
      <c r="E1283" s="918">
        <f>Clothing!E363</f>
        <v>0.259928044629197</v>
      </c>
      <c r="F1283" s="918">
        <f>Clothing!F363</f>
        <v>1</v>
      </c>
      <c r="G1283" s="918" t="str">
        <f>Clothing!G363</f>
        <v>https://eeb.org/library/draft-product-environmental-footprint-category-rules-pefcr-apparel-and-footwear/</v>
      </c>
      <c r="H1283" s="922" t="str">
        <f>Clothing!H363</f>
        <v/>
      </c>
      <c r="I1283" s="922">
        <f>Clothing!I363</f>
        <v>1</v>
      </c>
      <c r="J1283" s="922">
        <f>Clothing!J363</f>
        <v>2</v>
      </c>
      <c r="K1283" s="922">
        <f>Clothing!K363</f>
        <v>1</v>
      </c>
      <c r="L1283" s="922">
        <f>Clothing!L363</f>
        <v>2</v>
      </c>
      <c r="M1283" s="922">
        <f>Clothing!M363</f>
        <v>3</v>
      </c>
      <c r="N1283" s="186" t="e">
        <f t="shared" si="101"/>
        <v>#VALUE!</v>
      </c>
      <c r="O1283" s="160">
        <f t="shared" si="102"/>
        <v>1.0248662490928169</v>
      </c>
    </row>
    <row r="1284" spans="1:15" hidden="1">
      <c r="A1284" s="918" t="str">
        <f>Clothing!A364</f>
        <v>Clothing (product sector)</v>
      </c>
      <c r="B1284" s="918" t="str">
        <f>Clothing!B364</f>
        <v>Pants and shorts</v>
      </c>
      <c r="C1284" s="918" t="str">
        <f>Clothing!C364</f>
        <v>EU</v>
      </c>
      <c r="D1284" s="918" t="str">
        <f>Clothing!D364</f>
        <v>PET</v>
      </c>
      <c r="E1284" s="918">
        <f>Clothing!E364</f>
        <v>0.26679181959488901</v>
      </c>
      <c r="F1284" s="918">
        <f>Clothing!F364</f>
        <v>1</v>
      </c>
      <c r="G1284" s="918" t="str">
        <f>Clothing!G364</f>
        <v>https://eeb.org/library/draft-product-environmental-footprint-category-rules-pefcr-apparel-and-footwear/</v>
      </c>
      <c r="H1284" s="922" t="str">
        <f>Clothing!H364</f>
        <v/>
      </c>
      <c r="I1284" s="922">
        <f>Clothing!I364</f>
        <v>1</v>
      </c>
      <c r="J1284" s="922">
        <f>Clothing!J364</f>
        <v>2</v>
      </c>
      <c r="K1284" s="922">
        <f>Clothing!K364</f>
        <v>1</v>
      </c>
      <c r="L1284" s="922">
        <f>Clothing!L364</f>
        <v>2</v>
      </c>
      <c r="M1284" s="922">
        <f>Clothing!M364</f>
        <v>3</v>
      </c>
      <c r="N1284" s="186" t="e">
        <f t="shared" si="101"/>
        <v>#VALUE!</v>
      </c>
      <c r="O1284" s="160">
        <f t="shared" si="102"/>
        <v>1.0248662490928169</v>
      </c>
    </row>
    <row r="1285" spans="1:15" hidden="1">
      <c r="A1285" s="918" t="str">
        <f>Clothing!A365</f>
        <v>Clothing (product sector)</v>
      </c>
      <c r="B1285" s="918" t="str">
        <f>Clothing!B365</f>
        <v>Shirts and blouses</v>
      </c>
      <c r="C1285" s="918" t="str">
        <f>Clothing!C365</f>
        <v>EU</v>
      </c>
      <c r="D1285" s="918" t="str">
        <f>Clothing!D365</f>
        <v>Acryl</v>
      </c>
      <c r="E1285" s="918">
        <f>Clothing!E365</f>
        <v>0</v>
      </c>
      <c r="F1285" s="918">
        <f>Clothing!F365</f>
        <v>1</v>
      </c>
      <c r="G1285" s="918" t="str">
        <f>Clothing!G365</f>
        <v>https://eeb.org/library/draft-product-environmental-footprint-category-rules-pefcr-apparel-and-footwear/</v>
      </c>
      <c r="H1285" s="922" t="str">
        <f>Clothing!H365</f>
        <v/>
      </c>
      <c r="I1285" s="922">
        <f>Clothing!I365</f>
        <v>1</v>
      </c>
      <c r="J1285" s="922">
        <f>Clothing!J365</f>
        <v>2</v>
      </c>
      <c r="K1285" s="922">
        <f>Clothing!K365</f>
        <v>1</v>
      </c>
      <c r="L1285" s="922">
        <f>Clothing!L365</f>
        <v>2</v>
      </c>
      <c r="M1285" s="922">
        <f>Clothing!M365</f>
        <v>3</v>
      </c>
      <c r="N1285" s="186" t="e">
        <f t="shared" si="101"/>
        <v>#VALUE!</v>
      </c>
      <c r="O1285" s="160">
        <f t="shared" si="102"/>
        <v>1.0248662490928169</v>
      </c>
    </row>
    <row r="1286" spans="1:15" hidden="1">
      <c r="A1286" s="918" t="str">
        <f>Clothing!A366</f>
        <v>Clothing (product sector)</v>
      </c>
      <c r="B1286" s="918" t="str">
        <f>Clothing!B366</f>
        <v>Shirts and blouses</v>
      </c>
      <c r="C1286" s="918" t="str">
        <f>Clothing!C366</f>
        <v>EU</v>
      </c>
      <c r="D1286" s="918" t="str">
        <f>Clothing!D366</f>
        <v>OTHER</v>
      </c>
      <c r="E1286" s="918">
        <f>Clothing!E366</f>
        <v>0</v>
      </c>
      <c r="F1286" s="918">
        <f>Clothing!F366</f>
        <v>1</v>
      </c>
      <c r="G1286" s="918" t="str">
        <f>Clothing!G366</f>
        <v>https://eeb.org/library/draft-product-environmental-footprint-category-rules-pefcr-apparel-and-footwear/</v>
      </c>
      <c r="H1286" s="922" t="str">
        <f>Clothing!H366</f>
        <v/>
      </c>
      <c r="I1286" s="922">
        <f>Clothing!I366</f>
        <v>1</v>
      </c>
      <c r="J1286" s="922">
        <f>Clothing!J366</f>
        <v>2</v>
      </c>
      <c r="K1286" s="922">
        <f>Clothing!K366</f>
        <v>1</v>
      </c>
      <c r="L1286" s="922">
        <f>Clothing!L366</f>
        <v>2</v>
      </c>
      <c r="M1286" s="922">
        <f>Clothing!M366</f>
        <v>3</v>
      </c>
      <c r="N1286" s="186" t="e">
        <f t="shared" si="101"/>
        <v>#VALUE!</v>
      </c>
      <c r="O1286" s="160">
        <f t="shared" si="102"/>
        <v>1.0248662490928169</v>
      </c>
    </row>
    <row r="1287" spans="1:15" hidden="1">
      <c r="A1287" s="918" t="str">
        <f>Clothing!A367</f>
        <v>Clothing (product sector)</v>
      </c>
      <c r="B1287" s="918" t="str">
        <f>Clothing!B367</f>
        <v>Shirts and blouses</v>
      </c>
      <c r="C1287" s="918" t="str">
        <f>Clothing!C367</f>
        <v>EU</v>
      </c>
      <c r="D1287" s="918" t="str">
        <f>Clothing!D367</f>
        <v>PA</v>
      </c>
      <c r="E1287" s="918">
        <f>Clothing!E367</f>
        <v>0</v>
      </c>
      <c r="F1287" s="918">
        <f>Clothing!F367</f>
        <v>1</v>
      </c>
      <c r="G1287" s="918" t="str">
        <f>Clothing!G367</f>
        <v>https://eeb.org/library/draft-product-environmental-footprint-category-rules-pefcr-apparel-and-footwear/</v>
      </c>
      <c r="H1287" s="922" t="str">
        <f>Clothing!H367</f>
        <v/>
      </c>
      <c r="I1287" s="922">
        <f>Clothing!I367</f>
        <v>1</v>
      </c>
      <c r="J1287" s="922">
        <f>Clothing!J367</f>
        <v>2</v>
      </c>
      <c r="K1287" s="922">
        <f>Clothing!K367</f>
        <v>1</v>
      </c>
      <c r="L1287" s="922">
        <f>Clothing!L367</f>
        <v>2</v>
      </c>
      <c r="M1287" s="922">
        <f>Clothing!M367</f>
        <v>3</v>
      </c>
      <c r="N1287" s="186" t="e">
        <f t="shared" si="101"/>
        <v>#VALUE!</v>
      </c>
      <c r="O1287" s="160">
        <f t="shared" si="102"/>
        <v>1.0248662490928169</v>
      </c>
    </row>
    <row r="1288" spans="1:15" hidden="1">
      <c r="A1288" s="918" t="str">
        <f>Clothing!A368</f>
        <v>Clothing (product sector)</v>
      </c>
      <c r="B1288" s="918" t="str">
        <f>Clothing!B368</f>
        <v>Shirts and blouses</v>
      </c>
      <c r="C1288" s="918" t="str">
        <f>Clothing!C368</f>
        <v>EU</v>
      </c>
      <c r="D1288" s="918" t="str">
        <f>Clothing!D368</f>
        <v>PET</v>
      </c>
      <c r="E1288" s="918">
        <f>Clothing!E368</f>
        <v>4.0651954860777703E-2</v>
      </c>
      <c r="F1288" s="918">
        <f>Clothing!F368</f>
        <v>1</v>
      </c>
      <c r="G1288" s="918" t="str">
        <f>Clothing!G368</f>
        <v>https://eeb.org/library/draft-product-environmental-footprint-category-rules-pefcr-apparel-and-footwear/</v>
      </c>
      <c r="H1288" s="922" t="str">
        <f>Clothing!H368</f>
        <v/>
      </c>
      <c r="I1288" s="922">
        <f>Clothing!I368</f>
        <v>1</v>
      </c>
      <c r="J1288" s="922">
        <f>Clothing!J368</f>
        <v>2</v>
      </c>
      <c r="K1288" s="922">
        <f>Clothing!K368</f>
        <v>1</v>
      </c>
      <c r="L1288" s="922">
        <f>Clothing!L368</f>
        <v>2</v>
      </c>
      <c r="M1288" s="922">
        <f>Clothing!M368</f>
        <v>3</v>
      </c>
      <c r="N1288" s="186" t="e">
        <f t="shared" si="101"/>
        <v>#VALUE!</v>
      </c>
      <c r="O1288" s="160">
        <f t="shared" si="102"/>
        <v>1.0248662490928169</v>
      </c>
    </row>
    <row r="1289" spans="1:15" hidden="1">
      <c r="A1289" s="918" t="str">
        <f>Clothing!A369</f>
        <v>Clothing (product sector)</v>
      </c>
      <c r="B1289" s="918" t="str">
        <f>Clothing!B369</f>
        <v>Sweaters and midlayers</v>
      </c>
      <c r="C1289" s="918" t="str">
        <f>Clothing!C369</f>
        <v>EU</v>
      </c>
      <c r="D1289" s="918" t="str">
        <f>Clothing!D369</f>
        <v>Acryl</v>
      </c>
      <c r="E1289" s="918">
        <f>Clothing!E369</f>
        <v>0.25332756354441399</v>
      </c>
      <c r="F1289" s="918">
        <f>Clothing!F369</f>
        <v>1</v>
      </c>
      <c r="G1289" s="918" t="str">
        <f>Clothing!G369</f>
        <v>https://eeb.org/library/draft-product-environmental-footprint-category-rules-pefcr-apparel-and-footwear/</v>
      </c>
      <c r="H1289" s="922" t="str">
        <f>Clothing!H369</f>
        <v/>
      </c>
      <c r="I1289" s="922">
        <f>Clothing!I369</f>
        <v>1</v>
      </c>
      <c r="J1289" s="922">
        <f>Clothing!J369</f>
        <v>2</v>
      </c>
      <c r="K1289" s="922">
        <f>Clothing!K369</f>
        <v>1</v>
      </c>
      <c r="L1289" s="922">
        <f>Clothing!L369</f>
        <v>2</v>
      </c>
      <c r="M1289" s="922">
        <f>Clothing!M369</f>
        <v>3</v>
      </c>
      <c r="N1289" s="186" t="e">
        <f t="shared" si="101"/>
        <v>#VALUE!</v>
      </c>
      <c r="O1289" s="160">
        <f t="shared" si="102"/>
        <v>1.0248662490928169</v>
      </c>
    </row>
    <row r="1290" spans="1:15" hidden="1">
      <c r="A1290" s="918" t="str">
        <f>Clothing!A370</f>
        <v>Clothing (product sector)</v>
      </c>
      <c r="B1290" s="918" t="str">
        <f>Clothing!B370</f>
        <v>Sweaters and midlayers</v>
      </c>
      <c r="C1290" s="918" t="str">
        <f>Clothing!C370</f>
        <v>EU</v>
      </c>
      <c r="D1290" s="918" t="str">
        <f>Clothing!D370</f>
        <v>OTHER</v>
      </c>
      <c r="E1290" s="918">
        <f>Clothing!E370</f>
        <v>0</v>
      </c>
      <c r="F1290" s="918">
        <f>Clothing!F370</f>
        <v>1</v>
      </c>
      <c r="G1290" s="918" t="str">
        <f>Clothing!G370</f>
        <v>https://eeb.org/library/draft-product-environmental-footprint-category-rules-pefcr-apparel-and-footwear/</v>
      </c>
      <c r="H1290" s="922" t="str">
        <f>Clothing!H370</f>
        <v/>
      </c>
      <c r="I1290" s="922">
        <f>Clothing!I370</f>
        <v>1</v>
      </c>
      <c r="J1290" s="922">
        <f>Clothing!J370</f>
        <v>2</v>
      </c>
      <c r="K1290" s="922">
        <f>Clothing!K370</f>
        <v>1</v>
      </c>
      <c r="L1290" s="922">
        <f>Clothing!L370</f>
        <v>2</v>
      </c>
      <c r="M1290" s="922">
        <f>Clothing!M370</f>
        <v>3</v>
      </c>
      <c r="N1290" s="186" t="e">
        <f t="shared" si="101"/>
        <v>#VALUE!</v>
      </c>
      <c r="O1290" s="160">
        <f t="shared" si="102"/>
        <v>1.0248662490928169</v>
      </c>
    </row>
    <row r="1291" spans="1:15" hidden="1">
      <c r="A1291" s="918" t="str">
        <f>Clothing!A371</f>
        <v>Clothing (product sector)</v>
      </c>
      <c r="B1291" s="918" t="str">
        <f>Clothing!B371</f>
        <v>Sweaters and midlayers</v>
      </c>
      <c r="C1291" s="918" t="str">
        <f>Clothing!C371</f>
        <v>EU</v>
      </c>
      <c r="D1291" s="918" t="str">
        <f>Clothing!D371</f>
        <v>PA</v>
      </c>
      <c r="E1291" s="918">
        <f>Clothing!E371</f>
        <v>4.6882533708010599E-2</v>
      </c>
      <c r="F1291" s="918">
        <f>Clothing!F371</f>
        <v>1</v>
      </c>
      <c r="G1291" s="918" t="str">
        <f>Clothing!G371</f>
        <v>https://eeb.org/library/draft-product-environmental-footprint-category-rules-pefcr-apparel-and-footwear/</v>
      </c>
      <c r="H1291" s="922" t="str">
        <f>Clothing!H371</f>
        <v/>
      </c>
      <c r="I1291" s="922">
        <f>Clothing!I371</f>
        <v>1</v>
      </c>
      <c r="J1291" s="922">
        <f>Clothing!J371</f>
        <v>2</v>
      </c>
      <c r="K1291" s="922">
        <f>Clothing!K371</f>
        <v>1</v>
      </c>
      <c r="L1291" s="922">
        <f>Clothing!L371</f>
        <v>2</v>
      </c>
      <c r="M1291" s="922">
        <f>Clothing!M371</f>
        <v>3</v>
      </c>
      <c r="N1291" s="186" t="e">
        <f t="shared" si="101"/>
        <v>#VALUE!</v>
      </c>
      <c r="O1291" s="160">
        <f t="shared" si="102"/>
        <v>1.0248662490928169</v>
      </c>
    </row>
    <row r="1292" spans="1:15" hidden="1">
      <c r="A1292" s="918" t="str">
        <f>Clothing!A372</f>
        <v>Clothing (product sector)</v>
      </c>
      <c r="B1292" s="918" t="str">
        <f>Clothing!B372</f>
        <v>Sweaters and midlayers</v>
      </c>
      <c r="C1292" s="918" t="str">
        <f>Clothing!C372</f>
        <v>EU</v>
      </c>
      <c r="D1292" s="918" t="str">
        <f>Clothing!D372</f>
        <v>PET</v>
      </c>
      <c r="E1292" s="918">
        <f>Clothing!E372</f>
        <v>0.12768265754458599</v>
      </c>
      <c r="F1292" s="918">
        <f>Clothing!F372</f>
        <v>1</v>
      </c>
      <c r="G1292" s="918" t="str">
        <f>Clothing!G372</f>
        <v>https://eeb.org/library/draft-product-environmental-footprint-category-rules-pefcr-apparel-and-footwear/</v>
      </c>
      <c r="H1292" s="922" t="str">
        <f>Clothing!H372</f>
        <v/>
      </c>
      <c r="I1292" s="922">
        <f>Clothing!I372</f>
        <v>1</v>
      </c>
      <c r="J1292" s="922">
        <f>Clothing!J372</f>
        <v>2</v>
      </c>
      <c r="K1292" s="922">
        <f>Clothing!K372</f>
        <v>1</v>
      </c>
      <c r="L1292" s="922">
        <f>Clothing!L372</f>
        <v>2</v>
      </c>
      <c r="M1292" s="922">
        <f>Clothing!M372</f>
        <v>3</v>
      </c>
      <c r="N1292" s="186" t="e">
        <f t="shared" si="101"/>
        <v>#VALUE!</v>
      </c>
      <c r="O1292" s="160">
        <f t="shared" si="102"/>
        <v>1.0248662490928169</v>
      </c>
    </row>
    <row r="1293" spans="1:15" hidden="1">
      <c r="A1293" s="918" t="str">
        <f>Clothing!A373</f>
        <v>Clothing (product sector)</v>
      </c>
      <c r="B1293" s="918" t="str">
        <f>Clothing!B373</f>
        <v>Swimwear</v>
      </c>
      <c r="C1293" s="918" t="str">
        <f>Clothing!C373</f>
        <v>EU</v>
      </c>
      <c r="D1293" s="918" t="str">
        <f>Clothing!D373</f>
        <v>Acryl</v>
      </c>
      <c r="E1293" s="918">
        <f>Clothing!E373</f>
        <v>0</v>
      </c>
      <c r="F1293" s="918">
        <f>Clothing!F373</f>
        <v>1</v>
      </c>
      <c r="G1293" s="918" t="str">
        <f>Clothing!G373</f>
        <v>https://eeb.org/library/draft-product-environmental-footprint-category-rules-pefcr-apparel-and-footwear/</v>
      </c>
      <c r="H1293" s="922" t="str">
        <f>Clothing!H373</f>
        <v/>
      </c>
      <c r="I1293" s="922">
        <f>Clothing!I373</f>
        <v>1</v>
      </c>
      <c r="J1293" s="922">
        <f>Clothing!J373</f>
        <v>2</v>
      </c>
      <c r="K1293" s="922">
        <f>Clothing!K373</f>
        <v>1</v>
      </c>
      <c r="L1293" s="922">
        <f>Clothing!L373</f>
        <v>2</v>
      </c>
      <c r="M1293" s="922">
        <f>Clothing!M373</f>
        <v>3</v>
      </c>
      <c r="N1293" s="186" t="e">
        <f t="shared" si="101"/>
        <v>#VALUE!</v>
      </c>
      <c r="O1293" s="160">
        <f t="shared" si="102"/>
        <v>1.0248662490928169</v>
      </c>
    </row>
    <row r="1294" spans="1:15" hidden="1">
      <c r="A1294" s="918" t="str">
        <f>Clothing!A374</f>
        <v>Clothing (product sector)</v>
      </c>
      <c r="B1294" s="918" t="str">
        <f>Clothing!B374</f>
        <v>Swimwear</v>
      </c>
      <c r="C1294" s="918" t="str">
        <f>Clothing!C374</f>
        <v>EU</v>
      </c>
      <c r="D1294" s="918" t="str">
        <f>Clothing!D374</f>
        <v>OTHER</v>
      </c>
      <c r="E1294" s="918">
        <f>Clothing!E374</f>
        <v>9.2438734554126604E-3</v>
      </c>
      <c r="F1294" s="918">
        <f>Clothing!F374</f>
        <v>1</v>
      </c>
      <c r="G1294" s="918" t="str">
        <f>Clothing!G374</f>
        <v>https://eeb.org/library/draft-product-environmental-footprint-category-rules-pefcr-apparel-and-footwear/</v>
      </c>
      <c r="H1294" s="922" t="str">
        <f>Clothing!H374</f>
        <v/>
      </c>
      <c r="I1294" s="922">
        <f>Clothing!I374</f>
        <v>1</v>
      </c>
      <c r="J1294" s="922">
        <f>Clothing!J374</f>
        <v>2</v>
      </c>
      <c r="K1294" s="922">
        <f>Clothing!K374</f>
        <v>1</v>
      </c>
      <c r="L1294" s="922">
        <f>Clothing!L374</f>
        <v>2</v>
      </c>
      <c r="M1294" s="922">
        <f>Clothing!M374</f>
        <v>3</v>
      </c>
      <c r="N1294" s="186" t="e">
        <f t="shared" si="101"/>
        <v>#VALUE!</v>
      </c>
      <c r="O1294" s="160">
        <f t="shared" si="102"/>
        <v>1.0248662490928169</v>
      </c>
    </row>
    <row r="1295" spans="1:15" hidden="1">
      <c r="A1295" s="918" t="str">
        <f>Clothing!A375</f>
        <v>Clothing (product sector)</v>
      </c>
      <c r="B1295" s="918" t="str">
        <f>Clothing!B375</f>
        <v>Swimwear</v>
      </c>
      <c r="C1295" s="918" t="str">
        <f>Clothing!C375</f>
        <v>EU</v>
      </c>
      <c r="D1295" s="918" t="str">
        <f>Clothing!D375</f>
        <v>PA</v>
      </c>
      <c r="E1295" s="918">
        <f>Clothing!E375</f>
        <v>3.7985433111043902E-2</v>
      </c>
      <c r="F1295" s="918">
        <f>Clothing!F375</f>
        <v>1</v>
      </c>
      <c r="G1295" s="918" t="str">
        <f>Clothing!G375</f>
        <v>https://eeb.org/library/draft-product-environmental-footprint-category-rules-pefcr-apparel-and-footwear/</v>
      </c>
      <c r="H1295" s="922" t="str">
        <f>Clothing!H375</f>
        <v/>
      </c>
      <c r="I1295" s="922">
        <f>Clothing!I375</f>
        <v>1</v>
      </c>
      <c r="J1295" s="922">
        <f>Clothing!J375</f>
        <v>2</v>
      </c>
      <c r="K1295" s="922">
        <f>Clothing!K375</f>
        <v>1</v>
      </c>
      <c r="L1295" s="922">
        <f>Clothing!L375</f>
        <v>2</v>
      </c>
      <c r="M1295" s="922">
        <f>Clothing!M375</f>
        <v>3</v>
      </c>
      <c r="N1295" s="186" t="e">
        <f t="shared" si="101"/>
        <v>#VALUE!</v>
      </c>
      <c r="O1295" s="160">
        <f t="shared" si="102"/>
        <v>1.0248662490928169</v>
      </c>
    </row>
    <row r="1296" spans="1:15" hidden="1">
      <c r="A1296" s="918" t="str">
        <f>Clothing!A376</f>
        <v>Clothing (product sector)</v>
      </c>
      <c r="B1296" s="918" t="str">
        <f>Clothing!B376</f>
        <v>Swimwear</v>
      </c>
      <c r="C1296" s="918" t="str">
        <f>Clothing!C376</f>
        <v>EU</v>
      </c>
      <c r="D1296" s="918" t="str">
        <f>Clothing!D376</f>
        <v>PET</v>
      </c>
      <c r="E1296" s="918">
        <f>Clothing!E376</f>
        <v>6.25114832174729E-3</v>
      </c>
      <c r="F1296" s="918">
        <f>Clothing!F376</f>
        <v>1</v>
      </c>
      <c r="G1296" s="918" t="str">
        <f>Clothing!G376</f>
        <v>https://eeb.org/library/draft-product-environmental-footprint-category-rules-pefcr-apparel-and-footwear/</v>
      </c>
      <c r="H1296" s="922" t="str">
        <f>Clothing!H376</f>
        <v/>
      </c>
      <c r="I1296" s="922">
        <f>Clothing!I376</f>
        <v>1</v>
      </c>
      <c r="J1296" s="922">
        <f>Clothing!J376</f>
        <v>2</v>
      </c>
      <c r="K1296" s="922">
        <f>Clothing!K376</f>
        <v>1</v>
      </c>
      <c r="L1296" s="922">
        <f>Clothing!L376</f>
        <v>2</v>
      </c>
      <c r="M1296" s="922">
        <f>Clothing!M376</f>
        <v>3</v>
      </c>
      <c r="N1296" s="186" t="e">
        <f t="shared" si="101"/>
        <v>#VALUE!</v>
      </c>
      <c r="O1296" s="160">
        <f t="shared" si="102"/>
        <v>1.0248662490928169</v>
      </c>
    </row>
    <row r="1297" spans="1:15" hidden="1">
      <c r="A1297" s="918" t="str">
        <f>Clothing!A377</f>
        <v>Clothing (product sector)</v>
      </c>
      <c r="B1297" s="918" t="str">
        <f>Clothing!B377</f>
        <v>T-shirts</v>
      </c>
      <c r="C1297" s="918" t="str">
        <f>Clothing!C377</f>
        <v>EU</v>
      </c>
      <c r="D1297" s="918" t="str">
        <f>Clothing!D377</f>
        <v>Acryl</v>
      </c>
      <c r="E1297" s="918">
        <f>Clothing!E377</f>
        <v>0</v>
      </c>
      <c r="F1297" s="918">
        <f>Clothing!F377</f>
        <v>1</v>
      </c>
      <c r="G1297" s="918" t="str">
        <f>Clothing!G377</f>
        <v>https://eeb.org/library/draft-product-environmental-footprint-category-rules-pefcr-apparel-and-footwear/</v>
      </c>
      <c r="H1297" s="922" t="str">
        <f>Clothing!H377</f>
        <v/>
      </c>
      <c r="I1297" s="922">
        <f>Clothing!I377</f>
        <v>1</v>
      </c>
      <c r="J1297" s="922">
        <f>Clothing!J377</f>
        <v>2</v>
      </c>
      <c r="K1297" s="922">
        <f>Clothing!K377</f>
        <v>1</v>
      </c>
      <c r="L1297" s="922">
        <f>Clothing!L377</f>
        <v>2</v>
      </c>
      <c r="M1297" s="922">
        <f>Clothing!M377</f>
        <v>3</v>
      </c>
      <c r="N1297" s="186" t="e">
        <f t="shared" si="101"/>
        <v>#VALUE!</v>
      </c>
      <c r="O1297" s="160">
        <f t="shared" si="102"/>
        <v>1.0248662490928169</v>
      </c>
    </row>
    <row r="1298" spans="1:15" hidden="1">
      <c r="A1298" s="918" t="str">
        <f>Clothing!A378</f>
        <v>Clothing (product sector)</v>
      </c>
      <c r="B1298" s="918" t="str">
        <f>Clothing!B378</f>
        <v>T-shirts</v>
      </c>
      <c r="C1298" s="918" t="str">
        <f>Clothing!C378</f>
        <v>EU</v>
      </c>
      <c r="D1298" s="918" t="str">
        <f>Clothing!D378</f>
        <v>OTHER</v>
      </c>
      <c r="E1298" s="918">
        <f>Clothing!E378</f>
        <v>0</v>
      </c>
      <c r="F1298" s="918">
        <f>Clothing!F378</f>
        <v>1</v>
      </c>
      <c r="G1298" s="918" t="str">
        <f>Clothing!G378</f>
        <v>https://eeb.org/library/draft-product-environmental-footprint-category-rules-pefcr-apparel-and-footwear/</v>
      </c>
      <c r="H1298" s="922" t="str">
        <f>Clothing!H378</f>
        <v/>
      </c>
      <c r="I1298" s="922">
        <f>Clothing!I378</f>
        <v>1</v>
      </c>
      <c r="J1298" s="922">
        <f>Clothing!J378</f>
        <v>2</v>
      </c>
      <c r="K1298" s="922">
        <f>Clothing!K378</f>
        <v>1</v>
      </c>
      <c r="L1298" s="922">
        <f>Clothing!L378</f>
        <v>2</v>
      </c>
      <c r="M1298" s="922">
        <f>Clothing!M378</f>
        <v>3</v>
      </c>
      <c r="N1298" s="186" t="e">
        <f t="shared" si="101"/>
        <v>#VALUE!</v>
      </c>
      <c r="O1298" s="160">
        <f t="shared" si="102"/>
        <v>1.0248662490928169</v>
      </c>
    </row>
    <row r="1299" spans="1:15" hidden="1">
      <c r="A1299" s="918" t="str">
        <f>Clothing!A379</f>
        <v>Clothing (product sector)</v>
      </c>
      <c r="B1299" s="918" t="str">
        <f>Clothing!B379</f>
        <v>T-shirts</v>
      </c>
      <c r="C1299" s="918" t="str">
        <f>Clothing!C379</f>
        <v>EU</v>
      </c>
      <c r="D1299" s="918" t="str">
        <f>Clothing!D379</f>
        <v>PA</v>
      </c>
      <c r="E1299" s="918">
        <f>Clothing!E379</f>
        <v>0</v>
      </c>
      <c r="F1299" s="918">
        <f>Clothing!F379</f>
        <v>1</v>
      </c>
      <c r="G1299" s="918" t="str">
        <f>Clothing!G379</f>
        <v>https://eeb.org/library/draft-product-environmental-footprint-category-rules-pefcr-apparel-and-footwear/</v>
      </c>
      <c r="H1299" s="922" t="str">
        <f>Clothing!H379</f>
        <v/>
      </c>
      <c r="I1299" s="922">
        <f>Clothing!I379</f>
        <v>1</v>
      </c>
      <c r="J1299" s="922">
        <f>Clothing!J379</f>
        <v>2</v>
      </c>
      <c r="K1299" s="922">
        <f>Clothing!K379</f>
        <v>1</v>
      </c>
      <c r="L1299" s="922">
        <f>Clothing!L379</f>
        <v>2</v>
      </c>
      <c r="M1299" s="922">
        <f>Clothing!M379</f>
        <v>3</v>
      </c>
      <c r="N1299" s="186" t="e">
        <f t="shared" si="101"/>
        <v>#VALUE!</v>
      </c>
      <c r="O1299" s="160">
        <f t="shared" si="102"/>
        <v>1.0248662490928169</v>
      </c>
    </row>
    <row r="1300" spans="1:15" hidden="1">
      <c r="A1300" s="918" t="str">
        <f>Clothing!A380</f>
        <v>Clothing (product sector)</v>
      </c>
      <c r="B1300" s="918" t="str">
        <f>Clothing!B380</f>
        <v>T-shirts</v>
      </c>
      <c r="C1300" s="918" t="str">
        <f>Clothing!C380</f>
        <v>EU</v>
      </c>
      <c r="D1300" s="918" t="str">
        <f>Clothing!D380</f>
        <v>PET</v>
      </c>
      <c r="E1300" s="918">
        <f>Clothing!E380</f>
        <v>7.0997597165259593E-2</v>
      </c>
      <c r="F1300" s="918">
        <f>Clothing!F380</f>
        <v>1</v>
      </c>
      <c r="G1300" s="918" t="str">
        <f>Clothing!G380</f>
        <v>https://eeb.org/library/draft-product-environmental-footprint-category-rules-pefcr-apparel-and-footwear/</v>
      </c>
      <c r="H1300" s="922" t="str">
        <f>Clothing!H380</f>
        <v/>
      </c>
      <c r="I1300" s="922">
        <f>Clothing!I380</f>
        <v>1</v>
      </c>
      <c r="J1300" s="922">
        <f>Clothing!J380</f>
        <v>2</v>
      </c>
      <c r="K1300" s="922">
        <f>Clothing!K380</f>
        <v>1</v>
      </c>
      <c r="L1300" s="922">
        <f>Clothing!L380</f>
        <v>2</v>
      </c>
      <c r="M1300" s="922">
        <f>Clothing!M380</f>
        <v>3</v>
      </c>
      <c r="N1300" s="186" t="e">
        <f t="shared" si="101"/>
        <v>#VALUE!</v>
      </c>
      <c r="O1300" s="160">
        <f t="shared" si="102"/>
        <v>1.0248662490928169</v>
      </c>
    </row>
    <row r="1301" spans="1:15" hidden="1">
      <c r="A1301" s="918" t="str">
        <f>Clothing!A381</f>
        <v>Clothing (product sector)</v>
      </c>
      <c r="B1301" s="918" t="str">
        <f>Clothing!B381</f>
        <v>Underwear</v>
      </c>
      <c r="C1301" s="918" t="str">
        <f>Clothing!C381</f>
        <v>EU</v>
      </c>
      <c r="D1301" s="918" t="str">
        <f>Clothing!D381</f>
        <v>Acryl</v>
      </c>
      <c r="E1301" s="918">
        <f>Clothing!E381</f>
        <v>0</v>
      </c>
      <c r="F1301" s="918">
        <f>Clothing!F381</f>
        <v>1</v>
      </c>
      <c r="G1301" s="918" t="str">
        <f>Clothing!G381</f>
        <v>https://eeb.org/library/draft-product-environmental-footprint-category-rules-pefcr-apparel-and-footwear/</v>
      </c>
      <c r="H1301" s="922" t="str">
        <f>Clothing!H381</f>
        <v/>
      </c>
      <c r="I1301" s="922">
        <f>Clothing!I381</f>
        <v>1</v>
      </c>
      <c r="J1301" s="922">
        <f>Clothing!J381</f>
        <v>2</v>
      </c>
      <c r="K1301" s="922">
        <f>Clothing!K381</f>
        <v>1</v>
      </c>
      <c r="L1301" s="922">
        <f>Clothing!L381</f>
        <v>2</v>
      </c>
      <c r="M1301" s="922">
        <f>Clothing!M381</f>
        <v>3</v>
      </c>
      <c r="N1301" s="186" t="e">
        <f t="shared" si="101"/>
        <v>#VALUE!</v>
      </c>
      <c r="O1301" s="160">
        <f t="shared" si="102"/>
        <v>1.0248662490928169</v>
      </c>
    </row>
    <row r="1302" spans="1:15" hidden="1">
      <c r="A1302" s="918" t="str">
        <f>Clothing!A382</f>
        <v>Clothing (product sector)</v>
      </c>
      <c r="B1302" s="918" t="str">
        <f>Clothing!B382</f>
        <v>Underwear</v>
      </c>
      <c r="C1302" s="918" t="str">
        <f>Clothing!C382</f>
        <v>EU</v>
      </c>
      <c r="D1302" s="918" t="str">
        <f>Clothing!D382</f>
        <v>OTHER</v>
      </c>
      <c r="E1302" s="918">
        <f>Clothing!E382</f>
        <v>8.7872844809314496E-2</v>
      </c>
      <c r="F1302" s="918">
        <f>Clothing!F382</f>
        <v>1</v>
      </c>
      <c r="G1302" s="918" t="str">
        <f>Clothing!G382</f>
        <v>https://eeb.org/library/draft-product-environmental-footprint-category-rules-pefcr-apparel-and-footwear/</v>
      </c>
      <c r="H1302" s="922" t="str">
        <f>Clothing!H382</f>
        <v/>
      </c>
      <c r="I1302" s="922">
        <f>Clothing!I382</f>
        <v>1</v>
      </c>
      <c r="J1302" s="922">
        <f>Clothing!J382</f>
        <v>2</v>
      </c>
      <c r="K1302" s="922">
        <f>Clothing!K382</f>
        <v>1</v>
      </c>
      <c r="L1302" s="922">
        <f>Clothing!L382</f>
        <v>2</v>
      </c>
      <c r="M1302" s="922">
        <f>Clothing!M382</f>
        <v>3</v>
      </c>
      <c r="N1302" s="186" t="e">
        <f t="shared" si="101"/>
        <v>#VALUE!</v>
      </c>
      <c r="O1302" s="160">
        <f t="shared" si="102"/>
        <v>1.0248662490928169</v>
      </c>
    </row>
    <row r="1303" spans="1:15" hidden="1">
      <c r="A1303" s="918" t="str">
        <f>Clothing!A383</f>
        <v>Clothing (product sector)</v>
      </c>
      <c r="B1303" s="918" t="str">
        <f>Clothing!B383</f>
        <v>Underwear</v>
      </c>
      <c r="C1303" s="918" t="str">
        <f>Clothing!C383</f>
        <v>EU</v>
      </c>
      <c r="D1303" s="918" t="str">
        <f>Clothing!D383</f>
        <v>PA</v>
      </c>
      <c r="E1303" s="918">
        <f>Clothing!E383</f>
        <v>0.10923789354926899</v>
      </c>
      <c r="F1303" s="918">
        <f>Clothing!F383</f>
        <v>1</v>
      </c>
      <c r="G1303" s="918" t="str">
        <f>Clothing!G383</f>
        <v>https://eeb.org/library/draft-product-environmental-footprint-category-rules-pefcr-apparel-and-footwear/</v>
      </c>
      <c r="H1303" s="922" t="str">
        <f>Clothing!H383</f>
        <v/>
      </c>
      <c r="I1303" s="922">
        <f>Clothing!I383</f>
        <v>1</v>
      </c>
      <c r="J1303" s="922">
        <f>Clothing!J383</f>
        <v>2</v>
      </c>
      <c r="K1303" s="922">
        <f>Clothing!K383</f>
        <v>1</v>
      </c>
      <c r="L1303" s="922">
        <f>Clothing!L383</f>
        <v>2</v>
      </c>
      <c r="M1303" s="922">
        <f>Clothing!M383</f>
        <v>3</v>
      </c>
      <c r="N1303" s="186" t="e">
        <f t="shared" si="101"/>
        <v>#VALUE!</v>
      </c>
      <c r="O1303" s="160">
        <f t="shared" si="102"/>
        <v>1.0248662490928169</v>
      </c>
    </row>
    <row r="1304" spans="1:15" ht="15.75" hidden="1" thickBot="1">
      <c r="A1304" s="933" t="str">
        <f>Clothing!A384</f>
        <v>Clothing (product sector)</v>
      </c>
      <c r="B1304" s="933" t="str">
        <f>Clothing!B384</f>
        <v>Underwear</v>
      </c>
      <c r="C1304" s="933" t="str">
        <f>Clothing!C384</f>
        <v>EU</v>
      </c>
      <c r="D1304" s="933" t="str">
        <f>Clothing!D384</f>
        <v>PET</v>
      </c>
      <c r="E1304" s="933">
        <f>Clothing!E384</f>
        <v>9.8396569666965496E-3</v>
      </c>
      <c r="F1304" s="933">
        <f>Clothing!F384</f>
        <v>1</v>
      </c>
      <c r="G1304" s="933" t="str">
        <f>Clothing!G384</f>
        <v>https://eeb.org/library/draft-product-environmental-footprint-category-rules-pefcr-apparel-and-footwear/</v>
      </c>
      <c r="H1304" s="934" t="str">
        <f>Clothing!H384</f>
        <v/>
      </c>
      <c r="I1304" s="934">
        <f>Clothing!I384</f>
        <v>1</v>
      </c>
      <c r="J1304" s="934">
        <f>Clothing!J384</f>
        <v>2</v>
      </c>
      <c r="K1304" s="934">
        <f>Clothing!K384</f>
        <v>1</v>
      </c>
      <c r="L1304" s="934">
        <f>Clothing!L384</f>
        <v>2</v>
      </c>
      <c r="M1304" s="934">
        <f>Clothing!M384</f>
        <v>3</v>
      </c>
      <c r="N1304" s="935" t="e">
        <f t="shared" si="101"/>
        <v>#VALUE!</v>
      </c>
      <c r="O1304" s="161">
        <f t="shared" si="102"/>
        <v>1.0248662490928169</v>
      </c>
    </row>
    <row r="1305" spans="1:15" hidden="1">
      <c r="A1305" s="918" t="str">
        <f>Clothing!A459</f>
        <v>Apparel accessories</v>
      </c>
      <c r="B1305" s="918" t="str">
        <f>Clothing!B459</f>
        <v>Clothing wearing</v>
      </c>
      <c r="C1305" s="918" t="str">
        <f>Clothing!C459</f>
        <v>any</v>
      </c>
      <c r="D1305" s="918" t="str">
        <f>Clothing!D459</f>
        <v>any</v>
      </c>
      <c r="E1305" s="918">
        <f>Clothing!E459</f>
        <v>3.0249999999999999E-3</v>
      </c>
      <c r="F1305" s="918">
        <f>Clothing!F459</f>
        <v>3</v>
      </c>
      <c r="G1305" s="918" t="str">
        <f>Clothing!G459</f>
        <v>Average loss during wear, Kawecki et al. 2019, SI table 17</v>
      </c>
      <c r="H1305" s="931">
        <f>Clothing!H459</f>
        <v>2</v>
      </c>
      <c r="I1305" s="931">
        <f>Clothing!I459</f>
        <v>2</v>
      </c>
      <c r="J1305" s="931">
        <f>Clothing!J459</f>
        <v>2</v>
      </c>
      <c r="K1305" s="931">
        <f>Clothing!K459</f>
        <v>2</v>
      </c>
      <c r="L1305" s="931">
        <f>Clothing!L459</f>
        <v>2</v>
      </c>
      <c r="M1305" s="931">
        <f>Clothing!M459</f>
        <v>2</v>
      </c>
      <c r="N1305" s="932">
        <f t="shared" ref="N1305:N1368" si="103">IF( OR( ISBLANK(H1305),ISBLANK(J1305), ISBLANK(K1305), ISBLANK(L1305), ISBLANK(M1305) ), "", 1.5*SQRT(   EXP(2.21*(H1305-1)) + EXP(2.21*(J1305-1)) + EXP(2.21*(K1305-1)) + EXP(2.21*(L1305-1)) + EXP(2.21*M1305)   )/100*2.45 )</f>
        <v>0.40183591897512122</v>
      </c>
      <c r="O1305" s="834">
        <f t="shared" ref="O1305:O1368" si="104">IF( OR( ISBLANK(I1305),ISBLANK(J1305), ISBLANK(K1305), ISBLANK(L1305), ISBLANK(M1305) ), "", 1.5*SQRT( EXP(2.21*(I1305-1)) + EXP(2.21*(J1305-1)) + EXP(2.21*(K1305-1)) + EXP(2.21*(L1305-1)) + EXP(2.21*M1305)   )/100*2.45 )</f>
        <v>0.40183591897512122</v>
      </c>
    </row>
    <row r="1306" spans="1:15" hidden="1">
      <c r="A1306" s="918" t="str">
        <f>Clothing!A460</f>
        <v>Apparel accessories</v>
      </c>
      <c r="B1306" s="918" t="str">
        <f>Clothing!B460</f>
        <v>Textile waste collection</v>
      </c>
      <c r="C1306" s="918" t="str">
        <f>Clothing!C460</f>
        <v>any</v>
      </c>
      <c r="D1306" s="918" t="str">
        <f>Clothing!D460</f>
        <v>any</v>
      </c>
      <c r="E1306" s="918">
        <f>Clothing!E460</f>
        <v>0.44453121299999998</v>
      </c>
      <c r="F1306" s="918">
        <f>Clothing!F460</f>
        <v>2</v>
      </c>
      <c r="G1306" s="918" t="str">
        <f>Clothing!G460</f>
        <v>Massabalans textiel (2018)</v>
      </c>
      <c r="H1306" s="922">
        <f>Clothing!H460</f>
        <v>1</v>
      </c>
      <c r="I1306" s="922">
        <f>Clothing!I460</f>
        <v>2</v>
      </c>
      <c r="J1306" s="922">
        <f>Clothing!J460</f>
        <v>2</v>
      </c>
      <c r="K1306" s="922">
        <f>Clothing!K460</f>
        <v>1</v>
      </c>
      <c r="L1306" s="922">
        <f>Clothing!L460</f>
        <v>2</v>
      </c>
      <c r="M1306" s="922">
        <f>Clothing!M460</f>
        <v>2</v>
      </c>
      <c r="N1306" s="186">
        <f t="shared" si="103"/>
        <v>0.37356464144298934</v>
      </c>
      <c r="O1306" s="160">
        <f t="shared" si="104"/>
        <v>0.38795788889711302</v>
      </c>
    </row>
    <row r="1307" spans="1:15" hidden="1">
      <c r="A1307" s="918" t="str">
        <f>Clothing!A461</f>
        <v>Apparel accessories</v>
      </c>
      <c r="B1307" s="918" t="str">
        <f>Clothing!B461</f>
        <v>Mixed waste collection</v>
      </c>
      <c r="C1307" s="918" t="str">
        <f>Clothing!C461</f>
        <v>any</v>
      </c>
      <c r="D1307" s="918" t="str">
        <f>Clothing!D461</f>
        <v>any</v>
      </c>
      <c r="E1307" s="918" t="str">
        <f>Clothing!E461</f>
        <v>rest</v>
      </c>
      <c r="F1307" s="918">
        <f>Clothing!F461</f>
        <v>1</v>
      </c>
      <c r="G1307" s="918">
        <f>Clothing!G461</f>
        <v>0</v>
      </c>
      <c r="H1307" s="922"/>
      <c r="I1307" s="922"/>
      <c r="J1307" s="922"/>
      <c r="K1307" s="922"/>
      <c r="L1307" s="922"/>
      <c r="M1307" s="922"/>
      <c r="N1307" s="186" t="str">
        <f t="shared" si="103"/>
        <v/>
      </c>
      <c r="O1307" s="160" t="str">
        <f t="shared" si="104"/>
        <v/>
      </c>
    </row>
    <row r="1308" spans="1:15" hidden="1">
      <c r="A1308" s="918" t="str">
        <f>Clothing!A462</f>
        <v>Apparel accessories</v>
      </c>
      <c r="B1308" s="918" t="str">
        <f>Clothing!B462</f>
        <v>Dumping</v>
      </c>
      <c r="C1308" s="918" t="str">
        <f>Clothing!C462</f>
        <v>any</v>
      </c>
      <c r="D1308" s="918" t="str">
        <f>Clothing!D462</f>
        <v>any</v>
      </c>
      <c r="E1308" s="918">
        <f>Clothing!E462</f>
        <v>2.6918324999999996E-4</v>
      </c>
      <c r="F1308" s="918">
        <f>Clothing!F462</f>
        <v>2</v>
      </c>
      <c r="G1308" s="918" t="str">
        <f>Clothing!G462</f>
        <v>Kawecki &amp; Nowack (2019)</v>
      </c>
      <c r="H1308" s="922">
        <f>Clothing!H462</f>
        <v>2</v>
      </c>
      <c r="I1308" s="922">
        <f>Clothing!I462</f>
        <v>2</v>
      </c>
      <c r="J1308" s="922">
        <f>Clothing!J462</f>
        <v>2</v>
      </c>
      <c r="K1308" s="922">
        <f>Clothing!K462</f>
        <v>3</v>
      </c>
      <c r="L1308" s="922">
        <f>Clothing!L462</f>
        <v>3</v>
      </c>
      <c r="M1308" s="922">
        <f>Clothing!M462</f>
        <v>3</v>
      </c>
      <c r="N1308" s="186">
        <f t="shared" si="103"/>
        <v>1.1278755061256258</v>
      </c>
      <c r="O1308" s="160">
        <f t="shared" si="104"/>
        <v>1.1278755061256258</v>
      </c>
    </row>
    <row r="1309" spans="1:15" hidden="1">
      <c r="A1309" s="918" t="str">
        <f>Clothing!A463</f>
        <v>Boots</v>
      </c>
      <c r="B1309" s="918" t="str">
        <f>Clothing!B463</f>
        <v>Clothing wearing</v>
      </c>
      <c r="C1309" s="918" t="str">
        <f>Clothing!C463</f>
        <v>any</v>
      </c>
      <c r="D1309" s="918" t="str">
        <f>Clothing!D463</f>
        <v>any</v>
      </c>
      <c r="E1309" s="918">
        <f>Clothing!E463</f>
        <v>3.0249999999999999E-3</v>
      </c>
      <c r="F1309" s="918">
        <f>Clothing!F463</f>
        <v>3</v>
      </c>
      <c r="G1309" s="918" t="str">
        <f>Clothing!G463</f>
        <v>Average loss during wear, Kawecki et al. 2019, SI table 17</v>
      </c>
      <c r="H1309" s="922">
        <f>Clothing!H463</f>
        <v>2</v>
      </c>
      <c r="I1309" s="922">
        <f>Clothing!I463</f>
        <v>2</v>
      </c>
      <c r="J1309" s="922">
        <f>Clothing!J463</f>
        <v>2</v>
      </c>
      <c r="K1309" s="922">
        <f>Clothing!K463</f>
        <v>2</v>
      </c>
      <c r="L1309" s="922">
        <f>Clothing!L463</f>
        <v>2</v>
      </c>
      <c r="M1309" s="922">
        <f>Clothing!M463</f>
        <v>2</v>
      </c>
      <c r="N1309" s="186">
        <f t="shared" si="103"/>
        <v>0.40183591897512122</v>
      </c>
      <c r="O1309" s="160">
        <f t="shared" si="104"/>
        <v>0.40183591897512122</v>
      </c>
    </row>
    <row r="1310" spans="1:15" hidden="1">
      <c r="A1310" s="918" t="str">
        <f>Clothing!A464</f>
        <v>Boots</v>
      </c>
      <c r="B1310" s="918" t="str">
        <f>Clothing!B464</f>
        <v>Textile waste collection</v>
      </c>
      <c r="C1310" s="918" t="str">
        <f>Clothing!C464</f>
        <v>any</v>
      </c>
      <c r="D1310" s="918" t="str">
        <f>Clothing!D464</f>
        <v>any</v>
      </c>
      <c r="E1310" s="918">
        <f>Clothing!E464</f>
        <v>0.44453121299999998</v>
      </c>
      <c r="F1310" s="918">
        <f>Clothing!F464</f>
        <v>2</v>
      </c>
      <c r="G1310" s="918" t="str">
        <f>Clothing!G464</f>
        <v>Massabalans textiel (2018)</v>
      </c>
      <c r="H1310" s="922">
        <f>Clothing!H464</f>
        <v>1</v>
      </c>
      <c r="I1310" s="922">
        <f>Clothing!I464</f>
        <v>2</v>
      </c>
      <c r="J1310" s="922">
        <f>Clothing!J464</f>
        <v>2</v>
      </c>
      <c r="K1310" s="922">
        <f>Clothing!K464</f>
        <v>1</v>
      </c>
      <c r="L1310" s="922">
        <f>Clothing!L464</f>
        <v>2</v>
      </c>
      <c r="M1310" s="922">
        <f>Clothing!M464</f>
        <v>2</v>
      </c>
      <c r="N1310" s="186">
        <f t="shared" si="103"/>
        <v>0.37356464144298934</v>
      </c>
      <c r="O1310" s="160">
        <f t="shared" si="104"/>
        <v>0.38795788889711302</v>
      </c>
    </row>
    <row r="1311" spans="1:15" hidden="1">
      <c r="A1311" s="918" t="str">
        <f>Clothing!A465</f>
        <v>Boots</v>
      </c>
      <c r="B1311" s="918" t="str">
        <f>Clothing!B465</f>
        <v>Mixed waste collection</v>
      </c>
      <c r="C1311" s="918" t="str">
        <f>Clothing!C465</f>
        <v>any</v>
      </c>
      <c r="D1311" s="918" t="str">
        <f>Clothing!D465</f>
        <v>any</v>
      </c>
      <c r="E1311" s="918" t="str">
        <f>Clothing!E465</f>
        <v>rest</v>
      </c>
      <c r="F1311" s="918">
        <f>Clothing!F465</f>
        <v>1</v>
      </c>
      <c r="G1311" s="918">
        <f>Clothing!G465</f>
        <v>0</v>
      </c>
      <c r="H1311" s="922"/>
      <c r="I1311" s="922"/>
      <c r="J1311" s="922"/>
      <c r="K1311" s="922"/>
      <c r="L1311" s="922"/>
      <c r="M1311" s="922"/>
      <c r="N1311" s="186" t="str">
        <f t="shared" si="103"/>
        <v/>
      </c>
      <c r="O1311" s="160" t="str">
        <f t="shared" si="104"/>
        <v/>
      </c>
    </row>
    <row r="1312" spans="1:15" hidden="1">
      <c r="A1312" s="918" t="str">
        <f>Clothing!A466</f>
        <v>Boots</v>
      </c>
      <c r="B1312" s="918" t="str">
        <f>Clothing!B466</f>
        <v>Dumping</v>
      </c>
      <c r="C1312" s="918" t="str">
        <f>Clothing!C466</f>
        <v>any</v>
      </c>
      <c r="D1312" s="918" t="str">
        <f>Clothing!D466</f>
        <v>any</v>
      </c>
      <c r="E1312" s="918">
        <f>Clothing!E466</f>
        <v>2.6918324999999996E-4</v>
      </c>
      <c r="F1312" s="918">
        <f>Clothing!F466</f>
        <v>2</v>
      </c>
      <c r="G1312" s="918" t="str">
        <f>Clothing!G466</f>
        <v>Kawecki &amp; Nowack (2019)</v>
      </c>
      <c r="H1312" s="922">
        <f>Clothing!H466</f>
        <v>2</v>
      </c>
      <c r="I1312" s="922">
        <f>Clothing!I466</f>
        <v>2</v>
      </c>
      <c r="J1312" s="922">
        <f>Clothing!J466</f>
        <v>2</v>
      </c>
      <c r="K1312" s="922">
        <f>Clothing!K466</f>
        <v>3</v>
      </c>
      <c r="L1312" s="922">
        <f>Clothing!L466</f>
        <v>3</v>
      </c>
      <c r="M1312" s="922">
        <f>Clothing!M466</f>
        <v>3</v>
      </c>
      <c r="N1312" s="186">
        <f t="shared" si="103"/>
        <v>1.1278755061256258</v>
      </c>
      <c r="O1312" s="160">
        <f t="shared" si="104"/>
        <v>1.1278755061256258</v>
      </c>
    </row>
    <row r="1313" spans="1:15" hidden="1">
      <c r="A1313" s="918" t="str">
        <f>Clothing!A467</f>
        <v>Closed-toed shoes</v>
      </c>
      <c r="B1313" s="918" t="str">
        <f>Clothing!B467</f>
        <v>Clothing wearing</v>
      </c>
      <c r="C1313" s="918" t="str">
        <f>Clothing!C467</f>
        <v>any</v>
      </c>
      <c r="D1313" s="918" t="str">
        <f>Clothing!D467</f>
        <v>any</v>
      </c>
      <c r="E1313" s="918">
        <f>Clothing!E467</f>
        <v>3.0249999999999999E-3</v>
      </c>
      <c r="F1313" s="918">
        <f>Clothing!F467</f>
        <v>3</v>
      </c>
      <c r="G1313" s="918" t="str">
        <f>Clothing!G467</f>
        <v>Average loss during wear, Kawecki et al. 2019, SI table 17</v>
      </c>
      <c r="H1313" s="922">
        <f>Clothing!H467</f>
        <v>2</v>
      </c>
      <c r="I1313" s="922">
        <f>Clothing!I467</f>
        <v>2</v>
      </c>
      <c r="J1313" s="922">
        <f>Clothing!J467</f>
        <v>2</v>
      </c>
      <c r="K1313" s="922">
        <f>Clothing!K467</f>
        <v>2</v>
      </c>
      <c r="L1313" s="922">
        <f>Clothing!L467</f>
        <v>2</v>
      </c>
      <c r="M1313" s="922">
        <f>Clothing!M467</f>
        <v>2</v>
      </c>
      <c r="N1313" s="186">
        <f t="shared" si="103"/>
        <v>0.40183591897512122</v>
      </c>
      <c r="O1313" s="160">
        <f t="shared" si="104"/>
        <v>0.40183591897512122</v>
      </c>
    </row>
    <row r="1314" spans="1:15" hidden="1">
      <c r="A1314" s="918" t="str">
        <f>Clothing!A468</f>
        <v>Closed-toed shoes</v>
      </c>
      <c r="B1314" s="918" t="str">
        <f>Clothing!B468</f>
        <v>Textile waste collection</v>
      </c>
      <c r="C1314" s="918" t="str">
        <f>Clothing!C468</f>
        <v>any</v>
      </c>
      <c r="D1314" s="918" t="str">
        <f>Clothing!D468</f>
        <v>any</v>
      </c>
      <c r="E1314" s="918">
        <f>Clothing!E468</f>
        <v>0.44453121299999998</v>
      </c>
      <c r="F1314" s="918">
        <f>Clothing!F468</f>
        <v>2</v>
      </c>
      <c r="G1314" s="918" t="str">
        <f>Clothing!G468</f>
        <v>Massabalans textiel (2018)</v>
      </c>
      <c r="H1314" s="922">
        <f>Clothing!H468</f>
        <v>1</v>
      </c>
      <c r="I1314" s="922">
        <f>Clothing!I468</f>
        <v>2</v>
      </c>
      <c r="J1314" s="922">
        <f>Clothing!J468</f>
        <v>2</v>
      </c>
      <c r="K1314" s="922">
        <f>Clothing!K468</f>
        <v>1</v>
      </c>
      <c r="L1314" s="922">
        <f>Clothing!L468</f>
        <v>2</v>
      </c>
      <c r="M1314" s="922">
        <f>Clothing!M468</f>
        <v>2</v>
      </c>
      <c r="N1314" s="186">
        <f t="shared" si="103"/>
        <v>0.37356464144298934</v>
      </c>
      <c r="O1314" s="160">
        <f t="shared" si="104"/>
        <v>0.38795788889711302</v>
      </c>
    </row>
    <row r="1315" spans="1:15" hidden="1">
      <c r="A1315" s="918" t="str">
        <f>Clothing!A469</f>
        <v>Closed-toed shoes</v>
      </c>
      <c r="B1315" s="918" t="str">
        <f>Clothing!B469</f>
        <v>Mixed waste collection</v>
      </c>
      <c r="C1315" s="918" t="str">
        <f>Clothing!C469</f>
        <v>any</v>
      </c>
      <c r="D1315" s="918" t="str">
        <f>Clothing!D469</f>
        <v>any</v>
      </c>
      <c r="E1315" s="918" t="str">
        <f>Clothing!E469</f>
        <v>rest</v>
      </c>
      <c r="F1315" s="918">
        <f>Clothing!F469</f>
        <v>1</v>
      </c>
      <c r="G1315" s="918">
        <f>Clothing!G469</f>
        <v>0</v>
      </c>
      <c r="H1315" s="922"/>
      <c r="I1315" s="922"/>
      <c r="J1315" s="922"/>
      <c r="K1315" s="922"/>
      <c r="L1315" s="922"/>
      <c r="M1315" s="922"/>
      <c r="N1315" s="186" t="str">
        <f t="shared" si="103"/>
        <v/>
      </c>
      <c r="O1315" s="160" t="str">
        <f t="shared" si="104"/>
        <v/>
      </c>
    </row>
    <row r="1316" spans="1:15" hidden="1">
      <c r="A1316" s="918" t="str">
        <f>Clothing!A470</f>
        <v>Closed-toed shoes</v>
      </c>
      <c r="B1316" s="918" t="str">
        <f>Clothing!B470</f>
        <v>Dumping</v>
      </c>
      <c r="C1316" s="918" t="str">
        <f>Clothing!C470</f>
        <v>any</v>
      </c>
      <c r="D1316" s="918" t="str">
        <f>Clothing!D470</f>
        <v>any</v>
      </c>
      <c r="E1316" s="918">
        <f>Clothing!E470</f>
        <v>2.6918324999999996E-4</v>
      </c>
      <c r="F1316" s="918">
        <f>Clothing!F470</f>
        <v>2</v>
      </c>
      <c r="G1316" s="918" t="str">
        <f>Clothing!G470</f>
        <v>Kawecki &amp; Nowack (2019)</v>
      </c>
      <c r="H1316" s="922">
        <f>Clothing!H470</f>
        <v>2</v>
      </c>
      <c r="I1316" s="922">
        <f>Clothing!I470</f>
        <v>2</v>
      </c>
      <c r="J1316" s="922">
        <f>Clothing!J470</f>
        <v>2</v>
      </c>
      <c r="K1316" s="922">
        <f>Clothing!K470</f>
        <v>3</v>
      </c>
      <c r="L1316" s="922">
        <f>Clothing!L470</f>
        <v>3</v>
      </c>
      <c r="M1316" s="922">
        <f>Clothing!M470</f>
        <v>3</v>
      </c>
      <c r="N1316" s="186">
        <f t="shared" si="103"/>
        <v>1.1278755061256258</v>
      </c>
      <c r="O1316" s="160">
        <f t="shared" si="104"/>
        <v>1.1278755061256258</v>
      </c>
    </row>
    <row r="1317" spans="1:15" hidden="1">
      <c r="A1317" s="918" t="str">
        <f>Clothing!A471</f>
        <v>Jackets and coats</v>
      </c>
      <c r="B1317" s="918" t="str">
        <f>Clothing!B471</f>
        <v>Clothing wearing</v>
      </c>
      <c r="C1317" s="918" t="str">
        <f>Clothing!C471</f>
        <v>any</v>
      </c>
      <c r="D1317" s="918" t="str">
        <f>Clothing!D471</f>
        <v>any</v>
      </c>
      <c r="E1317" s="918">
        <f>Clothing!E471</f>
        <v>3.0249999999999999E-3</v>
      </c>
      <c r="F1317" s="918">
        <f>Clothing!F471</f>
        <v>3</v>
      </c>
      <c r="G1317" s="918" t="str">
        <f>Clothing!G471</f>
        <v>Average loss during wear, Kawecki et al. 2019, SI table 17</v>
      </c>
      <c r="H1317" s="922">
        <f>Clothing!H471</f>
        <v>2</v>
      </c>
      <c r="I1317" s="922">
        <f>Clothing!I471</f>
        <v>2</v>
      </c>
      <c r="J1317" s="922">
        <f>Clothing!J471</f>
        <v>2</v>
      </c>
      <c r="K1317" s="922">
        <f>Clothing!K471</f>
        <v>2</v>
      </c>
      <c r="L1317" s="922">
        <f>Clothing!L471</f>
        <v>2</v>
      </c>
      <c r="M1317" s="922">
        <f>Clothing!M471</f>
        <v>2</v>
      </c>
      <c r="N1317" s="186">
        <f t="shared" si="103"/>
        <v>0.40183591897512122</v>
      </c>
      <c r="O1317" s="160">
        <f t="shared" si="104"/>
        <v>0.40183591897512122</v>
      </c>
    </row>
    <row r="1318" spans="1:15" hidden="1">
      <c r="A1318" s="918" t="str">
        <f>Clothing!A472</f>
        <v>Jackets and coats</v>
      </c>
      <c r="B1318" s="918" t="str">
        <f>Clothing!B472</f>
        <v>Textile waste collection</v>
      </c>
      <c r="C1318" s="918" t="str">
        <f>Clothing!C472</f>
        <v>any</v>
      </c>
      <c r="D1318" s="918" t="str">
        <f>Clothing!D472</f>
        <v>any</v>
      </c>
      <c r="E1318" s="918">
        <f>Clothing!E472</f>
        <v>0.44453121299999998</v>
      </c>
      <c r="F1318" s="918">
        <f>Clothing!F472</f>
        <v>2</v>
      </c>
      <c r="G1318" s="918" t="str">
        <f>Clothing!G472</f>
        <v>Massabalans textiel (2018)</v>
      </c>
      <c r="H1318" s="922">
        <f>Clothing!H472</f>
        <v>1</v>
      </c>
      <c r="I1318" s="922">
        <f>Clothing!I472</f>
        <v>2</v>
      </c>
      <c r="J1318" s="922">
        <f>Clothing!J472</f>
        <v>2</v>
      </c>
      <c r="K1318" s="922">
        <f>Clothing!K472</f>
        <v>1</v>
      </c>
      <c r="L1318" s="922">
        <f>Clothing!L472</f>
        <v>2</v>
      </c>
      <c r="M1318" s="922">
        <f>Clothing!M472</f>
        <v>2</v>
      </c>
      <c r="N1318" s="186">
        <f t="shared" si="103"/>
        <v>0.37356464144298934</v>
      </c>
      <c r="O1318" s="160">
        <f t="shared" si="104"/>
        <v>0.38795788889711302</v>
      </c>
    </row>
    <row r="1319" spans="1:15" hidden="1">
      <c r="A1319" s="918" t="str">
        <f>Clothing!A473</f>
        <v>Jackets and coats</v>
      </c>
      <c r="B1319" s="918" t="str">
        <f>Clothing!B473</f>
        <v>Mixed waste collection</v>
      </c>
      <c r="C1319" s="918" t="str">
        <f>Clothing!C473</f>
        <v>any</v>
      </c>
      <c r="D1319" s="918" t="str">
        <f>Clothing!D473</f>
        <v>any</v>
      </c>
      <c r="E1319" s="918" t="str">
        <f>Clothing!E473</f>
        <v>rest</v>
      </c>
      <c r="F1319" s="918">
        <f>Clothing!F473</f>
        <v>1</v>
      </c>
      <c r="G1319" s="918">
        <f>Clothing!G473</f>
        <v>0</v>
      </c>
      <c r="H1319" s="922"/>
      <c r="I1319" s="922"/>
      <c r="J1319" s="922"/>
      <c r="K1319" s="922"/>
      <c r="L1319" s="922"/>
      <c r="M1319" s="922"/>
      <c r="N1319" s="186" t="str">
        <f t="shared" si="103"/>
        <v/>
      </c>
      <c r="O1319" s="160" t="str">
        <f t="shared" si="104"/>
        <v/>
      </c>
    </row>
    <row r="1320" spans="1:15" hidden="1">
      <c r="A1320" s="918" t="str">
        <f>Clothing!A474</f>
        <v>Jackets and coats</v>
      </c>
      <c r="B1320" s="918" t="str">
        <f>Clothing!B474</f>
        <v>Dumping</v>
      </c>
      <c r="C1320" s="918" t="str">
        <f>Clothing!C474</f>
        <v>any</v>
      </c>
      <c r="D1320" s="918" t="str">
        <f>Clothing!D474</f>
        <v>any</v>
      </c>
      <c r="E1320" s="918">
        <f>Clothing!E474</f>
        <v>2.6918324999999996E-4</v>
      </c>
      <c r="F1320" s="918">
        <f>Clothing!F474</f>
        <v>2</v>
      </c>
      <c r="G1320" s="918" t="str">
        <f>Clothing!G474</f>
        <v>Kawecki &amp; Nowack (2019)</v>
      </c>
      <c r="H1320" s="922">
        <f>Clothing!H474</f>
        <v>2</v>
      </c>
      <c r="I1320" s="922">
        <f>Clothing!I474</f>
        <v>2</v>
      </c>
      <c r="J1320" s="922">
        <f>Clothing!J474</f>
        <v>2</v>
      </c>
      <c r="K1320" s="922">
        <f>Clothing!K474</f>
        <v>3</v>
      </c>
      <c r="L1320" s="922">
        <f>Clothing!L474</f>
        <v>3</v>
      </c>
      <c r="M1320" s="922">
        <f>Clothing!M474</f>
        <v>3</v>
      </c>
      <c r="N1320" s="186">
        <f t="shared" si="103"/>
        <v>1.1278755061256258</v>
      </c>
      <c r="O1320" s="160">
        <f t="shared" si="104"/>
        <v>1.1278755061256258</v>
      </c>
    </row>
    <row r="1321" spans="1:15" hidden="1">
      <c r="A1321" s="918" t="str">
        <f>Clothing!A475</f>
        <v>Open-toed shoes</v>
      </c>
      <c r="B1321" s="918" t="str">
        <f>Clothing!B475</f>
        <v>Clothing wearing</v>
      </c>
      <c r="C1321" s="918" t="str">
        <f>Clothing!C475</f>
        <v>any</v>
      </c>
      <c r="D1321" s="918" t="str">
        <f>Clothing!D475</f>
        <v>any</v>
      </c>
      <c r="E1321" s="918">
        <f>Clothing!E475</f>
        <v>3.0249999999999999E-3</v>
      </c>
      <c r="F1321" s="918">
        <f>Clothing!F475</f>
        <v>3</v>
      </c>
      <c r="G1321" s="918" t="str">
        <f>Clothing!G475</f>
        <v>Average loss during wear, Kawecki et al. 2019, SI table 17</v>
      </c>
      <c r="H1321" s="922">
        <f>Clothing!H475</f>
        <v>2</v>
      </c>
      <c r="I1321" s="922">
        <f>Clothing!I475</f>
        <v>2</v>
      </c>
      <c r="J1321" s="922">
        <f>Clothing!J475</f>
        <v>2</v>
      </c>
      <c r="K1321" s="922">
        <f>Clothing!K475</f>
        <v>2</v>
      </c>
      <c r="L1321" s="922">
        <f>Clothing!L475</f>
        <v>2</v>
      </c>
      <c r="M1321" s="922">
        <f>Clothing!M475</f>
        <v>2</v>
      </c>
      <c r="N1321" s="186">
        <f t="shared" si="103"/>
        <v>0.40183591897512122</v>
      </c>
      <c r="O1321" s="160">
        <f t="shared" si="104"/>
        <v>0.40183591897512122</v>
      </c>
    </row>
    <row r="1322" spans="1:15" hidden="1">
      <c r="A1322" s="918" t="str">
        <f>Clothing!A476</f>
        <v>Open-toed shoes</v>
      </c>
      <c r="B1322" s="918" t="str">
        <f>Clothing!B476</f>
        <v>Textile waste collection</v>
      </c>
      <c r="C1322" s="918" t="str">
        <f>Clothing!C476</f>
        <v>any</v>
      </c>
      <c r="D1322" s="918" t="str">
        <f>Clothing!D476</f>
        <v>any</v>
      </c>
      <c r="E1322" s="918">
        <f>Clothing!E476</f>
        <v>0.44453121299999998</v>
      </c>
      <c r="F1322" s="918">
        <f>Clothing!F476</f>
        <v>2</v>
      </c>
      <c r="G1322" s="918" t="str">
        <f>Clothing!G476</f>
        <v>Massabalans textiel (2018)</v>
      </c>
      <c r="H1322" s="922">
        <f>Clothing!H476</f>
        <v>1</v>
      </c>
      <c r="I1322" s="922">
        <f>Clothing!I476</f>
        <v>2</v>
      </c>
      <c r="J1322" s="922">
        <f>Clothing!J476</f>
        <v>2</v>
      </c>
      <c r="K1322" s="922">
        <f>Clothing!K476</f>
        <v>1</v>
      </c>
      <c r="L1322" s="922">
        <f>Clothing!L476</f>
        <v>2</v>
      </c>
      <c r="M1322" s="922">
        <f>Clothing!M476</f>
        <v>2</v>
      </c>
      <c r="N1322" s="186">
        <f t="shared" si="103"/>
        <v>0.37356464144298934</v>
      </c>
      <c r="O1322" s="160">
        <f t="shared" si="104"/>
        <v>0.38795788889711302</v>
      </c>
    </row>
    <row r="1323" spans="1:15" hidden="1">
      <c r="A1323" s="918" t="str">
        <f>Clothing!A477</f>
        <v>Open-toed shoes</v>
      </c>
      <c r="B1323" s="918" t="str">
        <f>Clothing!B477</f>
        <v>Mixed waste collection</v>
      </c>
      <c r="C1323" s="918" t="str">
        <f>Clothing!C477</f>
        <v>any</v>
      </c>
      <c r="D1323" s="918" t="str">
        <f>Clothing!D477</f>
        <v>any</v>
      </c>
      <c r="E1323" s="918" t="str">
        <f>Clothing!E477</f>
        <v>rest</v>
      </c>
      <c r="F1323" s="918">
        <f>Clothing!F477</f>
        <v>1</v>
      </c>
      <c r="G1323" s="918">
        <f>Clothing!G477</f>
        <v>0</v>
      </c>
      <c r="H1323" s="922"/>
      <c r="I1323" s="922"/>
      <c r="J1323" s="922"/>
      <c r="K1323" s="922"/>
      <c r="L1323" s="922"/>
      <c r="M1323" s="922"/>
      <c r="N1323" s="186" t="str">
        <f t="shared" si="103"/>
        <v/>
      </c>
      <c r="O1323" s="160" t="str">
        <f t="shared" si="104"/>
        <v/>
      </c>
    </row>
    <row r="1324" spans="1:15" hidden="1">
      <c r="A1324" s="918" t="str">
        <f>Clothing!A478</f>
        <v>Open-toed shoes</v>
      </c>
      <c r="B1324" s="918" t="str">
        <f>Clothing!B478</f>
        <v>Dumping</v>
      </c>
      <c r="C1324" s="918" t="str">
        <f>Clothing!C478</f>
        <v>any</v>
      </c>
      <c r="D1324" s="918" t="str">
        <f>Clothing!D478</f>
        <v>any</v>
      </c>
      <c r="E1324" s="918">
        <f>Clothing!E478</f>
        <v>2.6918324999999996E-4</v>
      </c>
      <c r="F1324" s="918">
        <f>Clothing!F478</f>
        <v>2</v>
      </c>
      <c r="G1324" s="918" t="str">
        <f>Clothing!G478</f>
        <v>Kawecki &amp; Nowack (2019)</v>
      </c>
      <c r="H1324" s="922">
        <f>Clothing!H478</f>
        <v>2</v>
      </c>
      <c r="I1324" s="922">
        <f>Clothing!I478</f>
        <v>2</v>
      </c>
      <c r="J1324" s="922">
        <f>Clothing!J478</f>
        <v>2</v>
      </c>
      <c r="K1324" s="922">
        <f>Clothing!K478</f>
        <v>3</v>
      </c>
      <c r="L1324" s="922">
        <f>Clothing!L478</f>
        <v>3</v>
      </c>
      <c r="M1324" s="922">
        <f>Clothing!M478</f>
        <v>3</v>
      </c>
      <c r="N1324" s="186">
        <f t="shared" si="103"/>
        <v>1.1278755061256258</v>
      </c>
      <c r="O1324" s="160">
        <f t="shared" si="104"/>
        <v>1.1278755061256258</v>
      </c>
    </row>
    <row r="1325" spans="1:15" hidden="1">
      <c r="A1325" s="918" t="str">
        <f>Clothing!A479</f>
        <v>Dresses skirts and jumpsuits</v>
      </c>
      <c r="B1325" s="918" t="str">
        <f>Clothing!B479</f>
        <v>Clothing wearing</v>
      </c>
      <c r="C1325" s="918" t="str">
        <f>Clothing!C479</f>
        <v>any</v>
      </c>
      <c r="D1325" s="918" t="str">
        <f>Clothing!D479</f>
        <v>any</v>
      </c>
      <c r="E1325" s="918">
        <f>Clothing!E479</f>
        <v>3.0249999999999999E-3</v>
      </c>
      <c r="F1325" s="918">
        <f>Clothing!F479</f>
        <v>3</v>
      </c>
      <c r="G1325" s="918" t="str">
        <f>Clothing!G479</f>
        <v>Average loss during wear, Kawecki et al. 2019, SI table 17</v>
      </c>
      <c r="H1325" s="922">
        <f>Clothing!H479</f>
        <v>2</v>
      </c>
      <c r="I1325" s="922">
        <f>Clothing!I479</f>
        <v>2</v>
      </c>
      <c r="J1325" s="922">
        <f>Clothing!J479</f>
        <v>2</v>
      </c>
      <c r="K1325" s="922">
        <f>Clothing!K479</f>
        <v>2</v>
      </c>
      <c r="L1325" s="922">
        <f>Clothing!L479</f>
        <v>2</v>
      </c>
      <c r="M1325" s="922">
        <f>Clothing!M479</f>
        <v>2</v>
      </c>
      <c r="N1325" s="186">
        <f t="shared" si="103"/>
        <v>0.40183591897512122</v>
      </c>
      <c r="O1325" s="160">
        <f t="shared" si="104"/>
        <v>0.40183591897512122</v>
      </c>
    </row>
    <row r="1326" spans="1:15" hidden="1">
      <c r="A1326" s="918" t="str">
        <f>Clothing!A480</f>
        <v>Dresses skirts and jumpsuits</v>
      </c>
      <c r="B1326" s="918" t="str">
        <f>Clothing!B480</f>
        <v>Clothing washing</v>
      </c>
      <c r="C1326" s="918" t="str">
        <f>Clothing!C480</f>
        <v>any</v>
      </c>
      <c r="D1326" s="918" t="str">
        <f>Clothing!D480</f>
        <v>any</v>
      </c>
      <c r="E1326" s="918">
        <f>Clothing!E480</f>
        <v>1.0017848450000002E-2</v>
      </c>
      <c r="F1326" s="918">
        <f>Clothing!F480</f>
        <v>3</v>
      </c>
      <c r="G1326" s="918" t="str">
        <f>Clothing!G480</f>
        <v>Computed from available data from Kawecki et al. (2019) and CBS (2022)</v>
      </c>
      <c r="H1326" s="922">
        <f>Clothing!H480</f>
        <v>2</v>
      </c>
      <c r="I1326" s="922">
        <f>Clothing!I480</f>
        <v>2</v>
      </c>
      <c r="J1326" s="922">
        <f>Clothing!J480</f>
        <v>2</v>
      </c>
      <c r="K1326" s="922">
        <f>Clothing!K480</f>
        <v>2</v>
      </c>
      <c r="L1326" s="922">
        <f>Clothing!L480</f>
        <v>2</v>
      </c>
      <c r="M1326" s="922">
        <f>Clothing!M480</f>
        <v>2</v>
      </c>
      <c r="N1326" s="186">
        <f t="shared" si="103"/>
        <v>0.40183591897512122</v>
      </c>
      <c r="O1326" s="160">
        <f t="shared" si="104"/>
        <v>0.40183591897512122</v>
      </c>
    </row>
    <row r="1327" spans="1:15" hidden="1">
      <c r="A1327" s="918" t="str">
        <f>Clothing!A481</f>
        <v>Dresses skirts and jumpsuits</v>
      </c>
      <c r="B1327" s="918" t="str">
        <f>Clothing!B481</f>
        <v>Clothing drying</v>
      </c>
      <c r="C1327" s="918" t="str">
        <f>Clothing!C481</f>
        <v>any</v>
      </c>
      <c r="D1327" s="918" t="str">
        <f>Clothing!D481</f>
        <v>any</v>
      </c>
      <c r="E1327" s="918">
        <f>Clothing!E481</f>
        <v>5.1196599999999998E-4</v>
      </c>
      <c r="F1327" s="918">
        <f>Clothing!F481</f>
        <v>3</v>
      </c>
      <c r="G1327" s="918" t="str">
        <f>Clothing!G481</f>
        <v>Computed from available data from Kawecki et al. (2019)</v>
      </c>
      <c r="H1327" s="922">
        <f>Clothing!H481</f>
        <v>2</v>
      </c>
      <c r="I1327" s="922">
        <f>Clothing!I481</f>
        <v>2</v>
      </c>
      <c r="J1327" s="922">
        <f>Clothing!J481</f>
        <v>2</v>
      </c>
      <c r="K1327" s="922">
        <f>Clothing!K481</f>
        <v>2</v>
      </c>
      <c r="L1327" s="922">
        <f>Clothing!L481</f>
        <v>2</v>
      </c>
      <c r="M1327" s="922">
        <f>Clothing!M481</f>
        <v>2</v>
      </c>
      <c r="N1327" s="186">
        <f t="shared" si="103"/>
        <v>0.40183591897512122</v>
      </c>
      <c r="O1327" s="160">
        <f t="shared" si="104"/>
        <v>0.40183591897512122</v>
      </c>
    </row>
    <row r="1328" spans="1:15" hidden="1">
      <c r="A1328" s="918" t="str">
        <f>Clothing!A482</f>
        <v>Dresses skirts and jumpsuits</v>
      </c>
      <c r="B1328" s="918" t="str">
        <f>Clothing!B482</f>
        <v>Textile waste collection</v>
      </c>
      <c r="C1328" s="918" t="str">
        <f>Clothing!C482</f>
        <v>any</v>
      </c>
      <c r="D1328" s="918" t="str">
        <f>Clothing!D482</f>
        <v>any</v>
      </c>
      <c r="E1328" s="918">
        <f>Clothing!E482</f>
        <v>0.43983617933303404</v>
      </c>
      <c r="F1328" s="918">
        <f>Clothing!F482</f>
        <v>2</v>
      </c>
      <c r="G1328" s="918" t="str">
        <f>Clothing!G482</f>
        <v>Massabalans textiel (2018)</v>
      </c>
      <c r="H1328" s="922">
        <f>Clothing!H482</f>
        <v>1</v>
      </c>
      <c r="I1328" s="922">
        <f>Clothing!I482</f>
        <v>2</v>
      </c>
      <c r="J1328" s="922">
        <f>Clothing!J482</f>
        <v>2</v>
      </c>
      <c r="K1328" s="922">
        <f>Clothing!K482</f>
        <v>1</v>
      </c>
      <c r="L1328" s="922">
        <f>Clothing!L482</f>
        <v>2</v>
      </c>
      <c r="M1328" s="922">
        <f>Clothing!M482</f>
        <v>2</v>
      </c>
      <c r="N1328" s="186">
        <f t="shared" si="103"/>
        <v>0.37356464144298934</v>
      </c>
      <c r="O1328" s="160">
        <f t="shared" si="104"/>
        <v>0.38795788889711302</v>
      </c>
    </row>
    <row r="1329" spans="1:15" hidden="1">
      <c r="A1329" s="918" t="str">
        <f>Clothing!A483</f>
        <v>Dresses skirts and jumpsuits</v>
      </c>
      <c r="B1329" s="918" t="str">
        <f>Clothing!B483</f>
        <v>Mixed waste collection</v>
      </c>
      <c r="C1329" s="918" t="str">
        <f>Clothing!C483</f>
        <v>any</v>
      </c>
      <c r="D1329" s="918" t="str">
        <f>Clothing!D483</f>
        <v>any</v>
      </c>
      <c r="E1329" s="918" t="str">
        <f>Clothing!E483</f>
        <v>rest</v>
      </c>
      <c r="F1329" s="918">
        <f>Clothing!F483</f>
        <v>1</v>
      </c>
      <c r="G1329" s="918">
        <f>Clothing!G483</f>
        <v>0</v>
      </c>
      <c r="H1329" s="922"/>
      <c r="I1329" s="922"/>
      <c r="J1329" s="922"/>
      <c r="K1329" s="922"/>
      <c r="L1329" s="922"/>
      <c r="M1329" s="922"/>
      <c r="N1329" s="186" t="str">
        <f t="shared" si="103"/>
        <v/>
      </c>
      <c r="O1329" s="160" t="str">
        <f t="shared" si="104"/>
        <v/>
      </c>
    </row>
    <row r="1330" spans="1:15" hidden="1">
      <c r="A1330" s="918" t="str">
        <f>Clothing!A484</f>
        <v>Dresses skirts and jumpsuits</v>
      </c>
      <c r="B1330" s="918" t="str">
        <f>Clothing!B484</f>
        <v>Dumping</v>
      </c>
      <c r="C1330" s="918" t="str">
        <f>Clothing!C484</f>
        <v>any</v>
      </c>
      <c r="D1330" s="918" t="str">
        <f>Clothing!D484</f>
        <v>any</v>
      </c>
      <c r="E1330" s="918">
        <f>Clothing!E484</f>
        <v>2.663402000985E-4</v>
      </c>
      <c r="F1330" s="918">
        <f>Clothing!F484</f>
        <v>2</v>
      </c>
      <c r="G1330" s="918" t="str">
        <f>Clothing!G484</f>
        <v>Kawecki &amp; Nowack (2019)</v>
      </c>
      <c r="H1330" s="922">
        <f>Clothing!H484</f>
        <v>2</v>
      </c>
      <c r="I1330" s="922">
        <f>Clothing!I484</f>
        <v>2</v>
      </c>
      <c r="J1330" s="922">
        <f>Clothing!J484</f>
        <v>2</v>
      </c>
      <c r="K1330" s="922">
        <f>Clothing!K484</f>
        <v>3</v>
      </c>
      <c r="L1330" s="922">
        <f>Clothing!L484</f>
        <v>3</v>
      </c>
      <c r="M1330" s="922">
        <f>Clothing!M484</f>
        <v>3</v>
      </c>
      <c r="N1330" s="186">
        <f t="shared" si="103"/>
        <v>1.1278755061256258</v>
      </c>
      <c r="O1330" s="160">
        <f t="shared" si="104"/>
        <v>1.1278755061256258</v>
      </c>
    </row>
    <row r="1331" spans="1:15" hidden="1">
      <c r="A1331" s="918" t="str">
        <f>Clothing!A485</f>
        <v>Leggings stockings tights and socks</v>
      </c>
      <c r="B1331" s="918" t="str">
        <f>Clothing!B485</f>
        <v>Clothing wearing</v>
      </c>
      <c r="C1331" s="918" t="str">
        <f>Clothing!C485</f>
        <v>any</v>
      </c>
      <c r="D1331" s="918" t="str">
        <f>Clothing!D485</f>
        <v>any</v>
      </c>
      <c r="E1331" s="918">
        <f>Clothing!E485</f>
        <v>3.0249999999999999E-3</v>
      </c>
      <c r="F1331" s="918">
        <f>Clothing!F485</f>
        <v>3</v>
      </c>
      <c r="G1331" s="918" t="str">
        <f>Clothing!G485</f>
        <v>Average loss during wear, Kawecki et al. 2019, SI table 17</v>
      </c>
      <c r="H1331" s="922">
        <f>Clothing!H485</f>
        <v>2</v>
      </c>
      <c r="I1331" s="922">
        <f>Clothing!I485</f>
        <v>2</v>
      </c>
      <c r="J1331" s="922">
        <f>Clothing!J485</f>
        <v>2</v>
      </c>
      <c r="K1331" s="922">
        <f>Clothing!K485</f>
        <v>2</v>
      </c>
      <c r="L1331" s="922">
        <f>Clothing!L485</f>
        <v>2</v>
      </c>
      <c r="M1331" s="922">
        <f>Clothing!M485</f>
        <v>2</v>
      </c>
      <c r="N1331" s="186">
        <f t="shared" si="103"/>
        <v>0.40183591897512122</v>
      </c>
      <c r="O1331" s="160">
        <f t="shared" si="104"/>
        <v>0.40183591897512122</v>
      </c>
    </row>
    <row r="1332" spans="1:15" hidden="1">
      <c r="A1332" s="918" t="str">
        <f>Clothing!A486</f>
        <v>Leggings stockings tights and socks</v>
      </c>
      <c r="B1332" s="918" t="str">
        <f>Clothing!B486</f>
        <v>Clothing washing</v>
      </c>
      <c r="C1332" s="918" t="str">
        <f>Clothing!C486</f>
        <v>any</v>
      </c>
      <c r="D1332" s="918" t="str">
        <f>Clothing!D486</f>
        <v>any</v>
      </c>
      <c r="E1332" s="918">
        <f>Clothing!E486</f>
        <v>1.0017848450000002E-2</v>
      </c>
      <c r="F1332" s="918">
        <f>Clothing!F486</f>
        <v>3</v>
      </c>
      <c r="G1332" s="918" t="str">
        <f>Clothing!G486</f>
        <v>Computed from available data from Kawecki et al. (2019) and CBS (2022)</v>
      </c>
      <c r="H1332" s="922">
        <f>Clothing!H486</f>
        <v>2</v>
      </c>
      <c r="I1332" s="922">
        <f>Clothing!I486</f>
        <v>2</v>
      </c>
      <c r="J1332" s="922">
        <f>Clothing!J486</f>
        <v>2</v>
      </c>
      <c r="K1332" s="922">
        <f>Clothing!K486</f>
        <v>2</v>
      </c>
      <c r="L1332" s="922">
        <f>Clothing!L486</f>
        <v>2</v>
      </c>
      <c r="M1332" s="922">
        <f>Clothing!M486</f>
        <v>2</v>
      </c>
      <c r="N1332" s="186">
        <f t="shared" si="103"/>
        <v>0.40183591897512122</v>
      </c>
      <c r="O1332" s="160">
        <f t="shared" si="104"/>
        <v>0.40183591897512122</v>
      </c>
    </row>
    <row r="1333" spans="1:15" hidden="1">
      <c r="A1333" s="918" t="str">
        <f>Clothing!A487</f>
        <v>Leggings stockings tights and socks</v>
      </c>
      <c r="B1333" s="918" t="str">
        <f>Clothing!B487</f>
        <v>Clothing drying</v>
      </c>
      <c r="C1333" s="918" t="str">
        <f>Clothing!C487</f>
        <v>any</v>
      </c>
      <c r="D1333" s="918" t="str">
        <f>Clothing!D487</f>
        <v>any</v>
      </c>
      <c r="E1333" s="918">
        <f>Clothing!E487</f>
        <v>5.1196599999999998E-4</v>
      </c>
      <c r="F1333" s="918">
        <f>Clothing!F487</f>
        <v>3</v>
      </c>
      <c r="G1333" s="918" t="str">
        <f>Clothing!G487</f>
        <v>Computed from available data from Kawecki et al. (2019)</v>
      </c>
      <c r="H1333" s="922">
        <f>Clothing!H487</f>
        <v>2</v>
      </c>
      <c r="I1333" s="922">
        <f>Clothing!I487</f>
        <v>2</v>
      </c>
      <c r="J1333" s="922">
        <f>Clothing!J487</f>
        <v>2</v>
      </c>
      <c r="K1333" s="922">
        <f>Clothing!K487</f>
        <v>2</v>
      </c>
      <c r="L1333" s="922">
        <f>Clothing!L487</f>
        <v>2</v>
      </c>
      <c r="M1333" s="922">
        <f>Clothing!M487</f>
        <v>2</v>
      </c>
      <c r="N1333" s="186">
        <f t="shared" si="103"/>
        <v>0.40183591897512122</v>
      </c>
      <c r="O1333" s="160">
        <f t="shared" si="104"/>
        <v>0.40183591897512122</v>
      </c>
    </row>
    <row r="1334" spans="1:15" hidden="1">
      <c r="A1334" s="918" t="str">
        <f>Clothing!A488</f>
        <v>Leggings stockings tights and socks</v>
      </c>
      <c r="B1334" s="918" t="str">
        <f>Clothing!B488</f>
        <v>Textile waste collection</v>
      </c>
      <c r="C1334" s="918" t="str">
        <f>Clothing!C488</f>
        <v>any</v>
      </c>
      <c r="D1334" s="918" t="str">
        <f>Clothing!D488</f>
        <v>any</v>
      </c>
      <c r="E1334" s="918">
        <f>Clothing!E488</f>
        <v>0.43983617933303404</v>
      </c>
      <c r="F1334" s="918">
        <f>Clothing!F488</f>
        <v>2</v>
      </c>
      <c r="G1334" s="918" t="str">
        <f>Clothing!G488</f>
        <v>Massabalans textiel (2018)</v>
      </c>
      <c r="H1334" s="922">
        <f>Clothing!H488</f>
        <v>1</v>
      </c>
      <c r="I1334" s="922">
        <f>Clothing!I488</f>
        <v>2</v>
      </c>
      <c r="J1334" s="922">
        <f>Clothing!J488</f>
        <v>2</v>
      </c>
      <c r="K1334" s="922">
        <f>Clothing!K488</f>
        <v>1</v>
      </c>
      <c r="L1334" s="922">
        <f>Clothing!L488</f>
        <v>2</v>
      </c>
      <c r="M1334" s="922">
        <f>Clothing!M488</f>
        <v>2</v>
      </c>
      <c r="N1334" s="186">
        <f t="shared" si="103"/>
        <v>0.37356464144298934</v>
      </c>
      <c r="O1334" s="160">
        <f t="shared" si="104"/>
        <v>0.38795788889711302</v>
      </c>
    </row>
    <row r="1335" spans="1:15" hidden="1">
      <c r="A1335" s="918" t="str">
        <f>Clothing!A489</f>
        <v>Leggings stockings tights and socks</v>
      </c>
      <c r="B1335" s="918" t="str">
        <f>Clothing!B489</f>
        <v>Mixed waste collection</v>
      </c>
      <c r="C1335" s="918" t="str">
        <f>Clothing!C489</f>
        <v>any</v>
      </c>
      <c r="D1335" s="918" t="str">
        <f>Clothing!D489</f>
        <v>any</v>
      </c>
      <c r="E1335" s="918" t="str">
        <f>Clothing!E489</f>
        <v>rest</v>
      </c>
      <c r="F1335" s="918">
        <f>Clothing!F489</f>
        <v>1</v>
      </c>
      <c r="G1335" s="918">
        <f>Clothing!G489</f>
        <v>0</v>
      </c>
      <c r="H1335" s="922"/>
      <c r="I1335" s="922"/>
      <c r="J1335" s="922"/>
      <c r="K1335" s="922"/>
      <c r="L1335" s="922"/>
      <c r="M1335" s="922"/>
      <c r="N1335" s="186" t="str">
        <f t="shared" si="103"/>
        <v/>
      </c>
      <c r="O1335" s="160" t="str">
        <f t="shared" si="104"/>
        <v/>
      </c>
    </row>
    <row r="1336" spans="1:15" hidden="1">
      <c r="A1336" s="918" t="str">
        <f>Clothing!A490</f>
        <v>Leggings stockings tights and socks</v>
      </c>
      <c r="B1336" s="918" t="str">
        <f>Clothing!B490</f>
        <v>Dumping</v>
      </c>
      <c r="C1336" s="918" t="str">
        <f>Clothing!C490</f>
        <v>any</v>
      </c>
      <c r="D1336" s="918" t="str">
        <f>Clothing!D490</f>
        <v>any</v>
      </c>
      <c r="E1336" s="918">
        <f>Clothing!E490</f>
        <v>2.663402000985E-4</v>
      </c>
      <c r="F1336" s="918">
        <f>Clothing!F490</f>
        <v>2</v>
      </c>
      <c r="G1336" s="918" t="str">
        <f>Clothing!G490</f>
        <v>Kawecki &amp; Nowack (2019)</v>
      </c>
      <c r="H1336" s="922">
        <f>Clothing!H490</f>
        <v>2</v>
      </c>
      <c r="I1336" s="922">
        <f>Clothing!I490</f>
        <v>2</v>
      </c>
      <c r="J1336" s="922">
        <f>Clothing!J490</f>
        <v>2</v>
      </c>
      <c r="K1336" s="922">
        <f>Clothing!K490</f>
        <v>3</v>
      </c>
      <c r="L1336" s="922">
        <f>Clothing!L490</f>
        <v>3</v>
      </c>
      <c r="M1336" s="922">
        <f>Clothing!M490</f>
        <v>3</v>
      </c>
      <c r="N1336" s="186">
        <f t="shared" si="103"/>
        <v>1.1278755061256258</v>
      </c>
      <c r="O1336" s="160">
        <f t="shared" si="104"/>
        <v>1.1278755061256258</v>
      </c>
    </row>
    <row r="1337" spans="1:15" hidden="1">
      <c r="A1337" s="918" t="str">
        <f>Clothing!A491</f>
        <v>Pants and shorts</v>
      </c>
      <c r="B1337" s="918" t="str">
        <f>Clothing!B491</f>
        <v>Clothing wearing</v>
      </c>
      <c r="C1337" s="918" t="str">
        <f>Clothing!C491</f>
        <v>any</v>
      </c>
      <c r="D1337" s="918" t="str">
        <f>Clothing!D491</f>
        <v>any</v>
      </c>
      <c r="E1337" s="918">
        <f>Clothing!E491</f>
        <v>3.0249999999999999E-3</v>
      </c>
      <c r="F1337" s="918">
        <f>Clothing!F491</f>
        <v>3</v>
      </c>
      <c r="G1337" s="918" t="str">
        <f>Clothing!G491</f>
        <v>Average loss during wear, Kawecki et al. 2019, SI table 17</v>
      </c>
      <c r="H1337" s="922">
        <f>Clothing!H491</f>
        <v>2</v>
      </c>
      <c r="I1337" s="922">
        <f>Clothing!I491</f>
        <v>2</v>
      </c>
      <c r="J1337" s="922">
        <f>Clothing!J491</f>
        <v>2</v>
      </c>
      <c r="K1337" s="922">
        <f>Clothing!K491</f>
        <v>2</v>
      </c>
      <c r="L1337" s="922">
        <f>Clothing!L491</f>
        <v>2</v>
      </c>
      <c r="M1337" s="922">
        <f>Clothing!M491</f>
        <v>2</v>
      </c>
      <c r="N1337" s="186">
        <f t="shared" si="103"/>
        <v>0.40183591897512122</v>
      </c>
      <c r="O1337" s="160">
        <f t="shared" si="104"/>
        <v>0.40183591897512122</v>
      </c>
    </row>
    <row r="1338" spans="1:15" hidden="1">
      <c r="A1338" s="918" t="str">
        <f>Clothing!A492</f>
        <v>Pants and shorts</v>
      </c>
      <c r="B1338" s="918" t="str">
        <f>Clothing!B492</f>
        <v>Clothing washing</v>
      </c>
      <c r="C1338" s="918" t="str">
        <f>Clothing!C492</f>
        <v>any</v>
      </c>
      <c r="D1338" s="918" t="str">
        <f>Clothing!D492</f>
        <v>any</v>
      </c>
      <c r="E1338" s="918">
        <f>Clothing!E492</f>
        <v>1.0017848450000002E-2</v>
      </c>
      <c r="F1338" s="918">
        <f>Clothing!F492</f>
        <v>3</v>
      </c>
      <c r="G1338" s="918" t="str">
        <f>Clothing!G492</f>
        <v>Computed from available data from Kawecki et al. (2019) and CBS (2022)</v>
      </c>
      <c r="H1338" s="922">
        <f>Clothing!H492</f>
        <v>2</v>
      </c>
      <c r="I1338" s="922">
        <f>Clothing!I492</f>
        <v>2</v>
      </c>
      <c r="J1338" s="922">
        <f>Clothing!J492</f>
        <v>2</v>
      </c>
      <c r="K1338" s="922">
        <f>Clothing!K492</f>
        <v>2</v>
      </c>
      <c r="L1338" s="922">
        <f>Clothing!L492</f>
        <v>2</v>
      </c>
      <c r="M1338" s="922">
        <f>Clothing!M492</f>
        <v>2</v>
      </c>
      <c r="N1338" s="186">
        <f t="shared" si="103"/>
        <v>0.40183591897512122</v>
      </c>
      <c r="O1338" s="160">
        <f t="shared" si="104"/>
        <v>0.40183591897512122</v>
      </c>
    </row>
    <row r="1339" spans="1:15" hidden="1">
      <c r="A1339" s="918" t="str">
        <f>Clothing!A493</f>
        <v>Pants and shorts</v>
      </c>
      <c r="B1339" s="918" t="str">
        <f>Clothing!B493</f>
        <v>Clothing drying</v>
      </c>
      <c r="C1339" s="918" t="str">
        <f>Clothing!C493</f>
        <v>any</v>
      </c>
      <c r="D1339" s="918" t="str">
        <f>Clothing!D493</f>
        <v>any</v>
      </c>
      <c r="E1339" s="918">
        <f>Clothing!E493</f>
        <v>5.1196599999999998E-4</v>
      </c>
      <c r="F1339" s="918">
        <f>Clothing!F493</f>
        <v>3</v>
      </c>
      <c r="G1339" s="918" t="str">
        <f>Clothing!G493</f>
        <v>Computed from available data from Kawecki et al. (2019)</v>
      </c>
      <c r="H1339" s="922">
        <f>Clothing!H493</f>
        <v>2</v>
      </c>
      <c r="I1339" s="922">
        <f>Clothing!I493</f>
        <v>2</v>
      </c>
      <c r="J1339" s="922">
        <f>Clothing!J493</f>
        <v>2</v>
      </c>
      <c r="K1339" s="922">
        <f>Clothing!K493</f>
        <v>2</v>
      </c>
      <c r="L1339" s="922">
        <f>Clothing!L493</f>
        <v>2</v>
      </c>
      <c r="M1339" s="922">
        <f>Clothing!M493</f>
        <v>2</v>
      </c>
      <c r="N1339" s="186">
        <f t="shared" si="103"/>
        <v>0.40183591897512122</v>
      </c>
      <c r="O1339" s="160">
        <f t="shared" si="104"/>
        <v>0.40183591897512122</v>
      </c>
    </row>
    <row r="1340" spans="1:15" hidden="1">
      <c r="A1340" s="918" t="str">
        <f>Clothing!A494</f>
        <v>Pants and shorts</v>
      </c>
      <c r="B1340" s="918" t="str">
        <f>Clothing!B494</f>
        <v>Textile waste collection</v>
      </c>
      <c r="C1340" s="918" t="str">
        <f>Clothing!C494</f>
        <v>any</v>
      </c>
      <c r="D1340" s="918" t="str">
        <f>Clothing!D494</f>
        <v>any</v>
      </c>
      <c r="E1340" s="918">
        <f>Clothing!E494</f>
        <v>0.43983617933303404</v>
      </c>
      <c r="F1340" s="918">
        <f>Clothing!F494</f>
        <v>2</v>
      </c>
      <c r="G1340" s="918" t="str">
        <f>Clothing!G494</f>
        <v>Massabalans textiel (2018)</v>
      </c>
      <c r="H1340" s="922">
        <f>Clothing!H494</f>
        <v>1</v>
      </c>
      <c r="I1340" s="922">
        <f>Clothing!I494</f>
        <v>2</v>
      </c>
      <c r="J1340" s="922">
        <f>Clothing!J494</f>
        <v>2</v>
      </c>
      <c r="K1340" s="922">
        <f>Clothing!K494</f>
        <v>1</v>
      </c>
      <c r="L1340" s="922">
        <f>Clothing!L494</f>
        <v>2</v>
      </c>
      <c r="M1340" s="922">
        <f>Clothing!M494</f>
        <v>2</v>
      </c>
      <c r="N1340" s="186">
        <f t="shared" si="103"/>
        <v>0.37356464144298934</v>
      </c>
      <c r="O1340" s="160">
        <f t="shared" si="104"/>
        <v>0.38795788889711302</v>
      </c>
    </row>
    <row r="1341" spans="1:15" hidden="1">
      <c r="A1341" s="918" t="str">
        <f>Clothing!A495</f>
        <v>Pants and shorts</v>
      </c>
      <c r="B1341" s="918" t="str">
        <f>Clothing!B495</f>
        <v>Mixed waste collection</v>
      </c>
      <c r="C1341" s="918" t="str">
        <f>Clothing!C495</f>
        <v>any</v>
      </c>
      <c r="D1341" s="918" t="str">
        <f>Clothing!D495</f>
        <v>any</v>
      </c>
      <c r="E1341" s="918" t="str">
        <f>Clothing!E495</f>
        <v>rest</v>
      </c>
      <c r="F1341" s="918">
        <f>Clothing!F495</f>
        <v>1</v>
      </c>
      <c r="G1341" s="918">
        <f>Clothing!G495</f>
        <v>0</v>
      </c>
      <c r="H1341" s="922"/>
      <c r="I1341" s="922"/>
      <c r="J1341" s="922"/>
      <c r="K1341" s="922"/>
      <c r="L1341" s="922"/>
      <c r="M1341" s="922"/>
      <c r="N1341" s="186" t="str">
        <f t="shared" si="103"/>
        <v/>
      </c>
      <c r="O1341" s="160" t="str">
        <f t="shared" si="104"/>
        <v/>
      </c>
    </row>
    <row r="1342" spans="1:15" hidden="1">
      <c r="A1342" s="918" t="str">
        <f>Clothing!A496</f>
        <v>Pants and shorts</v>
      </c>
      <c r="B1342" s="918" t="str">
        <f>Clothing!B496</f>
        <v>Dumping</v>
      </c>
      <c r="C1342" s="918" t="str">
        <f>Clothing!C496</f>
        <v>any</v>
      </c>
      <c r="D1342" s="918" t="str">
        <f>Clothing!D496</f>
        <v>any</v>
      </c>
      <c r="E1342" s="918">
        <f>Clothing!E496</f>
        <v>2.663402000985E-4</v>
      </c>
      <c r="F1342" s="918">
        <f>Clothing!F496</f>
        <v>2</v>
      </c>
      <c r="G1342" s="918" t="str">
        <f>Clothing!G496</f>
        <v>Kawecki &amp; Nowack (2019)</v>
      </c>
      <c r="H1342" s="922">
        <f>Clothing!H496</f>
        <v>2</v>
      </c>
      <c r="I1342" s="922">
        <f>Clothing!I496</f>
        <v>2</v>
      </c>
      <c r="J1342" s="922">
        <f>Clothing!J496</f>
        <v>2</v>
      </c>
      <c r="K1342" s="922">
        <f>Clothing!K496</f>
        <v>3</v>
      </c>
      <c r="L1342" s="922">
        <f>Clothing!L496</f>
        <v>3</v>
      </c>
      <c r="M1342" s="922">
        <f>Clothing!M496</f>
        <v>3</v>
      </c>
      <c r="N1342" s="186">
        <f t="shared" si="103"/>
        <v>1.1278755061256258</v>
      </c>
      <c r="O1342" s="160">
        <f t="shared" si="104"/>
        <v>1.1278755061256258</v>
      </c>
    </row>
    <row r="1343" spans="1:15" hidden="1">
      <c r="A1343" s="918" t="str">
        <f>Clothing!A497</f>
        <v>Shirts and blouses</v>
      </c>
      <c r="B1343" s="918" t="str">
        <f>Clothing!B497</f>
        <v>Clothing wearing</v>
      </c>
      <c r="C1343" s="918" t="str">
        <f>Clothing!C497</f>
        <v>any</v>
      </c>
      <c r="D1343" s="918" t="str">
        <f>Clothing!D497</f>
        <v>any</v>
      </c>
      <c r="E1343" s="918">
        <f>Clothing!E497</f>
        <v>3.0249999999999999E-3</v>
      </c>
      <c r="F1343" s="918">
        <f>Clothing!F497</f>
        <v>3</v>
      </c>
      <c r="G1343" s="918" t="str">
        <f>Clothing!G497</f>
        <v>Average loss during wear, Kawecki et al. 2019, SI table 17</v>
      </c>
      <c r="H1343" s="922">
        <f>Clothing!H497</f>
        <v>2</v>
      </c>
      <c r="I1343" s="922">
        <f>Clothing!I497</f>
        <v>2</v>
      </c>
      <c r="J1343" s="922">
        <f>Clothing!J497</f>
        <v>2</v>
      </c>
      <c r="K1343" s="922">
        <f>Clothing!K497</f>
        <v>2</v>
      </c>
      <c r="L1343" s="922">
        <f>Clothing!L497</f>
        <v>2</v>
      </c>
      <c r="M1343" s="922">
        <f>Clothing!M497</f>
        <v>2</v>
      </c>
      <c r="N1343" s="186">
        <f t="shared" si="103"/>
        <v>0.40183591897512122</v>
      </c>
      <c r="O1343" s="160">
        <f t="shared" si="104"/>
        <v>0.40183591897512122</v>
      </c>
    </row>
    <row r="1344" spans="1:15" hidden="1">
      <c r="A1344" s="918" t="str">
        <f>Clothing!A498</f>
        <v>Shirts and blouses</v>
      </c>
      <c r="B1344" s="918" t="str">
        <f>Clothing!B498</f>
        <v>Clothing washing</v>
      </c>
      <c r="C1344" s="918" t="str">
        <f>Clothing!C498</f>
        <v>any</v>
      </c>
      <c r="D1344" s="918" t="str">
        <f>Clothing!D498</f>
        <v>any</v>
      </c>
      <c r="E1344" s="918">
        <f>Clothing!E498</f>
        <v>1.0017848450000002E-2</v>
      </c>
      <c r="F1344" s="918">
        <f>Clothing!F498</f>
        <v>3</v>
      </c>
      <c r="G1344" s="918" t="str">
        <f>Clothing!G498</f>
        <v>Computed from available data from Kawecki et al. (2019) and CBS (2022)</v>
      </c>
      <c r="H1344" s="922">
        <f>Clothing!H498</f>
        <v>2</v>
      </c>
      <c r="I1344" s="922">
        <f>Clothing!I498</f>
        <v>2</v>
      </c>
      <c r="J1344" s="922">
        <f>Clothing!J498</f>
        <v>2</v>
      </c>
      <c r="K1344" s="922">
        <f>Clothing!K498</f>
        <v>2</v>
      </c>
      <c r="L1344" s="922">
        <f>Clothing!L498</f>
        <v>2</v>
      </c>
      <c r="M1344" s="922">
        <f>Clothing!M498</f>
        <v>2</v>
      </c>
      <c r="N1344" s="186">
        <f t="shared" si="103"/>
        <v>0.40183591897512122</v>
      </c>
      <c r="O1344" s="160">
        <f t="shared" si="104"/>
        <v>0.40183591897512122</v>
      </c>
    </row>
    <row r="1345" spans="1:15" hidden="1">
      <c r="A1345" s="918" t="str">
        <f>Clothing!A499</f>
        <v>Shirts and blouses</v>
      </c>
      <c r="B1345" s="918" t="str">
        <f>Clothing!B499</f>
        <v>Clothing drying</v>
      </c>
      <c r="C1345" s="918" t="str">
        <f>Clothing!C499</f>
        <v>any</v>
      </c>
      <c r="D1345" s="918" t="str">
        <f>Clothing!D499</f>
        <v>any</v>
      </c>
      <c r="E1345" s="918">
        <f>Clothing!E499</f>
        <v>5.1196599999999998E-4</v>
      </c>
      <c r="F1345" s="918">
        <f>Clothing!F499</f>
        <v>3</v>
      </c>
      <c r="G1345" s="918" t="str">
        <f>Clothing!G499</f>
        <v>Computed from available data from Kawecki et al. (2019)</v>
      </c>
      <c r="H1345" s="922">
        <f>Clothing!H499</f>
        <v>2</v>
      </c>
      <c r="I1345" s="922">
        <f>Clothing!I499</f>
        <v>2</v>
      </c>
      <c r="J1345" s="922">
        <f>Clothing!J499</f>
        <v>2</v>
      </c>
      <c r="K1345" s="922">
        <f>Clothing!K499</f>
        <v>2</v>
      </c>
      <c r="L1345" s="922">
        <f>Clothing!L499</f>
        <v>2</v>
      </c>
      <c r="M1345" s="922">
        <f>Clothing!M499</f>
        <v>2</v>
      </c>
      <c r="N1345" s="186">
        <f t="shared" si="103"/>
        <v>0.40183591897512122</v>
      </c>
      <c r="O1345" s="160">
        <f t="shared" si="104"/>
        <v>0.40183591897512122</v>
      </c>
    </row>
    <row r="1346" spans="1:15" hidden="1">
      <c r="A1346" s="918" t="str">
        <f>Clothing!A500</f>
        <v>Shirts and blouses</v>
      </c>
      <c r="B1346" s="918" t="str">
        <f>Clothing!B500</f>
        <v>Textile waste collection</v>
      </c>
      <c r="C1346" s="918" t="str">
        <f>Clothing!C500</f>
        <v>any</v>
      </c>
      <c r="D1346" s="918" t="str">
        <f>Clothing!D500</f>
        <v>any</v>
      </c>
      <c r="E1346" s="918">
        <f>Clothing!E500</f>
        <v>0.43983617933303404</v>
      </c>
      <c r="F1346" s="918">
        <f>Clothing!F500</f>
        <v>2</v>
      </c>
      <c r="G1346" s="918" t="str">
        <f>Clothing!G500</f>
        <v>Massabalans textiel (2018)</v>
      </c>
      <c r="H1346" s="922">
        <f>Clothing!H500</f>
        <v>1</v>
      </c>
      <c r="I1346" s="922">
        <f>Clothing!I500</f>
        <v>2</v>
      </c>
      <c r="J1346" s="922">
        <f>Clothing!J500</f>
        <v>2</v>
      </c>
      <c r="K1346" s="922">
        <f>Clothing!K500</f>
        <v>1</v>
      </c>
      <c r="L1346" s="922">
        <f>Clothing!L500</f>
        <v>2</v>
      </c>
      <c r="M1346" s="922">
        <f>Clothing!M500</f>
        <v>2</v>
      </c>
      <c r="N1346" s="186">
        <f t="shared" si="103"/>
        <v>0.37356464144298934</v>
      </c>
      <c r="O1346" s="160">
        <f t="shared" si="104"/>
        <v>0.38795788889711302</v>
      </c>
    </row>
    <row r="1347" spans="1:15" hidden="1">
      <c r="A1347" s="918" t="str">
        <f>Clothing!A501</f>
        <v>Shirts and blouses</v>
      </c>
      <c r="B1347" s="918" t="str">
        <f>Clothing!B501</f>
        <v>Mixed waste collection</v>
      </c>
      <c r="C1347" s="918" t="str">
        <f>Clothing!C501</f>
        <v>any</v>
      </c>
      <c r="D1347" s="918" t="str">
        <f>Clothing!D501</f>
        <v>any</v>
      </c>
      <c r="E1347" s="918" t="str">
        <f>Clothing!E501</f>
        <v>rest</v>
      </c>
      <c r="F1347" s="918">
        <f>Clothing!F501</f>
        <v>1</v>
      </c>
      <c r="G1347" s="918">
        <f>Clothing!G501</f>
        <v>0</v>
      </c>
      <c r="H1347" s="922"/>
      <c r="I1347" s="922"/>
      <c r="J1347" s="922"/>
      <c r="K1347" s="922"/>
      <c r="L1347" s="922"/>
      <c r="M1347" s="922"/>
      <c r="N1347" s="186" t="str">
        <f t="shared" si="103"/>
        <v/>
      </c>
      <c r="O1347" s="160" t="str">
        <f t="shared" si="104"/>
        <v/>
      </c>
    </row>
    <row r="1348" spans="1:15" hidden="1">
      <c r="A1348" s="918" t="str">
        <f>Clothing!A502</f>
        <v>Shirts and blouses</v>
      </c>
      <c r="B1348" s="918" t="str">
        <f>Clothing!B502</f>
        <v>Dumping</v>
      </c>
      <c r="C1348" s="918" t="str">
        <f>Clothing!C502</f>
        <v>any</v>
      </c>
      <c r="D1348" s="918" t="str">
        <f>Clothing!D502</f>
        <v>any</v>
      </c>
      <c r="E1348" s="918">
        <f>Clothing!E502</f>
        <v>2.663402000985E-4</v>
      </c>
      <c r="F1348" s="918">
        <f>Clothing!F502</f>
        <v>2</v>
      </c>
      <c r="G1348" s="918" t="str">
        <f>Clothing!G502</f>
        <v>Kawecki &amp; Nowack (2019)</v>
      </c>
      <c r="H1348" s="922">
        <f>Clothing!H502</f>
        <v>2</v>
      </c>
      <c r="I1348" s="922">
        <f>Clothing!I502</f>
        <v>2</v>
      </c>
      <c r="J1348" s="922">
        <f>Clothing!J502</f>
        <v>2</v>
      </c>
      <c r="K1348" s="922">
        <f>Clothing!K502</f>
        <v>3</v>
      </c>
      <c r="L1348" s="922">
        <f>Clothing!L502</f>
        <v>3</v>
      </c>
      <c r="M1348" s="922">
        <f>Clothing!M502</f>
        <v>3</v>
      </c>
      <c r="N1348" s="186">
        <f t="shared" si="103"/>
        <v>1.1278755061256258</v>
      </c>
      <c r="O1348" s="160">
        <f t="shared" si="104"/>
        <v>1.1278755061256258</v>
      </c>
    </row>
    <row r="1349" spans="1:15" hidden="1">
      <c r="A1349" s="918" t="str">
        <f>Clothing!A503</f>
        <v>Sweaters and midlayers</v>
      </c>
      <c r="B1349" s="918" t="str">
        <f>Clothing!B503</f>
        <v>Clothing wearing</v>
      </c>
      <c r="C1349" s="918" t="str">
        <f>Clothing!C503</f>
        <v>any</v>
      </c>
      <c r="D1349" s="918" t="str">
        <f>Clothing!D503</f>
        <v>any</v>
      </c>
      <c r="E1349" s="918">
        <f>Clothing!E503</f>
        <v>3.0249999999999999E-3</v>
      </c>
      <c r="F1349" s="918">
        <f>Clothing!F503</f>
        <v>3</v>
      </c>
      <c r="G1349" s="918" t="str">
        <f>Clothing!G503</f>
        <v>Average loss during wear, Kawecki et al. 2019, SI table 17</v>
      </c>
      <c r="H1349" s="922">
        <f>Clothing!H503</f>
        <v>2</v>
      </c>
      <c r="I1349" s="922">
        <f>Clothing!I503</f>
        <v>2</v>
      </c>
      <c r="J1349" s="922">
        <f>Clothing!J503</f>
        <v>2</v>
      </c>
      <c r="K1349" s="922">
        <f>Clothing!K503</f>
        <v>2</v>
      </c>
      <c r="L1349" s="922">
        <f>Clothing!L503</f>
        <v>2</v>
      </c>
      <c r="M1349" s="922">
        <f>Clothing!M503</f>
        <v>2</v>
      </c>
      <c r="N1349" s="186">
        <f t="shared" si="103"/>
        <v>0.40183591897512122</v>
      </c>
      <c r="O1349" s="160">
        <f t="shared" si="104"/>
        <v>0.40183591897512122</v>
      </c>
    </row>
    <row r="1350" spans="1:15" hidden="1">
      <c r="A1350" s="918" t="str">
        <f>Clothing!A504</f>
        <v>Sweaters and midlayers</v>
      </c>
      <c r="B1350" s="918" t="str">
        <f>Clothing!B504</f>
        <v>Clothing washing</v>
      </c>
      <c r="C1350" s="918" t="str">
        <f>Clothing!C504</f>
        <v>any</v>
      </c>
      <c r="D1350" s="918" t="str">
        <f>Clothing!D504</f>
        <v>any</v>
      </c>
      <c r="E1350" s="918">
        <f>Clothing!E504</f>
        <v>1.0017848450000002E-2</v>
      </c>
      <c r="F1350" s="918">
        <f>Clothing!F504</f>
        <v>3</v>
      </c>
      <c r="G1350" s="918" t="str">
        <f>Clothing!G504</f>
        <v>Computed from available data from Kawecki et al. (2019) and CBS (2022)</v>
      </c>
      <c r="H1350" s="922">
        <f>Clothing!H504</f>
        <v>2</v>
      </c>
      <c r="I1350" s="922">
        <f>Clothing!I504</f>
        <v>2</v>
      </c>
      <c r="J1350" s="922">
        <f>Clothing!J504</f>
        <v>2</v>
      </c>
      <c r="K1350" s="922">
        <f>Clothing!K504</f>
        <v>2</v>
      </c>
      <c r="L1350" s="922">
        <f>Clothing!L504</f>
        <v>2</v>
      </c>
      <c r="M1350" s="922">
        <f>Clothing!M504</f>
        <v>2</v>
      </c>
      <c r="N1350" s="186">
        <f t="shared" si="103"/>
        <v>0.40183591897512122</v>
      </c>
      <c r="O1350" s="160">
        <f t="shared" si="104"/>
        <v>0.40183591897512122</v>
      </c>
    </row>
    <row r="1351" spans="1:15" hidden="1">
      <c r="A1351" s="918" t="str">
        <f>Clothing!A505</f>
        <v>Sweaters and midlayers</v>
      </c>
      <c r="B1351" s="918" t="str">
        <f>Clothing!B505</f>
        <v>Clothing drying</v>
      </c>
      <c r="C1351" s="918" t="str">
        <f>Clothing!C505</f>
        <v>any</v>
      </c>
      <c r="D1351" s="918" t="str">
        <f>Clothing!D505</f>
        <v>any</v>
      </c>
      <c r="E1351" s="918">
        <f>Clothing!E505</f>
        <v>5.1196599999999998E-4</v>
      </c>
      <c r="F1351" s="918">
        <f>Clothing!F505</f>
        <v>3</v>
      </c>
      <c r="G1351" s="918" t="str">
        <f>Clothing!G505</f>
        <v>Computed from available data from Kawecki et al. (2019)</v>
      </c>
      <c r="H1351" s="922">
        <f>Clothing!H505</f>
        <v>2</v>
      </c>
      <c r="I1351" s="922">
        <f>Clothing!I505</f>
        <v>2</v>
      </c>
      <c r="J1351" s="922">
        <f>Clothing!J505</f>
        <v>2</v>
      </c>
      <c r="K1351" s="922">
        <f>Clothing!K505</f>
        <v>2</v>
      </c>
      <c r="L1351" s="922">
        <f>Clothing!L505</f>
        <v>2</v>
      </c>
      <c r="M1351" s="922">
        <f>Clothing!M505</f>
        <v>2</v>
      </c>
      <c r="N1351" s="186">
        <f t="shared" si="103"/>
        <v>0.40183591897512122</v>
      </c>
      <c r="O1351" s="160">
        <f t="shared" si="104"/>
        <v>0.40183591897512122</v>
      </c>
    </row>
    <row r="1352" spans="1:15" hidden="1">
      <c r="A1352" s="918" t="str">
        <f>Clothing!A506</f>
        <v>Sweaters and midlayers</v>
      </c>
      <c r="B1352" s="918" t="str">
        <f>Clothing!B506</f>
        <v>Textile waste collection</v>
      </c>
      <c r="C1352" s="918" t="str">
        <f>Clothing!C506</f>
        <v>any</v>
      </c>
      <c r="D1352" s="918" t="str">
        <f>Clothing!D506</f>
        <v>any</v>
      </c>
      <c r="E1352" s="918">
        <f>Clothing!E506</f>
        <v>0.43983617933303404</v>
      </c>
      <c r="F1352" s="918">
        <f>Clothing!F506</f>
        <v>2</v>
      </c>
      <c r="G1352" s="918" t="str">
        <f>Clothing!G506</f>
        <v>Massabalans textiel (2018)</v>
      </c>
      <c r="H1352" s="922">
        <f>Clothing!H506</f>
        <v>1</v>
      </c>
      <c r="I1352" s="922">
        <f>Clothing!I506</f>
        <v>2</v>
      </c>
      <c r="J1352" s="922">
        <f>Clothing!J506</f>
        <v>2</v>
      </c>
      <c r="K1352" s="922">
        <f>Clothing!K506</f>
        <v>1</v>
      </c>
      <c r="L1352" s="922">
        <f>Clothing!L506</f>
        <v>2</v>
      </c>
      <c r="M1352" s="922">
        <f>Clothing!M506</f>
        <v>2</v>
      </c>
      <c r="N1352" s="186">
        <f t="shared" si="103"/>
        <v>0.37356464144298934</v>
      </c>
      <c r="O1352" s="160">
        <f t="shared" si="104"/>
        <v>0.38795788889711302</v>
      </c>
    </row>
    <row r="1353" spans="1:15" hidden="1">
      <c r="A1353" s="918" t="str">
        <f>Clothing!A507</f>
        <v>Sweaters and midlayers</v>
      </c>
      <c r="B1353" s="918" t="str">
        <f>Clothing!B507</f>
        <v>Mixed waste collection</v>
      </c>
      <c r="C1353" s="918" t="str">
        <f>Clothing!C507</f>
        <v>any</v>
      </c>
      <c r="D1353" s="918" t="str">
        <f>Clothing!D507</f>
        <v>any</v>
      </c>
      <c r="E1353" s="918" t="str">
        <f>Clothing!E507</f>
        <v>rest</v>
      </c>
      <c r="F1353" s="918">
        <f>Clothing!F507</f>
        <v>1</v>
      </c>
      <c r="G1353" s="918">
        <f>Clothing!G507</f>
        <v>0</v>
      </c>
      <c r="H1353" s="922"/>
      <c r="I1353" s="922"/>
      <c r="J1353" s="922"/>
      <c r="K1353" s="922"/>
      <c r="L1353" s="922"/>
      <c r="M1353" s="922"/>
      <c r="N1353" s="186" t="str">
        <f t="shared" si="103"/>
        <v/>
      </c>
      <c r="O1353" s="160" t="str">
        <f t="shared" si="104"/>
        <v/>
      </c>
    </row>
    <row r="1354" spans="1:15" hidden="1">
      <c r="A1354" s="918" t="str">
        <f>Clothing!A508</f>
        <v>Sweaters and midlayers</v>
      </c>
      <c r="B1354" s="918" t="str">
        <f>Clothing!B508</f>
        <v>Dumping</v>
      </c>
      <c r="C1354" s="918" t="str">
        <f>Clothing!C508</f>
        <v>any</v>
      </c>
      <c r="D1354" s="918" t="str">
        <f>Clothing!D508</f>
        <v>any</v>
      </c>
      <c r="E1354" s="918">
        <f>Clothing!E508</f>
        <v>2.663402000985E-4</v>
      </c>
      <c r="F1354" s="918">
        <f>Clothing!F508</f>
        <v>2</v>
      </c>
      <c r="G1354" s="918" t="str">
        <f>Clothing!G508</f>
        <v>Kawecki &amp; Nowack (2019)</v>
      </c>
      <c r="H1354" s="922">
        <f>Clothing!H508</f>
        <v>2</v>
      </c>
      <c r="I1354" s="922">
        <f>Clothing!I508</f>
        <v>2</v>
      </c>
      <c r="J1354" s="922">
        <f>Clothing!J508</f>
        <v>2</v>
      </c>
      <c r="K1354" s="922">
        <f>Clothing!K508</f>
        <v>3</v>
      </c>
      <c r="L1354" s="922">
        <f>Clothing!L508</f>
        <v>3</v>
      </c>
      <c r="M1354" s="922">
        <f>Clothing!M508</f>
        <v>3</v>
      </c>
      <c r="N1354" s="186">
        <f t="shared" si="103"/>
        <v>1.1278755061256258</v>
      </c>
      <c r="O1354" s="160">
        <f t="shared" si="104"/>
        <v>1.1278755061256258</v>
      </c>
    </row>
    <row r="1355" spans="1:15" hidden="1">
      <c r="A1355" s="918" t="str">
        <f>Clothing!A509</f>
        <v>Swimwear</v>
      </c>
      <c r="B1355" s="918" t="str">
        <f>Clothing!B509</f>
        <v>Clothing wearing</v>
      </c>
      <c r="C1355" s="918" t="str">
        <f>Clothing!C509</f>
        <v>any</v>
      </c>
      <c r="D1355" s="918" t="str">
        <f>Clothing!D509</f>
        <v>any</v>
      </c>
      <c r="E1355" s="918">
        <f>Clothing!E509</f>
        <v>3.0249999999999999E-3</v>
      </c>
      <c r="F1355" s="918">
        <f>Clothing!F509</f>
        <v>3</v>
      </c>
      <c r="G1355" s="918" t="str">
        <f>Clothing!G509</f>
        <v>Average loss during wear, Kawecki et al. 2019, SI table 17</v>
      </c>
      <c r="H1355" s="922">
        <f>Clothing!H509</f>
        <v>2</v>
      </c>
      <c r="I1355" s="922">
        <f>Clothing!I509</f>
        <v>2</v>
      </c>
      <c r="J1355" s="922">
        <f>Clothing!J509</f>
        <v>2</v>
      </c>
      <c r="K1355" s="922">
        <f>Clothing!K509</f>
        <v>2</v>
      </c>
      <c r="L1355" s="922">
        <f>Clothing!L509</f>
        <v>2</v>
      </c>
      <c r="M1355" s="922">
        <f>Clothing!M509</f>
        <v>2</v>
      </c>
      <c r="N1355" s="186">
        <f t="shared" si="103"/>
        <v>0.40183591897512122</v>
      </c>
      <c r="O1355" s="160">
        <f t="shared" si="104"/>
        <v>0.40183591897512122</v>
      </c>
    </row>
    <row r="1356" spans="1:15" hidden="1">
      <c r="A1356" s="918" t="str">
        <f>Clothing!A510</f>
        <v>Swimwear</v>
      </c>
      <c r="B1356" s="918" t="str">
        <f>Clothing!B510</f>
        <v>Clothing washing</v>
      </c>
      <c r="C1356" s="918" t="str">
        <f>Clothing!C510</f>
        <v>any</v>
      </c>
      <c r="D1356" s="918" t="str">
        <f>Clothing!D510</f>
        <v>any</v>
      </c>
      <c r="E1356" s="918">
        <f>Clothing!E510</f>
        <v>1.0017848450000002E-2</v>
      </c>
      <c r="F1356" s="918">
        <f>Clothing!F510</f>
        <v>3</v>
      </c>
      <c r="G1356" s="918" t="str">
        <f>Clothing!G510</f>
        <v>Computed from available data from Kawecki et al. (2019) and CBS (2022)</v>
      </c>
      <c r="H1356" s="922">
        <f>Clothing!H510</f>
        <v>2</v>
      </c>
      <c r="I1356" s="922">
        <f>Clothing!I510</f>
        <v>2</v>
      </c>
      <c r="J1356" s="922">
        <f>Clothing!J510</f>
        <v>2</v>
      </c>
      <c r="K1356" s="922">
        <f>Clothing!K510</f>
        <v>2</v>
      </c>
      <c r="L1356" s="922">
        <f>Clothing!L510</f>
        <v>2</v>
      </c>
      <c r="M1356" s="922">
        <f>Clothing!M510</f>
        <v>2</v>
      </c>
      <c r="N1356" s="186">
        <f t="shared" si="103"/>
        <v>0.40183591897512122</v>
      </c>
      <c r="O1356" s="160">
        <f t="shared" si="104"/>
        <v>0.40183591897512122</v>
      </c>
    </row>
    <row r="1357" spans="1:15" hidden="1">
      <c r="A1357" s="918" t="str">
        <f>Clothing!A511</f>
        <v>Swimwear</v>
      </c>
      <c r="B1357" s="918" t="str">
        <f>Clothing!B511</f>
        <v>Clothing drying</v>
      </c>
      <c r="C1357" s="918" t="str">
        <f>Clothing!C511</f>
        <v>any</v>
      </c>
      <c r="D1357" s="918" t="str">
        <f>Clothing!D511</f>
        <v>any</v>
      </c>
      <c r="E1357" s="918">
        <f>Clothing!E511</f>
        <v>5.1196599999999998E-4</v>
      </c>
      <c r="F1357" s="918">
        <f>Clothing!F511</f>
        <v>3</v>
      </c>
      <c r="G1357" s="918" t="str">
        <f>Clothing!G511</f>
        <v>Computed from available data from Kawecki et al. (2019)</v>
      </c>
      <c r="H1357" s="922">
        <f>Clothing!H511</f>
        <v>2</v>
      </c>
      <c r="I1357" s="922">
        <f>Clothing!I511</f>
        <v>2</v>
      </c>
      <c r="J1357" s="922">
        <f>Clothing!J511</f>
        <v>2</v>
      </c>
      <c r="K1357" s="922">
        <f>Clothing!K511</f>
        <v>2</v>
      </c>
      <c r="L1357" s="922">
        <f>Clothing!L511</f>
        <v>2</v>
      </c>
      <c r="M1357" s="922">
        <f>Clothing!M511</f>
        <v>2</v>
      </c>
      <c r="N1357" s="186">
        <f t="shared" si="103"/>
        <v>0.40183591897512122</v>
      </c>
      <c r="O1357" s="160">
        <f t="shared" si="104"/>
        <v>0.40183591897512122</v>
      </c>
    </row>
    <row r="1358" spans="1:15" hidden="1">
      <c r="A1358" s="918" t="str">
        <f>Clothing!A512</f>
        <v>Swimwear</v>
      </c>
      <c r="B1358" s="918" t="str">
        <f>Clothing!B512</f>
        <v>Textile waste collection</v>
      </c>
      <c r="C1358" s="918" t="str">
        <f>Clothing!C512</f>
        <v>any</v>
      </c>
      <c r="D1358" s="918" t="str">
        <f>Clothing!D512</f>
        <v>any</v>
      </c>
      <c r="E1358" s="918">
        <f>Clothing!E512</f>
        <v>0.43983617933303404</v>
      </c>
      <c r="F1358" s="918">
        <f>Clothing!F512</f>
        <v>2</v>
      </c>
      <c r="G1358" s="918" t="str">
        <f>Clothing!G512</f>
        <v>Massabalans textiel (2018)</v>
      </c>
      <c r="H1358" s="922">
        <f>Clothing!H512</f>
        <v>1</v>
      </c>
      <c r="I1358" s="922">
        <f>Clothing!I512</f>
        <v>2</v>
      </c>
      <c r="J1358" s="922">
        <f>Clothing!J512</f>
        <v>2</v>
      </c>
      <c r="K1358" s="922">
        <f>Clothing!K512</f>
        <v>1</v>
      </c>
      <c r="L1358" s="922">
        <f>Clothing!L512</f>
        <v>2</v>
      </c>
      <c r="M1358" s="922">
        <f>Clothing!M512</f>
        <v>2</v>
      </c>
      <c r="N1358" s="186">
        <f t="shared" si="103"/>
        <v>0.37356464144298934</v>
      </c>
      <c r="O1358" s="160">
        <f t="shared" si="104"/>
        <v>0.38795788889711302</v>
      </c>
    </row>
    <row r="1359" spans="1:15" hidden="1">
      <c r="A1359" s="918" t="str">
        <f>Clothing!A513</f>
        <v>Swimwear</v>
      </c>
      <c r="B1359" s="918" t="str">
        <f>Clothing!B513</f>
        <v>Mixed waste collection</v>
      </c>
      <c r="C1359" s="918" t="str">
        <f>Clothing!C513</f>
        <v>any</v>
      </c>
      <c r="D1359" s="918" t="str">
        <f>Clothing!D513</f>
        <v>any</v>
      </c>
      <c r="E1359" s="918" t="str">
        <f>Clothing!E513</f>
        <v>rest</v>
      </c>
      <c r="F1359" s="918">
        <f>Clothing!F513</f>
        <v>1</v>
      </c>
      <c r="G1359" s="918">
        <f>Clothing!G513</f>
        <v>0</v>
      </c>
      <c r="H1359" s="922"/>
      <c r="I1359" s="922"/>
      <c r="J1359" s="922"/>
      <c r="K1359" s="922"/>
      <c r="L1359" s="922"/>
      <c r="M1359" s="922"/>
      <c r="N1359" s="186" t="str">
        <f t="shared" si="103"/>
        <v/>
      </c>
      <c r="O1359" s="160" t="str">
        <f t="shared" si="104"/>
        <v/>
      </c>
    </row>
    <row r="1360" spans="1:15" hidden="1">
      <c r="A1360" s="918" t="str">
        <f>Clothing!A514</f>
        <v>Swimwear</v>
      </c>
      <c r="B1360" s="918" t="str">
        <f>Clothing!B514</f>
        <v>Dumping</v>
      </c>
      <c r="C1360" s="918" t="str">
        <f>Clothing!C514</f>
        <v>any</v>
      </c>
      <c r="D1360" s="918" t="str">
        <f>Clothing!D514</f>
        <v>any</v>
      </c>
      <c r="E1360" s="918">
        <f>Clothing!E514</f>
        <v>2.663402000985E-4</v>
      </c>
      <c r="F1360" s="918">
        <f>Clothing!F514</f>
        <v>2</v>
      </c>
      <c r="G1360" s="918" t="str">
        <f>Clothing!G514</f>
        <v>Kawecki &amp; Nowack (2019)</v>
      </c>
      <c r="H1360" s="922">
        <f>Clothing!H514</f>
        <v>2</v>
      </c>
      <c r="I1360" s="922">
        <f>Clothing!I514</f>
        <v>2</v>
      </c>
      <c r="J1360" s="922">
        <f>Clothing!J514</f>
        <v>2</v>
      </c>
      <c r="K1360" s="922">
        <f>Clothing!K514</f>
        <v>3</v>
      </c>
      <c r="L1360" s="922">
        <f>Clothing!L514</f>
        <v>3</v>
      </c>
      <c r="M1360" s="922">
        <f>Clothing!M514</f>
        <v>3</v>
      </c>
      <c r="N1360" s="186">
        <f t="shared" si="103"/>
        <v>1.1278755061256258</v>
      </c>
      <c r="O1360" s="160">
        <f t="shared" si="104"/>
        <v>1.1278755061256258</v>
      </c>
    </row>
    <row r="1361" spans="1:15" hidden="1">
      <c r="A1361" s="918" t="str">
        <f>Clothing!A515</f>
        <v>T-shirts</v>
      </c>
      <c r="B1361" s="918" t="str">
        <f>Clothing!B515</f>
        <v>Clothing wearing</v>
      </c>
      <c r="C1361" s="918" t="str">
        <f>Clothing!C515</f>
        <v>any</v>
      </c>
      <c r="D1361" s="918" t="str">
        <f>Clothing!D515</f>
        <v>any</v>
      </c>
      <c r="E1361" s="918">
        <f>Clothing!E515</f>
        <v>3.0249999999999999E-3</v>
      </c>
      <c r="F1361" s="918">
        <f>Clothing!F515</f>
        <v>3</v>
      </c>
      <c r="G1361" s="918" t="str">
        <f>Clothing!G515</f>
        <v>Average loss during wear, Kawecki et al. 2019, SI table 17</v>
      </c>
      <c r="H1361" s="922">
        <f>Clothing!H515</f>
        <v>2</v>
      </c>
      <c r="I1361" s="922">
        <f>Clothing!I515</f>
        <v>2</v>
      </c>
      <c r="J1361" s="922">
        <f>Clothing!J515</f>
        <v>2</v>
      </c>
      <c r="K1361" s="922">
        <f>Clothing!K515</f>
        <v>2</v>
      </c>
      <c r="L1361" s="922">
        <f>Clothing!L515</f>
        <v>2</v>
      </c>
      <c r="M1361" s="922">
        <f>Clothing!M515</f>
        <v>2</v>
      </c>
      <c r="N1361" s="186">
        <f t="shared" si="103"/>
        <v>0.40183591897512122</v>
      </c>
      <c r="O1361" s="160">
        <f t="shared" si="104"/>
        <v>0.40183591897512122</v>
      </c>
    </row>
    <row r="1362" spans="1:15" hidden="1">
      <c r="A1362" s="918" t="str">
        <f>Clothing!A516</f>
        <v>T-shirts</v>
      </c>
      <c r="B1362" s="918" t="str">
        <f>Clothing!B516</f>
        <v>Clothing washing</v>
      </c>
      <c r="C1362" s="918" t="str">
        <f>Clothing!C516</f>
        <v>any</v>
      </c>
      <c r="D1362" s="918" t="str">
        <f>Clothing!D516</f>
        <v>any</v>
      </c>
      <c r="E1362" s="918">
        <f>Clothing!E516</f>
        <v>1.0017848450000002E-2</v>
      </c>
      <c r="F1362" s="918">
        <f>Clothing!F516</f>
        <v>3</v>
      </c>
      <c r="G1362" s="918" t="str">
        <f>Clothing!G516</f>
        <v>Computed from available data from Kawecki et al. (2019) and CBS (2022)</v>
      </c>
      <c r="H1362" s="922">
        <f>Clothing!H516</f>
        <v>2</v>
      </c>
      <c r="I1362" s="922">
        <f>Clothing!I516</f>
        <v>2</v>
      </c>
      <c r="J1362" s="922">
        <f>Clothing!J516</f>
        <v>2</v>
      </c>
      <c r="K1362" s="922">
        <f>Clothing!K516</f>
        <v>2</v>
      </c>
      <c r="L1362" s="922">
        <f>Clothing!L516</f>
        <v>2</v>
      </c>
      <c r="M1362" s="922">
        <f>Clothing!M516</f>
        <v>2</v>
      </c>
      <c r="N1362" s="186">
        <f t="shared" si="103"/>
        <v>0.40183591897512122</v>
      </c>
      <c r="O1362" s="160">
        <f t="shared" si="104"/>
        <v>0.40183591897512122</v>
      </c>
    </row>
    <row r="1363" spans="1:15" hidden="1">
      <c r="A1363" s="918" t="str">
        <f>Clothing!A517</f>
        <v>T-shirts</v>
      </c>
      <c r="B1363" s="918" t="str">
        <f>Clothing!B517</f>
        <v>Clothing drying</v>
      </c>
      <c r="C1363" s="918" t="str">
        <f>Clothing!C517</f>
        <v>any</v>
      </c>
      <c r="D1363" s="918" t="str">
        <f>Clothing!D517</f>
        <v>any</v>
      </c>
      <c r="E1363" s="918">
        <f>Clothing!E517</f>
        <v>5.1196599999999998E-4</v>
      </c>
      <c r="F1363" s="918">
        <f>Clothing!F517</f>
        <v>3</v>
      </c>
      <c r="G1363" s="918" t="str">
        <f>Clothing!G517</f>
        <v>Computed from available data from Kawecki et al. (2019)</v>
      </c>
      <c r="H1363" s="922">
        <f>Clothing!H517</f>
        <v>2</v>
      </c>
      <c r="I1363" s="922">
        <f>Clothing!I517</f>
        <v>2</v>
      </c>
      <c r="J1363" s="922">
        <f>Clothing!J517</f>
        <v>2</v>
      </c>
      <c r="K1363" s="922">
        <f>Clothing!K517</f>
        <v>2</v>
      </c>
      <c r="L1363" s="922">
        <f>Clothing!L517</f>
        <v>2</v>
      </c>
      <c r="M1363" s="922">
        <f>Clothing!M517</f>
        <v>2</v>
      </c>
      <c r="N1363" s="186">
        <f t="shared" si="103"/>
        <v>0.40183591897512122</v>
      </c>
      <c r="O1363" s="160">
        <f t="shared" si="104"/>
        <v>0.40183591897512122</v>
      </c>
    </row>
    <row r="1364" spans="1:15" hidden="1">
      <c r="A1364" s="918" t="str">
        <f>Clothing!A518</f>
        <v>T-shirts</v>
      </c>
      <c r="B1364" s="918" t="str">
        <f>Clothing!B518</f>
        <v>Textile waste collection</v>
      </c>
      <c r="C1364" s="918" t="str">
        <f>Clothing!C518</f>
        <v>any</v>
      </c>
      <c r="D1364" s="918" t="str">
        <f>Clothing!D518</f>
        <v>any</v>
      </c>
      <c r="E1364" s="918">
        <f>Clothing!E518</f>
        <v>0.43983617933303404</v>
      </c>
      <c r="F1364" s="918">
        <f>Clothing!F518</f>
        <v>2</v>
      </c>
      <c r="G1364" s="918" t="str">
        <f>Clothing!G518</f>
        <v>Massabalans textiel (2018)</v>
      </c>
      <c r="H1364" s="922">
        <f>Clothing!H518</f>
        <v>1</v>
      </c>
      <c r="I1364" s="922">
        <f>Clothing!I518</f>
        <v>2</v>
      </c>
      <c r="J1364" s="922">
        <f>Clothing!J518</f>
        <v>2</v>
      </c>
      <c r="K1364" s="922">
        <f>Clothing!K518</f>
        <v>1</v>
      </c>
      <c r="L1364" s="922">
        <f>Clothing!L518</f>
        <v>2</v>
      </c>
      <c r="M1364" s="922">
        <f>Clothing!M518</f>
        <v>2</v>
      </c>
      <c r="N1364" s="186">
        <f t="shared" si="103"/>
        <v>0.37356464144298934</v>
      </c>
      <c r="O1364" s="160">
        <f t="shared" si="104"/>
        <v>0.38795788889711302</v>
      </c>
    </row>
    <row r="1365" spans="1:15" hidden="1">
      <c r="A1365" s="918" t="str">
        <f>Clothing!A519</f>
        <v>T-shirts</v>
      </c>
      <c r="B1365" s="918" t="str">
        <f>Clothing!B519</f>
        <v>Mixed waste collection</v>
      </c>
      <c r="C1365" s="918" t="str">
        <f>Clothing!C519</f>
        <v>any</v>
      </c>
      <c r="D1365" s="918" t="str">
        <f>Clothing!D519</f>
        <v>any</v>
      </c>
      <c r="E1365" s="918" t="str">
        <f>Clothing!E519</f>
        <v>rest</v>
      </c>
      <c r="F1365" s="918">
        <f>Clothing!F519</f>
        <v>1</v>
      </c>
      <c r="G1365" s="918">
        <f>Clothing!G519</f>
        <v>0</v>
      </c>
      <c r="H1365" s="922"/>
      <c r="I1365" s="922"/>
      <c r="J1365" s="922"/>
      <c r="K1365" s="922"/>
      <c r="L1365" s="922"/>
      <c r="M1365" s="922"/>
      <c r="N1365" s="186" t="str">
        <f t="shared" si="103"/>
        <v/>
      </c>
      <c r="O1365" s="160" t="str">
        <f t="shared" si="104"/>
        <v/>
      </c>
    </row>
    <row r="1366" spans="1:15" hidden="1">
      <c r="A1366" s="918" t="str">
        <f>Clothing!A520</f>
        <v>T-shirts</v>
      </c>
      <c r="B1366" s="918" t="str">
        <f>Clothing!B520</f>
        <v>Dumping</v>
      </c>
      <c r="C1366" s="918" t="str">
        <f>Clothing!C520</f>
        <v>any</v>
      </c>
      <c r="D1366" s="918" t="str">
        <f>Clothing!D520</f>
        <v>any</v>
      </c>
      <c r="E1366" s="918">
        <f>Clothing!E520</f>
        <v>2.663402000985E-4</v>
      </c>
      <c r="F1366" s="918">
        <f>Clothing!F520</f>
        <v>2</v>
      </c>
      <c r="G1366" s="918" t="str">
        <f>Clothing!G520</f>
        <v>Kawecki &amp; Nowack (2019)</v>
      </c>
      <c r="H1366" s="922">
        <f>Clothing!H520</f>
        <v>2</v>
      </c>
      <c r="I1366" s="922">
        <f>Clothing!I520</f>
        <v>2</v>
      </c>
      <c r="J1366" s="922">
        <f>Clothing!J520</f>
        <v>2</v>
      </c>
      <c r="K1366" s="922">
        <f>Clothing!K520</f>
        <v>3</v>
      </c>
      <c r="L1366" s="922">
        <f>Clothing!L520</f>
        <v>3</v>
      </c>
      <c r="M1366" s="922">
        <f>Clothing!M520</f>
        <v>3</v>
      </c>
      <c r="N1366" s="186">
        <f t="shared" si="103"/>
        <v>1.1278755061256258</v>
      </c>
      <c r="O1366" s="160">
        <f t="shared" si="104"/>
        <v>1.1278755061256258</v>
      </c>
    </row>
    <row r="1367" spans="1:15" hidden="1">
      <c r="A1367" s="918" t="str">
        <f>Clothing!A521</f>
        <v>Underwear</v>
      </c>
      <c r="B1367" s="918" t="str">
        <f>Clothing!B521</f>
        <v>Clothing wearing</v>
      </c>
      <c r="C1367" s="918" t="str">
        <f>Clothing!C521</f>
        <v>any</v>
      </c>
      <c r="D1367" s="918" t="str">
        <f>Clothing!D521</f>
        <v>any</v>
      </c>
      <c r="E1367" s="918">
        <f>Clothing!E521</f>
        <v>3.0249999999999999E-3</v>
      </c>
      <c r="F1367" s="918">
        <f>Clothing!F521</f>
        <v>3</v>
      </c>
      <c r="G1367" s="918" t="str">
        <f>Clothing!G521</f>
        <v>Average loss during wear, Kawecki et al. 2019, SI table 17</v>
      </c>
      <c r="H1367" s="922">
        <f>Clothing!H521</f>
        <v>2</v>
      </c>
      <c r="I1367" s="922">
        <f>Clothing!I521</f>
        <v>2</v>
      </c>
      <c r="J1367" s="922">
        <f>Clothing!J521</f>
        <v>2</v>
      </c>
      <c r="K1367" s="922">
        <f>Clothing!K521</f>
        <v>2</v>
      </c>
      <c r="L1367" s="922">
        <f>Clothing!L521</f>
        <v>2</v>
      </c>
      <c r="M1367" s="922">
        <f>Clothing!M521</f>
        <v>2</v>
      </c>
      <c r="N1367" s="186">
        <f t="shared" si="103"/>
        <v>0.40183591897512122</v>
      </c>
      <c r="O1367" s="160">
        <f t="shared" si="104"/>
        <v>0.40183591897512122</v>
      </c>
    </row>
    <row r="1368" spans="1:15" hidden="1">
      <c r="A1368" s="918" t="str">
        <f>Clothing!A522</f>
        <v>Underwear</v>
      </c>
      <c r="B1368" s="918" t="str">
        <f>Clothing!B522</f>
        <v>Clothing washing</v>
      </c>
      <c r="C1368" s="918" t="str">
        <f>Clothing!C522</f>
        <v>any</v>
      </c>
      <c r="D1368" s="918" t="str">
        <f>Clothing!D522</f>
        <v>any</v>
      </c>
      <c r="E1368" s="918">
        <f>Clothing!E522</f>
        <v>1.0017848450000002E-2</v>
      </c>
      <c r="F1368" s="918">
        <f>Clothing!F522</f>
        <v>3</v>
      </c>
      <c r="G1368" s="918" t="str">
        <f>Clothing!G522</f>
        <v>Computed from available data from Kawecki et al. (2019) and CBS (2022)</v>
      </c>
      <c r="H1368" s="922">
        <f>Clothing!H522</f>
        <v>2</v>
      </c>
      <c r="I1368" s="922">
        <f>Clothing!I522</f>
        <v>2</v>
      </c>
      <c r="J1368" s="922">
        <f>Clothing!J522</f>
        <v>2</v>
      </c>
      <c r="K1368" s="922">
        <f>Clothing!K522</f>
        <v>2</v>
      </c>
      <c r="L1368" s="922">
        <f>Clothing!L522</f>
        <v>2</v>
      </c>
      <c r="M1368" s="922">
        <f>Clothing!M522</f>
        <v>2</v>
      </c>
      <c r="N1368" s="186">
        <f t="shared" si="103"/>
        <v>0.40183591897512122</v>
      </c>
      <c r="O1368" s="160">
        <f t="shared" si="104"/>
        <v>0.40183591897512122</v>
      </c>
    </row>
    <row r="1369" spans="1:15" hidden="1">
      <c r="A1369" s="918" t="str">
        <f>Clothing!A523</f>
        <v>Underwear</v>
      </c>
      <c r="B1369" s="918" t="str">
        <f>Clothing!B523</f>
        <v>Clothing drying</v>
      </c>
      <c r="C1369" s="918" t="str">
        <f>Clothing!C523</f>
        <v>any</v>
      </c>
      <c r="D1369" s="918" t="str">
        <f>Clothing!D523</f>
        <v>any</v>
      </c>
      <c r="E1369" s="918">
        <f>Clothing!E523</f>
        <v>5.1196599999999998E-4</v>
      </c>
      <c r="F1369" s="918">
        <f>Clothing!F523</f>
        <v>3</v>
      </c>
      <c r="G1369" s="918" t="str">
        <f>Clothing!G523</f>
        <v>Computed from available data from Kawecki et al. (2019)</v>
      </c>
      <c r="H1369" s="922">
        <f>Clothing!H523</f>
        <v>2</v>
      </c>
      <c r="I1369" s="922">
        <f>Clothing!I523</f>
        <v>2</v>
      </c>
      <c r="J1369" s="922">
        <f>Clothing!J523</f>
        <v>2</v>
      </c>
      <c r="K1369" s="922">
        <f>Clothing!K523</f>
        <v>2</v>
      </c>
      <c r="L1369" s="922">
        <f>Clothing!L523</f>
        <v>2</v>
      </c>
      <c r="M1369" s="922">
        <f>Clothing!M523</f>
        <v>2</v>
      </c>
      <c r="N1369" s="186">
        <f t="shared" ref="N1369:N1373" si="105">IF( OR( ISBLANK(H1369),ISBLANK(J1369), ISBLANK(K1369), ISBLANK(L1369), ISBLANK(M1369) ), "", 1.5*SQRT(   EXP(2.21*(H1369-1)) + EXP(2.21*(J1369-1)) + EXP(2.21*(K1369-1)) + EXP(2.21*(L1369-1)) + EXP(2.21*M1369)   )/100*2.45 )</f>
        <v>0.40183591897512122</v>
      </c>
      <c r="O1369" s="160">
        <f t="shared" ref="O1369:O1373" si="106">IF( OR( ISBLANK(I1369),ISBLANK(J1369), ISBLANK(K1369), ISBLANK(L1369), ISBLANK(M1369) ), "", 1.5*SQRT( EXP(2.21*(I1369-1)) + EXP(2.21*(J1369-1)) + EXP(2.21*(K1369-1)) + EXP(2.21*(L1369-1)) + EXP(2.21*M1369)   )/100*2.45 )</f>
        <v>0.40183591897512122</v>
      </c>
    </row>
    <row r="1370" spans="1:15" hidden="1">
      <c r="A1370" s="918" t="str">
        <f>Clothing!A524</f>
        <v>Underwear</v>
      </c>
      <c r="B1370" s="918" t="str">
        <f>Clothing!B524</f>
        <v>Textile waste collection</v>
      </c>
      <c r="C1370" s="918" t="str">
        <f>Clothing!C524</f>
        <v>any</v>
      </c>
      <c r="D1370" s="918" t="str">
        <f>Clothing!D524</f>
        <v>any</v>
      </c>
      <c r="E1370" s="918">
        <f>Clothing!E524</f>
        <v>0.43983617933303404</v>
      </c>
      <c r="F1370" s="918">
        <f>Clothing!F524</f>
        <v>2</v>
      </c>
      <c r="G1370" s="918" t="str">
        <f>Clothing!G524</f>
        <v>Massabalans textiel (2018)</v>
      </c>
      <c r="H1370" s="922">
        <f>Clothing!H524</f>
        <v>1</v>
      </c>
      <c r="I1370" s="922">
        <f>Clothing!I524</f>
        <v>2</v>
      </c>
      <c r="J1370" s="922">
        <f>Clothing!J524</f>
        <v>2</v>
      </c>
      <c r="K1370" s="922">
        <f>Clothing!K524</f>
        <v>1</v>
      </c>
      <c r="L1370" s="922">
        <f>Clothing!L524</f>
        <v>2</v>
      </c>
      <c r="M1370" s="922">
        <f>Clothing!M524</f>
        <v>2</v>
      </c>
      <c r="N1370" s="186">
        <f t="shared" si="105"/>
        <v>0.37356464144298934</v>
      </c>
      <c r="O1370" s="160">
        <f t="shared" si="106"/>
        <v>0.38795788889711302</v>
      </c>
    </row>
    <row r="1371" spans="1:15" hidden="1">
      <c r="A1371" s="918" t="str">
        <f>Clothing!A525</f>
        <v>Underwear</v>
      </c>
      <c r="B1371" s="918" t="str">
        <f>Clothing!B525</f>
        <v>Mixed waste collection</v>
      </c>
      <c r="C1371" s="918" t="str">
        <f>Clothing!C525</f>
        <v>any</v>
      </c>
      <c r="D1371" s="918" t="str">
        <f>Clothing!D525</f>
        <v>any</v>
      </c>
      <c r="E1371" s="918" t="str">
        <f>Clothing!E525</f>
        <v>rest</v>
      </c>
      <c r="F1371" s="918">
        <f>Clothing!F525</f>
        <v>1</v>
      </c>
      <c r="G1371" s="918">
        <f>Clothing!G525</f>
        <v>0</v>
      </c>
      <c r="H1371" s="922"/>
      <c r="I1371" s="922"/>
      <c r="J1371" s="922"/>
      <c r="K1371" s="922"/>
      <c r="L1371" s="922"/>
      <c r="M1371" s="922"/>
      <c r="N1371" s="186" t="str">
        <f t="shared" si="105"/>
        <v/>
      </c>
      <c r="O1371" s="160" t="str">
        <f t="shared" si="106"/>
        <v/>
      </c>
    </row>
    <row r="1372" spans="1:15" ht="15.75" hidden="1" thickBot="1">
      <c r="A1372" s="933" t="str">
        <f>Clothing!A526</f>
        <v>Underwear</v>
      </c>
      <c r="B1372" s="933" t="str">
        <f>Clothing!B526</f>
        <v>Dumping</v>
      </c>
      <c r="C1372" s="933" t="str">
        <f>Clothing!C526</f>
        <v>any</v>
      </c>
      <c r="D1372" s="933" t="str">
        <f>Clothing!D526</f>
        <v>any</v>
      </c>
      <c r="E1372" s="933">
        <f>Clothing!E526</f>
        <v>2.663402000985E-4</v>
      </c>
      <c r="F1372" s="933">
        <f>Clothing!F526</f>
        <v>2</v>
      </c>
      <c r="G1372" s="933" t="str">
        <f>Clothing!G526</f>
        <v>Kawecki &amp; Nowack (2019)</v>
      </c>
      <c r="H1372" s="934">
        <f>Clothing!H526</f>
        <v>2</v>
      </c>
      <c r="I1372" s="934">
        <f>Clothing!I526</f>
        <v>2</v>
      </c>
      <c r="J1372" s="934">
        <f>Clothing!J526</f>
        <v>2</v>
      </c>
      <c r="K1372" s="934">
        <f>Clothing!K526</f>
        <v>3</v>
      </c>
      <c r="L1372" s="934">
        <f>Clothing!L526</f>
        <v>3</v>
      </c>
      <c r="M1372" s="934">
        <f>Clothing!M526</f>
        <v>3</v>
      </c>
      <c r="N1372" s="935">
        <f t="shared" si="105"/>
        <v>1.1278755061256258</v>
      </c>
      <c r="O1372" s="160">
        <f t="shared" si="106"/>
        <v>1.1278755061256258</v>
      </c>
    </row>
    <row r="1373" spans="1:15" hidden="1">
      <c r="A1373" s="939" t="str">
        <f>Clothing!A529</f>
        <v>Clothing washing</v>
      </c>
      <c r="B1373" s="939" t="str">
        <f>Clothing!B529</f>
        <v>Clothing washing machine (with external filter)</v>
      </c>
      <c r="C1373" s="939" t="str">
        <f>Clothing!C529</f>
        <v>any</v>
      </c>
      <c r="D1373" s="939" t="str">
        <f>Clothing!D529</f>
        <v>any</v>
      </c>
      <c r="E1373" s="939">
        <f>Clothing!E529</f>
        <v>4.9000000000000002E-2</v>
      </c>
      <c r="F1373" s="939">
        <f>Clothing!F529</f>
        <v>2</v>
      </c>
      <c r="G1373" s="939" t="str">
        <f>Clothing!G529</f>
        <v>Assumption</v>
      </c>
      <c r="H1373" s="931"/>
      <c r="I1373" s="931"/>
      <c r="J1373" s="931"/>
      <c r="K1373" s="931"/>
      <c r="L1373" s="931"/>
      <c r="M1373" s="931"/>
      <c r="N1373" s="932" t="str">
        <f t="shared" si="105"/>
        <v/>
      </c>
      <c r="O1373" s="160" t="str">
        <f t="shared" si="106"/>
        <v/>
      </c>
    </row>
    <row r="1374" spans="1:15" hidden="1">
      <c r="A1374" s="939" t="str">
        <f>Clothing!A530</f>
        <v>Clothing washing</v>
      </c>
      <c r="B1374" s="939" t="str">
        <f>Clothing!B530</f>
        <v>Clothing washing machine (without external filter)</v>
      </c>
      <c r="C1374" s="939" t="str">
        <f>Clothing!C530</f>
        <v>any</v>
      </c>
      <c r="D1374" s="939" t="str">
        <f>Clothing!D530</f>
        <v>any</v>
      </c>
      <c r="E1374" s="939" t="str">
        <f>Clothing!E530</f>
        <v>rest</v>
      </c>
      <c r="F1374" s="939">
        <f>Clothing!F530</f>
        <v>1</v>
      </c>
      <c r="G1374" s="939" t="str">
        <f>Clothing!G530</f>
        <v>Watergebruik CBS (2022)</v>
      </c>
      <c r="H1374" s="922"/>
      <c r="I1374" s="922"/>
      <c r="J1374" s="922"/>
      <c r="K1374" s="922"/>
      <c r="L1374" s="922"/>
      <c r="M1374" s="922"/>
      <c r="N1374" s="186" t="str">
        <f t="shared" ref="N1374:N1408" si="107">IF( OR( ISBLANK(H1374),ISBLANK(J1374), ISBLANK(K1374), ISBLANK(L1374), ISBLANK(M1374) ), "", 1.5*SQRT(   EXP(2.21*(H1374-1)) + EXP(2.21*(J1374-1)) + EXP(2.21*(K1374-1)) + EXP(2.21*(L1374-1)) + EXP(2.21*M1374)   )/100*2.45 )</f>
        <v/>
      </c>
      <c r="O1374" s="160" t="str">
        <f t="shared" ref="O1374:O1408" si="108">IF( OR( ISBLANK(I1374),ISBLANK(J1374), ISBLANK(K1374), ISBLANK(L1374), ISBLANK(M1374) ), "", 1.5*SQRT( EXP(2.21*(I1374-1)) + EXP(2.21*(J1374-1)) + EXP(2.21*(K1374-1)) + EXP(2.21*(L1374-1)) + EXP(2.21*M1374)   )/100*2.45 )</f>
        <v/>
      </c>
    </row>
    <row r="1375" spans="1:15" hidden="1">
      <c r="A1375" s="939" t="str">
        <f>Clothing!A531</f>
        <v>Clothing washing</v>
      </c>
      <c r="B1375" s="939" t="str">
        <f>Clothing!B531</f>
        <v>Clothing washing by hand</v>
      </c>
      <c r="C1375" s="939" t="str">
        <f>Clothing!C531</f>
        <v>any</v>
      </c>
      <c r="D1375" s="939" t="str">
        <f>Clothing!D531</f>
        <v>any</v>
      </c>
      <c r="E1375" s="939">
        <f>Clothing!E531</f>
        <v>2.0000000000000018E-2</v>
      </c>
      <c r="F1375" s="939">
        <f>Clothing!F531</f>
        <v>2</v>
      </c>
      <c r="G1375" s="939" t="str">
        <f>Clothing!G531</f>
        <v>Watergebruik CBS (2022)</v>
      </c>
      <c r="H1375" s="922">
        <f>Clothing!H529</f>
        <v>3</v>
      </c>
      <c r="I1375" s="922">
        <f>Clothing!I529</f>
        <v>3</v>
      </c>
      <c r="J1375" s="922">
        <f>Clothing!J529</f>
        <v>3</v>
      </c>
      <c r="K1375" s="922">
        <f>Clothing!K529</f>
        <v>3</v>
      </c>
      <c r="L1375" s="922">
        <f>Clothing!L529</f>
        <v>3</v>
      </c>
      <c r="M1375" s="922">
        <f>Clothing!M529</f>
        <v>3</v>
      </c>
      <c r="N1375" s="186">
        <f t="shared" si="107"/>
        <v>1.2132328390150593</v>
      </c>
      <c r="O1375" s="160">
        <f t="shared" si="108"/>
        <v>1.2132328390150593</v>
      </c>
    </row>
    <row r="1376" spans="1:15" hidden="1">
      <c r="A1376" s="939" t="str">
        <f>Clothing!A532</f>
        <v>Clothing washing machine (with external filter)</v>
      </c>
      <c r="B1376" s="939" t="str">
        <f>Clothing!B532</f>
        <v>Mixed waste collection</v>
      </c>
      <c r="C1376" s="939" t="str">
        <f>Clothing!C532</f>
        <v>any</v>
      </c>
      <c r="D1376" s="939" t="str">
        <f>Clothing!D532</f>
        <v>any</v>
      </c>
      <c r="E1376" s="939">
        <f>Clothing!E532</f>
        <v>0.25</v>
      </c>
      <c r="F1376" s="939">
        <f>Clothing!F532</f>
        <v>2</v>
      </c>
      <c r="G1376" s="939" t="str">
        <f>Clothing!G532</f>
        <v>(Kimmel et al., 2024) - Highest reported fraction of captured fibers</v>
      </c>
      <c r="H1376" s="922"/>
      <c r="I1376" s="922"/>
      <c r="J1376" s="922"/>
      <c r="K1376" s="922"/>
      <c r="L1376" s="922"/>
      <c r="M1376" s="922"/>
      <c r="N1376" s="186" t="str">
        <f t="shared" si="107"/>
        <v/>
      </c>
      <c r="O1376" s="160" t="str">
        <f t="shared" si="108"/>
        <v/>
      </c>
    </row>
    <row r="1377" spans="1:15" hidden="1">
      <c r="A1377" s="939" t="str">
        <f>Clothing!A533</f>
        <v>Clothing washing machine (with external filter)</v>
      </c>
      <c r="B1377" s="939" t="str">
        <f>Clothing!B533</f>
        <v>Mixed waste collection</v>
      </c>
      <c r="C1377" s="939" t="str">
        <f>Clothing!C533</f>
        <v>any</v>
      </c>
      <c r="D1377" s="939" t="str">
        <f>Clothing!D533</f>
        <v>any</v>
      </c>
      <c r="E1377" s="939">
        <f>Clothing!E533</f>
        <v>0.89</v>
      </c>
      <c r="F1377" s="939">
        <f>Clothing!F533</f>
        <v>2</v>
      </c>
      <c r="G1377" s="939" t="str">
        <f>Clothing!G533</f>
        <v>(Kimmel et al., 2024) - Lowest reported fraction of captured fibers</v>
      </c>
      <c r="H1377" s="922">
        <f>Clothing!H531</f>
        <v>1</v>
      </c>
      <c r="I1377" s="922">
        <f>Clothing!I531</f>
        <v>2</v>
      </c>
      <c r="J1377" s="922">
        <f>Clothing!J531</f>
        <v>1</v>
      </c>
      <c r="K1377" s="922">
        <f>Clothing!K531</f>
        <v>2</v>
      </c>
      <c r="L1377" s="922">
        <f>Clothing!L531</f>
        <v>2</v>
      </c>
      <c r="M1377" s="922">
        <f>Clothing!M531</f>
        <v>2</v>
      </c>
      <c r="N1377" s="186">
        <f t="shared" si="107"/>
        <v>0.37356464144298934</v>
      </c>
      <c r="O1377" s="160">
        <f t="shared" si="108"/>
        <v>0.38795788889711302</v>
      </c>
    </row>
    <row r="1378" spans="1:15" hidden="1">
      <c r="A1378" s="939" t="str">
        <f>Clothing!A534</f>
        <v>Clothing washing machine (with external filter)</v>
      </c>
      <c r="B1378" s="939" t="str">
        <f>Clothing!B534</f>
        <v>Wastewater (micro)</v>
      </c>
      <c r="C1378" s="939" t="str">
        <f>Clothing!C534</f>
        <v>any</v>
      </c>
      <c r="D1378" s="939" t="str">
        <f>Clothing!D534</f>
        <v>any</v>
      </c>
      <c r="E1378" s="939" t="str">
        <f>Clothing!E534</f>
        <v>rest</v>
      </c>
      <c r="F1378" s="939">
        <f>Clothing!F534</f>
        <v>1</v>
      </c>
      <c r="G1378" s="939">
        <f>Clothing!G534</f>
        <v>0</v>
      </c>
      <c r="H1378" s="922">
        <f>Clothing!H532</f>
        <v>2</v>
      </c>
      <c r="I1378" s="922">
        <f>Clothing!I532</f>
        <v>2</v>
      </c>
      <c r="J1378" s="922">
        <f>Clothing!J532</f>
        <v>2</v>
      </c>
      <c r="K1378" s="922">
        <f>Clothing!K532</f>
        <v>2</v>
      </c>
      <c r="L1378" s="922">
        <f>Clothing!L532</f>
        <v>2</v>
      </c>
      <c r="M1378" s="922">
        <f>Clothing!M532</f>
        <v>1</v>
      </c>
      <c r="N1378" s="186">
        <f t="shared" si="107"/>
        <v>0.24810627482064512</v>
      </c>
      <c r="O1378" s="160">
        <f t="shared" si="108"/>
        <v>0.24810627482064512</v>
      </c>
    </row>
    <row r="1379" spans="1:15" hidden="1">
      <c r="A1379" s="939" t="str">
        <f>Clothing!A535</f>
        <v>Clothing washing machine (without external filter)</v>
      </c>
      <c r="B1379" s="939" t="str">
        <f>Clothing!B535</f>
        <v>Wastewater (micro)</v>
      </c>
      <c r="C1379" s="939" t="str">
        <f>Clothing!C535</f>
        <v>any</v>
      </c>
      <c r="D1379" s="939" t="str">
        <f>Clothing!D535</f>
        <v>any</v>
      </c>
      <c r="E1379" s="939">
        <f>Clothing!E535</f>
        <v>1</v>
      </c>
      <c r="F1379" s="939">
        <f>Clothing!F535</f>
        <v>1</v>
      </c>
      <c r="G1379" s="939">
        <f>Clothing!G535</f>
        <v>0</v>
      </c>
      <c r="H1379" s="922">
        <f>Clothing!H533</f>
        <v>2</v>
      </c>
      <c r="I1379" s="922">
        <f>Clothing!I533</f>
        <v>2</v>
      </c>
      <c r="J1379" s="922">
        <f>Clothing!J533</f>
        <v>2</v>
      </c>
      <c r="K1379" s="922">
        <f>Clothing!K533</f>
        <v>2</v>
      </c>
      <c r="L1379" s="922">
        <f>Clothing!L533</f>
        <v>2</v>
      </c>
      <c r="M1379" s="922">
        <f>Clothing!M533</f>
        <v>1</v>
      </c>
      <c r="N1379" s="186">
        <f t="shared" si="107"/>
        <v>0.24810627482064512</v>
      </c>
      <c r="O1379" s="160">
        <f t="shared" si="108"/>
        <v>0.24810627482064512</v>
      </c>
    </row>
    <row r="1380" spans="1:15" ht="15.75" hidden="1" thickBot="1">
      <c r="A1380" s="933" t="str">
        <f>Clothing!A536</f>
        <v>Clothing washing by hand</v>
      </c>
      <c r="B1380" s="933" t="str">
        <f>Clothing!B536</f>
        <v>Wastewater (micro)</v>
      </c>
      <c r="C1380" s="933" t="str">
        <f>Clothing!C536</f>
        <v>any</v>
      </c>
      <c r="D1380" s="933" t="str">
        <f>Clothing!D536</f>
        <v>any</v>
      </c>
      <c r="E1380" s="933">
        <f>Clothing!E536</f>
        <v>1</v>
      </c>
      <c r="F1380" s="933">
        <f>Clothing!F536</f>
        <v>1</v>
      </c>
      <c r="G1380" s="933">
        <f>Clothing!G536</f>
        <v>0</v>
      </c>
      <c r="H1380" s="934"/>
      <c r="I1380" s="934"/>
      <c r="J1380" s="934"/>
      <c r="K1380" s="934"/>
      <c r="L1380" s="934"/>
      <c r="M1380" s="934"/>
      <c r="N1380" s="935" t="str">
        <f t="shared" si="107"/>
        <v/>
      </c>
      <c r="O1380" s="161" t="str">
        <f t="shared" si="108"/>
        <v/>
      </c>
    </row>
    <row r="1381" spans="1:15" hidden="1">
      <c r="A1381" s="940" t="str">
        <f>Clothing!A539</f>
        <v>Clothing wearing</v>
      </c>
      <c r="B1381" s="940" t="str">
        <f>Clothing!B539</f>
        <v>Indoor air (micro)</v>
      </c>
      <c r="C1381" s="940" t="str">
        <f>Clothing!C539</f>
        <v>any</v>
      </c>
      <c r="D1381" s="940" t="str">
        <f>Clothing!D539</f>
        <v>any</v>
      </c>
      <c r="E1381" s="940">
        <f>Clothing!E539</f>
        <v>0.93</v>
      </c>
      <c r="F1381" s="940">
        <f>Clothing!F539</f>
        <v>2</v>
      </c>
      <c r="G1381" s="940" t="str">
        <f>Clothing!G539</f>
        <v>Kawecki and Nowack (2019)</v>
      </c>
      <c r="H1381" s="941"/>
      <c r="I1381" s="941"/>
      <c r="J1381" s="941"/>
      <c r="K1381" s="941"/>
      <c r="L1381" s="941"/>
      <c r="M1381" s="941"/>
      <c r="N1381" s="829" t="str">
        <f t="shared" si="107"/>
        <v/>
      </c>
      <c r="O1381" s="159" t="str">
        <f t="shared" si="108"/>
        <v/>
      </c>
    </row>
    <row r="1382" spans="1:15" ht="15.75" hidden="1" thickBot="1">
      <c r="A1382" s="933" t="str">
        <f>Clothing!A540</f>
        <v>Clothing wearing</v>
      </c>
      <c r="B1382" s="933" t="str">
        <f>Clothing!B540</f>
        <v>Outdoor air (micro)</v>
      </c>
      <c r="C1382" s="933" t="str">
        <f>Clothing!C540</f>
        <v>any</v>
      </c>
      <c r="D1382" s="933" t="str">
        <f>Clothing!D540</f>
        <v>any</v>
      </c>
      <c r="E1382" s="933" t="str">
        <f>Clothing!E540</f>
        <v>rest</v>
      </c>
      <c r="F1382" s="933">
        <f>Clothing!F540</f>
        <v>1</v>
      </c>
      <c r="G1382" s="933" t="str">
        <f>Clothing!G540</f>
        <v>Kawecki and Nowack (2019)</v>
      </c>
      <c r="H1382" s="934"/>
      <c r="I1382" s="934"/>
      <c r="J1382" s="934"/>
      <c r="K1382" s="934"/>
      <c r="L1382" s="934"/>
      <c r="M1382" s="934"/>
      <c r="N1382" s="935" t="str">
        <f t="shared" si="107"/>
        <v/>
      </c>
      <c r="O1382" s="161" t="str">
        <f t="shared" si="108"/>
        <v/>
      </c>
    </row>
    <row r="1383" spans="1:15" hidden="1">
      <c r="A1383" s="918" t="str">
        <f>Clothing!A543</f>
        <v>Clothing drying</v>
      </c>
      <c r="B1383" s="918" t="str">
        <f>Clothing!B543</f>
        <v>Clothing indoor drying</v>
      </c>
      <c r="C1383" s="918" t="str">
        <f>Clothing!C543</f>
        <v>any</v>
      </c>
      <c r="D1383" s="918" t="str">
        <f>Clothing!D543</f>
        <v>any</v>
      </c>
      <c r="E1383" s="918">
        <f>Clothing!E543</f>
        <v>0.34</v>
      </c>
      <c r="F1383" s="918">
        <f>Clothing!F543</f>
        <v>1</v>
      </c>
      <c r="G1383" s="918" t="str">
        <f>Clothing!G543</f>
        <v>Kawecki and Nowack (2019)</v>
      </c>
      <c r="H1383" s="931">
        <f>Clothing!H543</f>
        <v>2</v>
      </c>
      <c r="I1383" s="931">
        <f>Clothing!I543</f>
        <v>2</v>
      </c>
      <c r="J1383" s="931">
        <f>Clothing!J543</f>
        <v>2</v>
      </c>
      <c r="K1383" s="931">
        <f>Clothing!K543</f>
        <v>3</v>
      </c>
      <c r="L1383" s="931">
        <f>Clothing!L543</f>
        <v>1</v>
      </c>
      <c r="M1383" s="931">
        <f>Clothing!M543</f>
        <v>2</v>
      </c>
      <c r="N1383" s="932">
        <f t="shared" si="107"/>
        <v>0.50042652380814845</v>
      </c>
      <c r="O1383" s="834">
        <f t="shared" si="108"/>
        <v>0.50042652380814845</v>
      </c>
    </row>
    <row r="1384" spans="1:15" hidden="1">
      <c r="A1384" s="918" t="str">
        <f>Clothing!A544</f>
        <v>Clothing drying</v>
      </c>
      <c r="B1384" s="918" t="str">
        <f>Clothing!B544</f>
        <v>Clothing outdoor drying</v>
      </c>
      <c r="C1384" s="918" t="str">
        <f>Clothing!C544</f>
        <v>any</v>
      </c>
      <c r="D1384" s="918" t="str">
        <f>Clothing!D544</f>
        <v>any</v>
      </c>
      <c r="E1384" s="918">
        <f>Clothing!E544</f>
        <v>0.34</v>
      </c>
      <c r="F1384" s="918">
        <f>Clothing!F544</f>
        <v>1</v>
      </c>
      <c r="G1384" s="918" t="str">
        <f>Clothing!G544</f>
        <v>Kawecki and Nowack (2019)</v>
      </c>
      <c r="H1384" s="931">
        <f>Clothing!H544</f>
        <v>2</v>
      </c>
      <c r="I1384" s="931">
        <f>Clothing!I544</f>
        <v>2</v>
      </c>
      <c r="J1384" s="931">
        <f>Clothing!J544</f>
        <v>2</v>
      </c>
      <c r="K1384" s="931">
        <f>Clothing!K544</f>
        <v>3</v>
      </c>
      <c r="L1384" s="931">
        <f>Clothing!L544</f>
        <v>1</v>
      </c>
      <c r="M1384" s="931">
        <f>Clothing!M544</f>
        <v>2</v>
      </c>
      <c r="N1384" s="186">
        <f t="shared" si="107"/>
        <v>0.50042652380814845</v>
      </c>
      <c r="O1384" s="160">
        <f t="shared" si="108"/>
        <v>0.50042652380814845</v>
      </c>
    </row>
    <row r="1385" spans="1:15" hidden="1">
      <c r="A1385" s="918" t="str">
        <f>Clothing!A545</f>
        <v>Clothing drying</v>
      </c>
      <c r="B1385" s="918" t="str">
        <f>Clothing!B545</f>
        <v>Clothing drying VTD</v>
      </c>
      <c r="C1385" s="918" t="str">
        <f>Clothing!C545</f>
        <v>any</v>
      </c>
      <c r="D1385" s="918" t="str">
        <f>Clothing!D545</f>
        <v>any</v>
      </c>
      <c r="E1385" s="918">
        <f>Clothing!E545</f>
        <v>0.06</v>
      </c>
      <c r="F1385" s="918">
        <f>Clothing!F545</f>
        <v>2</v>
      </c>
      <c r="G1385" s="918" t="str">
        <f>Clothing!G545</f>
        <v>Combined data from CBS, RIVM, and Cummins et al. (2023)</v>
      </c>
      <c r="H1385" s="931">
        <f>Clothing!H545</f>
        <v>3</v>
      </c>
      <c r="I1385" s="931">
        <f>Clothing!I545</f>
        <v>3</v>
      </c>
      <c r="J1385" s="931">
        <f>Clothing!J545</f>
        <v>3</v>
      </c>
      <c r="K1385" s="931">
        <f>Clothing!K545</f>
        <v>3</v>
      </c>
      <c r="L1385" s="931">
        <f>Clothing!L545</f>
        <v>3</v>
      </c>
      <c r="M1385" s="931">
        <f>Clothing!M545</f>
        <v>3</v>
      </c>
      <c r="N1385" s="186">
        <f t="shared" si="107"/>
        <v>1.2132328390150593</v>
      </c>
      <c r="O1385" s="160">
        <f t="shared" si="108"/>
        <v>1.2132328390150593</v>
      </c>
    </row>
    <row r="1386" spans="1:15" hidden="1">
      <c r="A1386" s="918" t="str">
        <f>Clothing!A546</f>
        <v>Clothing drying</v>
      </c>
      <c r="B1386" s="918" t="str">
        <f>Clothing!B546</f>
        <v>Clothing drying CHPTD</v>
      </c>
      <c r="C1386" s="918" t="str">
        <f>Clothing!C546</f>
        <v>any</v>
      </c>
      <c r="D1386" s="918" t="str">
        <f>Clothing!D546</f>
        <v>any</v>
      </c>
      <c r="E1386" s="918">
        <f>Clothing!E546</f>
        <v>0.1</v>
      </c>
      <c r="F1386" s="918">
        <f>Clothing!F546</f>
        <v>2</v>
      </c>
      <c r="G1386" s="918" t="str">
        <f>Clothing!G546</f>
        <v>Combined data from CBS, RIVM, and Cummins et al. (2023)</v>
      </c>
      <c r="H1386" s="931">
        <f>Clothing!H546</f>
        <v>3</v>
      </c>
      <c r="I1386" s="931">
        <f>Clothing!I546</f>
        <v>3</v>
      </c>
      <c r="J1386" s="931">
        <f>Clothing!J546</f>
        <v>3</v>
      </c>
      <c r="K1386" s="931">
        <f>Clothing!K546</f>
        <v>3</v>
      </c>
      <c r="L1386" s="931">
        <f>Clothing!L546</f>
        <v>3</v>
      </c>
      <c r="M1386" s="931">
        <f>Clothing!M546</f>
        <v>3</v>
      </c>
      <c r="N1386" s="186">
        <f t="shared" si="107"/>
        <v>1.2132328390150593</v>
      </c>
      <c r="O1386" s="160">
        <f t="shared" si="108"/>
        <v>1.2132328390150593</v>
      </c>
    </row>
    <row r="1387" spans="1:15" hidden="1">
      <c r="A1387" s="918" t="str">
        <f>Clothing!A547</f>
        <v>Clothing drying</v>
      </c>
      <c r="B1387" s="918" t="str">
        <f>Clothing!B547</f>
        <v>Clothing drying CHETD</v>
      </c>
      <c r="C1387" s="918" t="str">
        <f>Clothing!C547</f>
        <v>any</v>
      </c>
      <c r="D1387" s="918" t="str">
        <f>Clothing!D547</f>
        <v>any</v>
      </c>
      <c r="E1387" s="918">
        <f>Clothing!E547</f>
        <v>0.13</v>
      </c>
      <c r="F1387" s="918">
        <f>Clothing!F547</f>
        <v>2</v>
      </c>
      <c r="G1387" s="918" t="str">
        <f>Clothing!G547</f>
        <v>Combined data from CBS, RIVM, and Cummins et al. (2023)</v>
      </c>
      <c r="H1387" s="931">
        <f>Clothing!H547</f>
        <v>3</v>
      </c>
      <c r="I1387" s="931">
        <f>Clothing!I547</f>
        <v>3</v>
      </c>
      <c r="J1387" s="931">
        <f>Clothing!J547</f>
        <v>3</v>
      </c>
      <c r="K1387" s="931">
        <f>Clothing!K547</f>
        <v>3</v>
      </c>
      <c r="L1387" s="931">
        <f>Clothing!L547</f>
        <v>3</v>
      </c>
      <c r="M1387" s="931">
        <f>Clothing!M547</f>
        <v>3</v>
      </c>
      <c r="N1387" s="186">
        <f t="shared" si="107"/>
        <v>1.2132328390150593</v>
      </c>
      <c r="O1387" s="160">
        <f t="shared" si="108"/>
        <v>1.2132328390150593</v>
      </c>
    </row>
    <row r="1388" spans="1:15" hidden="1">
      <c r="A1388" s="918" t="str">
        <f>Clothing!A548</f>
        <v>Clothing drying</v>
      </c>
      <c r="B1388" s="918" t="str">
        <f>Clothing!B548</f>
        <v>Clothing washer-dryer combo</v>
      </c>
      <c r="C1388" s="918" t="str">
        <f>Clothing!C548</f>
        <v>any</v>
      </c>
      <c r="D1388" s="918" t="str">
        <f>Clothing!D548</f>
        <v>any</v>
      </c>
      <c r="E1388" s="918">
        <f>Clothing!E548</f>
        <v>0.03</v>
      </c>
      <c r="F1388" s="918">
        <f>Clothing!F548</f>
        <v>2</v>
      </c>
      <c r="G1388" s="918" t="str">
        <f>Clothing!G548</f>
        <v>Combined data from CBS, RIVM, and Cummins et al. (2023)</v>
      </c>
      <c r="H1388" s="931">
        <f>Clothing!H548</f>
        <v>3</v>
      </c>
      <c r="I1388" s="931">
        <f>Clothing!I548</f>
        <v>3</v>
      </c>
      <c r="J1388" s="931">
        <f>Clothing!J548</f>
        <v>3</v>
      </c>
      <c r="K1388" s="931">
        <f>Clothing!K548</f>
        <v>3</v>
      </c>
      <c r="L1388" s="931">
        <f>Clothing!L548</f>
        <v>3</v>
      </c>
      <c r="M1388" s="931">
        <f>Clothing!M548</f>
        <v>3</v>
      </c>
      <c r="N1388" s="186">
        <f t="shared" si="107"/>
        <v>1.2132328390150593</v>
      </c>
      <c r="O1388" s="160">
        <f t="shared" si="108"/>
        <v>1.2132328390150593</v>
      </c>
    </row>
    <row r="1389" spans="1:15" hidden="1">
      <c r="A1389" s="918" t="str">
        <f>Clothing!A549</f>
        <v>Clothing indoor drying</v>
      </c>
      <c r="B1389" s="918" t="str">
        <f>Clothing!B549</f>
        <v>Indoor air (micro)</v>
      </c>
      <c r="C1389" s="918" t="str">
        <f>Clothing!C549</f>
        <v>any</v>
      </c>
      <c r="D1389" s="918" t="str">
        <f>Clothing!D549</f>
        <v>any</v>
      </c>
      <c r="E1389" s="918">
        <f>Clothing!E549</f>
        <v>0.5</v>
      </c>
      <c r="F1389" s="918">
        <f>Clothing!F549</f>
        <v>2</v>
      </c>
      <c r="G1389" s="918" t="str">
        <f>Clothing!G549</f>
        <v xml:space="preserve">Assumption Kawecki et al. 2019 (SI Table 17) </v>
      </c>
      <c r="H1389" s="931">
        <f>Clothing!H549</f>
        <v>3</v>
      </c>
      <c r="I1389" s="931">
        <f>Clothing!I549</f>
        <v>3</v>
      </c>
      <c r="J1389" s="931">
        <f>Clothing!J549</f>
        <v>3</v>
      </c>
      <c r="K1389" s="931">
        <f>Clothing!K549</f>
        <v>3</v>
      </c>
      <c r="L1389" s="931">
        <f>Clothing!L549</f>
        <v>3</v>
      </c>
      <c r="M1389" s="931">
        <f>Clothing!M549</f>
        <v>3</v>
      </c>
      <c r="N1389" s="186">
        <f t="shared" si="107"/>
        <v>1.2132328390150593</v>
      </c>
      <c r="O1389" s="160">
        <f t="shared" si="108"/>
        <v>1.2132328390150593</v>
      </c>
    </row>
    <row r="1390" spans="1:15" hidden="1">
      <c r="A1390" s="918" t="str">
        <f>Clothing!A550</f>
        <v>Clothing indoor drying</v>
      </c>
      <c r="B1390" s="918" t="str">
        <f>Clothing!B550</f>
        <v>Indoor floors (micro)</v>
      </c>
      <c r="C1390" s="918" t="str">
        <f>Clothing!C550</f>
        <v>any</v>
      </c>
      <c r="D1390" s="918" t="str">
        <f>Clothing!D550</f>
        <v>any</v>
      </c>
      <c r="E1390" s="918" t="str">
        <f>Clothing!E550</f>
        <v>rest</v>
      </c>
      <c r="F1390" s="918">
        <f>Clothing!F550</f>
        <v>1</v>
      </c>
      <c r="G1390" s="918" t="str">
        <f>Clothing!G550</f>
        <v xml:space="preserve">Assumption Kawecki et al. 2019 (SI Table 17) </v>
      </c>
      <c r="H1390" s="931"/>
      <c r="I1390" s="931"/>
      <c r="J1390" s="931"/>
      <c r="K1390" s="931"/>
      <c r="L1390" s="931"/>
      <c r="M1390" s="931"/>
      <c r="N1390" s="186" t="str">
        <f t="shared" si="107"/>
        <v/>
      </c>
      <c r="O1390" s="160" t="str">
        <f t="shared" si="108"/>
        <v/>
      </c>
    </row>
    <row r="1391" spans="1:15" hidden="1">
      <c r="A1391" s="918" t="str">
        <f>Clothing!A551</f>
        <v>Clothing outdoor drying</v>
      </c>
      <c r="B1391" s="918" t="str">
        <f>Clothing!B551</f>
        <v>Outdoor air (micro)</v>
      </c>
      <c r="C1391" s="918" t="str">
        <f>Clothing!C551</f>
        <v>any</v>
      </c>
      <c r="D1391" s="918" t="str">
        <f>Clothing!D551</f>
        <v>any</v>
      </c>
      <c r="E1391" s="918">
        <f>Clothing!E551</f>
        <v>0.5</v>
      </c>
      <c r="F1391" s="918">
        <f>Clothing!F551</f>
        <v>2</v>
      </c>
      <c r="G1391" s="918" t="str">
        <f>Clothing!G551</f>
        <v xml:space="preserve">Assumption Kawecki et al. 2019 (SI Table 17) </v>
      </c>
      <c r="H1391" s="931">
        <f>Clothing!H551</f>
        <v>3</v>
      </c>
      <c r="I1391" s="931">
        <f>Clothing!I551</f>
        <v>3</v>
      </c>
      <c r="J1391" s="931">
        <f>Clothing!J551</f>
        <v>3</v>
      </c>
      <c r="K1391" s="931">
        <f>Clothing!K551</f>
        <v>3</v>
      </c>
      <c r="L1391" s="931">
        <f>Clothing!L551</f>
        <v>3</v>
      </c>
      <c r="M1391" s="931">
        <f>Clothing!M551</f>
        <v>3</v>
      </c>
      <c r="N1391" s="186">
        <f t="shared" si="107"/>
        <v>1.2132328390150593</v>
      </c>
      <c r="O1391" s="160">
        <f t="shared" si="108"/>
        <v>1.2132328390150593</v>
      </c>
    </row>
    <row r="1392" spans="1:15" hidden="1">
      <c r="A1392" s="918" t="str">
        <f>Clothing!A552</f>
        <v>Clothing outdoor drying</v>
      </c>
      <c r="B1392" s="918" t="str">
        <f>Clothing!B552</f>
        <v>Residential soil (micro)</v>
      </c>
      <c r="C1392" s="918" t="str">
        <f>Clothing!C552</f>
        <v>any</v>
      </c>
      <c r="D1392" s="918" t="str">
        <f>Clothing!D552</f>
        <v>any</v>
      </c>
      <c r="E1392" s="918" t="str">
        <f>Clothing!E552</f>
        <v>rest</v>
      </c>
      <c r="F1392" s="918">
        <f>Clothing!F552</f>
        <v>1</v>
      </c>
      <c r="G1392" s="918" t="str">
        <f>Clothing!G552</f>
        <v xml:space="preserve">Assumption Kawecki et al. 2019 (SI Table 17) </v>
      </c>
      <c r="H1392" s="931"/>
      <c r="I1392" s="931"/>
      <c r="J1392" s="931"/>
      <c r="K1392" s="931"/>
      <c r="L1392" s="931"/>
      <c r="M1392" s="931"/>
      <c r="N1392" s="186" t="str">
        <f t="shared" si="107"/>
        <v/>
      </c>
      <c r="O1392" s="160" t="str">
        <f t="shared" si="108"/>
        <v/>
      </c>
    </row>
    <row r="1393" spans="1:15" hidden="1">
      <c r="A1393" s="918" t="str">
        <f>Clothing!A553</f>
        <v>Clothing drying VTD</v>
      </c>
      <c r="B1393" s="918" t="str">
        <f>Clothing!B553</f>
        <v>Outdoor air (micro)</v>
      </c>
      <c r="C1393" s="918" t="str">
        <f>Clothing!C553</f>
        <v>any</v>
      </c>
      <c r="D1393" s="918" t="str">
        <f>Clothing!D553</f>
        <v>any</v>
      </c>
      <c r="E1393" s="918">
        <f>Clothing!E553</f>
        <v>0.5</v>
      </c>
      <c r="F1393" s="918">
        <f>Clothing!F553</f>
        <v>2</v>
      </c>
      <c r="G1393" s="918" t="str">
        <f>Clothing!G553</f>
        <v xml:space="preserve">Assumption Kawecki et al. 2019 (SI Table 17) </v>
      </c>
      <c r="H1393" s="931">
        <f>Clothing!H553</f>
        <v>3</v>
      </c>
      <c r="I1393" s="931">
        <f>Clothing!I553</f>
        <v>3</v>
      </c>
      <c r="J1393" s="931">
        <f>Clothing!J553</f>
        <v>3</v>
      </c>
      <c r="K1393" s="931">
        <f>Clothing!K553</f>
        <v>3</v>
      </c>
      <c r="L1393" s="931">
        <f>Clothing!L553</f>
        <v>3</v>
      </c>
      <c r="M1393" s="931">
        <f>Clothing!M553</f>
        <v>3</v>
      </c>
      <c r="N1393" s="186">
        <f t="shared" si="107"/>
        <v>1.2132328390150593</v>
      </c>
      <c r="O1393" s="160">
        <f t="shared" si="108"/>
        <v>1.2132328390150593</v>
      </c>
    </row>
    <row r="1394" spans="1:15" hidden="1">
      <c r="A1394" s="918" t="str">
        <f>Clothing!A554</f>
        <v>Clothing drying VTD</v>
      </c>
      <c r="B1394" s="918" t="str">
        <f>Clothing!B554</f>
        <v>Lint filter (VTD)</v>
      </c>
      <c r="C1394" s="918" t="str">
        <f>Clothing!C554</f>
        <v>any</v>
      </c>
      <c r="D1394" s="918" t="str">
        <f>Clothing!D554</f>
        <v>any</v>
      </c>
      <c r="E1394" s="918" t="str">
        <f>Clothing!E554</f>
        <v>rest</v>
      </c>
      <c r="F1394" s="918">
        <f>Clothing!F554</f>
        <v>1</v>
      </c>
      <c r="G1394" s="918" t="str">
        <f>Clothing!G554</f>
        <v xml:space="preserve">Assumption Kawecki et al. 2019 (SI Table 17) </v>
      </c>
      <c r="H1394" s="931"/>
      <c r="I1394" s="931"/>
      <c r="J1394" s="931"/>
      <c r="K1394" s="931"/>
      <c r="L1394" s="931"/>
      <c r="M1394" s="931"/>
      <c r="N1394" s="186" t="str">
        <f t="shared" si="107"/>
        <v/>
      </c>
      <c r="O1394" s="160" t="str">
        <f t="shared" si="108"/>
        <v/>
      </c>
    </row>
    <row r="1395" spans="1:15" hidden="1">
      <c r="A1395" s="918" t="str">
        <f>Clothing!A555</f>
        <v>Clothing drying CHPTD</v>
      </c>
      <c r="B1395" s="918" t="str">
        <f>Clothing!B555</f>
        <v>Wastewater (micro)</v>
      </c>
      <c r="C1395" s="918" t="str">
        <f>Clothing!C555</f>
        <v>any</v>
      </c>
      <c r="D1395" s="918" t="str">
        <f>Clothing!D555</f>
        <v>any</v>
      </c>
      <c r="E1395" s="918">
        <f>Clothing!E555</f>
        <v>0.5</v>
      </c>
      <c r="F1395" s="918">
        <f>Clothing!F555</f>
        <v>2</v>
      </c>
      <c r="G1395" s="918" t="str">
        <f>Clothing!G555</f>
        <v xml:space="preserve">Assumption Kawecki et al. 2019 (SI Table 17) </v>
      </c>
      <c r="H1395" s="931">
        <f>Clothing!H555</f>
        <v>3</v>
      </c>
      <c r="I1395" s="931">
        <f>Clothing!I555</f>
        <v>3</v>
      </c>
      <c r="J1395" s="931">
        <f>Clothing!J555</f>
        <v>3</v>
      </c>
      <c r="K1395" s="931">
        <f>Clothing!K555</f>
        <v>3</v>
      </c>
      <c r="L1395" s="931">
        <f>Clothing!L555</f>
        <v>3</v>
      </c>
      <c r="M1395" s="931">
        <f>Clothing!M555</f>
        <v>3</v>
      </c>
      <c r="N1395" s="186">
        <f t="shared" si="107"/>
        <v>1.2132328390150593</v>
      </c>
      <c r="O1395" s="160">
        <f t="shared" si="108"/>
        <v>1.2132328390150593</v>
      </c>
    </row>
    <row r="1396" spans="1:15" hidden="1">
      <c r="A1396" s="918" t="str">
        <f>Clothing!A556</f>
        <v>Clothing drying CHPTD</v>
      </c>
      <c r="B1396" s="918" t="str">
        <f>Clothing!B556</f>
        <v>Lint filter (CHPTD)</v>
      </c>
      <c r="C1396" s="918" t="str">
        <f>Clothing!C556</f>
        <v>any</v>
      </c>
      <c r="D1396" s="918" t="str">
        <f>Clothing!D556</f>
        <v>any</v>
      </c>
      <c r="E1396" s="918" t="str">
        <f>Clothing!E556</f>
        <v>rest</v>
      </c>
      <c r="F1396" s="918">
        <f>Clothing!F556</f>
        <v>1</v>
      </c>
      <c r="G1396" s="918" t="str">
        <f>Clothing!G556</f>
        <v xml:space="preserve">Assumption Kawecki et al. 2019 (SI Table 17) </v>
      </c>
      <c r="H1396" s="931"/>
      <c r="I1396" s="931"/>
      <c r="J1396" s="931"/>
      <c r="K1396" s="931"/>
      <c r="L1396" s="931"/>
      <c r="M1396" s="931"/>
      <c r="N1396" s="186" t="str">
        <f t="shared" si="107"/>
        <v/>
      </c>
      <c r="O1396" s="160" t="str">
        <f t="shared" si="108"/>
        <v/>
      </c>
    </row>
    <row r="1397" spans="1:15" hidden="1">
      <c r="A1397" s="918" t="str">
        <f>Clothing!A557</f>
        <v>Clothing drying CHETD</v>
      </c>
      <c r="B1397" s="918" t="str">
        <f>Clothing!B557</f>
        <v>Wastewater (micro)</v>
      </c>
      <c r="C1397" s="918" t="str">
        <f>Clothing!C557</f>
        <v>any</v>
      </c>
      <c r="D1397" s="918" t="str">
        <f>Clothing!D557</f>
        <v>any</v>
      </c>
      <c r="E1397" s="918">
        <f>Clothing!E557</f>
        <v>0.5</v>
      </c>
      <c r="F1397" s="918">
        <f>Clothing!F557</f>
        <v>2</v>
      </c>
      <c r="G1397" s="918" t="str">
        <f>Clothing!G557</f>
        <v xml:space="preserve">Assumption Kawecki et al. 2019 (SI Table 17) </v>
      </c>
      <c r="H1397" s="931">
        <f>Clothing!H557</f>
        <v>3</v>
      </c>
      <c r="I1397" s="931">
        <f>Clothing!I557</f>
        <v>3</v>
      </c>
      <c r="J1397" s="931">
        <f>Clothing!J557</f>
        <v>3</v>
      </c>
      <c r="K1397" s="931">
        <f>Clothing!K557</f>
        <v>3</v>
      </c>
      <c r="L1397" s="931">
        <f>Clothing!L557</f>
        <v>3</v>
      </c>
      <c r="M1397" s="931">
        <f>Clothing!M557</f>
        <v>3</v>
      </c>
      <c r="N1397" s="186">
        <f t="shared" si="107"/>
        <v>1.2132328390150593</v>
      </c>
      <c r="O1397" s="160">
        <f t="shared" si="108"/>
        <v>1.2132328390150593</v>
      </c>
    </row>
    <row r="1398" spans="1:15" hidden="1">
      <c r="A1398" s="918" t="str">
        <f>Clothing!A558</f>
        <v>Clothing drying CHETD</v>
      </c>
      <c r="B1398" s="918" t="str">
        <f>Clothing!B558</f>
        <v>Lint filter (CHETD)</v>
      </c>
      <c r="C1398" s="918" t="str">
        <f>Clothing!C558</f>
        <v>any</v>
      </c>
      <c r="D1398" s="918" t="str">
        <f>Clothing!D558</f>
        <v>any</v>
      </c>
      <c r="E1398" s="918" t="str">
        <f>Clothing!E558</f>
        <v>rest</v>
      </c>
      <c r="F1398" s="918">
        <f>Clothing!F558</f>
        <v>1</v>
      </c>
      <c r="G1398" s="918" t="str">
        <f>Clothing!G558</f>
        <v xml:space="preserve">Assumption Kawecki et al. 2019 (SI Table 17) </v>
      </c>
      <c r="H1398" s="931"/>
      <c r="I1398" s="931"/>
      <c r="J1398" s="931"/>
      <c r="K1398" s="931"/>
      <c r="L1398" s="931"/>
      <c r="M1398" s="931"/>
      <c r="N1398" s="186" t="str">
        <f t="shared" si="107"/>
        <v/>
      </c>
      <c r="O1398" s="160" t="str">
        <f t="shared" si="108"/>
        <v/>
      </c>
    </row>
    <row r="1399" spans="1:15" hidden="1">
      <c r="A1399" s="918" t="str">
        <f>Clothing!A559</f>
        <v>Clothing washer-dryer combo</v>
      </c>
      <c r="B1399" s="918" t="str">
        <f>Clothing!B559</f>
        <v>Wastewater (micro)</v>
      </c>
      <c r="C1399" s="918" t="str">
        <f>Clothing!C559</f>
        <v>any</v>
      </c>
      <c r="D1399" s="918" t="str">
        <f>Clothing!D559</f>
        <v>any</v>
      </c>
      <c r="E1399" s="918">
        <f>Clothing!E559</f>
        <v>1</v>
      </c>
      <c r="F1399" s="918">
        <f>Clothing!F559</f>
        <v>1</v>
      </c>
      <c r="G1399" s="918">
        <f>Clothing!G559</f>
        <v>0</v>
      </c>
      <c r="H1399" s="931"/>
      <c r="I1399" s="931"/>
      <c r="J1399" s="931"/>
      <c r="K1399" s="931"/>
      <c r="L1399" s="931"/>
      <c r="M1399" s="931"/>
      <c r="N1399" s="186" t="str">
        <f t="shared" si="107"/>
        <v/>
      </c>
      <c r="O1399" s="160" t="str">
        <f t="shared" si="108"/>
        <v/>
      </c>
    </row>
    <row r="1400" spans="1:15" hidden="1">
      <c r="A1400" s="918" t="str">
        <f>Clothing!A560</f>
        <v>Lint filter (VTD)</v>
      </c>
      <c r="B1400" s="918" t="str">
        <f>Clothing!B560</f>
        <v>Clean lint filter by hand</v>
      </c>
      <c r="C1400" s="918" t="str">
        <f>Clothing!C560</f>
        <v>any</v>
      </c>
      <c r="D1400" s="918" t="str">
        <f>Clothing!D560</f>
        <v>any</v>
      </c>
      <c r="E1400" s="918">
        <f>Clothing!E560</f>
        <v>0.625</v>
      </c>
      <c r="F1400" s="918">
        <f>Clothing!F560</f>
        <v>2</v>
      </c>
      <c r="G1400" s="918" t="str">
        <f>Clothing!G560</f>
        <v>Based on data from Cummins et al. (2023)</v>
      </c>
      <c r="H1400" s="931">
        <f>Clothing!H560</f>
        <v>2</v>
      </c>
      <c r="I1400" s="931">
        <f>Clothing!I560</f>
        <v>2</v>
      </c>
      <c r="J1400" s="931">
        <f>Clothing!J560</f>
        <v>1</v>
      </c>
      <c r="K1400" s="931">
        <f>Clothing!K560</f>
        <v>1</v>
      </c>
      <c r="L1400" s="931">
        <f>Clothing!L560</f>
        <v>1</v>
      </c>
      <c r="M1400" s="931">
        <f>Clothing!M560</f>
        <v>1</v>
      </c>
      <c r="N1400" s="186">
        <f t="shared" si="107"/>
        <v>0.16933510251023262</v>
      </c>
      <c r="O1400" s="160">
        <f t="shared" si="108"/>
        <v>0.16933510251023262</v>
      </c>
    </row>
    <row r="1401" spans="1:15" hidden="1">
      <c r="A1401" s="918" t="str">
        <f>Clothing!A561</f>
        <v>Lint filter (VTD)</v>
      </c>
      <c r="B1401" s="918" t="str">
        <f>Clothing!B561</f>
        <v>Clean lint filter under running water</v>
      </c>
      <c r="C1401" s="918" t="str">
        <f>Clothing!C561</f>
        <v>any</v>
      </c>
      <c r="D1401" s="918" t="str">
        <f>Clothing!D561</f>
        <v>any</v>
      </c>
      <c r="E1401" s="918" t="str">
        <f>Clothing!E561</f>
        <v>rest</v>
      </c>
      <c r="F1401" s="918">
        <f>Clothing!F561</f>
        <v>1</v>
      </c>
      <c r="G1401" s="918">
        <f>Clothing!G561</f>
        <v>0</v>
      </c>
      <c r="H1401" s="931"/>
      <c r="I1401" s="931"/>
      <c r="J1401" s="931"/>
      <c r="K1401" s="931"/>
      <c r="L1401" s="931"/>
      <c r="M1401" s="931"/>
      <c r="N1401" s="186" t="str">
        <f t="shared" si="107"/>
        <v/>
      </c>
      <c r="O1401" s="160" t="str">
        <f t="shared" si="108"/>
        <v/>
      </c>
    </row>
    <row r="1402" spans="1:15" hidden="1">
      <c r="A1402" s="918" t="str">
        <f>Clothing!A562</f>
        <v>Lint filter (CHPTD)</v>
      </c>
      <c r="B1402" s="918" t="str">
        <f>Clothing!B562</f>
        <v>Clean lint filter by hand</v>
      </c>
      <c r="C1402" s="918" t="str">
        <f>Clothing!C562</f>
        <v>any</v>
      </c>
      <c r="D1402" s="918" t="str">
        <f>Clothing!D562</f>
        <v>any</v>
      </c>
      <c r="E1402" s="918">
        <f>Clothing!E562</f>
        <v>0.83</v>
      </c>
      <c r="F1402" s="918">
        <f>Clothing!F562</f>
        <v>2</v>
      </c>
      <c r="G1402" s="918" t="str">
        <f>Clothing!G562</f>
        <v>Based on data from Cummins et al. (2023)</v>
      </c>
      <c r="H1402" s="931">
        <f>Clothing!H562</f>
        <v>2</v>
      </c>
      <c r="I1402" s="931">
        <f>Clothing!I562</f>
        <v>2</v>
      </c>
      <c r="J1402" s="931">
        <f>Clothing!J562</f>
        <v>1</v>
      </c>
      <c r="K1402" s="931">
        <f>Clothing!K562</f>
        <v>1</v>
      </c>
      <c r="L1402" s="931">
        <f>Clothing!L562</f>
        <v>1</v>
      </c>
      <c r="M1402" s="931">
        <f>Clothing!M562</f>
        <v>1</v>
      </c>
      <c r="N1402" s="186">
        <f t="shared" si="107"/>
        <v>0.16933510251023262</v>
      </c>
      <c r="O1402" s="160">
        <f t="shared" si="108"/>
        <v>0.16933510251023262</v>
      </c>
    </row>
    <row r="1403" spans="1:15" hidden="1">
      <c r="A1403" s="918" t="str">
        <f>Clothing!A563</f>
        <v>Lint filter (CHPTD)</v>
      </c>
      <c r="B1403" s="918" t="str">
        <f>Clothing!B563</f>
        <v>Clean lint filter under running water</v>
      </c>
      <c r="C1403" s="918" t="str">
        <f>Clothing!C563</f>
        <v>any</v>
      </c>
      <c r="D1403" s="918" t="str">
        <f>Clothing!D563</f>
        <v>any</v>
      </c>
      <c r="E1403" s="918" t="str">
        <f>Clothing!E563</f>
        <v>rest</v>
      </c>
      <c r="F1403" s="918">
        <f>Clothing!F563</f>
        <v>1</v>
      </c>
      <c r="G1403" s="918">
        <f>Clothing!G563</f>
        <v>0</v>
      </c>
      <c r="H1403" s="931"/>
      <c r="I1403" s="931"/>
      <c r="J1403" s="931"/>
      <c r="K1403" s="931"/>
      <c r="L1403" s="931"/>
      <c r="M1403" s="931"/>
      <c r="N1403" s="186" t="str">
        <f t="shared" si="107"/>
        <v/>
      </c>
      <c r="O1403" s="160" t="str">
        <f t="shared" si="108"/>
        <v/>
      </c>
    </row>
    <row r="1404" spans="1:15" hidden="1">
      <c r="A1404" s="918" t="str">
        <f>Clothing!A564</f>
        <v>Lint filter (CHETD)</v>
      </c>
      <c r="B1404" s="918" t="str">
        <f>Clothing!B564</f>
        <v>Clean lint filter by hand</v>
      </c>
      <c r="C1404" s="918" t="str">
        <f>Clothing!C564</f>
        <v>any</v>
      </c>
      <c r="D1404" s="918" t="str">
        <f>Clothing!D564</f>
        <v>any</v>
      </c>
      <c r="E1404" s="918">
        <f>Clothing!E564</f>
        <v>0.67</v>
      </c>
      <c r="F1404" s="918">
        <f>Clothing!F564</f>
        <v>2</v>
      </c>
      <c r="G1404" s="918" t="str">
        <f>Clothing!G564</f>
        <v>Based on data from Cummins et al. (2023)</v>
      </c>
      <c r="H1404" s="931">
        <f>Clothing!H564</f>
        <v>2</v>
      </c>
      <c r="I1404" s="931">
        <f>Clothing!I564</f>
        <v>2</v>
      </c>
      <c r="J1404" s="931">
        <f>Clothing!J564</f>
        <v>1</v>
      </c>
      <c r="K1404" s="931">
        <f>Clothing!K564</f>
        <v>1</v>
      </c>
      <c r="L1404" s="931">
        <f>Clothing!L564</f>
        <v>1</v>
      </c>
      <c r="M1404" s="931">
        <f>Clothing!M564</f>
        <v>1</v>
      </c>
      <c r="N1404" s="186">
        <f t="shared" si="107"/>
        <v>0.16933510251023262</v>
      </c>
      <c r="O1404" s="160">
        <f t="shared" si="108"/>
        <v>0.16933510251023262</v>
      </c>
    </row>
    <row r="1405" spans="1:15" hidden="1">
      <c r="A1405" s="918" t="str">
        <f>Clothing!A565</f>
        <v>Lint filter (CHETD)</v>
      </c>
      <c r="B1405" s="918" t="str">
        <f>Clothing!B565</f>
        <v>Clean lint filter under running water</v>
      </c>
      <c r="C1405" s="918" t="str">
        <f>Clothing!C565</f>
        <v>any</v>
      </c>
      <c r="D1405" s="918" t="str">
        <f>Clothing!D565</f>
        <v>any</v>
      </c>
      <c r="E1405" s="918" t="str">
        <f>Clothing!E565</f>
        <v>rest</v>
      </c>
      <c r="F1405" s="918">
        <f>Clothing!F565</f>
        <v>1</v>
      </c>
      <c r="G1405" s="918">
        <f>Clothing!G565</f>
        <v>0</v>
      </c>
      <c r="H1405" s="931"/>
      <c r="I1405" s="931"/>
      <c r="J1405" s="931"/>
      <c r="K1405" s="931"/>
      <c r="L1405" s="931"/>
      <c r="M1405" s="931"/>
      <c r="N1405" s="186" t="str">
        <f t="shared" si="107"/>
        <v/>
      </c>
      <c r="O1405" s="160" t="str">
        <f t="shared" si="108"/>
        <v/>
      </c>
    </row>
    <row r="1406" spans="1:15" hidden="1">
      <c r="A1406" s="918" t="str">
        <f>Clothing!A566</f>
        <v>Clean lint filter by hand</v>
      </c>
      <c r="B1406" s="918" t="str">
        <f>Clothing!B566</f>
        <v>Indoor air (micro)</v>
      </c>
      <c r="C1406" s="918" t="str">
        <f>Clothing!C566</f>
        <v>any</v>
      </c>
      <c r="D1406" s="918" t="str">
        <f>Clothing!D566</f>
        <v>any</v>
      </c>
      <c r="E1406" s="918">
        <f>Clothing!E566</f>
        <v>0.01</v>
      </c>
      <c r="F1406" s="918">
        <f>Clothing!F566</f>
        <v>2</v>
      </c>
      <c r="G1406" s="918" t="str">
        <f>Clothing!G566</f>
        <v>Kawecki &amp; Nowack (2019)</v>
      </c>
      <c r="H1406" s="931">
        <f>Clothing!H566</f>
        <v>3</v>
      </c>
      <c r="I1406" s="931">
        <f>Clothing!I566</f>
        <v>3</v>
      </c>
      <c r="J1406" s="931">
        <f>Clothing!J566</f>
        <v>3</v>
      </c>
      <c r="K1406" s="931">
        <f>Clothing!K566</f>
        <v>3</v>
      </c>
      <c r="L1406" s="931">
        <f>Clothing!L566</f>
        <v>3</v>
      </c>
      <c r="M1406" s="931">
        <f>Clothing!M566</f>
        <v>3</v>
      </c>
      <c r="N1406" s="186">
        <f t="shared" si="107"/>
        <v>1.2132328390150593</v>
      </c>
      <c r="O1406" s="160">
        <f t="shared" si="108"/>
        <v>1.2132328390150593</v>
      </c>
    </row>
    <row r="1407" spans="1:15" hidden="1">
      <c r="A1407" s="918" t="str">
        <f>Clothing!A567</f>
        <v>Clean lint filter by hand</v>
      </c>
      <c r="B1407" s="918" t="str">
        <f>Clothing!B567</f>
        <v>Mixed waste collection</v>
      </c>
      <c r="C1407" s="918" t="str">
        <f>Clothing!C567</f>
        <v>any</v>
      </c>
      <c r="D1407" s="918" t="str">
        <f>Clothing!D567</f>
        <v>any</v>
      </c>
      <c r="E1407" s="918" t="str">
        <f>Clothing!E567</f>
        <v>rest</v>
      </c>
      <c r="F1407" s="918">
        <f>Clothing!F567</f>
        <v>1</v>
      </c>
      <c r="G1407" s="918">
        <f>Clothing!G567</f>
        <v>0</v>
      </c>
      <c r="H1407" s="931"/>
      <c r="I1407" s="931"/>
      <c r="J1407" s="931"/>
      <c r="K1407" s="931"/>
      <c r="L1407" s="931"/>
      <c r="M1407" s="931"/>
      <c r="N1407" s="186" t="str">
        <f t="shared" si="107"/>
        <v/>
      </c>
      <c r="O1407" s="160" t="str">
        <f t="shared" si="108"/>
        <v/>
      </c>
    </row>
    <row r="1408" spans="1:15" hidden="1">
      <c r="A1408" s="918" t="str">
        <f>Clothing!A568</f>
        <v>Clean lint filter under running water</v>
      </c>
      <c r="B1408" s="918" t="str">
        <f>Clothing!B568</f>
        <v>Indoor air (micro)</v>
      </c>
      <c r="C1408" s="918" t="str">
        <f>Clothing!C568</f>
        <v>any</v>
      </c>
      <c r="D1408" s="918" t="str">
        <f>Clothing!D568</f>
        <v>any</v>
      </c>
      <c r="E1408" s="918">
        <f>Clothing!E568</f>
        <v>0.01</v>
      </c>
      <c r="F1408" s="918">
        <f>Clothing!F568</f>
        <v>2</v>
      </c>
      <c r="G1408" s="918" t="str">
        <f>Clothing!G568</f>
        <v>Kawecki &amp; Nowack (2019)</v>
      </c>
      <c r="H1408" s="931">
        <f>Clothing!H568</f>
        <v>3</v>
      </c>
      <c r="I1408" s="931">
        <f>Clothing!I568</f>
        <v>3</v>
      </c>
      <c r="J1408" s="931">
        <f>Clothing!J568</f>
        <v>3</v>
      </c>
      <c r="K1408" s="931">
        <f>Clothing!K568</f>
        <v>3</v>
      </c>
      <c r="L1408" s="931">
        <f>Clothing!L568</f>
        <v>3</v>
      </c>
      <c r="M1408" s="931">
        <f>Clothing!M568</f>
        <v>3</v>
      </c>
      <c r="N1408" s="186">
        <f t="shared" si="107"/>
        <v>1.2132328390150593</v>
      </c>
      <c r="O1408" s="160">
        <f t="shared" si="108"/>
        <v>1.2132328390150593</v>
      </c>
    </row>
    <row r="1409" spans="1:868" s="211" customFormat="1" ht="15.75" hidden="1" thickBot="1">
      <c r="A1409" s="933" t="str">
        <f>Clothing!A569</f>
        <v>Clean lint filter under running water</v>
      </c>
      <c r="B1409" s="933" t="str">
        <f>Clothing!B569</f>
        <v>Wastewater (micro)</v>
      </c>
      <c r="C1409" s="933" t="str">
        <f>Clothing!C569</f>
        <v>any</v>
      </c>
      <c r="D1409" s="933" t="str">
        <f>Clothing!D569</f>
        <v>any</v>
      </c>
      <c r="E1409" s="933" t="str">
        <f>Clothing!E569</f>
        <v>rest</v>
      </c>
      <c r="F1409" s="933">
        <f>Clothing!F569</f>
        <v>1</v>
      </c>
      <c r="G1409" s="933">
        <f>Clothing!G569</f>
        <v>0</v>
      </c>
      <c r="H1409" s="979"/>
      <c r="I1409" s="979"/>
      <c r="J1409" s="979"/>
      <c r="K1409" s="979"/>
      <c r="L1409" s="979"/>
      <c r="M1409" s="979"/>
      <c r="N1409" s="935" t="str">
        <f>IF( OR( ISBLANK(H1409),ISBLANK(J1409), ISBLANK(K1409), ISBLANK(L1409), ISBLANK(M1409) ), "", 1.5*SQRT(   EXP(2.21*(H1409-1)) + EXP(2.21*(J1409-1)) + EXP(2.21*(K1409-1)) + EXP(2.21*(L1409-1)) + EXP(2.21*M1409)   )/100*2.45 )</f>
        <v/>
      </c>
      <c r="O1409" s="161" t="str">
        <f>IF( OR( ISBLANK(I1409),ISBLANK(J1409), ISBLANK(K1409), ISBLANK(L1409), ISBLANK(M1409) ), "", 1.5*SQRT( EXP(2.21*(I1409-1)) + EXP(2.21*(J1409-1)) + EXP(2.21*(K1409-1)) + EXP(2.21*(L1409-1)) + EXP(2.21*M1409)   )/100*2.45 )</f>
        <v/>
      </c>
      <c r="P1409" s="980"/>
      <c r="Q1409" s="981"/>
      <c r="R1409" s="981"/>
      <c r="S1409" s="981"/>
      <c r="T1409" s="981"/>
      <c r="U1409" s="981"/>
      <c r="V1409" s="981"/>
      <c r="W1409" s="981"/>
      <c r="X1409" s="981"/>
      <c r="Y1409" s="981"/>
      <c r="Z1409" s="981"/>
      <c r="AA1409" s="981"/>
      <c r="AB1409" s="981"/>
      <c r="AC1409" s="981"/>
      <c r="AD1409" s="981"/>
      <c r="AE1409" s="981"/>
      <c r="AF1409" s="981"/>
      <c r="AG1409" s="981"/>
      <c r="AH1409" s="981"/>
      <c r="AI1409" s="981"/>
      <c r="AJ1409" s="981"/>
      <c r="AK1409" s="981"/>
      <c r="AL1409" s="981"/>
      <c r="AM1409" s="981"/>
      <c r="AN1409" s="981"/>
      <c r="AO1409" s="981"/>
      <c r="AP1409" s="981"/>
      <c r="AQ1409" s="981"/>
      <c r="AR1409" s="981"/>
      <c r="AS1409" s="981"/>
      <c r="AT1409" s="981"/>
      <c r="AU1409" s="981"/>
      <c r="AV1409" s="981"/>
      <c r="AW1409" s="981"/>
      <c r="AX1409" s="981"/>
      <c r="AY1409" s="981"/>
      <c r="AZ1409" s="981"/>
      <c r="BA1409" s="981"/>
      <c r="BB1409" s="981"/>
      <c r="BC1409" s="981"/>
      <c r="BD1409" s="981"/>
      <c r="BE1409" s="981"/>
      <c r="BF1409" s="981"/>
      <c r="BG1409" s="981"/>
      <c r="BH1409" s="981"/>
      <c r="BI1409" s="981"/>
      <c r="BJ1409" s="981"/>
      <c r="BK1409" s="981"/>
      <c r="BL1409" s="981"/>
      <c r="BM1409" s="981"/>
      <c r="BN1409" s="981"/>
      <c r="BO1409" s="981"/>
      <c r="BP1409" s="981"/>
      <c r="BQ1409" s="981"/>
      <c r="BR1409" s="981"/>
      <c r="BS1409" s="981"/>
      <c r="BT1409" s="981"/>
      <c r="BU1409" s="981"/>
      <c r="BV1409" s="981"/>
      <c r="BW1409" s="981"/>
      <c r="BX1409" s="981"/>
      <c r="BY1409" s="981"/>
      <c r="BZ1409" s="981"/>
      <c r="CA1409" s="981"/>
      <c r="CB1409" s="981"/>
      <c r="CC1409" s="981"/>
      <c r="CD1409" s="981"/>
      <c r="CE1409" s="981"/>
      <c r="CF1409" s="981"/>
      <c r="CG1409" s="981"/>
      <c r="CH1409" s="981"/>
      <c r="CI1409" s="981"/>
      <c r="CJ1409" s="981"/>
      <c r="CK1409" s="981"/>
      <c r="CL1409" s="981"/>
      <c r="CM1409" s="981"/>
      <c r="CN1409" s="981"/>
      <c r="CO1409" s="981"/>
      <c r="CP1409" s="981"/>
      <c r="CQ1409" s="981"/>
      <c r="CR1409" s="981"/>
      <c r="CS1409" s="981"/>
      <c r="CT1409" s="981"/>
      <c r="CU1409" s="981"/>
      <c r="CV1409" s="981"/>
      <c r="CW1409" s="981"/>
      <c r="CX1409" s="981"/>
      <c r="CY1409" s="981"/>
      <c r="CZ1409" s="981"/>
      <c r="DA1409" s="981"/>
      <c r="DB1409" s="981"/>
      <c r="DC1409" s="981"/>
      <c r="DD1409" s="981"/>
      <c r="DE1409" s="981"/>
      <c r="DF1409" s="981"/>
      <c r="DG1409" s="981"/>
      <c r="DH1409" s="981"/>
      <c r="DI1409" s="981"/>
      <c r="DJ1409" s="981"/>
      <c r="DK1409" s="981"/>
      <c r="DL1409" s="981"/>
      <c r="DM1409" s="981"/>
      <c r="DN1409" s="981"/>
      <c r="DO1409" s="981"/>
      <c r="DP1409" s="981"/>
      <c r="DQ1409" s="981"/>
      <c r="DR1409" s="981"/>
      <c r="DS1409" s="981"/>
      <c r="DT1409" s="981"/>
      <c r="DU1409" s="981"/>
      <c r="DV1409" s="981"/>
      <c r="DW1409" s="981"/>
      <c r="DX1409" s="981"/>
      <c r="DY1409" s="981"/>
      <c r="DZ1409" s="981"/>
      <c r="EA1409" s="981"/>
      <c r="EB1409" s="981"/>
      <c r="EC1409" s="981"/>
      <c r="ED1409" s="981"/>
      <c r="EE1409" s="981"/>
      <c r="EF1409" s="981"/>
      <c r="EG1409" s="981"/>
      <c r="EH1409" s="981"/>
      <c r="EI1409" s="981"/>
      <c r="EJ1409" s="981"/>
      <c r="EK1409" s="981"/>
      <c r="EL1409" s="981"/>
      <c r="EM1409" s="981"/>
      <c r="EN1409" s="981"/>
      <c r="EO1409" s="981"/>
      <c r="EP1409" s="981"/>
      <c r="EQ1409" s="981"/>
      <c r="ER1409" s="981"/>
      <c r="ES1409" s="981"/>
      <c r="ET1409" s="981"/>
      <c r="EU1409" s="981"/>
      <c r="EV1409" s="981"/>
      <c r="EW1409" s="981"/>
      <c r="EX1409" s="981"/>
      <c r="EY1409" s="981"/>
      <c r="EZ1409" s="981"/>
      <c r="FA1409" s="981"/>
      <c r="FB1409" s="981"/>
      <c r="FC1409" s="981"/>
      <c r="FD1409" s="981"/>
      <c r="FE1409" s="981"/>
      <c r="FF1409" s="981"/>
      <c r="FG1409" s="981"/>
      <c r="FH1409" s="981"/>
      <c r="FI1409" s="981"/>
      <c r="FJ1409" s="981"/>
      <c r="FK1409" s="981"/>
      <c r="FL1409" s="981"/>
      <c r="FM1409" s="981"/>
      <c r="FN1409" s="981"/>
      <c r="FO1409" s="981"/>
      <c r="FP1409" s="981"/>
      <c r="FQ1409" s="981"/>
      <c r="FR1409" s="981"/>
      <c r="FS1409" s="981"/>
      <c r="FT1409" s="981"/>
      <c r="FU1409" s="981"/>
      <c r="FV1409" s="981"/>
      <c r="FW1409" s="981"/>
      <c r="FX1409" s="981"/>
      <c r="FY1409" s="981"/>
      <c r="FZ1409" s="981"/>
      <c r="GA1409" s="981"/>
      <c r="GB1409" s="981"/>
      <c r="GC1409" s="981"/>
      <c r="GD1409" s="981"/>
      <c r="GE1409" s="981"/>
      <c r="GF1409" s="981"/>
      <c r="GG1409" s="981"/>
      <c r="GH1409" s="981"/>
      <c r="GI1409" s="981"/>
      <c r="GJ1409" s="981"/>
      <c r="GK1409" s="981"/>
      <c r="GL1409" s="981"/>
      <c r="GM1409" s="981"/>
      <c r="GN1409" s="981"/>
      <c r="GO1409" s="981"/>
      <c r="GP1409" s="981"/>
      <c r="GQ1409" s="981"/>
      <c r="GR1409" s="981"/>
      <c r="GS1409" s="981"/>
      <c r="GT1409" s="981"/>
      <c r="GU1409" s="981"/>
      <c r="GV1409" s="981"/>
      <c r="GW1409" s="981"/>
      <c r="GX1409" s="981"/>
      <c r="GY1409" s="981"/>
      <c r="GZ1409" s="981"/>
      <c r="HA1409" s="981"/>
      <c r="HB1409" s="981"/>
      <c r="HC1409" s="981"/>
      <c r="HD1409" s="981"/>
      <c r="HE1409" s="981"/>
      <c r="HF1409" s="981"/>
      <c r="HG1409" s="981"/>
      <c r="HH1409" s="981"/>
      <c r="HI1409" s="981"/>
      <c r="HJ1409" s="981"/>
      <c r="HK1409" s="981"/>
      <c r="HL1409" s="981"/>
      <c r="HM1409" s="981"/>
      <c r="HN1409" s="981"/>
      <c r="HO1409" s="981"/>
      <c r="HP1409" s="981"/>
      <c r="HQ1409" s="981"/>
      <c r="HR1409" s="981"/>
      <c r="HS1409" s="981"/>
      <c r="HT1409" s="981"/>
      <c r="HU1409" s="981"/>
      <c r="HV1409" s="981"/>
      <c r="HW1409" s="981"/>
      <c r="HX1409" s="981"/>
      <c r="HY1409" s="981"/>
      <c r="HZ1409" s="981"/>
      <c r="IA1409" s="981"/>
      <c r="IB1409" s="981"/>
      <c r="IC1409" s="981"/>
      <c r="ID1409" s="981"/>
      <c r="IE1409" s="981"/>
      <c r="IF1409" s="981"/>
      <c r="IG1409" s="981"/>
      <c r="IH1409" s="981"/>
      <c r="II1409" s="981"/>
      <c r="IJ1409" s="981"/>
      <c r="IK1409" s="981"/>
      <c r="IL1409" s="981"/>
      <c r="IM1409" s="981"/>
      <c r="IN1409" s="981"/>
      <c r="IO1409" s="981"/>
      <c r="IP1409" s="981"/>
      <c r="IQ1409" s="981"/>
      <c r="IR1409" s="981"/>
      <c r="IS1409" s="981"/>
      <c r="IT1409" s="981"/>
      <c r="IU1409" s="981"/>
      <c r="IV1409" s="981"/>
      <c r="IW1409" s="981"/>
      <c r="IX1409" s="981"/>
      <c r="IY1409" s="981"/>
      <c r="IZ1409" s="981"/>
      <c r="JA1409" s="981"/>
      <c r="JB1409" s="981"/>
      <c r="JC1409" s="981"/>
      <c r="JD1409" s="981"/>
      <c r="JE1409" s="981"/>
      <c r="JF1409" s="981"/>
      <c r="JG1409" s="981"/>
      <c r="JH1409" s="981"/>
      <c r="JI1409" s="981"/>
      <c r="JJ1409" s="981"/>
      <c r="JK1409" s="981"/>
      <c r="JL1409" s="981"/>
      <c r="JM1409" s="981"/>
      <c r="JN1409" s="981"/>
      <c r="JO1409" s="981"/>
      <c r="JP1409" s="981"/>
      <c r="JQ1409" s="981"/>
      <c r="JR1409" s="981"/>
      <c r="JS1409" s="981"/>
      <c r="JT1409" s="981"/>
      <c r="JU1409" s="981"/>
      <c r="JV1409" s="981"/>
      <c r="JW1409" s="981"/>
      <c r="JX1409" s="981"/>
      <c r="JY1409" s="981"/>
      <c r="JZ1409" s="981"/>
      <c r="KA1409" s="981"/>
      <c r="KB1409" s="981"/>
      <c r="KC1409" s="981"/>
      <c r="KD1409" s="981"/>
      <c r="KE1409" s="981"/>
      <c r="KF1409" s="981"/>
      <c r="KG1409" s="981"/>
      <c r="KH1409" s="981"/>
      <c r="KI1409" s="981"/>
      <c r="KJ1409" s="981"/>
      <c r="KK1409" s="981"/>
      <c r="KL1409" s="981"/>
      <c r="KM1409" s="981"/>
      <c r="KN1409" s="981"/>
      <c r="KO1409" s="981"/>
      <c r="KP1409" s="981"/>
      <c r="KQ1409" s="981"/>
      <c r="KR1409" s="981"/>
      <c r="KS1409" s="981"/>
      <c r="KT1409" s="981"/>
      <c r="KU1409" s="981"/>
      <c r="KV1409" s="981"/>
      <c r="KW1409" s="981"/>
      <c r="KX1409" s="981"/>
      <c r="KY1409" s="981"/>
      <c r="KZ1409" s="981"/>
      <c r="LA1409" s="981"/>
      <c r="LB1409" s="981"/>
      <c r="LC1409" s="981"/>
      <c r="LD1409" s="981"/>
      <c r="LE1409" s="981"/>
      <c r="LF1409" s="981"/>
      <c r="LG1409" s="981"/>
      <c r="LH1409" s="981"/>
      <c r="LI1409" s="981"/>
      <c r="LJ1409" s="981"/>
      <c r="LK1409" s="981"/>
      <c r="LL1409" s="981"/>
      <c r="LM1409" s="981"/>
      <c r="LN1409" s="981"/>
      <c r="LO1409" s="981"/>
      <c r="LP1409" s="981"/>
      <c r="LQ1409" s="981"/>
      <c r="LR1409" s="981"/>
      <c r="LS1409" s="981"/>
      <c r="LT1409" s="981"/>
      <c r="LU1409" s="981"/>
      <c r="LV1409" s="981"/>
      <c r="LW1409" s="981"/>
      <c r="LX1409" s="981"/>
      <c r="LY1409" s="981"/>
      <c r="LZ1409" s="981"/>
      <c r="MA1409" s="981"/>
      <c r="MB1409" s="981"/>
      <c r="MC1409" s="981"/>
      <c r="MD1409" s="981"/>
      <c r="ME1409" s="981"/>
      <c r="MF1409" s="981"/>
      <c r="MG1409" s="981"/>
      <c r="MH1409" s="981"/>
      <c r="MI1409" s="981"/>
      <c r="MJ1409" s="981"/>
      <c r="MK1409" s="981"/>
      <c r="ML1409" s="981"/>
      <c r="MM1409" s="981"/>
      <c r="MN1409" s="981"/>
      <c r="MO1409" s="981"/>
      <c r="MP1409" s="981"/>
      <c r="MQ1409" s="981"/>
      <c r="MR1409" s="981"/>
      <c r="MS1409" s="981"/>
      <c r="MT1409" s="981"/>
      <c r="MU1409" s="981"/>
      <c r="MV1409" s="981"/>
      <c r="MW1409" s="981"/>
      <c r="MX1409" s="981"/>
      <c r="MY1409" s="981"/>
      <c r="MZ1409" s="981"/>
      <c r="NA1409" s="981"/>
      <c r="NB1409" s="981"/>
      <c r="NC1409" s="981"/>
      <c r="ND1409" s="981"/>
      <c r="NE1409" s="981"/>
      <c r="NF1409" s="981"/>
      <c r="NG1409" s="981"/>
      <c r="NH1409" s="981"/>
      <c r="NI1409" s="981"/>
      <c r="NJ1409" s="981"/>
      <c r="NK1409" s="981"/>
      <c r="NL1409" s="981"/>
      <c r="NM1409" s="981"/>
      <c r="NN1409" s="981"/>
      <c r="NO1409" s="981"/>
      <c r="NP1409" s="981"/>
      <c r="NQ1409" s="981"/>
      <c r="NR1409" s="981"/>
      <c r="NS1409" s="981"/>
      <c r="NT1409" s="981"/>
      <c r="NU1409" s="981"/>
      <c r="NV1409" s="981"/>
      <c r="NW1409" s="981"/>
      <c r="NX1409" s="981"/>
      <c r="NY1409" s="981"/>
      <c r="NZ1409" s="981"/>
      <c r="OA1409" s="981"/>
      <c r="OB1409" s="981"/>
      <c r="OC1409" s="981"/>
      <c r="OD1409" s="981"/>
      <c r="OE1409" s="981"/>
      <c r="OF1409" s="981"/>
      <c r="OG1409" s="981"/>
      <c r="OH1409" s="981"/>
      <c r="OI1409" s="981"/>
      <c r="OJ1409" s="981"/>
      <c r="OK1409" s="981"/>
      <c r="OL1409" s="981"/>
      <c r="OM1409" s="981"/>
      <c r="ON1409" s="981"/>
      <c r="OO1409" s="981"/>
      <c r="OP1409" s="981"/>
      <c r="OQ1409" s="981"/>
      <c r="OR1409" s="981"/>
      <c r="OS1409" s="981"/>
      <c r="OT1409" s="981"/>
      <c r="OU1409" s="981"/>
      <c r="OV1409" s="981"/>
      <c r="OW1409" s="981"/>
      <c r="OX1409" s="981"/>
      <c r="OY1409" s="981"/>
      <c r="OZ1409" s="981"/>
      <c r="PA1409" s="981"/>
      <c r="PB1409" s="981"/>
      <c r="PC1409" s="981"/>
      <c r="PD1409" s="981"/>
      <c r="PE1409" s="981"/>
      <c r="PF1409" s="981"/>
      <c r="PG1409" s="981"/>
      <c r="PH1409" s="981"/>
      <c r="PI1409" s="981"/>
      <c r="PJ1409" s="981"/>
      <c r="PK1409" s="981"/>
      <c r="PL1409" s="981"/>
      <c r="PM1409" s="981"/>
      <c r="PN1409" s="981"/>
      <c r="PO1409" s="981"/>
      <c r="PP1409" s="981"/>
      <c r="PQ1409" s="981"/>
      <c r="PR1409" s="981"/>
      <c r="PS1409" s="981"/>
      <c r="PT1409" s="981"/>
      <c r="PU1409" s="981"/>
      <c r="PV1409" s="981"/>
      <c r="PW1409" s="981"/>
      <c r="PX1409" s="981"/>
      <c r="PY1409" s="981"/>
      <c r="PZ1409" s="981"/>
      <c r="QA1409" s="981"/>
      <c r="QB1409" s="981"/>
      <c r="QC1409" s="981"/>
      <c r="QD1409" s="981"/>
      <c r="QE1409" s="981"/>
      <c r="QF1409" s="981"/>
      <c r="QG1409" s="981"/>
      <c r="QH1409" s="981"/>
      <c r="QI1409" s="981"/>
      <c r="QJ1409" s="981"/>
      <c r="QK1409" s="981"/>
      <c r="QL1409" s="981"/>
      <c r="QM1409" s="981"/>
      <c r="QN1409" s="981"/>
      <c r="QO1409" s="981"/>
      <c r="QP1409" s="981"/>
      <c r="QQ1409" s="981"/>
      <c r="QR1409" s="981"/>
      <c r="QS1409" s="981"/>
      <c r="QT1409" s="981"/>
      <c r="QU1409" s="981"/>
      <c r="QV1409" s="981"/>
      <c r="QW1409" s="981"/>
      <c r="QX1409" s="981"/>
      <c r="QY1409" s="981"/>
      <c r="QZ1409" s="981"/>
      <c r="RA1409" s="981"/>
      <c r="RB1409" s="981"/>
      <c r="RC1409" s="981"/>
      <c r="RD1409" s="981"/>
      <c r="RE1409" s="981"/>
      <c r="RF1409" s="981"/>
      <c r="RG1409" s="981"/>
      <c r="RH1409" s="981"/>
      <c r="RI1409" s="981"/>
      <c r="RJ1409" s="981"/>
      <c r="RK1409" s="981"/>
      <c r="RL1409" s="981"/>
      <c r="RM1409" s="981"/>
      <c r="RN1409" s="981"/>
      <c r="RO1409" s="981"/>
      <c r="RP1409" s="981"/>
      <c r="RQ1409" s="981"/>
      <c r="RR1409" s="981"/>
      <c r="RS1409" s="981"/>
      <c r="RT1409" s="981"/>
      <c r="RU1409" s="981"/>
      <c r="RV1409" s="981"/>
      <c r="RW1409" s="981"/>
      <c r="RX1409" s="981"/>
      <c r="RY1409" s="981"/>
      <c r="RZ1409" s="981"/>
      <c r="SA1409" s="981"/>
      <c r="SB1409" s="981"/>
      <c r="SC1409" s="981"/>
      <c r="SD1409" s="981"/>
      <c r="SE1409" s="981"/>
      <c r="SF1409" s="981"/>
      <c r="SG1409" s="981"/>
      <c r="SH1409" s="981"/>
      <c r="SI1409" s="981"/>
      <c r="SJ1409" s="981"/>
      <c r="SK1409" s="981"/>
      <c r="SL1409" s="981"/>
      <c r="SM1409" s="981"/>
      <c r="SN1409" s="981"/>
      <c r="SO1409" s="981"/>
      <c r="SP1409" s="981"/>
      <c r="SQ1409" s="981"/>
      <c r="SR1409" s="981"/>
      <c r="SS1409" s="981"/>
      <c r="ST1409" s="981"/>
      <c r="SU1409" s="981"/>
      <c r="SV1409" s="981"/>
      <c r="SW1409" s="981"/>
      <c r="SX1409" s="981"/>
      <c r="SY1409" s="981"/>
      <c r="SZ1409" s="981"/>
      <c r="TA1409" s="981"/>
      <c r="TB1409" s="981"/>
      <c r="TC1409" s="981"/>
      <c r="TD1409" s="981"/>
      <c r="TE1409" s="981"/>
      <c r="TF1409" s="981"/>
      <c r="TG1409" s="981"/>
      <c r="TH1409" s="981"/>
      <c r="TI1409" s="981"/>
      <c r="TJ1409" s="981"/>
      <c r="TK1409" s="981"/>
      <c r="TL1409" s="981"/>
      <c r="TM1409" s="981"/>
      <c r="TN1409" s="981"/>
      <c r="TO1409" s="981"/>
      <c r="TP1409" s="981"/>
      <c r="TQ1409" s="981"/>
      <c r="TR1409" s="981"/>
      <c r="TS1409" s="981"/>
      <c r="TT1409" s="981"/>
      <c r="TU1409" s="981"/>
      <c r="TV1409" s="981"/>
      <c r="TW1409" s="981"/>
      <c r="TX1409" s="981"/>
      <c r="TY1409" s="981"/>
      <c r="TZ1409" s="981"/>
      <c r="UA1409" s="981"/>
      <c r="UB1409" s="981"/>
      <c r="UC1409" s="981"/>
      <c r="UD1409" s="981"/>
      <c r="UE1409" s="981"/>
      <c r="UF1409" s="981"/>
      <c r="UG1409" s="981"/>
      <c r="UH1409" s="981"/>
      <c r="UI1409" s="981"/>
      <c r="UJ1409" s="981"/>
      <c r="UK1409" s="981"/>
      <c r="UL1409" s="981"/>
      <c r="UM1409" s="981"/>
      <c r="UN1409" s="981"/>
      <c r="UO1409" s="981"/>
      <c r="UP1409" s="981"/>
      <c r="UQ1409" s="981"/>
      <c r="UR1409" s="981"/>
      <c r="US1409" s="981"/>
      <c r="UT1409" s="981"/>
      <c r="UU1409" s="981"/>
      <c r="UV1409" s="981"/>
      <c r="UW1409" s="981"/>
      <c r="UX1409" s="981"/>
      <c r="UY1409" s="981"/>
      <c r="UZ1409" s="981"/>
      <c r="VA1409" s="981"/>
      <c r="VB1409" s="981"/>
      <c r="VC1409" s="981"/>
      <c r="VD1409" s="981"/>
      <c r="VE1409" s="981"/>
      <c r="VF1409" s="981"/>
      <c r="VG1409" s="981"/>
      <c r="VH1409" s="981"/>
      <c r="VI1409" s="981"/>
      <c r="VJ1409" s="981"/>
      <c r="VK1409" s="981"/>
      <c r="VL1409" s="981"/>
      <c r="VM1409" s="981"/>
      <c r="VN1409" s="981"/>
      <c r="VO1409" s="981"/>
      <c r="VP1409" s="981"/>
      <c r="VQ1409" s="981"/>
      <c r="VR1409" s="981"/>
      <c r="VS1409" s="981"/>
      <c r="VT1409" s="981"/>
      <c r="VU1409" s="981"/>
      <c r="VV1409" s="981"/>
      <c r="VW1409" s="981"/>
      <c r="VX1409" s="981"/>
      <c r="VY1409" s="981"/>
      <c r="VZ1409" s="981"/>
      <c r="WA1409" s="981"/>
      <c r="WB1409" s="981"/>
      <c r="WC1409" s="981"/>
      <c r="WD1409" s="981"/>
      <c r="WE1409" s="981"/>
      <c r="WF1409" s="981"/>
      <c r="WG1409" s="981"/>
      <c r="WH1409" s="981"/>
      <c r="WI1409" s="981"/>
      <c r="WJ1409" s="981"/>
      <c r="WK1409" s="981"/>
      <c r="WL1409" s="981"/>
      <c r="WM1409" s="981"/>
      <c r="WN1409" s="981"/>
      <c r="WO1409" s="981"/>
      <c r="WP1409" s="981"/>
      <c r="WQ1409" s="981"/>
      <c r="WR1409" s="981"/>
      <c r="WS1409" s="981"/>
      <c r="WT1409" s="981"/>
      <c r="WU1409" s="981"/>
      <c r="WV1409" s="981"/>
      <c r="WW1409" s="981"/>
      <c r="WX1409" s="981"/>
      <c r="WY1409" s="981"/>
      <c r="WZ1409" s="981"/>
      <c r="XA1409" s="981"/>
      <c r="XB1409" s="981"/>
      <c r="XC1409" s="981"/>
      <c r="XD1409" s="981"/>
      <c r="XE1409" s="981"/>
      <c r="XF1409" s="981"/>
      <c r="XG1409" s="981"/>
      <c r="XH1409" s="981"/>
      <c r="XI1409" s="981"/>
      <c r="XJ1409" s="981"/>
      <c r="XK1409" s="981"/>
      <c r="XL1409" s="981"/>
      <c r="XM1409" s="981"/>
      <c r="XN1409" s="981"/>
      <c r="XO1409" s="981"/>
      <c r="XP1409" s="981"/>
      <c r="XQ1409" s="981"/>
      <c r="XR1409" s="981"/>
      <c r="XS1409" s="981"/>
      <c r="XT1409" s="981"/>
      <c r="XU1409" s="981"/>
      <c r="XV1409" s="981"/>
      <c r="XW1409" s="981"/>
      <c r="XX1409" s="981"/>
      <c r="XY1409" s="981"/>
      <c r="XZ1409" s="981"/>
      <c r="YA1409" s="981"/>
      <c r="YB1409" s="981"/>
      <c r="YC1409" s="981"/>
      <c r="YD1409" s="981"/>
      <c r="YE1409" s="981"/>
      <c r="YF1409" s="981"/>
      <c r="YG1409" s="981"/>
      <c r="YH1409" s="981"/>
      <c r="YI1409" s="981"/>
      <c r="YJ1409" s="981"/>
      <c r="YK1409" s="981"/>
      <c r="YL1409" s="981"/>
      <c r="YM1409" s="981"/>
      <c r="YN1409" s="981"/>
      <c r="YO1409" s="981"/>
      <c r="YP1409" s="981"/>
      <c r="YQ1409" s="981"/>
      <c r="YR1409" s="981"/>
      <c r="YS1409" s="981"/>
      <c r="YT1409" s="981"/>
      <c r="YU1409" s="981"/>
      <c r="YV1409" s="981"/>
      <c r="YW1409" s="981"/>
      <c r="YX1409" s="981"/>
      <c r="YY1409" s="981"/>
      <c r="YZ1409" s="981"/>
      <c r="ZA1409" s="981"/>
      <c r="ZB1409" s="981"/>
      <c r="ZC1409" s="981"/>
      <c r="ZD1409" s="981"/>
      <c r="ZE1409" s="981"/>
      <c r="ZF1409" s="981"/>
      <c r="ZG1409" s="981"/>
      <c r="ZH1409" s="981"/>
      <c r="ZI1409" s="981"/>
      <c r="ZJ1409" s="981"/>
      <c r="ZK1409" s="981"/>
      <c r="ZL1409" s="981"/>
      <c r="ZM1409" s="981"/>
      <c r="ZN1409" s="981"/>
      <c r="ZO1409" s="981"/>
      <c r="ZP1409" s="981"/>
      <c r="ZQ1409" s="981"/>
      <c r="ZR1409" s="981"/>
      <c r="ZS1409" s="981"/>
      <c r="ZT1409" s="981"/>
      <c r="ZU1409" s="981"/>
      <c r="ZV1409" s="981"/>
      <c r="ZW1409" s="981"/>
      <c r="ZX1409" s="981"/>
      <c r="ZY1409" s="981"/>
      <c r="ZZ1409" s="981"/>
      <c r="AAA1409" s="981"/>
      <c r="AAB1409" s="981"/>
      <c r="AAC1409" s="981"/>
      <c r="AAD1409" s="981"/>
      <c r="AAE1409" s="981"/>
      <c r="AAF1409" s="981"/>
      <c r="AAG1409" s="981"/>
      <c r="AAH1409" s="981"/>
      <c r="AAI1409" s="981"/>
      <c r="AAJ1409" s="981"/>
      <c r="AAK1409" s="981"/>
      <c r="AAL1409" s="981"/>
      <c r="AAM1409" s="981"/>
      <c r="AAN1409" s="981"/>
      <c r="AAO1409" s="981"/>
      <c r="AAP1409" s="981"/>
      <c r="AAQ1409" s="981"/>
      <c r="AAR1409" s="981"/>
      <c r="AAS1409" s="981"/>
      <c r="AAT1409" s="981"/>
      <c r="AAU1409" s="981"/>
      <c r="AAV1409" s="981"/>
      <c r="AAW1409" s="981"/>
      <c r="AAX1409" s="981"/>
      <c r="AAY1409" s="981"/>
      <c r="AAZ1409" s="981"/>
      <c r="ABA1409" s="981"/>
      <c r="ABB1409" s="981"/>
      <c r="ABC1409" s="981"/>
      <c r="ABD1409" s="981"/>
      <c r="ABE1409" s="981"/>
      <c r="ABF1409" s="981"/>
      <c r="ABG1409" s="981"/>
      <c r="ABH1409" s="981"/>
      <c r="ABI1409" s="981"/>
      <c r="ABJ1409" s="981"/>
      <c r="ABK1409" s="981"/>
      <c r="ABL1409" s="981"/>
      <c r="ABM1409" s="981"/>
      <c r="ABN1409" s="981"/>
      <c r="ABO1409" s="981"/>
      <c r="ABP1409" s="981"/>
      <c r="ABQ1409" s="981"/>
      <c r="ABR1409" s="981"/>
      <c r="ABS1409" s="981"/>
      <c r="ABT1409" s="981"/>
      <c r="ABU1409" s="981"/>
      <c r="ABV1409" s="981"/>
      <c r="ABW1409" s="981"/>
      <c r="ABX1409" s="981"/>
      <c r="ABY1409" s="981"/>
      <c r="ABZ1409" s="981"/>
      <c r="ACA1409" s="981"/>
      <c r="ACB1409" s="981"/>
      <c r="ACC1409" s="981"/>
      <c r="ACD1409" s="981"/>
      <c r="ACE1409" s="981"/>
      <c r="ACF1409" s="981"/>
      <c r="ACG1409" s="981"/>
      <c r="ACH1409" s="981"/>
      <c r="ACI1409" s="981"/>
      <c r="ACJ1409" s="981"/>
      <c r="ACK1409" s="981"/>
      <c r="ACL1409" s="981"/>
      <c r="ACM1409" s="981"/>
      <c r="ACN1409" s="981"/>
      <c r="ACO1409" s="981"/>
      <c r="ACP1409" s="981"/>
      <c r="ACQ1409" s="981"/>
      <c r="ACR1409" s="981"/>
      <c r="ACS1409" s="981"/>
      <c r="ACT1409" s="981"/>
      <c r="ACU1409" s="981"/>
      <c r="ACV1409" s="981"/>
      <c r="ACW1409" s="981"/>
      <c r="ACX1409" s="981"/>
      <c r="ACY1409" s="981"/>
      <c r="ACZ1409" s="981"/>
      <c r="ADA1409" s="981"/>
      <c r="ADB1409" s="981"/>
      <c r="ADC1409" s="981"/>
      <c r="ADD1409" s="981"/>
      <c r="ADE1409" s="981"/>
      <c r="ADF1409" s="981"/>
      <c r="ADG1409" s="981"/>
      <c r="ADH1409" s="981"/>
      <c r="ADI1409" s="981"/>
      <c r="ADJ1409" s="981"/>
      <c r="ADK1409" s="981"/>
      <c r="ADL1409" s="981"/>
      <c r="ADM1409" s="981"/>
      <c r="ADN1409" s="981"/>
      <c r="ADO1409" s="981"/>
      <c r="ADP1409" s="981"/>
      <c r="ADQ1409" s="981"/>
      <c r="ADR1409" s="981"/>
      <c r="ADS1409" s="981"/>
      <c r="ADT1409" s="981"/>
      <c r="ADU1409" s="981"/>
      <c r="ADV1409" s="981"/>
      <c r="ADW1409" s="981"/>
      <c r="ADX1409" s="981"/>
      <c r="ADY1409" s="981"/>
      <c r="ADZ1409" s="981"/>
      <c r="AEA1409" s="981"/>
      <c r="AEB1409" s="981"/>
      <c r="AEC1409" s="981"/>
      <c r="AED1409" s="981"/>
      <c r="AEE1409" s="981"/>
      <c r="AEF1409" s="981"/>
      <c r="AEG1409" s="981"/>
      <c r="AEH1409" s="981"/>
      <c r="AEI1409" s="981"/>
      <c r="AEJ1409" s="981"/>
      <c r="AEK1409" s="981"/>
      <c r="AEL1409" s="981"/>
      <c r="AEM1409" s="981"/>
      <c r="AEN1409" s="981"/>
      <c r="AEO1409" s="981"/>
      <c r="AEP1409" s="981"/>
      <c r="AEQ1409" s="981"/>
      <c r="AER1409" s="981"/>
      <c r="AES1409" s="981"/>
      <c r="AET1409" s="981"/>
      <c r="AEU1409" s="981"/>
      <c r="AEV1409" s="981"/>
      <c r="AEW1409" s="981"/>
      <c r="AEX1409" s="981"/>
      <c r="AEY1409" s="981"/>
      <c r="AEZ1409" s="981"/>
      <c r="AFA1409" s="981"/>
      <c r="AFB1409" s="981"/>
      <c r="AFC1409" s="981"/>
      <c r="AFD1409" s="981"/>
      <c r="AFE1409" s="981"/>
      <c r="AFF1409" s="981"/>
      <c r="AFG1409" s="981"/>
      <c r="AFH1409" s="981"/>
      <c r="AFI1409" s="981"/>
      <c r="AFJ1409" s="981"/>
      <c r="AFK1409" s="981"/>
      <c r="AFL1409" s="981"/>
      <c r="AFM1409" s="981"/>
      <c r="AFN1409" s="981"/>
      <c r="AFO1409" s="981"/>
      <c r="AFP1409" s="981"/>
      <c r="AFQ1409" s="981"/>
      <c r="AFR1409" s="981"/>
      <c r="AFS1409" s="981"/>
      <c r="AFT1409" s="981"/>
      <c r="AFU1409" s="981"/>
      <c r="AFV1409" s="981"/>
      <c r="AFW1409" s="981"/>
      <c r="AFX1409" s="981"/>
      <c r="AFY1409" s="981"/>
      <c r="AFZ1409" s="981"/>
      <c r="AGA1409" s="981"/>
      <c r="AGB1409" s="981"/>
      <c r="AGC1409" s="981"/>
      <c r="AGD1409" s="981"/>
      <c r="AGE1409" s="981"/>
      <c r="AGF1409" s="981"/>
      <c r="AGG1409" s="981"/>
      <c r="AGH1409" s="981"/>
      <c r="AGI1409" s="981"/>
      <c r="AGJ1409" s="981"/>
    </row>
    <row r="1410" spans="1:868" hidden="1">
      <c r="A1410" s="918" t="str">
        <f>Clothing!A249</f>
        <v>Transport of primary plastics</v>
      </c>
      <c r="B1410" s="918" t="str">
        <f>Clothing!B249</f>
        <v>Manufacturing of clothing</v>
      </c>
      <c r="C1410" s="918" t="str">
        <f>Clothing!C249</f>
        <v>EU</v>
      </c>
      <c r="D1410" s="918" t="str">
        <f>Clothing!D249</f>
        <v>OTHER</v>
      </c>
      <c r="E1410" s="918">
        <f>Clothing!E249</f>
        <v>3.389864231937407E-3</v>
      </c>
      <c r="F1410" s="918">
        <f>Clothing!F249</f>
        <v>2</v>
      </c>
      <c r="G1410" s="918" t="str">
        <f>Clothing!G249</f>
        <v>https://ec.europa.eu/eurostat/databrowser/view/DS-056120__custom_15192557/default/table?lang=en - Low estimate</v>
      </c>
      <c r="H1410" s="918"/>
      <c r="I1410" s="918">
        <f>Clothing!I249</f>
        <v>1</v>
      </c>
      <c r="J1410" s="918">
        <f>Clothing!J249</f>
        <v>1</v>
      </c>
      <c r="K1410" s="918">
        <f>Clothing!K249</f>
        <v>2</v>
      </c>
      <c r="L1410" s="918">
        <f>Clothing!L249</f>
        <v>2</v>
      </c>
      <c r="M1410" s="918">
        <f>Clothing!M249</f>
        <v>2</v>
      </c>
      <c r="N1410" s="932"/>
      <c r="O1410" s="834"/>
    </row>
    <row r="1411" spans="1:868" hidden="1">
      <c r="A1411" s="918" t="str">
        <f>Clothing!A250</f>
        <v>Transport of primary plastics</v>
      </c>
      <c r="B1411" s="918" t="str">
        <f>Clothing!B250</f>
        <v>Manufacturing of clothing</v>
      </c>
      <c r="C1411" s="918" t="str">
        <f>Clothing!C250</f>
        <v>EU</v>
      </c>
      <c r="D1411" s="918" t="str">
        <f>Clothing!D250</f>
        <v>PA</v>
      </c>
      <c r="E1411" s="918">
        <f>Clothing!E250</f>
        <v>3.3558127324363765E-2</v>
      </c>
      <c r="F1411" s="918">
        <f>Clothing!F250</f>
        <v>2</v>
      </c>
      <c r="G1411" s="918" t="str">
        <f>Clothing!G250</f>
        <v>https://ec.europa.eu/eurostat/databrowser/view/DS-056120__custom_15192557/default/table?lang=en - Low estimate</v>
      </c>
      <c r="H1411" s="918"/>
      <c r="I1411" s="918">
        <f>Clothing!I250</f>
        <v>1</v>
      </c>
      <c r="J1411" s="918">
        <f>Clothing!J250</f>
        <v>1</v>
      </c>
      <c r="K1411" s="918">
        <f>Clothing!K250</f>
        <v>2</v>
      </c>
      <c r="L1411" s="918">
        <f>Clothing!L250</f>
        <v>2</v>
      </c>
      <c r="M1411" s="918">
        <f>Clothing!M250</f>
        <v>2</v>
      </c>
      <c r="N1411" s="186"/>
      <c r="O1411" s="160"/>
    </row>
    <row r="1412" spans="1:868" hidden="1">
      <c r="A1412" s="918" t="str">
        <f>Clothing!A251</f>
        <v>Transport of primary plastics</v>
      </c>
      <c r="B1412" s="918" t="str">
        <f>Clothing!B251</f>
        <v>Manufacturing of clothing</v>
      </c>
      <c r="C1412" s="918" t="str">
        <f>Clothing!C251</f>
        <v>EU</v>
      </c>
      <c r="D1412" s="918" t="str">
        <f>Clothing!D251</f>
        <v>PET</v>
      </c>
      <c r="E1412" s="918">
        <f>Clothing!E251</f>
        <v>6.5245676197436375E-2</v>
      </c>
      <c r="F1412" s="918">
        <f>Clothing!F251</f>
        <v>2</v>
      </c>
      <c r="G1412" s="918" t="str">
        <f>Clothing!G251</f>
        <v>https://ec.europa.eu/eurostat/databrowser/view/DS-056120__custom_15192557/default/table?lang=en - Low estimate</v>
      </c>
      <c r="H1412" s="918"/>
      <c r="I1412" s="918">
        <f>Clothing!I251</f>
        <v>1</v>
      </c>
      <c r="J1412" s="918">
        <f>Clothing!J251</f>
        <v>1</v>
      </c>
      <c r="K1412" s="918">
        <f>Clothing!K251</f>
        <v>2</v>
      </c>
      <c r="L1412" s="918">
        <f>Clothing!L251</f>
        <v>2</v>
      </c>
      <c r="M1412" s="918">
        <f>Clothing!M251</f>
        <v>2</v>
      </c>
      <c r="N1412" s="186"/>
      <c r="O1412" s="160"/>
    </row>
    <row r="1413" spans="1:868" hidden="1">
      <c r="A1413" s="918" t="str">
        <f>Clothing!A252</f>
        <v>Transport of primary plastics</v>
      </c>
      <c r="B1413" s="918" t="str">
        <f>Clothing!B252</f>
        <v>Manufacturing of clothing</v>
      </c>
      <c r="C1413" s="918" t="str">
        <f>Clothing!C252</f>
        <v>EU</v>
      </c>
      <c r="D1413" s="918" t="str">
        <f>Clothing!D252</f>
        <v>PUR</v>
      </c>
      <c r="E1413" s="918">
        <f>Clothing!E252</f>
        <v>2.2222566857701978E-2</v>
      </c>
      <c r="F1413" s="918">
        <f>Clothing!F252</f>
        <v>2</v>
      </c>
      <c r="G1413" s="918" t="str">
        <f>Clothing!G252</f>
        <v>https://ec.europa.eu/eurostat/databrowser/view/DS-056120__custom_15192557/default/table?lang=en - Low estimate</v>
      </c>
      <c r="H1413" s="918"/>
      <c r="I1413" s="918">
        <f>Clothing!I252</f>
        <v>1</v>
      </c>
      <c r="J1413" s="918">
        <f>Clothing!J252</f>
        <v>1</v>
      </c>
      <c r="K1413" s="918">
        <f>Clothing!K252</f>
        <v>2</v>
      </c>
      <c r="L1413" s="918">
        <f>Clothing!L252</f>
        <v>2</v>
      </c>
      <c r="M1413" s="918">
        <f>Clothing!M252</f>
        <v>2</v>
      </c>
      <c r="N1413" s="186"/>
      <c r="O1413" s="160"/>
    </row>
    <row r="1414" spans="1:868" hidden="1">
      <c r="A1414" s="918" t="str">
        <f>Clothing!A253</f>
        <v>Transport of primary plastics</v>
      </c>
      <c r="B1414" s="918" t="str">
        <f>Clothing!B253</f>
        <v>Manufacturing of clothing</v>
      </c>
      <c r="C1414" s="918" t="str">
        <f>Clothing!C253</f>
        <v>EU</v>
      </c>
      <c r="D1414" s="918" t="str">
        <f>Clothing!D253</f>
        <v>PVC</v>
      </c>
      <c r="E1414" s="918">
        <f>Clothing!E253</f>
        <v>6.0053267147578086E-3</v>
      </c>
      <c r="F1414" s="918">
        <f>Clothing!F253</f>
        <v>2</v>
      </c>
      <c r="G1414" s="918" t="str">
        <f>Clothing!G253</f>
        <v>https://ec.europa.eu/eurostat/databrowser/view/DS-056120__custom_15192557/default/table?lang=en - Low estimate</v>
      </c>
      <c r="H1414" s="918"/>
      <c r="I1414" s="918">
        <f>Clothing!I253</f>
        <v>1</v>
      </c>
      <c r="J1414" s="918">
        <f>Clothing!J253</f>
        <v>1</v>
      </c>
      <c r="K1414" s="918">
        <f>Clothing!K253</f>
        <v>2</v>
      </c>
      <c r="L1414" s="918">
        <f>Clothing!L253</f>
        <v>2</v>
      </c>
      <c r="M1414" s="918">
        <f>Clothing!M253</f>
        <v>2</v>
      </c>
      <c r="N1414" s="186"/>
      <c r="O1414" s="160"/>
    </row>
    <row r="1415" spans="1:868" hidden="1">
      <c r="A1415" s="918" t="str">
        <f>Clothing!A254</f>
        <v>Transport of primary plastics</v>
      </c>
      <c r="B1415" s="918" t="str">
        <f>Clothing!B254</f>
        <v>Manufacturing of clothing</v>
      </c>
      <c r="C1415" s="918" t="str">
        <f>Clothing!C254</f>
        <v>EU</v>
      </c>
      <c r="D1415" s="918" t="str">
        <f>Clothing!D254</f>
        <v>OTHER</v>
      </c>
      <c r="E1415" s="918">
        <f>Clothing!E254</f>
        <v>4.0038574593119361E-3</v>
      </c>
      <c r="F1415" s="918">
        <f>Clothing!F254</f>
        <v>2</v>
      </c>
      <c r="G1415" s="918" t="str">
        <f>Clothing!G254</f>
        <v>https://ec.europa.eu/eurostat/databrowser/view/DS-056120__custom_15192557/default/table?lang=en - High estimate</v>
      </c>
      <c r="H1415" s="918"/>
      <c r="I1415" s="918">
        <f>Clothing!I254</f>
        <v>1</v>
      </c>
      <c r="J1415" s="918">
        <f>Clothing!J254</f>
        <v>1</v>
      </c>
      <c r="K1415" s="918">
        <f>Clothing!K254</f>
        <v>2</v>
      </c>
      <c r="L1415" s="918">
        <f>Clothing!L254</f>
        <v>2</v>
      </c>
      <c r="M1415" s="918">
        <f>Clothing!M254</f>
        <v>2</v>
      </c>
      <c r="N1415" s="186"/>
      <c r="O1415" s="160"/>
    </row>
    <row r="1416" spans="1:868" hidden="1">
      <c r="A1416" s="918" t="str">
        <f>Clothing!A255</f>
        <v>Transport of primary plastics</v>
      </c>
      <c r="B1416" s="918" t="str">
        <f>Clothing!B255</f>
        <v>Manufacturing of clothing</v>
      </c>
      <c r="C1416" s="918" t="str">
        <f>Clothing!C255</f>
        <v>EU</v>
      </c>
      <c r="D1416" s="918" t="str">
        <f>Clothing!D255</f>
        <v>PA</v>
      </c>
      <c r="E1416" s="918">
        <f>Clothing!E255</f>
        <v>3.96363834109668E-2</v>
      </c>
      <c r="F1416" s="918">
        <f>Clothing!F255</f>
        <v>2</v>
      </c>
      <c r="G1416" s="918" t="str">
        <f>Clothing!G255</f>
        <v>https://ec.europa.eu/eurostat/databrowser/view/DS-056120__custom_15192557/default/table?lang=en - High estimate</v>
      </c>
      <c r="H1416" s="918"/>
      <c r="I1416" s="918">
        <f>Clothing!I255</f>
        <v>1</v>
      </c>
      <c r="J1416" s="918">
        <f>Clothing!J255</f>
        <v>1</v>
      </c>
      <c r="K1416" s="918">
        <f>Clothing!K255</f>
        <v>2</v>
      </c>
      <c r="L1416" s="918">
        <f>Clothing!L255</f>
        <v>2</v>
      </c>
      <c r="M1416" s="918">
        <f>Clothing!M255</f>
        <v>2</v>
      </c>
      <c r="N1416" s="186"/>
      <c r="O1416" s="160"/>
    </row>
    <row r="1417" spans="1:868" hidden="1">
      <c r="A1417" s="918" t="str">
        <f>Clothing!A256</f>
        <v>Transport of primary plastics</v>
      </c>
      <c r="B1417" s="918" t="str">
        <f>Clothing!B256</f>
        <v>Manufacturing of clothing</v>
      </c>
      <c r="C1417" s="918" t="str">
        <f>Clothing!C256</f>
        <v>EU</v>
      </c>
      <c r="D1417" s="918" t="str">
        <f>Clothing!D256</f>
        <v>PET</v>
      </c>
      <c r="E1417" s="918">
        <f>Clothing!E256</f>
        <v>7.7063377603666952E-2</v>
      </c>
      <c r="F1417" s="918">
        <f>Clothing!F256</f>
        <v>2</v>
      </c>
      <c r="G1417" s="918" t="str">
        <f>Clothing!G256</f>
        <v>https://ec.europa.eu/eurostat/databrowser/view/DS-056120__custom_15192557/default/table?lang=en - High estimate</v>
      </c>
      <c r="H1417" s="918"/>
      <c r="I1417" s="918">
        <f>Clothing!I256</f>
        <v>1</v>
      </c>
      <c r="J1417" s="918">
        <f>Clothing!J256</f>
        <v>1</v>
      </c>
      <c r="K1417" s="918">
        <f>Clothing!K256</f>
        <v>2</v>
      </c>
      <c r="L1417" s="918">
        <f>Clothing!L256</f>
        <v>2</v>
      </c>
      <c r="M1417" s="918">
        <f>Clothing!M256</f>
        <v>2</v>
      </c>
      <c r="N1417" s="186"/>
      <c r="O1417" s="160"/>
    </row>
    <row r="1418" spans="1:868" hidden="1">
      <c r="A1418" s="918" t="str">
        <f>Clothing!A257</f>
        <v>Transport of primary plastics</v>
      </c>
      <c r="B1418" s="918" t="str">
        <f>Clothing!B257</f>
        <v>Manufacturing of clothing</v>
      </c>
      <c r="C1418" s="918" t="str">
        <f>Clothing!C257</f>
        <v>EU</v>
      </c>
      <c r="D1418" s="918" t="str">
        <f>Clothing!D257</f>
        <v>PUR</v>
      </c>
      <c r="E1418" s="918">
        <f>Clothing!E257</f>
        <v>2.6247655950343441E-2</v>
      </c>
      <c r="F1418" s="918">
        <f>Clothing!F257</f>
        <v>2</v>
      </c>
      <c r="G1418" s="918" t="str">
        <f>Clothing!G257</f>
        <v>https://ec.europa.eu/eurostat/databrowser/view/DS-056120__custom_15192557/default/table?lang=en - High estimate</v>
      </c>
      <c r="H1418" s="918"/>
      <c r="I1418" s="918">
        <f>Clothing!I257</f>
        <v>1</v>
      </c>
      <c r="J1418" s="918">
        <f>Clothing!J257</f>
        <v>1</v>
      </c>
      <c r="K1418" s="918">
        <f>Clothing!K257</f>
        <v>2</v>
      </c>
      <c r="L1418" s="918">
        <f>Clothing!L257</f>
        <v>2</v>
      </c>
      <c r="M1418" s="918">
        <f>Clothing!M257</f>
        <v>2</v>
      </c>
      <c r="N1418" s="186"/>
      <c r="O1418" s="160"/>
    </row>
    <row r="1419" spans="1:868" s="211" customFormat="1" ht="15.75" hidden="1" thickBot="1">
      <c r="A1419" s="933" t="str">
        <f>Clothing!A258</f>
        <v>Transport of primary plastics</v>
      </c>
      <c r="B1419" s="933" t="str">
        <f>Clothing!B258</f>
        <v>Manufacturing of clothing</v>
      </c>
      <c r="C1419" s="933" t="str">
        <f>Clothing!C258</f>
        <v>EU</v>
      </c>
      <c r="D1419" s="933" t="str">
        <f>Clothing!D258</f>
        <v>PVC</v>
      </c>
      <c r="E1419" s="933">
        <f>Clothing!E258</f>
        <v>7.0930487232953796E-3</v>
      </c>
      <c r="F1419" s="933">
        <f>Clothing!F258</f>
        <v>2</v>
      </c>
      <c r="G1419" s="933" t="str">
        <f>Clothing!G258</f>
        <v>https://ec.europa.eu/eurostat/databrowser/view/DS-056120__custom_15192557/default/table?lang=en - High estimate</v>
      </c>
      <c r="H1419" s="933"/>
      <c r="I1419" s="933">
        <f>Clothing!I258</f>
        <v>1</v>
      </c>
      <c r="J1419" s="933">
        <f>Clothing!J258</f>
        <v>1</v>
      </c>
      <c r="K1419" s="933">
        <f>Clothing!K258</f>
        <v>2</v>
      </c>
      <c r="L1419" s="933">
        <f>Clothing!L258</f>
        <v>2</v>
      </c>
      <c r="M1419" s="933">
        <f>Clothing!M258</f>
        <v>2</v>
      </c>
      <c r="N1419" s="935"/>
      <c r="O1419" s="161"/>
      <c r="P1419" s="980"/>
      <c r="Q1419" s="981"/>
      <c r="R1419" s="981"/>
      <c r="S1419" s="981"/>
      <c r="T1419" s="981"/>
      <c r="U1419" s="981"/>
      <c r="V1419" s="981"/>
      <c r="W1419" s="981"/>
      <c r="X1419" s="981"/>
      <c r="Y1419" s="981"/>
      <c r="Z1419" s="981"/>
      <c r="AA1419" s="981"/>
      <c r="AB1419" s="981"/>
      <c r="AC1419" s="981"/>
      <c r="AD1419" s="981"/>
      <c r="AE1419" s="981"/>
      <c r="AF1419" s="981"/>
      <c r="AG1419" s="981"/>
      <c r="AH1419" s="981"/>
      <c r="AI1419" s="981"/>
      <c r="AJ1419" s="981"/>
      <c r="AK1419" s="981"/>
      <c r="AL1419" s="981"/>
      <c r="AM1419" s="981"/>
      <c r="AN1419" s="981"/>
      <c r="AO1419" s="981"/>
      <c r="AP1419" s="981"/>
      <c r="AQ1419" s="981"/>
      <c r="AR1419" s="981"/>
      <c r="AS1419" s="981"/>
      <c r="AT1419" s="981"/>
      <c r="AU1419" s="981"/>
      <c r="AV1419" s="981"/>
      <c r="AW1419" s="981"/>
      <c r="AX1419" s="981"/>
      <c r="AY1419" s="981"/>
      <c r="AZ1419" s="981"/>
      <c r="BA1419" s="981"/>
      <c r="BB1419" s="981"/>
      <c r="BC1419" s="981"/>
      <c r="BD1419" s="981"/>
      <c r="BE1419" s="981"/>
      <c r="BF1419" s="981"/>
      <c r="BG1419" s="981"/>
      <c r="BH1419" s="981"/>
      <c r="BI1419" s="981"/>
      <c r="BJ1419" s="981"/>
      <c r="BK1419" s="981"/>
      <c r="BL1419" s="981"/>
      <c r="BM1419" s="981"/>
      <c r="BN1419" s="981"/>
      <c r="BO1419" s="981"/>
      <c r="BP1419" s="981"/>
      <c r="BQ1419" s="981"/>
      <c r="BR1419" s="981"/>
      <c r="BS1419" s="981"/>
      <c r="BT1419" s="981"/>
      <c r="BU1419" s="981"/>
      <c r="BV1419" s="981"/>
      <c r="BW1419" s="981"/>
      <c r="BX1419" s="981"/>
      <c r="BY1419" s="981"/>
      <c r="BZ1419" s="981"/>
      <c r="CA1419" s="981"/>
      <c r="CB1419" s="981"/>
      <c r="CC1419" s="981"/>
      <c r="CD1419" s="981"/>
      <c r="CE1419" s="981"/>
      <c r="CF1419" s="981"/>
      <c r="CG1419" s="981"/>
      <c r="CH1419" s="981"/>
      <c r="CI1419" s="981"/>
      <c r="CJ1419" s="981"/>
      <c r="CK1419" s="981"/>
      <c r="CL1419" s="981"/>
      <c r="CM1419" s="981"/>
      <c r="CN1419" s="981"/>
      <c r="CO1419" s="981"/>
      <c r="CP1419" s="981"/>
      <c r="CQ1419" s="981"/>
      <c r="CR1419" s="981"/>
      <c r="CS1419" s="981"/>
      <c r="CT1419" s="981"/>
      <c r="CU1419" s="981"/>
      <c r="CV1419" s="981"/>
      <c r="CW1419" s="981"/>
      <c r="CX1419" s="981"/>
      <c r="CY1419" s="981"/>
      <c r="CZ1419" s="981"/>
      <c r="DA1419" s="981"/>
      <c r="DB1419" s="981"/>
      <c r="DC1419" s="981"/>
      <c r="DD1419" s="981"/>
      <c r="DE1419" s="981"/>
      <c r="DF1419" s="981"/>
      <c r="DG1419" s="981"/>
      <c r="DH1419" s="981"/>
      <c r="DI1419" s="981"/>
      <c r="DJ1419" s="981"/>
      <c r="DK1419" s="981"/>
      <c r="DL1419" s="981"/>
      <c r="DM1419" s="981"/>
      <c r="DN1419" s="981"/>
      <c r="DO1419" s="981"/>
      <c r="DP1419" s="981"/>
      <c r="DQ1419" s="981"/>
      <c r="DR1419" s="981"/>
      <c r="DS1419" s="981"/>
      <c r="DT1419" s="981"/>
      <c r="DU1419" s="981"/>
      <c r="DV1419" s="981"/>
      <c r="DW1419" s="981"/>
      <c r="DX1419" s="981"/>
      <c r="DY1419" s="981"/>
      <c r="DZ1419" s="981"/>
      <c r="EA1419" s="981"/>
      <c r="EB1419" s="981"/>
      <c r="EC1419" s="981"/>
      <c r="ED1419" s="981"/>
      <c r="EE1419" s="981"/>
      <c r="EF1419" s="981"/>
      <c r="EG1419" s="981"/>
      <c r="EH1419" s="981"/>
      <c r="EI1419" s="981"/>
      <c r="EJ1419" s="981"/>
      <c r="EK1419" s="981"/>
      <c r="EL1419" s="981"/>
      <c r="EM1419" s="981"/>
      <c r="EN1419" s="981"/>
      <c r="EO1419" s="981"/>
      <c r="EP1419" s="981"/>
      <c r="EQ1419" s="981"/>
      <c r="ER1419" s="981"/>
      <c r="ES1419" s="981"/>
      <c r="ET1419" s="981"/>
      <c r="EU1419" s="981"/>
      <c r="EV1419" s="981"/>
      <c r="EW1419" s="981"/>
      <c r="EX1419" s="981"/>
      <c r="EY1419" s="981"/>
      <c r="EZ1419" s="981"/>
      <c r="FA1419" s="981"/>
      <c r="FB1419" s="981"/>
      <c r="FC1419" s="981"/>
      <c r="FD1419" s="981"/>
      <c r="FE1419" s="981"/>
      <c r="FF1419" s="981"/>
      <c r="FG1419" s="981"/>
      <c r="FH1419" s="981"/>
      <c r="FI1419" s="981"/>
      <c r="FJ1419" s="981"/>
      <c r="FK1419" s="981"/>
      <c r="FL1419" s="981"/>
      <c r="FM1419" s="981"/>
      <c r="FN1419" s="981"/>
      <c r="FO1419" s="981"/>
      <c r="FP1419" s="981"/>
      <c r="FQ1419" s="981"/>
      <c r="FR1419" s="981"/>
      <c r="FS1419" s="981"/>
      <c r="FT1419" s="981"/>
      <c r="FU1419" s="981"/>
      <c r="FV1419" s="981"/>
      <c r="FW1419" s="981"/>
      <c r="FX1419" s="981"/>
      <c r="FY1419" s="981"/>
      <c r="FZ1419" s="981"/>
      <c r="GA1419" s="981"/>
      <c r="GB1419" s="981"/>
      <c r="GC1419" s="981"/>
      <c r="GD1419" s="981"/>
      <c r="GE1419" s="981"/>
      <c r="GF1419" s="981"/>
      <c r="GG1419" s="981"/>
      <c r="GH1419" s="981"/>
      <c r="GI1419" s="981"/>
      <c r="GJ1419" s="981"/>
      <c r="GK1419" s="981"/>
      <c r="GL1419" s="981"/>
      <c r="GM1419" s="981"/>
      <c r="GN1419" s="981"/>
      <c r="GO1419" s="981"/>
      <c r="GP1419" s="981"/>
      <c r="GQ1419" s="981"/>
      <c r="GR1419" s="981"/>
      <c r="GS1419" s="981"/>
      <c r="GT1419" s="981"/>
      <c r="GU1419" s="981"/>
      <c r="GV1419" s="981"/>
      <c r="GW1419" s="981"/>
      <c r="GX1419" s="981"/>
      <c r="GY1419" s="981"/>
      <c r="GZ1419" s="981"/>
      <c r="HA1419" s="981"/>
      <c r="HB1419" s="981"/>
      <c r="HC1419" s="981"/>
      <c r="HD1419" s="981"/>
      <c r="HE1419" s="981"/>
      <c r="HF1419" s="981"/>
      <c r="HG1419" s="981"/>
      <c r="HH1419" s="981"/>
      <c r="HI1419" s="981"/>
      <c r="HJ1419" s="981"/>
      <c r="HK1419" s="981"/>
      <c r="HL1419" s="981"/>
      <c r="HM1419" s="981"/>
      <c r="HN1419" s="981"/>
      <c r="HO1419" s="981"/>
      <c r="HP1419" s="981"/>
      <c r="HQ1419" s="981"/>
      <c r="HR1419" s="981"/>
      <c r="HS1419" s="981"/>
      <c r="HT1419" s="981"/>
      <c r="HU1419" s="981"/>
      <c r="HV1419" s="981"/>
      <c r="HW1419" s="981"/>
      <c r="HX1419" s="981"/>
      <c r="HY1419" s="981"/>
      <c r="HZ1419" s="981"/>
      <c r="IA1419" s="981"/>
      <c r="IB1419" s="981"/>
      <c r="IC1419" s="981"/>
      <c r="ID1419" s="981"/>
      <c r="IE1419" s="981"/>
      <c r="IF1419" s="981"/>
      <c r="IG1419" s="981"/>
      <c r="IH1419" s="981"/>
      <c r="II1419" s="981"/>
      <c r="IJ1419" s="981"/>
      <c r="IK1419" s="981"/>
      <c r="IL1419" s="981"/>
      <c r="IM1419" s="981"/>
      <c r="IN1419" s="981"/>
      <c r="IO1419" s="981"/>
      <c r="IP1419" s="981"/>
      <c r="IQ1419" s="981"/>
      <c r="IR1419" s="981"/>
      <c r="IS1419" s="981"/>
      <c r="IT1419" s="981"/>
      <c r="IU1419" s="981"/>
      <c r="IV1419" s="981"/>
      <c r="IW1419" s="981"/>
      <c r="IX1419" s="981"/>
      <c r="IY1419" s="981"/>
      <c r="IZ1419" s="981"/>
      <c r="JA1419" s="981"/>
      <c r="JB1419" s="981"/>
      <c r="JC1419" s="981"/>
      <c r="JD1419" s="981"/>
      <c r="JE1419" s="981"/>
      <c r="JF1419" s="981"/>
      <c r="JG1419" s="981"/>
      <c r="JH1419" s="981"/>
      <c r="JI1419" s="981"/>
      <c r="JJ1419" s="981"/>
      <c r="JK1419" s="981"/>
      <c r="JL1419" s="981"/>
      <c r="JM1419" s="981"/>
      <c r="JN1419" s="981"/>
      <c r="JO1419" s="981"/>
      <c r="JP1419" s="981"/>
      <c r="JQ1419" s="981"/>
      <c r="JR1419" s="981"/>
      <c r="JS1419" s="981"/>
      <c r="JT1419" s="981"/>
      <c r="JU1419" s="981"/>
      <c r="JV1419" s="981"/>
      <c r="JW1419" s="981"/>
      <c r="JX1419" s="981"/>
      <c r="JY1419" s="981"/>
      <c r="JZ1419" s="981"/>
      <c r="KA1419" s="981"/>
      <c r="KB1419" s="981"/>
      <c r="KC1419" s="981"/>
      <c r="KD1419" s="981"/>
      <c r="KE1419" s="981"/>
      <c r="KF1419" s="981"/>
      <c r="KG1419" s="981"/>
      <c r="KH1419" s="981"/>
      <c r="KI1419" s="981"/>
      <c r="KJ1419" s="981"/>
      <c r="KK1419" s="981"/>
      <c r="KL1419" s="981"/>
      <c r="KM1419" s="981"/>
      <c r="KN1419" s="981"/>
      <c r="KO1419" s="981"/>
      <c r="KP1419" s="981"/>
      <c r="KQ1419" s="981"/>
      <c r="KR1419" s="981"/>
      <c r="KS1419" s="981"/>
      <c r="KT1419" s="981"/>
      <c r="KU1419" s="981"/>
      <c r="KV1419" s="981"/>
      <c r="KW1419" s="981"/>
      <c r="KX1419" s="981"/>
      <c r="KY1419" s="981"/>
      <c r="KZ1419" s="981"/>
      <c r="LA1419" s="981"/>
      <c r="LB1419" s="981"/>
      <c r="LC1419" s="981"/>
      <c r="LD1419" s="981"/>
      <c r="LE1419" s="981"/>
      <c r="LF1419" s="981"/>
      <c r="LG1419" s="981"/>
      <c r="LH1419" s="981"/>
      <c r="LI1419" s="981"/>
      <c r="LJ1419" s="981"/>
      <c r="LK1419" s="981"/>
      <c r="LL1419" s="981"/>
      <c r="LM1419" s="981"/>
      <c r="LN1419" s="981"/>
      <c r="LO1419" s="981"/>
      <c r="LP1419" s="981"/>
      <c r="LQ1419" s="981"/>
      <c r="LR1419" s="981"/>
      <c r="LS1419" s="981"/>
      <c r="LT1419" s="981"/>
      <c r="LU1419" s="981"/>
      <c r="LV1419" s="981"/>
      <c r="LW1419" s="981"/>
      <c r="LX1419" s="981"/>
      <c r="LY1419" s="981"/>
      <c r="LZ1419" s="981"/>
      <c r="MA1419" s="981"/>
      <c r="MB1419" s="981"/>
      <c r="MC1419" s="981"/>
      <c r="MD1419" s="981"/>
      <c r="ME1419" s="981"/>
      <c r="MF1419" s="981"/>
      <c r="MG1419" s="981"/>
      <c r="MH1419" s="981"/>
      <c r="MI1419" s="981"/>
      <c r="MJ1419" s="981"/>
      <c r="MK1419" s="981"/>
      <c r="ML1419" s="981"/>
      <c r="MM1419" s="981"/>
      <c r="MN1419" s="981"/>
      <c r="MO1419" s="981"/>
      <c r="MP1419" s="981"/>
      <c r="MQ1419" s="981"/>
      <c r="MR1419" s="981"/>
      <c r="MS1419" s="981"/>
      <c r="MT1419" s="981"/>
      <c r="MU1419" s="981"/>
      <c r="MV1419" s="981"/>
      <c r="MW1419" s="981"/>
      <c r="MX1419" s="981"/>
      <c r="MY1419" s="981"/>
      <c r="MZ1419" s="981"/>
      <c r="NA1419" s="981"/>
      <c r="NB1419" s="981"/>
      <c r="NC1419" s="981"/>
      <c r="ND1419" s="981"/>
      <c r="NE1419" s="981"/>
      <c r="NF1419" s="981"/>
      <c r="NG1419" s="981"/>
      <c r="NH1419" s="981"/>
      <c r="NI1419" s="981"/>
      <c r="NJ1419" s="981"/>
      <c r="NK1419" s="981"/>
      <c r="NL1419" s="981"/>
      <c r="NM1419" s="981"/>
      <c r="NN1419" s="981"/>
      <c r="NO1419" s="981"/>
      <c r="NP1419" s="981"/>
      <c r="NQ1419" s="981"/>
      <c r="NR1419" s="981"/>
      <c r="NS1419" s="981"/>
      <c r="NT1419" s="981"/>
      <c r="NU1419" s="981"/>
      <c r="NV1419" s="981"/>
      <c r="NW1419" s="981"/>
      <c r="NX1419" s="981"/>
      <c r="NY1419" s="981"/>
      <c r="NZ1419" s="981"/>
      <c r="OA1419" s="981"/>
      <c r="OB1419" s="981"/>
      <c r="OC1419" s="981"/>
      <c r="OD1419" s="981"/>
      <c r="OE1419" s="981"/>
      <c r="OF1419" s="981"/>
      <c r="OG1419" s="981"/>
      <c r="OH1419" s="981"/>
      <c r="OI1419" s="981"/>
      <c r="OJ1419" s="981"/>
      <c r="OK1419" s="981"/>
      <c r="OL1419" s="981"/>
      <c r="OM1419" s="981"/>
      <c r="ON1419" s="981"/>
      <c r="OO1419" s="981"/>
      <c r="OP1419" s="981"/>
      <c r="OQ1419" s="981"/>
      <c r="OR1419" s="981"/>
      <c r="OS1419" s="981"/>
      <c r="OT1419" s="981"/>
      <c r="OU1419" s="981"/>
      <c r="OV1419" s="981"/>
      <c r="OW1419" s="981"/>
      <c r="OX1419" s="981"/>
      <c r="OY1419" s="981"/>
      <c r="OZ1419" s="981"/>
      <c r="PA1419" s="981"/>
      <c r="PB1419" s="981"/>
      <c r="PC1419" s="981"/>
      <c r="PD1419" s="981"/>
      <c r="PE1419" s="981"/>
      <c r="PF1419" s="981"/>
      <c r="PG1419" s="981"/>
      <c r="PH1419" s="981"/>
      <c r="PI1419" s="981"/>
      <c r="PJ1419" s="981"/>
      <c r="PK1419" s="981"/>
      <c r="PL1419" s="981"/>
      <c r="PM1419" s="981"/>
      <c r="PN1419" s="981"/>
      <c r="PO1419" s="981"/>
      <c r="PP1419" s="981"/>
      <c r="PQ1419" s="981"/>
      <c r="PR1419" s="981"/>
      <c r="PS1419" s="981"/>
      <c r="PT1419" s="981"/>
      <c r="PU1419" s="981"/>
      <c r="PV1419" s="981"/>
      <c r="PW1419" s="981"/>
      <c r="PX1419" s="981"/>
      <c r="PY1419" s="981"/>
      <c r="PZ1419" s="981"/>
      <c r="QA1419" s="981"/>
      <c r="QB1419" s="981"/>
      <c r="QC1419" s="981"/>
      <c r="QD1419" s="981"/>
      <c r="QE1419" s="981"/>
      <c r="QF1419" s="981"/>
      <c r="QG1419" s="981"/>
      <c r="QH1419" s="981"/>
      <c r="QI1419" s="981"/>
      <c r="QJ1419" s="981"/>
      <c r="QK1419" s="981"/>
      <c r="QL1419" s="981"/>
      <c r="QM1419" s="981"/>
      <c r="QN1419" s="981"/>
      <c r="QO1419" s="981"/>
      <c r="QP1419" s="981"/>
      <c r="QQ1419" s="981"/>
      <c r="QR1419" s="981"/>
      <c r="QS1419" s="981"/>
      <c r="QT1419" s="981"/>
      <c r="QU1419" s="981"/>
      <c r="QV1419" s="981"/>
      <c r="QW1419" s="981"/>
      <c r="QX1419" s="981"/>
      <c r="QY1419" s="981"/>
      <c r="QZ1419" s="981"/>
      <c r="RA1419" s="981"/>
      <c r="RB1419" s="981"/>
      <c r="RC1419" s="981"/>
      <c r="RD1419" s="981"/>
      <c r="RE1419" s="981"/>
      <c r="RF1419" s="981"/>
      <c r="RG1419" s="981"/>
      <c r="RH1419" s="981"/>
      <c r="RI1419" s="981"/>
      <c r="RJ1419" s="981"/>
      <c r="RK1419" s="981"/>
      <c r="RL1419" s="981"/>
      <c r="RM1419" s="981"/>
      <c r="RN1419" s="981"/>
      <c r="RO1419" s="981"/>
      <c r="RP1419" s="981"/>
      <c r="RQ1419" s="981"/>
      <c r="RR1419" s="981"/>
      <c r="RS1419" s="981"/>
      <c r="RT1419" s="981"/>
      <c r="RU1419" s="981"/>
      <c r="RV1419" s="981"/>
      <c r="RW1419" s="981"/>
      <c r="RX1419" s="981"/>
      <c r="RY1419" s="981"/>
      <c r="RZ1419" s="981"/>
      <c r="SA1419" s="981"/>
      <c r="SB1419" s="981"/>
      <c r="SC1419" s="981"/>
      <c r="SD1419" s="981"/>
      <c r="SE1419" s="981"/>
      <c r="SF1419" s="981"/>
      <c r="SG1419" s="981"/>
      <c r="SH1419" s="981"/>
      <c r="SI1419" s="981"/>
      <c r="SJ1419" s="981"/>
      <c r="SK1419" s="981"/>
      <c r="SL1419" s="981"/>
      <c r="SM1419" s="981"/>
      <c r="SN1419" s="981"/>
      <c r="SO1419" s="981"/>
      <c r="SP1419" s="981"/>
      <c r="SQ1419" s="981"/>
      <c r="SR1419" s="981"/>
      <c r="SS1419" s="981"/>
      <c r="ST1419" s="981"/>
      <c r="SU1419" s="981"/>
      <c r="SV1419" s="981"/>
      <c r="SW1419" s="981"/>
      <c r="SX1419" s="981"/>
      <c r="SY1419" s="981"/>
      <c r="SZ1419" s="981"/>
      <c r="TA1419" s="981"/>
      <c r="TB1419" s="981"/>
      <c r="TC1419" s="981"/>
      <c r="TD1419" s="981"/>
      <c r="TE1419" s="981"/>
      <c r="TF1419" s="981"/>
      <c r="TG1419" s="981"/>
      <c r="TH1419" s="981"/>
      <c r="TI1419" s="981"/>
      <c r="TJ1419" s="981"/>
      <c r="TK1419" s="981"/>
      <c r="TL1419" s="981"/>
      <c r="TM1419" s="981"/>
      <c r="TN1419" s="981"/>
      <c r="TO1419" s="981"/>
      <c r="TP1419" s="981"/>
      <c r="TQ1419" s="981"/>
      <c r="TR1419" s="981"/>
      <c r="TS1419" s="981"/>
      <c r="TT1419" s="981"/>
      <c r="TU1419" s="981"/>
      <c r="TV1419" s="981"/>
      <c r="TW1419" s="981"/>
      <c r="TX1419" s="981"/>
      <c r="TY1419" s="981"/>
      <c r="TZ1419" s="981"/>
      <c r="UA1419" s="981"/>
      <c r="UB1419" s="981"/>
      <c r="UC1419" s="981"/>
      <c r="UD1419" s="981"/>
      <c r="UE1419" s="981"/>
      <c r="UF1419" s="981"/>
      <c r="UG1419" s="981"/>
      <c r="UH1419" s="981"/>
      <c r="UI1419" s="981"/>
      <c r="UJ1419" s="981"/>
      <c r="UK1419" s="981"/>
      <c r="UL1419" s="981"/>
      <c r="UM1419" s="981"/>
      <c r="UN1419" s="981"/>
      <c r="UO1419" s="981"/>
      <c r="UP1419" s="981"/>
      <c r="UQ1419" s="981"/>
      <c r="UR1419" s="981"/>
      <c r="US1419" s="981"/>
      <c r="UT1419" s="981"/>
      <c r="UU1419" s="981"/>
      <c r="UV1419" s="981"/>
      <c r="UW1419" s="981"/>
      <c r="UX1419" s="981"/>
      <c r="UY1419" s="981"/>
      <c r="UZ1419" s="981"/>
      <c r="VA1419" s="981"/>
      <c r="VB1419" s="981"/>
      <c r="VC1419" s="981"/>
      <c r="VD1419" s="981"/>
      <c r="VE1419" s="981"/>
      <c r="VF1419" s="981"/>
      <c r="VG1419" s="981"/>
      <c r="VH1419" s="981"/>
      <c r="VI1419" s="981"/>
      <c r="VJ1419" s="981"/>
      <c r="VK1419" s="981"/>
      <c r="VL1419" s="981"/>
      <c r="VM1419" s="981"/>
      <c r="VN1419" s="981"/>
      <c r="VO1419" s="981"/>
      <c r="VP1419" s="981"/>
      <c r="VQ1419" s="981"/>
      <c r="VR1419" s="981"/>
      <c r="VS1419" s="981"/>
      <c r="VT1419" s="981"/>
      <c r="VU1419" s="981"/>
      <c r="VV1419" s="981"/>
      <c r="VW1419" s="981"/>
      <c r="VX1419" s="981"/>
      <c r="VY1419" s="981"/>
      <c r="VZ1419" s="981"/>
      <c r="WA1419" s="981"/>
      <c r="WB1419" s="981"/>
      <c r="WC1419" s="981"/>
      <c r="WD1419" s="981"/>
      <c r="WE1419" s="981"/>
      <c r="WF1419" s="981"/>
      <c r="WG1419" s="981"/>
      <c r="WH1419" s="981"/>
      <c r="WI1419" s="981"/>
      <c r="WJ1419" s="981"/>
      <c r="WK1419" s="981"/>
      <c r="WL1419" s="981"/>
      <c r="WM1419" s="981"/>
      <c r="WN1419" s="981"/>
      <c r="WO1419" s="981"/>
      <c r="WP1419" s="981"/>
      <c r="WQ1419" s="981"/>
      <c r="WR1419" s="981"/>
      <c r="WS1419" s="981"/>
      <c r="WT1419" s="981"/>
      <c r="WU1419" s="981"/>
      <c r="WV1419" s="981"/>
      <c r="WW1419" s="981"/>
      <c r="WX1419" s="981"/>
      <c r="WY1419" s="981"/>
      <c r="WZ1419" s="981"/>
      <c r="XA1419" s="981"/>
      <c r="XB1419" s="981"/>
      <c r="XC1419" s="981"/>
      <c r="XD1419" s="981"/>
      <c r="XE1419" s="981"/>
      <c r="XF1419" s="981"/>
      <c r="XG1419" s="981"/>
      <c r="XH1419" s="981"/>
      <c r="XI1419" s="981"/>
      <c r="XJ1419" s="981"/>
      <c r="XK1419" s="981"/>
      <c r="XL1419" s="981"/>
      <c r="XM1419" s="981"/>
      <c r="XN1419" s="981"/>
      <c r="XO1419" s="981"/>
      <c r="XP1419" s="981"/>
      <c r="XQ1419" s="981"/>
      <c r="XR1419" s="981"/>
      <c r="XS1419" s="981"/>
      <c r="XT1419" s="981"/>
      <c r="XU1419" s="981"/>
      <c r="XV1419" s="981"/>
      <c r="XW1419" s="981"/>
      <c r="XX1419" s="981"/>
      <c r="XY1419" s="981"/>
      <c r="XZ1419" s="981"/>
      <c r="YA1419" s="981"/>
      <c r="YB1419" s="981"/>
      <c r="YC1419" s="981"/>
      <c r="YD1419" s="981"/>
      <c r="YE1419" s="981"/>
      <c r="YF1419" s="981"/>
      <c r="YG1419" s="981"/>
      <c r="YH1419" s="981"/>
      <c r="YI1419" s="981"/>
      <c r="YJ1419" s="981"/>
      <c r="YK1419" s="981"/>
      <c r="YL1419" s="981"/>
      <c r="YM1419" s="981"/>
      <c r="YN1419" s="981"/>
      <c r="YO1419" s="981"/>
      <c r="YP1419" s="981"/>
      <c r="YQ1419" s="981"/>
      <c r="YR1419" s="981"/>
      <c r="YS1419" s="981"/>
      <c r="YT1419" s="981"/>
      <c r="YU1419" s="981"/>
      <c r="YV1419" s="981"/>
      <c r="YW1419" s="981"/>
      <c r="YX1419" s="981"/>
      <c r="YY1419" s="981"/>
      <c r="YZ1419" s="981"/>
      <c r="ZA1419" s="981"/>
      <c r="ZB1419" s="981"/>
      <c r="ZC1419" s="981"/>
      <c r="ZD1419" s="981"/>
      <c r="ZE1419" s="981"/>
      <c r="ZF1419" s="981"/>
      <c r="ZG1419" s="981"/>
      <c r="ZH1419" s="981"/>
      <c r="ZI1419" s="981"/>
      <c r="ZJ1419" s="981"/>
      <c r="ZK1419" s="981"/>
      <c r="ZL1419" s="981"/>
      <c r="ZM1419" s="981"/>
      <c r="ZN1419" s="981"/>
      <c r="ZO1419" s="981"/>
      <c r="ZP1419" s="981"/>
      <c r="ZQ1419" s="981"/>
      <c r="ZR1419" s="981"/>
      <c r="ZS1419" s="981"/>
      <c r="ZT1419" s="981"/>
      <c r="ZU1419" s="981"/>
      <c r="ZV1419" s="981"/>
      <c r="ZW1419" s="981"/>
      <c r="ZX1419" s="981"/>
      <c r="ZY1419" s="981"/>
      <c r="ZZ1419" s="981"/>
      <c r="AAA1419" s="981"/>
      <c r="AAB1419" s="981"/>
      <c r="AAC1419" s="981"/>
      <c r="AAD1419" s="981"/>
      <c r="AAE1419" s="981"/>
      <c r="AAF1419" s="981"/>
      <c r="AAG1419" s="981"/>
      <c r="AAH1419" s="981"/>
      <c r="AAI1419" s="981"/>
      <c r="AAJ1419" s="981"/>
      <c r="AAK1419" s="981"/>
      <c r="AAL1419" s="981"/>
      <c r="AAM1419" s="981"/>
      <c r="AAN1419" s="981"/>
      <c r="AAO1419" s="981"/>
      <c r="AAP1419" s="981"/>
      <c r="AAQ1419" s="981"/>
      <c r="AAR1419" s="981"/>
      <c r="AAS1419" s="981"/>
      <c r="AAT1419" s="981"/>
      <c r="AAU1419" s="981"/>
      <c r="AAV1419" s="981"/>
      <c r="AAW1419" s="981"/>
      <c r="AAX1419" s="981"/>
      <c r="AAY1419" s="981"/>
      <c r="AAZ1419" s="981"/>
      <c r="ABA1419" s="981"/>
      <c r="ABB1419" s="981"/>
      <c r="ABC1419" s="981"/>
      <c r="ABD1419" s="981"/>
      <c r="ABE1419" s="981"/>
      <c r="ABF1419" s="981"/>
      <c r="ABG1419" s="981"/>
      <c r="ABH1419" s="981"/>
      <c r="ABI1419" s="981"/>
      <c r="ABJ1419" s="981"/>
      <c r="ABK1419" s="981"/>
      <c r="ABL1419" s="981"/>
      <c r="ABM1419" s="981"/>
      <c r="ABN1419" s="981"/>
      <c r="ABO1419" s="981"/>
      <c r="ABP1419" s="981"/>
      <c r="ABQ1419" s="981"/>
      <c r="ABR1419" s="981"/>
      <c r="ABS1419" s="981"/>
      <c r="ABT1419" s="981"/>
      <c r="ABU1419" s="981"/>
      <c r="ABV1419" s="981"/>
      <c r="ABW1419" s="981"/>
      <c r="ABX1419" s="981"/>
      <c r="ABY1419" s="981"/>
      <c r="ABZ1419" s="981"/>
      <c r="ACA1419" s="981"/>
      <c r="ACB1419" s="981"/>
      <c r="ACC1419" s="981"/>
      <c r="ACD1419" s="981"/>
      <c r="ACE1419" s="981"/>
      <c r="ACF1419" s="981"/>
      <c r="ACG1419" s="981"/>
      <c r="ACH1419" s="981"/>
      <c r="ACI1419" s="981"/>
      <c r="ACJ1419" s="981"/>
      <c r="ACK1419" s="981"/>
      <c r="ACL1419" s="981"/>
      <c r="ACM1419" s="981"/>
      <c r="ACN1419" s="981"/>
      <c r="ACO1419" s="981"/>
      <c r="ACP1419" s="981"/>
      <c r="ACQ1419" s="981"/>
      <c r="ACR1419" s="981"/>
      <c r="ACS1419" s="981"/>
      <c r="ACT1419" s="981"/>
      <c r="ACU1419" s="981"/>
      <c r="ACV1419" s="981"/>
      <c r="ACW1419" s="981"/>
      <c r="ACX1419" s="981"/>
      <c r="ACY1419" s="981"/>
      <c r="ACZ1419" s="981"/>
      <c r="ADA1419" s="981"/>
      <c r="ADB1419" s="981"/>
      <c r="ADC1419" s="981"/>
      <c r="ADD1419" s="981"/>
      <c r="ADE1419" s="981"/>
      <c r="ADF1419" s="981"/>
      <c r="ADG1419" s="981"/>
      <c r="ADH1419" s="981"/>
      <c r="ADI1419" s="981"/>
      <c r="ADJ1419" s="981"/>
      <c r="ADK1419" s="981"/>
      <c r="ADL1419" s="981"/>
      <c r="ADM1419" s="981"/>
      <c r="ADN1419" s="981"/>
      <c r="ADO1419" s="981"/>
      <c r="ADP1419" s="981"/>
      <c r="ADQ1419" s="981"/>
      <c r="ADR1419" s="981"/>
      <c r="ADS1419" s="981"/>
      <c r="ADT1419" s="981"/>
      <c r="ADU1419" s="981"/>
      <c r="ADV1419" s="981"/>
      <c r="ADW1419" s="981"/>
      <c r="ADX1419" s="981"/>
      <c r="ADY1419" s="981"/>
      <c r="ADZ1419" s="981"/>
      <c r="AEA1419" s="981"/>
      <c r="AEB1419" s="981"/>
      <c r="AEC1419" s="981"/>
      <c r="AED1419" s="981"/>
      <c r="AEE1419" s="981"/>
      <c r="AEF1419" s="981"/>
      <c r="AEG1419" s="981"/>
      <c r="AEH1419" s="981"/>
      <c r="AEI1419" s="981"/>
      <c r="AEJ1419" s="981"/>
      <c r="AEK1419" s="981"/>
      <c r="AEL1419" s="981"/>
      <c r="AEM1419" s="981"/>
      <c r="AEN1419" s="981"/>
      <c r="AEO1419" s="981"/>
      <c r="AEP1419" s="981"/>
      <c r="AEQ1419" s="981"/>
      <c r="AER1419" s="981"/>
      <c r="AES1419" s="981"/>
      <c r="AET1419" s="981"/>
      <c r="AEU1419" s="981"/>
      <c r="AEV1419" s="981"/>
      <c r="AEW1419" s="981"/>
      <c r="AEX1419" s="981"/>
      <c r="AEY1419" s="981"/>
      <c r="AEZ1419" s="981"/>
      <c r="AFA1419" s="981"/>
      <c r="AFB1419" s="981"/>
      <c r="AFC1419" s="981"/>
      <c r="AFD1419" s="981"/>
      <c r="AFE1419" s="981"/>
      <c r="AFF1419" s="981"/>
      <c r="AFG1419" s="981"/>
      <c r="AFH1419" s="981"/>
      <c r="AFI1419" s="981"/>
      <c r="AFJ1419" s="981"/>
      <c r="AFK1419" s="981"/>
      <c r="AFL1419" s="981"/>
      <c r="AFM1419" s="981"/>
      <c r="AFN1419" s="981"/>
      <c r="AFO1419" s="981"/>
      <c r="AFP1419" s="981"/>
      <c r="AFQ1419" s="981"/>
      <c r="AFR1419" s="981"/>
      <c r="AFS1419" s="981"/>
      <c r="AFT1419" s="981"/>
      <c r="AFU1419" s="981"/>
      <c r="AFV1419" s="981"/>
      <c r="AFW1419" s="981"/>
      <c r="AFX1419" s="981"/>
      <c r="AFY1419" s="981"/>
      <c r="AFZ1419" s="981"/>
      <c r="AGA1419" s="981"/>
      <c r="AGB1419" s="981"/>
      <c r="AGC1419" s="981"/>
      <c r="AGD1419" s="981"/>
      <c r="AGE1419" s="981"/>
      <c r="AGF1419" s="981"/>
      <c r="AGG1419" s="981"/>
      <c r="AGH1419" s="981"/>
      <c r="AGI1419" s="981"/>
      <c r="AGJ1419" s="981"/>
    </row>
    <row r="1420" spans="1:868">
      <c r="A1420" s="918" t="str">
        <f>Clothing!A388</f>
        <v>Import of clothing (Global)</v>
      </c>
      <c r="B1420" s="918" t="str">
        <f>Clothing!B388</f>
        <v>Clothing (product sector)</v>
      </c>
      <c r="C1420" s="918" t="str">
        <f>Clothing!C388</f>
        <v>any</v>
      </c>
      <c r="D1420" s="918" t="str">
        <f>Clothing!D388</f>
        <v>any</v>
      </c>
      <c r="E1420" s="918">
        <f>Clothing!E388</f>
        <v>1</v>
      </c>
      <c r="F1420" s="918">
        <f>Clothing!F388</f>
        <v>1</v>
      </c>
      <c r="G1420" s="918" t="str">
        <f>Clothing!G388</f>
        <v>Assumption</v>
      </c>
      <c r="H1420" s="918"/>
      <c r="I1420" s="918"/>
      <c r="J1420" s="918"/>
      <c r="K1420" s="918"/>
      <c r="L1420" s="918"/>
      <c r="M1420" s="918"/>
      <c r="N1420" s="186"/>
      <c r="O1420" s="160"/>
    </row>
    <row r="1421" spans="1:868" hidden="1">
      <c r="A1421" s="918" t="str">
        <f>Clothing!A389</f>
        <v>Manufacturing of clothing</v>
      </c>
      <c r="B1421" s="918" t="str">
        <f>Clothing!B389</f>
        <v>Clothing (product sector)</v>
      </c>
      <c r="C1421" s="918" t="str">
        <f>Clothing!C389</f>
        <v>any</v>
      </c>
      <c r="D1421" s="918" t="str">
        <f>Clothing!D389</f>
        <v>any</v>
      </c>
      <c r="E1421" s="918" t="str">
        <f>Clothing!E389</f>
        <v>rest</v>
      </c>
      <c r="F1421" s="918">
        <f>Clothing!F389</f>
        <v>1</v>
      </c>
      <c r="G1421" s="918">
        <f>Clothing!G389</f>
        <v>0</v>
      </c>
      <c r="H1421" s="918"/>
      <c r="I1421" s="918"/>
      <c r="J1421" s="918"/>
      <c r="K1421" s="918"/>
      <c r="L1421" s="918"/>
      <c r="M1421" s="918"/>
      <c r="N1421" s="186"/>
      <c r="O1421" s="160"/>
    </row>
    <row r="1422" spans="1:868" hidden="1">
      <c r="A1422" s="918" t="str">
        <f>Clothing!A390</f>
        <v>Manufacturing of clothing</v>
      </c>
      <c r="B1422" s="918" t="str">
        <f>Clothing!B390</f>
        <v>Textile recycling</v>
      </c>
      <c r="C1422" s="918" t="str">
        <f>Clothing!C390</f>
        <v>any</v>
      </c>
      <c r="D1422" s="918" t="str">
        <f>Clothing!D390</f>
        <v>any</v>
      </c>
      <c r="E1422" s="918">
        <f>Clothing!E390</f>
        <v>0.21550000000000002</v>
      </c>
      <c r="F1422" s="918">
        <f>Clothing!F390</f>
        <v>2</v>
      </c>
      <c r="G1422" s="918" t="str">
        <f>Clothing!G390</f>
        <v>PEFCR (2021), Table 28 - woven clothing</v>
      </c>
      <c r="H1422" s="918">
        <f>Clothing!H390</f>
        <v>2</v>
      </c>
      <c r="I1422" s="918">
        <f>Clothing!I390</f>
        <v>2</v>
      </c>
      <c r="J1422" s="918">
        <f>Clothing!J390</f>
        <v>2</v>
      </c>
      <c r="K1422" s="918">
        <f>Clothing!K390</f>
        <v>3</v>
      </c>
      <c r="L1422" s="918">
        <f>Clothing!L390</f>
        <v>2</v>
      </c>
      <c r="M1422" s="918">
        <f>Clothing!M390</f>
        <v>1</v>
      </c>
      <c r="N1422" s="186"/>
      <c r="O1422" s="160"/>
    </row>
    <row r="1423" spans="1:868" hidden="1">
      <c r="A1423" s="918" t="str">
        <f>Clothing!A391</f>
        <v>Manufacturing of clothing</v>
      </c>
      <c r="B1423" s="918" t="str">
        <f>Clothing!B391</f>
        <v>Textile recycling</v>
      </c>
      <c r="C1423" s="918" t="str">
        <f>Clothing!C391</f>
        <v>any</v>
      </c>
      <c r="D1423" s="918" t="str">
        <f>Clothing!D391</f>
        <v>any</v>
      </c>
      <c r="E1423" s="918">
        <f>Clothing!E391</f>
        <v>0.20610000000000001</v>
      </c>
      <c r="F1423" s="918">
        <f>Clothing!F391</f>
        <v>2</v>
      </c>
      <c r="G1423" s="918" t="str">
        <f>Clothing!G391</f>
        <v>PEFCR (2021), Table 28 - knit clothing</v>
      </c>
      <c r="H1423" s="918">
        <f>Clothing!H391</f>
        <v>2</v>
      </c>
      <c r="I1423" s="918">
        <f>Clothing!I391</f>
        <v>2</v>
      </c>
      <c r="J1423" s="918">
        <f>Clothing!J391</f>
        <v>2</v>
      </c>
      <c r="K1423" s="918">
        <f>Clothing!K391</f>
        <v>3</v>
      </c>
      <c r="L1423" s="918">
        <f>Clothing!L391</f>
        <v>2</v>
      </c>
      <c r="M1423" s="918">
        <f>Clothing!M391</f>
        <v>1</v>
      </c>
      <c r="N1423" s="7"/>
      <c r="O1423" s="7"/>
    </row>
    <row r="1424" spans="1:868">
      <c r="A1424" s="918" t="str">
        <f>Clothing!A392</f>
        <v>Import of plastic sheets</v>
      </c>
      <c r="B1424" s="918" t="str">
        <f>Clothing!B392</f>
        <v>Manufacturing of clothing</v>
      </c>
      <c r="C1424" s="918" t="str">
        <f>Clothing!C392</f>
        <v>any</v>
      </c>
      <c r="D1424" s="918" t="str">
        <f>Clothing!D392</f>
        <v>any</v>
      </c>
      <c r="E1424" s="918">
        <f>Clothing!E392</f>
        <v>1</v>
      </c>
      <c r="F1424" s="918">
        <f>Clothing!F392</f>
        <v>1</v>
      </c>
      <c r="G1424" s="918" t="str">
        <f>Clothing!G392</f>
        <v>Assumption</v>
      </c>
      <c r="H1424" s="918"/>
      <c r="I1424" s="918"/>
      <c r="J1424" s="918"/>
      <c r="K1424" s="918"/>
      <c r="L1424" s="918"/>
      <c r="M1424" s="918"/>
      <c r="N1424" s="7"/>
      <c r="O1424" s="7"/>
    </row>
    <row r="1425" spans="1:15">
      <c r="A1425" s="918" t="str">
        <f>Clothing!A393</f>
        <v>Import of yarn</v>
      </c>
      <c r="B1425" s="918" t="str">
        <f>Clothing!B393</f>
        <v>Manufacturing of clothing</v>
      </c>
      <c r="C1425" s="918" t="str">
        <f>Clothing!C393</f>
        <v>any</v>
      </c>
      <c r="D1425" s="918" t="str">
        <f>Clothing!D393</f>
        <v>any</v>
      </c>
      <c r="E1425" s="918">
        <f>Clothing!E393</f>
        <v>1</v>
      </c>
      <c r="F1425" s="918">
        <f>Clothing!F393</f>
        <v>1</v>
      </c>
      <c r="G1425" s="918" t="str">
        <f>Clothing!G393</f>
        <v>Assumption</v>
      </c>
      <c r="H1425" s="918"/>
      <c r="I1425" s="918"/>
      <c r="J1425" s="918"/>
      <c r="K1425" s="918"/>
      <c r="L1425" s="918"/>
      <c r="M1425" s="918"/>
      <c r="N1425" s="7"/>
      <c r="O1425" s="7"/>
    </row>
    <row r="1426" spans="1:15">
      <c r="A1426" s="918"/>
      <c r="B1426" s="918"/>
      <c r="C1426" s="918"/>
      <c r="D1426" s="918"/>
      <c r="E1426" s="918"/>
      <c r="F1426" s="918"/>
      <c r="G1426" s="918"/>
      <c r="H1426" s="918"/>
      <c r="I1426" s="918"/>
      <c r="J1426" s="918"/>
      <c r="K1426" s="918"/>
      <c r="L1426" s="918"/>
      <c r="M1426" s="918"/>
      <c r="N1426" s="7"/>
      <c r="O1426" s="7"/>
    </row>
    <row r="1427" spans="1:15">
      <c r="A1427" s="918"/>
      <c r="B1427" s="918"/>
      <c r="C1427" s="918"/>
      <c r="D1427" s="918"/>
      <c r="E1427" s="918"/>
      <c r="F1427" s="918"/>
      <c r="G1427" s="918"/>
      <c r="H1427" s="918"/>
      <c r="I1427" s="918"/>
      <c r="J1427" s="918"/>
      <c r="K1427" s="918"/>
      <c r="L1427" s="918"/>
      <c r="M1427" s="918"/>
      <c r="N1427" s="7"/>
      <c r="O1427" s="7"/>
    </row>
    <row r="1428" spans="1:15">
      <c r="A1428" s="918"/>
      <c r="B1428" s="918"/>
      <c r="C1428" s="918"/>
      <c r="D1428" s="918"/>
      <c r="E1428" s="918"/>
      <c r="F1428" s="918"/>
      <c r="G1428" s="918"/>
      <c r="H1428" s="918"/>
      <c r="I1428" s="918"/>
      <c r="J1428" s="918"/>
      <c r="K1428" s="918"/>
      <c r="L1428" s="918"/>
      <c r="M1428" s="918"/>
      <c r="N1428" s="7"/>
      <c r="O1428" s="7"/>
    </row>
    <row r="1429" spans="1:15">
      <c r="A1429" s="918"/>
      <c r="B1429" s="918"/>
      <c r="C1429" s="918"/>
      <c r="D1429" s="918"/>
      <c r="E1429" s="918"/>
      <c r="F1429" s="918"/>
      <c r="G1429" s="918"/>
      <c r="H1429" s="918"/>
      <c r="I1429" s="918"/>
      <c r="J1429" s="918"/>
      <c r="K1429" s="918"/>
      <c r="L1429" s="918"/>
      <c r="M1429" s="918"/>
      <c r="N1429" s="7"/>
      <c r="O1429" s="7"/>
    </row>
    <row r="1430" spans="1:15">
      <c r="A1430" s="918"/>
      <c r="B1430" s="918"/>
      <c r="C1430" s="918"/>
      <c r="D1430" s="918"/>
      <c r="E1430" s="918"/>
      <c r="F1430" s="918"/>
      <c r="G1430" s="918"/>
      <c r="H1430" s="918"/>
      <c r="I1430" s="918"/>
      <c r="J1430" s="918"/>
      <c r="K1430" s="918"/>
      <c r="L1430" s="918"/>
      <c r="M1430" s="918"/>
      <c r="N1430" s="7"/>
      <c r="O1430" s="7"/>
    </row>
    <row r="1431" spans="1:15">
      <c r="A1431" s="918"/>
      <c r="B1431" s="918"/>
      <c r="C1431" s="918"/>
      <c r="D1431" s="918"/>
      <c r="E1431" s="918"/>
      <c r="F1431" s="918"/>
      <c r="G1431" s="918"/>
      <c r="H1431" s="918"/>
      <c r="I1431" s="918"/>
      <c r="J1431" s="918"/>
      <c r="K1431" s="918"/>
      <c r="L1431" s="918"/>
      <c r="M1431" s="918"/>
      <c r="N1431" s="7"/>
      <c r="O1431" s="7"/>
    </row>
    <row r="1432" spans="1:15">
      <c r="A1432" s="918"/>
      <c r="B1432" s="918"/>
      <c r="C1432" s="918"/>
      <c r="D1432" s="918"/>
      <c r="E1432" s="918"/>
      <c r="F1432" s="918"/>
      <c r="G1432" s="918"/>
      <c r="H1432" s="918"/>
      <c r="I1432" s="918"/>
      <c r="J1432" s="918"/>
      <c r="K1432" s="918"/>
      <c r="L1432" s="918"/>
      <c r="M1432" s="918"/>
      <c r="N1432" s="7"/>
      <c r="O1432" s="7"/>
    </row>
    <row r="1433" spans="1:15">
      <c r="A1433" s="918"/>
      <c r="B1433" s="918"/>
      <c r="C1433" s="918"/>
      <c r="D1433" s="918"/>
      <c r="E1433" s="918"/>
      <c r="F1433" s="918"/>
      <c r="G1433" s="918"/>
      <c r="H1433" s="918"/>
      <c r="I1433" s="918"/>
      <c r="J1433" s="918"/>
      <c r="K1433" s="918"/>
      <c r="L1433" s="918"/>
      <c r="M1433" s="918"/>
      <c r="N1433" s="7"/>
      <c r="O1433" s="7"/>
    </row>
    <row r="1434" spans="1:15">
      <c r="A1434" s="918"/>
      <c r="B1434" s="918"/>
      <c r="C1434" s="918"/>
      <c r="D1434" s="918"/>
      <c r="E1434" s="918"/>
      <c r="F1434" s="918"/>
      <c r="G1434" s="918"/>
      <c r="H1434" s="918"/>
      <c r="I1434" s="918"/>
      <c r="J1434" s="918"/>
      <c r="K1434" s="918"/>
      <c r="L1434" s="918"/>
      <c r="M1434" s="918"/>
      <c r="N1434" s="7"/>
      <c r="O1434" s="7"/>
    </row>
    <row r="1435" spans="1:15">
      <c r="A1435" s="918"/>
      <c r="B1435" s="918"/>
      <c r="C1435" s="918"/>
      <c r="D1435" s="918"/>
      <c r="E1435" s="918"/>
      <c r="F1435" s="918"/>
      <c r="G1435" s="918"/>
      <c r="H1435" s="918"/>
      <c r="I1435" s="918"/>
      <c r="J1435" s="918"/>
      <c r="K1435" s="918"/>
      <c r="L1435" s="918"/>
      <c r="M1435" s="918"/>
      <c r="N1435" s="7"/>
      <c r="O1435" s="7"/>
    </row>
    <row r="1436" spans="1:15">
      <c r="A1436" s="918"/>
      <c r="B1436" s="918"/>
      <c r="C1436" s="918"/>
      <c r="D1436" s="918"/>
      <c r="E1436" s="918"/>
      <c r="F1436" s="918"/>
      <c r="G1436" s="918"/>
      <c r="H1436" s="918"/>
      <c r="I1436" s="918"/>
      <c r="J1436" s="918"/>
      <c r="K1436" s="918"/>
      <c r="L1436" s="918"/>
      <c r="M1436" s="918"/>
      <c r="N1436" s="7"/>
      <c r="O1436" s="7"/>
    </row>
    <row r="1437" spans="1:15">
      <c r="A1437" s="918"/>
      <c r="B1437" s="918"/>
      <c r="C1437" s="918"/>
      <c r="D1437" s="918"/>
      <c r="E1437" s="918"/>
      <c r="F1437" s="918"/>
      <c r="G1437" s="918"/>
      <c r="H1437" s="918"/>
      <c r="I1437" s="918"/>
      <c r="J1437" s="918"/>
      <c r="K1437" s="918"/>
      <c r="L1437" s="918"/>
      <c r="M1437" s="918"/>
      <c r="N1437" s="7"/>
      <c r="O1437" s="7"/>
    </row>
    <row r="1438" spans="1:15">
      <c r="A1438" s="918"/>
      <c r="B1438" s="918"/>
      <c r="C1438" s="918"/>
      <c r="D1438" s="918"/>
      <c r="E1438" s="918"/>
      <c r="F1438" s="918"/>
      <c r="G1438" s="918"/>
      <c r="H1438" s="918"/>
      <c r="I1438" s="918"/>
      <c r="J1438" s="918"/>
      <c r="K1438" s="918"/>
      <c r="L1438" s="918"/>
      <c r="M1438" s="918"/>
      <c r="N1438" s="7"/>
      <c r="O1438" s="7"/>
    </row>
    <row r="1439" spans="1:15">
      <c r="A1439" s="918"/>
      <c r="B1439" s="918"/>
      <c r="C1439" s="918"/>
      <c r="D1439" s="918"/>
      <c r="E1439" s="918"/>
      <c r="F1439" s="918"/>
      <c r="G1439" s="918"/>
      <c r="H1439" s="918"/>
      <c r="I1439" s="918"/>
      <c r="J1439" s="918"/>
      <c r="K1439" s="918"/>
      <c r="L1439" s="918"/>
      <c r="M1439" s="918"/>
      <c r="N1439" s="7"/>
      <c r="O1439" s="7"/>
    </row>
    <row r="1440" spans="1:15">
      <c r="A1440" s="918"/>
      <c r="B1440" s="918"/>
      <c r="C1440" s="918"/>
      <c r="D1440" s="918"/>
      <c r="E1440" s="918"/>
      <c r="F1440" s="918"/>
      <c r="G1440" s="918"/>
      <c r="H1440" s="918"/>
      <c r="I1440" s="918"/>
      <c r="J1440" s="918"/>
      <c r="K1440" s="918"/>
      <c r="L1440" s="918"/>
      <c r="M1440" s="918"/>
      <c r="N1440" s="7"/>
      <c r="O1440" s="7"/>
    </row>
    <row r="1441" spans="1:15">
      <c r="A1441" s="918"/>
      <c r="B1441" s="918"/>
      <c r="C1441" s="918"/>
      <c r="D1441" s="918"/>
      <c r="E1441" s="918"/>
      <c r="F1441" s="918"/>
      <c r="G1441" s="918"/>
      <c r="H1441" s="918"/>
      <c r="I1441" s="918"/>
      <c r="J1441" s="918"/>
      <c r="K1441" s="918"/>
      <c r="L1441" s="918"/>
      <c r="M1441" s="918"/>
      <c r="N1441" s="7"/>
      <c r="O1441" s="7"/>
    </row>
    <row r="1442" spans="1:15">
      <c r="A1442" s="918"/>
      <c r="B1442" s="918"/>
      <c r="C1442" s="918"/>
      <c r="D1442" s="918"/>
      <c r="E1442" s="918"/>
      <c r="F1442" s="918"/>
      <c r="G1442" s="918"/>
      <c r="H1442" s="918"/>
      <c r="I1442" s="918"/>
      <c r="J1442" s="918"/>
      <c r="K1442" s="918"/>
      <c r="L1442" s="918"/>
      <c r="M1442" s="918"/>
      <c r="N1442" s="7"/>
      <c r="O1442" s="7"/>
    </row>
    <row r="1443" spans="1:15">
      <c r="A1443" s="918"/>
      <c r="B1443" s="918"/>
      <c r="C1443" s="918"/>
      <c r="D1443" s="918"/>
      <c r="E1443" s="918"/>
      <c r="F1443" s="918"/>
      <c r="G1443" s="918"/>
      <c r="H1443" s="918"/>
      <c r="I1443" s="918"/>
      <c r="J1443" s="918"/>
      <c r="K1443" s="918"/>
      <c r="L1443" s="918"/>
      <c r="M1443" s="918"/>
      <c r="N1443" s="7"/>
      <c r="O1443" s="7"/>
    </row>
    <row r="1444" spans="1:15">
      <c r="A1444" s="918"/>
      <c r="B1444" s="918"/>
      <c r="C1444" s="918"/>
      <c r="D1444" s="918"/>
      <c r="E1444" s="918"/>
      <c r="F1444" s="918"/>
      <c r="G1444" s="918"/>
      <c r="H1444" s="918"/>
      <c r="I1444" s="918"/>
      <c r="J1444" s="918"/>
      <c r="K1444" s="918"/>
      <c r="L1444" s="918"/>
      <c r="M1444" s="918"/>
      <c r="N1444" s="7"/>
      <c r="O1444" s="7"/>
    </row>
    <row r="1445" spans="1:15">
      <c r="A1445" s="918"/>
      <c r="B1445" s="918"/>
      <c r="C1445" s="918"/>
      <c r="D1445" s="918"/>
      <c r="E1445" s="918"/>
      <c r="F1445" s="918"/>
      <c r="G1445" s="918"/>
      <c r="H1445" s="918"/>
      <c r="I1445" s="918"/>
      <c r="J1445" s="918"/>
      <c r="K1445" s="918"/>
      <c r="L1445" s="918"/>
      <c r="M1445" s="918"/>
      <c r="N1445" s="7"/>
      <c r="O1445" s="7"/>
    </row>
    <row r="1446" spans="1:15">
      <c r="A1446" s="918"/>
      <c r="B1446" s="918"/>
      <c r="C1446" s="918"/>
      <c r="D1446" s="918"/>
      <c r="E1446" s="918"/>
      <c r="F1446" s="918"/>
      <c r="G1446" s="918"/>
      <c r="H1446" s="918"/>
      <c r="I1446" s="918"/>
      <c r="J1446" s="918"/>
      <c r="K1446" s="918"/>
      <c r="L1446" s="918"/>
      <c r="M1446" s="918"/>
      <c r="N1446" s="7"/>
      <c r="O1446" s="7"/>
    </row>
    <row r="1447" spans="1:15">
      <c r="A1447" s="918"/>
      <c r="B1447" s="918"/>
      <c r="C1447" s="918"/>
      <c r="D1447" s="918"/>
      <c r="E1447" s="918"/>
      <c r="F1447" s="918"/>
      <c r="G1447" s="918"/>
      <c r="H1447" s="918"/>
      <c r="I1447" s="918"/>
      <c r="J1447" s="918"/>
      <c r="K1447" s="918"/>
      <c r="L1447" s="918"/>
      <c r="M1447" s="918"/>
      <c r="N1447" s="7"/>
      <c r="O1447" s="7"/>
    </row>
    <row r="1448" spans="1:15">
      <c r="A1448" s="918"/>
      <c r="B1448" s="918"/>
      <c r="C1448" s="918"/>
      <c r="D1448" s="918"/>
      <c r="E1448" s="918"/>
      <c r="F1448" s="918"/>
      <c r="G1448" s="918"/>
      <c r="H1448" s="918"/>
      <c r="I1448" s="918"/>
      <c r="J1448" s="918"/>
      <c r="K1448" s="918"/>
      <c r="L1448" s="918"/>
      <c r="M1448" s="918"/>
      <c r="N1448" s="7"/>
      <c r="O1448" s="7"/>
    </row>
    <row r="1449" spans="1:15">
      <c r="A1449" s="918"/>
      <c r="B1449" s="918"/>
      <c r="C1449" s="918"/>
      <c r="D1449" s="918"/>
      <c r="E1449" s="918"/>
      <c r="F1449" s="918"/>
      <c r="G1449" s="918"/>
      <c r="H1449" s="918"/>
      <c r="I1449" s="918"/>
      <c r="J1449" s="918"/>
      <c r="K1449" s="918"/>
      <c r="L1449" s="918"/>
      <c r="M1449" s="918"/>
      <c r="N1449" s="7"/>
      <c r="O1449" s="7"/>
    </row>
    <row r="1450" spans="1:15">
      <c r="A1450" s="918"/>
      <c r="B1450" s="918"/>
      <c r="C1450" s="918"/>
      <c r="D1450" s="918"/>
      <c r="E1450" s="918"/>
      <c r="F1450" s="918"/>
      <c r="G1450" s="918"/>
      <c r="H1450" s="918"/>
      <c r="I1450" s="918"/>
      <c r="J1450" s="918"/>
      <c r="K1450" s="918"/>
      <c r="L1450" s="918"/>
      <c r="M1450" s="918"/>
      <c r="N1450" s="7"/>
      <c r="O1450" s="7"/>
    </row>
    <row r="1451" spans="1:15">
      <c r="A1451" s="918"/>
      <c r="B1451" s="918"/>
      <c r="C1451" s="918"/>
      <c r="D1451" s="918"/>
      <c r="E1451" s="918"/>
      <c r="F1451" s="918"/>
      <c r="G1451" s="918"/>
      <c r="H1451" s="918"/>
      <c r="I1451" s="918"/>
      <c r="J1451" s="918"/>
      <c r="K1451" s="918"/>
      <c r="L1451" s="918"/>
      <c r="M1451" s="918"/>
      <c r="N1451" s="7"/>
      <c r="O1451" s="7"/>
    </row>
    <row r="1452" spans="1:15">
      <c r="A1452" s="918"/>
      <c r="B1452" s="918"/>
      <c r="C1452" s="918"/>
      <c r="D1452" s="918"/>
      <c r="E1452" s="918"/>
      <c r="F1452" s="918"/>
      <c r="G1452" s="918"/>
      <c r="H1452" s="918"/>
      <c r="I1452" s="918"/>
      <c r="J1452" s="918"/>
      <c r="K1452" s="918"/>
      <c r="L1452" s="918"/>
      <c r="M1452" s="918"/>
      <c r="N1452" s="7"/>
      <c r="O1452" s="7"/>
    </row>
    <row r="1453" spans="1:15">
      <c r="A1453" s="918"/>
      <c r="B1453" s="918"/>
      <c r="C1453" s="918"/>
      <c r="D1453" s="918"/>
      <c r="E1453" s="918"/>
      <c r="F1453" s="918"/>
      <c r="G1453" s="918"/>
      <c r="H1453" s="918"/>
      <c r="I1453" s="918"/>
      <c r="J1453" s="918"/>
      <c r="K1453" s="918"/>
      <c r="L1453" s="918"/>
      <c r="M1453" s="918"/>
      <c r="N1453" s="7"/>
      <c r="O1453" s="7"/>
    </row>
    <row r="1454" spans="1:15">
      <c r="A1454" s="918"/>
      <c r="B1454" s="918"/>
      <c r="C1454" s="918"/>
      <c r="D1454" s="918"/>
      <c r="E1454" s="918"/>
      <c r="F1454" s="918"/>
      <c r="G1454" s="918"/>
      <c r="H1454" s="918"/>
      <c r="I1454" s="918"/>
      <c r="J1454" s="918"/>
      <c r="K1454" s="918"/>
      <c r="L1454" s="918"/>
      <c r="M1454" s="918"/>
      <c r="N1454" s="7"/>
      <c r="O1454" s="7"/>
    </row>
    <row r="1455" spans="1:15">
      <c r="A1455" s="918"/>
      <c r="B1455" s="918"/>
      <c r="C1455" s="918"/>
      <c r="D1455" s="918"/>
      <c r="E1455" s="918"/>
      <c r="F1455" s="918"/>
      <c r="G1455" s="918"/>
      <c r="H1455" s="918"/>
      <c r="I1455" s="918"/>
      <c r="J1455" s="918"/>
      <c r="K1455" s="918"/>
      <c r="L1455" s="918"/>
      <c r="M1455" s="918"/>
      <c r="N1455" s="7"/>
      <c r="O1455" s="7"/>
    </row>
    <row r="1456" spans="1:15">
      <c r="A1456" s="918"/>
      <c r="B1456" s="918"/>
      <c r="C1456" s="918"/>
      <c r="D1456" s="918"/>
      <c r="E1456" s="918"/>
      <c r="F1456" s="918"/>
      <c r="G1456" s="918"/>
      <c r="H1456" s="918"/>
      <c r="I1456" s="918"/>
      <c r="J1456" s="918"/>
      <c r="K1456" s="918"/>
      <c r="L1456" s="918"/>
      <c r="M1456" s="918"/>
      <c r="N1456" s="7"/>
      <c r="O1456" s="7"/>
    </row>
    <row r="1457" spans="1:15">
      <c r="A1457" s="918"/>
      <c r="B1457" s="918"/>
      <c r="C1457" s="918"/>
      <c r="D1457" s="918"/>
      <c r="E1457" s="918"/>
      <c r="F1457" s="918"/>
      <c r="G1457" s="918"/>
      <c r="H1457" s="918"/>
      <c r="I1457" s="918"/>
      <c r="J1457" s="918"/>
      <c r="K1457" s="918"/>
      <c r="L1457" s="918"/>
      <c r="M1457" s="918"/>
      <c r="N1457" s="7"/>
      <c r="O1457" s="7"/>
    </row>
    <row r="1458" spans="1:15">
      <c r="A1458" s="918"/>
      <c r="B1458" s="918"/>
      <c r="C1458" s="918"/>
      <c r="D1458" s="918"/>
      <c r="E1458" s="918"/>
      <c r="F1458" s="918"/>
      <c r="G1458" s="918"/>
      <c r="H1458" s="918"/>
      <c r="I1458" s="918"/>
      <c r="J1458" s="918"/>
      <c r="K1458" s="918"/>
      <c r="L1458" s="918"/>
      <c r="M1458" s="918"/>
      <c r="N1458" s="7"/>
      <c r="O1458" s="7"/>
    </row>
    <row r="1459" spans="1:15">
      <c r="N1459" s="7"/>
      <c r="O1459" s="7"/>
    </row>
    <row r="1460" spans="1:15">
      <c r="N1460" s="7"/>
      <c r="O1460" s="7"/>
    </row>
    <row r="1461" spans="1:15">
      <c r="N1461" s="7"/>
      <c r="O1461" s="7"/>
    </row>
    <row r="1462" spans="1:15">
      <c r="N1462" s="7"/>
      <c r="O1462" s="7"/>
    </row>
    <row r="1463" spans="1:15">
      <c r="N1463" s="7"/>
      <c r="O1463" s="7"/>
    </row>
    <row r="1464" spans="1:15">
      <c r="N1464" s="7"/>
      <c r="O1464" s="7"/>
    </row>
    <row r="1465" spans="1:15">
      <c r="N1465" s="7"/>
      <c r="O1465" s="7"/>
    </row>
    <row r="1466" spans="1:15">
      <c r="N1466" s="7"/>
      <c r="O1466" s="7"/>
    </row>
    <row r="1467" spans="1:15">
      <c r="N1467" s="7"/>
      <c r="O1467" s="7"/>
    </row>
    <row r="1468" spans="1:15">
      <c r="N1468" s="7"/>
      <c r="O1468" s="7"/>
    </row>
    <row r="1469" spans="1:15">
      <c r="N1469" s="7"/>
      <c r="O1469" s="7"/>
    </row>
    <row r="1470" spans="1:15">
      <c r="N1470" s="7"/>
      <c r="O1470" s="7"/>
    </row>
    <row r="1471" spans="1:15">
      <c r="N1471" s="7"/>
      <c r="O1471" s="7"/>
    </row>
    <row r="1472" spans="1:15">
      <c r="N1472" s="7"/>
      <c r="O1472" s="7"/>
    </row>
    <row r="1473" spans="14:15">
      <c r="N1473" s="7"/>
      <c r="O1473" s="7"/>
    </row>
    <row r="1474" spans="14:15">
      <c r="N1474" s="7"/>
      <c r="O1474" s="7"/>
    </row>
    <row r="1475" spans="14:15">
      <c r="N1475" s="7"/>
      <c r="O1475" s="7"/>
    </row>
    <row r="1476" spans="14:15">
      <c r="N1476" s="7"/>
      <c r="O1476" s="7"/>
    </row>
    <row r="1477" spans="14:15">
      <c r="N1477" s="7"/>
      <c r="O1477" s="7"/>
    </row>
    <row r="1478" spans="14:15">
      <c r="N1478" s="7"/>
      <c r="O1478" s="7"/>
    </row>
    <row r="1479" spans="14:15">
      <c r="N1479" s="7"/>
      <c r="O1479" s="7"/>
    </row>
    <row r="1480" spans="14:15">
      <c r="N1480" s="7"/>
      <c r="O1480" s="7"/>
    </row>
    <row r="1481" spans="14:15">
      <c r="N1481" s="7"/>
      <c r="O1481" s="7"/>
    </row>
    <row r="1482" spans="14:15">
      <c r="N1482" s="7"/>
      <c r="O1482" s="7"/>
    </row>
    <row r="1483" spans="14:15">
      <c r="N1483" s="7"/>
      <c r="O1483" s="7"/>
    </row>
    <row r="1484" spans="14:15">
      <c r="N1484" s="7"/>
      <c r="O1484" s="7"/>
    </row>
    <row r="1485" spans="14:15">
      <c r="N1485" s="7"/>
      <c r="O1485" s="7"/>
    </row>
    <row r="1486" spans="14:15">
      <c r="N1486" s="7"/>
      <c r="O1486" s="7"/>
    </row>
    <row r="1487" spans="14:15">
      <c r="N1487" s="7"/>
      <c r="O1487" s="7"/>
    </row>
    <row r="1488" spans="14:15">
      <c r="N1488" s="7"/>
      <c r="O1488" s="7"/>
    </row>
    <row r="1489" spans="14:15">
      <c r="N1489" s="7"/>
      <c r="O1489" s="7"/>
    </row>
    <row r="1490" spans="14:15">
      <c r="N1490" s="7"/>
      <c r="O1490" s="7"/>
    </row>
    <row r="1491" spans="14:15">
      <c r="N1491" s="7"/>
      <c r="O1491" s="7"/>
    </row>
    <row r="1492" spans="14:15">
      <c r="N1492" s="7"/>
      <c r="O1492" s="7"/>
    </row>
    <row r="1493" spans="14:15">
      <c r="N1493" s="7"/>
      <c r="O1493" s="7"/>
    </row>
    <row r="1494" spans="14:15">
      <c r="N1494" s="7"/>
      <c r="O1494" s="7"/>
    </row>
    <row r="1495" spans="14:15">
      <c r="N1495" s="7"/>
      <c r="O1495" s="7"/>
    </row>
    <row r="1496" spans="14:15">
      <c r="N1496" s="7"/>
      <c r="O1496" s="7"/>
    </row>
    <row r="1497" spans="14:15">
      <c r="N1497" s="7"/>
      <c r="O1497" s="7"/>
    </row>
    <row r="1498" spans="14:15">
      <c r="N1498" s="7"/>
      <c r="O1498" s="7"/>
    </row>
    <row r="1499" spans="14:15">
      <c r="N1499" s="7"/>
      <c r="O1499" s="7"/>
    </row>
    <row r="1500" spans="14:15">
      <c r="N1500" s="7"/>
      <c r="O1500" s="7"/>
    </row>
    <row r="1501" spans="14:15">
      <c r="N1501" s="7"/>
      <c r="O1501" s="7"/>
    </row>
    <row r="1502" spans="14:15">
      <c r="N1502" s="7"/>
      <c r="O1502" s="7"/>
    </row>
    <row r="1503" spans="14:15">
      <c r="N1503" s="7"/>
      <c r="O1503" s="7"/>
    </row>
    <row r="1504" spans="14:15">
      <c r="N1504" s="7"/>
      <c r="O1504" s="7"/>
    </row>
    <row r="1505" spans="14:15">
      <c r="N1505" s="7"/>
      <c r="O1505" s="7"/>
    </row>
    <row r="1506" spans="14:15">
      <c r="N1506" s="7"/>
      <c r="O1506" s="7"/>
    </row>
    <row r="1507" spans="14:15">
      <c r="N1507" s="7"/>
      <c r="O1507" s="7"/>
    </row>
    <row r="1508" spans="14:15">
      <c r="N1508" s="7"/>
      <c r="O1508" s="7"/>
    </row>
    <row r="1509" spans="14:15">
      <c r="N1509" s="7"/>
      <c r="O1509" s="7"/>
    </row>
    <row r="1510" spans="14:15">
      <c r="N1510" s="7"/>
      <c r="O1510" s="7"/>
    </row>
    <row r="1511" spans="14:15">
      <c r="N1511" s="7"/>
      <c r="O1511" s="7"/>
    </row>
    <row r="1512" spans="14:15">
      <c r="N1512" s="7"/>
      <c r="O1512" s="7"/>
    </row>
    <row r="1513" spans="14:15">
      <c r="N1513" s="7"/>
      <c r="O1513" s="7"/>
    </row>
    <row r="1514" spans="14:15">
      <c r="N1514" s="7"/>
      <c r="O1514" s="7"/>
    </row>
    <row r="1515" spans="14:15">
      <c r="N1515" s="7"/>
      <c r="O1515" s="7"/>
    </row>
    <row r="1516" spans="14:15">
      <c r="N1516" s="7"/>
      <c r="O1516" s="7"/>
    </row>
    <row r="1517" spans="14:15">
      <c r="N1517" s="7"/>
      <c r="O1517" s="7"/>
    </row>
    <row r="1518" spans="14:15">
      <c r="N1518" s="7"/>
      <c r="O1518" s="7"/>
    </row>
    <row r="1519" spans="14:15">
      <c r="N1519" s="7"/>
      <c r="O1519" s="7"/>
    </row>
    <row r="1520" spans="14:15">
      <c r="N1520" s="7"/>
      <c r="O1520" s="7"/>
    </row>
    <row r="1521" spans="14:15">
      <c r="N1521" s="7"/>
      <c r="O1521" s="7"/>
    </row>
    <row r="1522" spans="14:15">
      <c r="N1522" s="7"/>
      <c r="O1522" s="7"/>
    </row>
    <row r="1523" spans="14:15">
      <c r="N1523" s="7"/>
      <c r="O1523" s="7"/>
    </row>
    <row r="1524" spans="14:15">
      <c r="N1524" s="7"/>
      <c r="O1524" s="7"/>
    </row>
    <row r="1525" spans="14:15">
      <c r="N1525" s="7"/>
      <c r="O1525" s="7"/>
    </row>
    <row r="1526" spans="14:15">
      <c r="N1526" s="7"/>
      <c r="O1526" s="7"/>
    </row>
    <row r="1527" spans="14:15">
      <c r="N1527" s="7"/>
      <c r="O1527" s="7"/>
    </row>
    <row r="1528" spans="14:15">
      <c r="N1528" s="7"/>
      <c r="O1528" s="7"/>
    </row>
    <row r="1529" spans="14:15">
      <c r="N1529" s="7"/>
      <c r="O1529" s="7"/>
    </row>
    <row r="1530" spans="14:15">
      <c r="N1530" s="7"/>
      <c r="O1530" s="7"/>
    </row>
    <row r="1531" spans="14:15">
      <c r="N1531" s="7"/>
      <c r="O1531" s="7"/>
    </row>
    <row r="1532" spans="14:15">
      <c r="N1532" s="7"/>
      <c r="O1532" s="7"/>
    </row>
    <row r="1533" spans="14:15">
      <c r="N1533" s="7"/>
      <c r="O1533" s="7"/>
    </row>
    <row r="1534" spans="14:15">
      <c r="N1534" s="7"/>
      <c r="O1534" s="7"/>
    </row>
    <row r="1535" spans="14:15">
      <c r="N1535" s="7"/>
      <c r="O1535" s="7"/>
    </row>
    <row r="1536" spans="14:15">
      <c r="N1536" s="7"/>
      <c r="O1536" s="7"/>
    </row>
    <row r="1537" spans="14:15">
      <c r="N1537" s="7"/>
      <c r="O1537" s="7"/>
    </row>
    <row r="1538" spans="14:15">
      <c r="N1538" s="7"/>
      <c r="O1538" s="7"/>
    </row>
    <row r="1539" spans="14:15">
      <c r="N1539" s="7"/>
      <c r="O1539" s="7"/>
    </row>
    <row r="1540" spans="14:15">
      <c r="N1540" s="7"/>
      <c r="O1540" s="7"/>
    </row>
    <row r="1541" spans="14:15">
      <c r="N1541" s="7"/>
      <c r="O1541" s="7"/>
    </row>
    <row r="1542" spans="14:15">
      <c r="N1542" s="7"/>
      <c r="O1542" s="7"/>
    </row>
    <row r="1543" spans="14:15">
      <c r="N1543" s="7"/>
      <c r="O1543" s="7"/>
    </row>
    <row r="1544" spans="14:15">
      <c r="N1544" s="7"/>
      <c r="O1544" s="7"/>
    </row>
    <row r="1545" spans="14:15">
      <c r="N1545" s="7"/>
      <c r="O1545" s="7"/>
    </row>
    <row r="1546" spans="14:15">
      <c r="N1546" s="7"/>
      <c r="O1546" s="7"/>
    </row>
    <row r="1547" spans="14:15">
      <c r="N1547" s="7"/>
      <c r="O1547" s="7"/>
    </row>
    <row r="1548" spans="14:15">
      <c r="N1548" s="7"/>
      <c r="O1548" s="7"/>
    </row>
    <row r="1549" spans="14:15">
      <c r="N1549" s="7"/>
      <c r="O1549" s="7"/>
    </row>
    <row r="1550" spans="14:15">
      <c r="N1550" s="7"/>
      <c r="O1550" s="7"/>
    </row>
    <row r="1551" spans="14:15">
      <c r="N1551" s="7"/>
      <c r="O1551" s="7"/>
    </row>
    <row r="1552" spans="14:15">
      <c r="N1552" s="7"/>
      <c r="O1552" s="7"/>
    </row>
    <row r="1553" spans="14:15">
      <c r="N1553" s="7"/>
      <c r="O1553" s="7"/>
    </row>
    <row r="1554" spans="14:15">
      <c r="N1554" s="7"/>
      <c r="O1554" s="7"/>
    </row>
    <row r="1555" spans="14:15">
      <c r="N1555" s="7"/>
      <c r="O1555" s="7"/>
    </row>
    <row r="1556" spans="14:15">
      <c r="N1556" s="7"/>
      <c r="O1556" s="7"/>
    </row>
    <row r="1557" spans="14:15">
      <c r="N1557" s="7"/>
      <c r="O1557" s="7"/>
    </row>
    <row r="1558" spans="14:15">
      <c r="N1558" s="7"/>
      <c r="O1558" s="7"/>
    </row>
    <row r="1559" spans="14:15">
      <c r="N1559" s="7"/>
      <c r="O1559" s="7"/>
    </row>
    <row r="1560" spans="14:15">
      <c r="N1560" s="7"/>
      <c r="O1560" s="7"/>
    </row>
    <row r="1561" spans="14:15">
      <c r="N1561" s="7"/>
      <c r="O1561" s="7"/>
    </row>
    <row r="1562" spans="14:15">
      <c r="N1562" s="7"/>
      <c r="O1562" s="7"/>
    </row>
    <row r="1563" spans="14:15">
      <c r="N1563" s="7"/>
      <c r="O1563" s="7"/>
    </row>
    <row r="1564" spans="14:15">
      <c r="N1564" s="7"/>
      <c r="O1564" s="7"/>
    </row>
    <row r="1565" spans="14:15">
      <c r="N1565" s="7"/>
      <c r="O1565" s="7"/>
    </row>
    <row r="1566" spans="14:15">
      <c r="N1566" s="7"/>
      <c r="O1566" s="7"/>
    </row>
    <row r="1567" spans="14:15">
      <c r="N1567" s="7"/>
      <c r="O1567" s="7"/>
    </row>
    <row r="1568" spans="14:15">
      <c r="N1568" s="7"/>
      <c r="O1568" s="7"/>
    </row>
    <row r="1569" spans="14:15">
      <c r="N1569" s="7"/>
      <c r="O1569" s="7"/>
    </row>
    <row r="1570" spans="14:15">
      <c r="N1570" s="7"/>
      <c r="O1570" s="7"/>
    </row>
    <row r="1571" spans="14:15">
      <c r="N1571" s="7"/>
      <c r="O1571" s="7"/>
    </row>
    <row r="1572" spans="14:15">
      <c r="N1572" s="7"/>
      <c r="O1572" s="7"/>
    </row>
    <row r="1573" spans="14:15">
      <c r="N1573" s="7"/>
      <c r="O1573" s="7"/>
    </row>
    <row r="1574" spans="14:15">
      <c r="N1574" s="7"/>
      <c r="O1574" s="7"/>
    </row>
    <row r="1575" spans="14:15">
      <c r="N1575" s="7"/>
      <c r="O1575" s="7"/>
    </row>
    <row r="1576" spans="14:15">
      <c r="N1576" s="7"/>
      <c r="O1576" s="7"/>
    </row>
    <row r="1577" spans="14:15">
      <c r="N1577" s="7"/>
      <c r="O1577" s="7"/>
    </row>
    <row r="1578" spans="14:15">
      <c r="N1578" s="7"/>
      <c r="O1578" s="7"/>
    </row>
    <row r="1579" spans="14:15">
      <c r="N1579" s="7"/>
      <c r="O1579" s="7"/>
    </row>
    <row r="1580" spans="14:15">
      <c r="N1580" s="7"/>
      <c r="O1580" s="7"/>
    </row>
    <row r="1581" spans="14:15">
      <c r="N1581" s="7"/>
      <c r="O1581" s="7"/>
    </row>
    <row r="1582" spans="14:15">
      <c r="N1582" s="7"/>
      <c r="O1582" s="7"/>
    </row>
    <row r="1583" spans="14:15">
      <c r="N1583" s="7"/>
      <c r="O1583" s="7"/>
    </row>
    <row r="1584" spans="14:15">
      <c r="N1584" s="7"/>
      <c r="O1584" s="7"/>
    </row>
    <row r="1585" spans="14:15">
      <c r="N1585" s="7"/>
      <c r="O1585" s="7"/>
    </row>
    <row r="1586" spans="14:15">
      <c r="N1586" s="7"/>
      <c r="O1586" s="7"/>
    </row>
    <row r="1587" spans="14:15">
      <c r="N1587" s="7"/>
      <c r="O1587" s="7"/>
    </row>
    <row r="1588" spans="14:15">
      <c r="N1588" s="7"/>
      <c r="O1588" s="7"/>
    </row>
    <row r="1589" spans="14:15">
      <c r="N1589" s="7"/>
      <c r="O1589" s="7"/>
    </row>
    <row r="1590" spans="14:15">
      <c r="N1590" s="7"/>
      <c r="O1590" s="7"/>
    </row>
    <row r="1591" spans="14:15">
      <c r="N1591" s="7"/>
      <c r="O1591" s="7"/>
    </row>
    <row r="1592" spans="14:15">
      <c r="N1592" s="7"/>
      <c r="O1592" s="7"/>
    </row>
    <row r="1593" spans="14:15">
      <c r="N1593" s="7"/>
      <c r="O1593" s="7"/>
    </row>
    <row r="1594" spans="14:15">
      <c r="N1594" s="7"/>
      <c r="O1594" s="7"/>
    </row>
    <row r="1595" spans="14:15">
      <c r="N1595" s="7"/>
      <c r="O1595" s="7"/>
    </row>
    <row r="1596" spans="14:15">
      <c r="N1596" s="7"/>
      <c r="O1596" s="7"/>
    </row>
    <row r="1597" spans="14:15">
      <c r="N1597" s="7"/>
      <c r="O1597" s="7"/>
    </row>
    <row r="1598" spans="14:15">
      <c r="N1598" s="7"/>
      <c r="O1598" s="7"/>
    </row>
    <row r="1599" spans="14:15">
      <c r="N1599" s="7"/>
      <c r="O1599" s="7"/>
    </row>
    <row r="1600" spans="14:15">
      <c r="N1600" s="7"/>
      <c r="O1600" s="7"/>
    </row>
    <row r="1601" spans="14:15">
      <c r="N1601" s="7"/>
      <c r="O1601" s="7"/>
    </row>
    <row r="1602" spans="14:15">
      <c r="N1602" s="7"/>
      <c r="O1602" s="7"/>
    </row>
    <row r="1603" spans="14:15">
      <c r="N1603" s="7"/>
      <c r="O1603" s="7"/>
    </row>
    <row r="1604" spans="14:15">
      <c r="N1604" s="7"/>
      <c r="O1604" s="7"/>
    </row>
    <row r="1605" spans="14:15">
      <c r="N1605" s="7"/>
      <c r="O1605" s="7"/>
    </row>
    <row r="1606" spans="14:15">
      <c r="N1606" s="7"/>
      <c r="O1606" s="7"/>
    </row>
    <row r="1607" spans="14:15">
      <c r="N1607" s="7"/>
      <c r="O1607" s="7"/>
    </row>
    <row r="1608" spans="14:15">
      <c r="N1608" s="7"/>
      <c r="O1608" s="7"/>
    </row>
    <row r="1609" spans="14:15">
      <c r="N1609" s="7"/>
      <c r="O1609" s="7"/>
    </row>
    <row r="1610" spans="14:15">
      <c r="N1610" s="7"/>
      <c r="O1610" s="7"/>
    </row>
    <row r="1611" spans="14:15">
      <c r="N1611" s="7"/>
      <c r="O1611" s="7"/>
    </row>
    <row r="1612" spans="14:15">
      <c r="N1612" s="7"/>
      <c r="O1612" s="7"/>
    </row>
    <row r="1613" spans="14:15">
      <c r="N1613" s="7"/>
      <c r="O1613" s="7"/>
    </row>
    <row r="1614" spans="14:15">
      <c r="N1614" s="7"/>
      <c r="O1614" s="7"/>
    </row>
    <row r="1615" spans="14:15">
      <c r="N1615" s="7"/>
      <c r="O1615" s="7"/>
    </row>
    <row r="1616" spans="14:15">
      <c r="N1616" s="7"/>
      <c r="O1616" s="7"/>
    </row>
    <row r="1617" spans="14:15">
      <c r="N1617" s="7"/>
      <c r="O1617" s="7"/>
    </row>
    <row r="1618" spans="14:15">
      <c r="N1618" s="7"/>
      <c r="O1618" s="7"/>
    </row>
    <row r="1619" spans="14:15">
      <c r="N1619" s="7"/>
      <c r="O1619" s="7"/>
    </row>
    <row r="1620" spans="14:15">
      <c r="N1620" s="7"/>
      <c r="O1620" s="7"/>
    </row>
    <row r="1621" spans="14:15">
      <c r="N1621" s="7"/>
      <c r="O1621" s="7"/>
    </row>
    <row r="1622" spans="14:15">
      <c r="N1622" s="7"/>
      <c r="O1622" s="7"/>
    </row>
    <row r="1623" spans="14:15">
      <c r="N1623" s="7"/>
      <c r="O1623" s="7"/>
    </row>
    <row r="1624" spans="14:15">
      <c r="N1624" s="7"/>
      <c r="O1624" s="7"/>
    </row>
    <row r="1625" spans="14:15">
      <c r="N1625" s="7"/>
      <c r="O1625" s="7"/>
    </row>
    <row r="1626" spans="14:15">
      <c r="N1626" s="7"/>
      <c r="O1626" s="7"/>
    </row>
    <row r="1627" spans="14:15">
      <c r="N1627" s="7"/>
      <c r="O1627" s="7"/>
    </row>
    <row r="1628" spans="14:15">
      <c r="N1628" s="7"/>
      <c r="O1628" s="7"/>
    </row>
    <row r="1629" spans="14:15">
      <c r="N1629" s="7"/>
      <c r="O1629" s="7"/>
    </row>
    <row r="1630" spans="14:15">
      <c r="N1630" s="7"/>
      <c r="O1630" s="7"/>
    </row>
    <row r="1631" spans="14:15">
      <c r="N1631" s="7"/>
      <c r="O1631" s="7"/>
    </row>
    <row r="1632" spans="14:15">
      <c r="N1632" s="7"/>
      <c r="O1632" s="7"/>
    </row>
    <row r="1633" spans="14:15">
      <c r="N1633" s="7"/>
      <c r="O1633" s="7"/>
    </row>
    <row r="1634" spans="14:15">
      <c r="N1634" s="7"/>
      <c r="O1634" s="7"/>
    </row>
    <row r="1635" spans="14:15">
      <c r="N1635" s="7"/>
      <c r="O1635" s="7"/>
    </row>
    <row r="1636" spans="14:15">
      <c r="N1636" s="7"/>
      <c r="O1636" s="7"/>
    </row>
    <row r="1637" spans="14:15">
      <c r="N1637" s="7"/>
      <c r="O1637" s="7"/>
    </row>
    <row r="1638" spans="14:15">
      <c r="N1638" s="7"/>
      <c r="O1638" s="7"/>
    </row>
    <row r="1639" spans="14:15">
      <c r="N1639" s="7"/>
      <c r="O1639" s="7"/>
    </row>
    <row r="1640" spans="14:15">
      <c r="N1640" s="7"/>
      <c r="O1640" s="7"/>
    </row>
    <row r="1641" spans="14:15">
      <c r="N1641" s="7"/>
      <c r="O1641" s="7"/>
    </row>
    <row r="1642" spans="14:15">
      <c r="N1642" s="7"/>
      <c r="O1642" s="7"/>
    </row>
    <row r="1643" spans="14:15">
      <c r="N1643" s="7"/>
      <c r="O1643" s="7"/>
    </row>
    <row r="1644" spans="14:15">
      <c r="N1644" s="7"/>
      <c r="O1644" s="7"/>
    </row>
    <row r="1645" spans="14:15">
      <c r="N1645" s="7"/>
      <c r="O1645" s="7"/>
    </row>
    <row r="1646" spans="14:15">
      <c r="N1646" s="7"/>
      <c r="O1646" s="7"/>
    </row>
    <row r="1647" spans="14:15">
      <c r="N1647" s="7"/>
      <c r="O1647" s="7"/>
    </row>
    <row r="1648" spans="14:15">
      <c r="N1648" s="7"/>
      <c r="O1648" s="7"/>
    </row>
    <row r="1649" spans="14:15">
      <c r="N1649" s="7"/>
      <c r="O1649" s="7"/>
    </row>
    <row r="1650" spans="14:15">
      <c r="N1650" s="7"/>
      <c r="O1650" s="7"/>
    </row>
    <row r="1651" spans="14:15">
      <c r="N1651" s="7"/>
      <c r="O1651" s="7"/>
    </row>
    <row r="1652" spans="14:15">
      <c r="N1652" s="7"/>
      <c r="O1652" s="7"/>
    </row>
    <row r="1653" spans="14:15">
      <c r="N1653" s="7"/>
      <c r="O1653" s="7"/>
    </row>
    <row r="1654" spans="14:15">
      <c r="N1654" s="7"/>
      <c r="O1654" s="7"/>
    </row>
    <row r="1655" spans="14:15">
      <c r="N1655" s="7"/>
      <c r="O1655" s="7"/>
    </row>
    <row r="1656" spans="14:15">
      <c r="N1656" s="7"/>
      <c r="O1656" s="7"/>
    </row>
    <row r="1657" spans="14:15">
      <c r="N1657" s="7"/>
      <c r="O1657" s="7"/>
    </row>
    <row r="1658" spans="14:15">
      <c r="N1658" s="7"/>
      <c r="O1658" s="7"/>
    </row>
    <row r="1659" spans="14:15">
      <c r="N1659" s="7"/>
      <c r="O1659" s="7"/>
    </row>
    <row r="1660" spans="14:15">
      <c r="N1660" s="7"/>
      <c r="O1660" s="7"/>
    </row>
    <row r="1661" spans="14:15">
      <c r="N1661" s="7"/>
      <c r="O1661" s="7"/>
    </row>
    <row r="1662" spans="14:15">
      <c r="N1662" s="7"/>
      <c r="O1662" s="7"/>
    </row>
    <row r="1663" spans="14:15">
      <c r="N1663" s="7"/>
      <c r="O1663" s="7"/>
    </row>
    <row r="1664" spans="14:15">
      <c r="N1664" s="7"/>
      <c r="O1664" s="7"/>
    </row>
    <row r="1665" spans="14:15">
      <c r="N1665" s="7"/>
      <c r="O1665" s="7"/>
    </row>
    <row r="1666" spans="14:15">
      <c r="N1666" s="7"/>
      <c r="O1666" s="7"/>
    </row>
    <row r="1667" spans="14:15">
      <c r="N1667" s="7"/>
      <c r="O1667" s="7"/>
    </row>
    <row r="1668" spans="14:15">
      <c r="N1668" s="7"/>
      <c r="O1668" s="7"/>
    </row>
    <row r="1669" spans="14:15">
      <c r="N1669" s="7"/>
      <c r="O1669" s="7"/>
    </row>
    <row r="1670" spans="14:15">
      <c r="N1670" s="7"/>
      <c r="O1670" s="7"/>
    </row>
    <row r="1671" spans="14:15">
      <c r="N1671" s="7"/>
      <c r="O1671" s="7"/>
    </row>
    <row r="1672" spans="14:15">
      <c r="N1672" s="7"/>
      <c r="O1672" s="7"/>
    </row>
    <row r="1673" spans="14:15">
      <c r="N1673" s="7"/>
      <c r="O1673" s="7"/>
    </row>
    <row r="1674" spans="14:15">
      <c r="N1674" s="7"/>
      <c r="O1674" s="7"/>
    </row>
    <row r="1675" spans="14:15">
      <c r="N1675" s="7"/>
      <c r="O1675" s="7"/>
    </row>
    <row r="1676" spans="14:15">
      <c r="N1676" s="7"/>
      <c r="O1676" s="7"/>
    </row>
    <row r="1677" spans="14:15">
      <c r="N1677" s="7"/>
      <c r="O1677" s="7"/>
    </row>
    <row r="1678" spans="14:15">
      <c r="N1678" s="7"/>
      <c r="O1678" s="7"/>
    </row>
    <row r="1679" spans="14:15">
      <c r="N1679" s="7"/>
      <c r="O1679" s="7"/>
    </row>
    <row r="1680" spans="14:15">
      <c r="N1680" s="7"/>
      <c r="O1680" s="7"/>
    </row>
    <row r="1681" spans="14:15">
      <c r="N1681" s="7"/>
      <c r="O1681" s="7"/>
    </row>
    <row r="1682" spans="14:15">
      <c r="N1682" s="7"/>
      <c r="O1682" s="7"/>
    </row>
    <row r="1683" spans="14:15">
      <c r="N1683" s="7"/>
      <c r="O1683" s="7"/>
    </row>
    <row r="1684" spans="14:15">
      <c r="N1684" s="7"/>
      <c r="O1684" s="7"/>
    </row>
    <row r="1685" spans="14:15">
      <c r="N1685" s="7"/>
      <c r="O1685" s="7"/>
    </row>
    <row r="1686" spans="14:15">
      <c r="N1686" s="7"/>
      <c r="O1686" s="7"/>
    </row>
    <row r="1687" spans="14:15">
      <c r="N1687" s="7"/>
      <c r="O1687" s="7"/>
    </row>
    <row r="1688" spans="14:15">
      <c r="N1688" s="7"/>
      <c r="O1688" s="7"/>
    </row>
    <row r="1689" spans="14:15">
      <c r="N1689" s="7"/>
      <c r="O1689" s="7"/>
    </row>
    <row r="1690" spans="14:15">
      <c r="N1690" s="7"/>
      <c r="O1690" s="7"/>
    </row>
    <row r="1691" spans="14:15">
      <c r="N1691" s="7"/>
      <c r="O1691" s="7"/>
    </row>
    <row r="1692" spans="14:15">
      <c r="N1692" s="7"/>
      <c r="O1692" s="7"/>
    </row>
    <row r="1693" spans="14:15">
      <c r="N1693" s="7"/>
      <c r="O1693" s="7"/>
    </row>
    <row r="1694" spans="14:15">
      <c r="N1694" s="7"/>
      <c r="O1694" s="7"/>
    </row>
    <row r="1695" spans="14:15">
      <c r="N1695" s="7"/>
      <c r="O1695" s="7"/>
    </row>
    <row r="1696" spans="14:15">
      <c r="N1696" s="7"/>
      <c r="O1696" s="7"/>
    </row>
    <row r="1697" spans="14:15">
      <c r="N1697" s="7"/>
      <c r="O1697" s="7"/>
    </row>
    <row r="1698" spans="14:15">
      <c r="N1698" s="7"/>
      <c r="O1698" s="7"/>
    </row>
    <row r="1699" spans="14:15">
      <c r="N1699" s="7"/>
      <c r="O1699" s="7"/>
    </row>
    <row r="1700" spans="14:15">
      <c r="N1700" s="7"/>
      <c r="O1700" s="7"/>
    </row>
    <row r="1701" spans="14:15">
      <c r="N1701" s="7"/>
      <c r="O1701" s="7"/>
    </row>
    <row r="1702" spans="14:15">
      <c r="N1702" s="7"/>
      <c r="O1702" s="7"/>
    </row>
    <row r="1703" spans="14:15">
      <c r="N1703" s="7"/>
      <c r="O1703" s="7"/>
    </row>
    <row r="1704" spans="14:15">
      <c r="N1704" s="7"/>
      <c r="O1704" s="7"/>
    </row>
    <row r="1705" spans="14:15">
      <c r="N1705" s="7"/>
      <c r="O1705" s="7"/>
    </row>
    <row r="1706" spans="14:15">
      <c r="N1706" s="7"/>
      <c r="O1706" s="7"/>
    </row>
    <row r="1707" spans="14:15">
      <c r="N1707" s="7"/>
      <c r="O1707" s="7"/>
    </row>
    <row r="1708" spans="14:15">
      <c r="N1708" s="7"/>
      <c r="O1708" s="7"/>
    </row>
    <row r="1709" spans="14:15">
      <c r="N1709" s="7"/>
      <c r="O1709" s="7"/>
    </row>
    <row r="1710" spans="14:15">
      <c r="N1710" s="7"/>
      <c r="O1710" s="7"/>
    </row>
    <row r="1711" spans="14:15">
      <c r="N1711" s="7"/>
      <c r="O1711" s="7"/>
    </row>
    <row r="1712" spans="14:15">
      <c r="N1712" s="7"/>
      <c r="O1712" s="7"/>
    </row>
    <row r="1713" spans="14:15">
      <c r="N1713" s="7"/>
      <c r="O1713" s="7"/>
    </row>
    <row r="1714" spans="14:15">
      <c r="N1714" s="7"/>
      <c r="O1714" s="7"/>
    </row>
    <row r="1715" spans="14:15">
      <c r="N1715" s="7"/>
      <c r="O1715" s="7"/>
    </row>
    <row r="1716" spans="14:15">
      <c r="N1716" s="7"/>
      <c r="O1716" s="7"/>
    </row>
    <row r="1717" spans="14:15">
      <c r="N1717" s="7"/>
      <c r="O1717" s="7"/>
    </row>
    <row r="1718" spans="14:15">
      <c r="N1718" s="7"/>
      <c r="O1718" s="7"/>
    </row>
    <row r="1719" spans="14:15">
      <c r="N1719" s="7"/>
      <c r="O1719" s="7"/>
    </row>
    <row r="1720" spans="14:15">
      <c r="N1720" s="7"/>
      <c r="O1720" s="7"/>
    </row>
    <row r="1721" spans="14:15">
      <c r="N1721" s="7"/>
      <c r="O1721" s="7"/>
    </row>
    <row r="1722" spans="14:15">
      <c r="N1722" s="7"/>
      <c r="O1722" s="7"/>
    </row>
    <row r="1723" spans="14:15">
      <c r="N1723" s="7"/>
      <c r="O1723" s="7"/>
    </row>
    <row r="1724" spans="14:15">
      <c r="N1724" s="7"/>
      <c r="O1724" s="7"/>
    </row>
    <row r="1725" spans="14:15">
      <c r="N1725" s="7"/>
      <c r="O1725" s="7"/>
    </row>
    <row r="1726" spans="14:15">
      <c r="N1726" s="7"/>
      <c r="O1726" s="7"/>
    </row>
    <row r="1727" spans="14:15">
      <c r="N1727" s="7"/>
      <c r="O1727" s="7"/>
    </row>
    <row r="1728" spans="14:15">
      <c r="N1728" s="7"/>
      <c r="O1728" s="7"/>
    </row>
    <row r="1729" spans="14:15">
      <c r="N1729" s="7"/>
      <c r="O1729" s="7"/>
    </row>
    <row r="1730" spans="14:15">
      <c r="N1730" s="7"/>
      <c r="O1730" s="7"/>
    </row>
    <row r="1731" spans="14:15">
      <c r="N1731" s="7"/>
      <c r="O1731" s="7"/>
    </row>
    <row r="1732" spans="14:15">
      <c r="N1732" s="7"/>
      <c r="O1732" s="7"/>
    </row>
    <row r="1733" spans="14:15">
      <c r="N1733" s="7"/>
      <c r="O1733" s="7"/>
    </row>
    <row r="1734" spans="14:15">
      <c r="N1734" s="7"/>
      <c r="O1734" s="7"/>
    </row>
    <row r="1735" spans="14:15">
      <c r="N1735" s="7"/>
      <c r="O1735" s="7"/>
    </row>
    <row r="1736" spans="14:15">
      <c r="N1736" s="7"/>
      <c r="O1736" s="7"/>
    </row>
    <row r="1737" spans="14:15">
      <c r="N1737" s="7"/>
      <c r="O1737" s="7"/>
    </row>
    <row r="1738" spans="14:15">
      <c r="N1738" s="7"/>
      <c r="O1738" s="7"/>
    </row>
    <row r="1739" spans="14:15">
      <c r="N1739" s="7"/>
      <c r="O1739" s="7"/>
    </row>
    <row r="1740" spans="14:15">
      <c r="N1740" s="7"/>
      <c r="O1740" s="7"/>
    </row>
    <row r="1741" spans="14:15">
      <c r="N1741" s="7"/>
      <c r="O1741" s="7"/>
    </row>
    <row r="1742" spans="14:15">
      <c r="N1742" s="7"/>
      <c r="O1742" s="7"/>
    </row>
    <row r="1743" spans="14:15">
      <c r="N1743" s="7"/>
      <c r="O1743" s="7"/>
    </row>
    <row r="1744" spans="14:15">
      <c r="N1744" s="7"/>
      <c r="O1744" s="7"/>
    </row>
    <row r="1745" spans="14:15">
      <c r="N1745" s="7"/>
      <c r="O1745" s="7"/>
    </row>
    <row r="1746" spans="14:15">
      <c r="N1746" s="7"/>
      <c r="O1746" s="7"/>
    </row>
    <row r="1747" spans="14:15">
      <c r="N1747" s="7"/>
      <c r="O1747" s="7"/>
    </row>
    <row r="1748" spans="14:15">
      <c r="N1748" s="7"/>
      <c r="O1748" s="7"/>
    </row>
    <row r="1749" spans="14:15">
      <c r="N1749" s="7"/>
      <c r="O1749" s="7"/>
    </row>
    <row r="1750" spans="14:15">
      <c r="N1750" s="7"/>
      <c r="O1750" s="7"/>
    </row>
    <row r="1751" spans="14:15">
      <c r="N1751" s="7"/>
      <c r="O1751" s="7"/>
    </row>
    <row r="1752" spans="14:15">
      <c r="N1752" s="7"/>
      <c r="O1752" s="7"/>
    </row>
    <row r="1753" spans="14:15">
      <c r="N1753" s="7"/>
      <c r="O1753" s="7"/>
    </row>
    <row r="1754" spans="14:15">
      <c r="N1754" s="7"/>
      <c r="O1754" s="7"/>
    </row>
    <row r="1755" spans="14:15">
      <c r="N1755" s="7"/>
      <c r="O1755" s="7"/>
    </row>
    <row r="1756" spans="14:15">
      <c r="N1756" s="7"/>
      <c r="O1756" s="7"/>
    </row>
    <row r="1757" spans="14:15">
      <c r="N1757" s="7"/>
      <c r="O1757" s="7"/>
    </row>
    <row r="1758" spans="14:15">
      <c r="N1758" s="7"/>
      <c r="O1758" s="7"/>
    </row>
    <row r="1759" spans="14:15">
      <c r="N1759" s="7"/>
      <c r="O1759" s="7"/>
    </row>
    <row r="1760" spans="14:15">
      <c r="N1760" s="7"/>
      <c r="O1760" s="7"/>
    </row>
    <row r="1761" spans="14:15">
      <c r="N1761" s="7"/>
      <c r="O1761" s="7"/>
    </row>
    <row r="1762" spans="14:15">
      <c r="N1762" s="7"/>
      <c r="O1762" s="7"/>
    </row>
    <row r="1763" spans="14:15">
      <c r="N1763" s="7"/>
      <c r="O1763" s="7"/>
    </row>
    <row r="1764" spans="14:15">
      <c r="N1764" s="7"/>
      <c r="O1764" s="7"/>
    </row>
    <row r="1765" spans="14:15">
      <c r="N1765" s="7"/>
      <c r="O1765" s="7"/>
    </row>
    <row r="1766" spans="14:15">
      <c r="N1766" s="7"/>
      <c r="O1766" s="7"/>
    </row>
    <row r="1767" spans="14:15">
      <c r="N1767" s="7"/>
      <c r="O1767" s="7"/>
    </row>
    <row r="1768" spans="14:15">
      <c r="N1768" s="7"/>
      <c r="O1768" s="7"/>
    </row>
    <row r="1769" spans="14:15">
      <c r="N1769" s="7"/>
      <c r="O1769" s="7"/>
    </row>
    <row r="1770" spans="14:15">
      <c r="N1770" s="7"/>
      <c r="O1770" s="7"/>
    </row>
    <row r="1771" spans="14:15">
      <c r="N1771" s="7"/>
      <c r="O1771" s="7"/>
    </row>
    <row r="1772" spans="14:15">
      <c r="N1772" s="7"/>
      <c r="O1772" s="7"/>
    </row>
    <row r="1773" spans="14:15">
      <c r="N1773" s="7"/>
      <c r="O1773" s="7"/>
    </row>
    <row r="1774" spans="14:15">
      <c r="N1774" s="7"/>
      <c r="O1774" s="7"/>
    </row>
    <row r="1775" spans="14:15">
      <c r="N1775" s="7"/>
      <c r="O1775" s="7"/>
    </row>
    <row r="1776" spans="14:15">
      <c r="N1776" s="7"/>
      <c r="O1776" s="7"/>
    </row>
    <row r="1777" spans="14:15">
      <c r="N1777" s="7"/>
      <c r="O1777" s="7"/>
    </row>
    <row r="1778" spans="14:15">
      <c r="N1778" s="7"/>
      <c r="O1778" s="7"/>
    </row>
    <row r="1779" spans="14:15">
      <c r="N1779" s="7"/>
      <c r="O1779" s="7"/>
    </row>
    <row r="1780" spans="14:15">
      <c r="N1780" s="7"/>
      <c r="O1780" s="7"/>
    </row>
    <row r="1781" spans="14:15">
      <c r="N1781" s="7"/>
      <c r="O1781" s="7"/>
    </row>
    <row r="1782" spans="14:15">
      <c r="N1782" s="7"/>
      <c r="O1782" s="7"/>
    </row>
    <row r="1783" spans="14:15">
      <c r="N1783" s="7"/>
      <c r="O1783" s="7"/>
    </row>
    <row r="1784" spans="14:15">
      <c r="N1784" s="7"/>
      <c r="O1784" s="7"/>
    </row>
    <row r="1785" spans="14:15">
      <c r="N1785" s="7"/>
      <c r="O1785" s="7"/>
    </row>
    <row r="1786" spans="14:15">
      <c r="N1786" s="7"/>
      <c r="O1786" s="7"/>
    </row>
    <row r="1787" spans="14:15">
      <c r="N1787" s="7"/>
      <c r="O1787" s="7"/>
    </row>
    <row r="1788" spans="14:15">
      <c r="N1788" s="7"/>
      <c r="O1788" s="7"/>
    </row>
    <row r="1789" spans="14:15">
      <c r="N1789" s="7"/>
      <c r="O1789" s="7"/>
    </row>
    <row r="1790" spans="14:15">
      <c r="N1790" s="7"/>
      <c r="O1790" s="7"/>
    </row>
    <row r="1791" spans="14:15">
      <c r="N1791" s="7"/>
      <c r="O1791" s="7"/>
    </row>
    <row r="1792" spans="14:15">
      <c r="N1792" s="7"/>
      <c r="O1792" s="7"/>
    </row>
    <row r="1793" spans="14:15">
      <c r="N1793" s="7"/>
      <c r="O1793" s="7"/>
    </row>
    <row r="1794" spans="14:15">
      <c r="N1794" s="7"/>
      <c r="O1794" s="7"/>
    </row>
    <row r="1795" spans="14:15">
      <c r="N1795" s="7"/>
      <c r="O1795" s="7"/>
    </row>
    <row r="1796" spans="14:15">
      <c r="N1796" s="7"/>
      <c r="O1796" s="7"/>
    </row>
    <row r="1797" spans="14:15">
      <c r="N1797" s="7"/>
      <c r="O1797" s="7"/>
    </row>
    <row r="1798" spans="14:15">
      <c r="N1798" s="7"/>
      <c r="O1798" s="7"/>
    </row>
    <row r="1799" spans="14:15">
      <c r="N1799" s="7"/>
      <c r="O1799" s="7"/>
    </row>
    <row r="1800" spans="14:15">
      <c r="N1800" s="7"/>
      <c r="O1800" s="7"/>
    </row>
    <row r="1801" spans="14:15">
      <c r="N1801" s="7"/>
      <c r="O1801" s="7"/>
    </row>
    <row r="1802" spans="14:15">
      <c r="N1802" s="7"/>
      <c r="O1802" s="7"/>
    </row>
    <row r="1803" spans="14:15">
      <c r="N1803" s="7"/>
      <c r="O1803" s="7"/>
    </row>
    <row r="1804" spans="14:15">
      <c r="N1804" s="7"/>
      <c r="O1804" s="7"/>
    </row>
    <row r="1805" spans="14:15">
      <c r="N1805" s="7"/>
      <c r="O1805" s="7"/>
    </row>
    <row r="1806" spans="14:15">
      <c r="N1806" s="7"/>
      <c r="O1806" s="7"/>
    </row>
    <row r="1807" spans="14:15">
      <c r="N1807" s="7"/>
      <c r="O1807" s="7"/>
    </row>
    <row r="1808" spans="14:15">
      <c r="N1808" s="7"/>
      <c r="O1808" s="7"/>
    </row>
    <row r="1809" spans="14:15">
      <c r="N1809" s="7"/>
      <c r="O1809" s="7"/>
    </row>
    <row r="1810" spans="14:15">
      <c r="N1810" s="7"/>
      <c r="O1810" s="7"/>
    </row>
    <row r="1811" spans="14:15">
      <c r="N1811" s="7"/>
      <c r="O1811" s="7"/>
    </row>
    <row r="1812" spans="14:15">
      <c r="N1812" s="7"/>
      <c r="O1812" s="7"/>
    </row>
    <row r="1813" spans="14:15">
      <c r="N1813" s="7"/>
      <c r="O1813" s="7"/>
    </row>
    <row r="1814" spans="14:15">
      <c r="N1814" s="7"/>
      <c r="O1814" s="7"/>
    </row>
    <row r="1815" spans="14:15">
      <c r="N1815" s="7"/>
      <c r="O1815" s="7"/>
    </row>
    <row r="1816" spans="14:15">
      <c r="N1816" s="7"/>
      <c r="O1816" s="7"/>
    </row>
    <row r="1817" spans="14:15">
      <c r="N1817" s="7"/>
      <c r="O1817" s="7"/>
    </row>
    <row r="1818" spans="14:15">
      <c r="N1818" s="7"/>
      <c r="O1818" s="7"/>
    </row>
    <row r="1819" spans="14:15">
      <c r="N1819" s="7"/>
      <c r="O1819" s="7"/>
    </row>
    <row r="1820" spans="14:15">
      <c r="N1820" s="7"/>
      <c r="O1820" s="7"/>
    </row>
    <row r="1821" spans="14:15">
      <c r="N1821" s="7"/>
      <c r="O1821" s="7"/>
    </row>
    <row r="1822" spans="14:15">
      <c r="N1822" s="7"/>
      <c r="O1822" s="7"/>
    </row>
    <row r="1823" spans="14:15">
      <c r="N1823" s="7"/>
      <c r="O1823" s="7"/>
    </row>
    <row r="1824" spans="14:15">
      <c r="N1824" s="7"/>
      <c r="O1824" s="7"/>
    </row>
    <row r="1825" spans="14:15">
      <c r="N1825" s="7"/>
      <c r="O1825" s="7"/>
    </row>
    <row r="1826" spans="14:15">
      <c r="N1826" s="7"/>
      <c r="O1826" s="7"/>
    </row>
    <row r="1827" spans="14:15">
      <c r="N1827" s="7"/>
      <c r="O1827" s="7"/>
    </row>
    <row r="1828" spans="14:15">
      <c r="N1828" s="7"/>
      <c r="O1828" s="7"/>
    </row>
    <row r="1829" spans="14:15">
      <c r="N1829" s="7"/>
      <c r="O1829" s="7"/>
    </row>
    <row r="1830" spans="14:15">
      <c r="N1830" s="7"/>
      <c r="O1830" s="7"/>
    </row>
    <row r="1831" spans="14:15">
      <c r="N1831" s="7"/>
      <c r="O1831" s="7"/>
    </row>
    <row r="1832" spans="14:15">
      <c r="N1832" s="7"/>
      <c r="O1832" s="7"/>
    </row>
    <row r="1833" spans="14:15">
      <c r="N1833" s="7"/>
      <c r="O1833" s="7"/>
    </row>
    <row r="1834" spans="14:15">
      <c r="N1834" s="7"/>
      <c r="O1834" s="7"/>
    </row>
    <row r="1835" spans="14:15">
      <c r="N1835" s="7"/>
      <c r="O1835" s="7"/>
    </row>
    <row r="1836" spans="14:15">
      <c r="N1836" s="7"/>
      <c r="O1836" s="7"/>
    </row>
    <row r="1837" spans="14:15">
      <c r="N1837" s="7"/>
      <c r="O1837" s="7"/>
    </row>
    <row r="1838" spans="14:15">
      <c r="N1838" s="7"/>
      <c r="O1838" s="7"/>
    </row>
    <row r="1839" spans="14:15">
      <c r="N1839" s="7"/>
      <c r="O1839" s="7"/>
    </row>
    <row r="1840" spans="14:15">
      <c r="N1840" s="7"/>
      <c r="O1840" s="7"/>
    </row>
    <row r="1841" spans="14:15">
      <c r="N1841" s="7"/>
      <c r="O1841" s="7"/>
    </row>
    <row r="1842" spans="14:15">
      <c r="N1842" s="7"/>
      <c r="O1842" s="7"/>
    </row>
    <row r="1843" spans="14:15">
      <c r="N1843" s="7"/>
      <c r="O1843" s="7"/>
    </row>
    <row r="1844" spans="14:15">
      <c r="N1844" s="7"/>
      <c r="O1844" s="7"/>
    </row>
    <row r="1845" spans="14:15">
      <c r="N1845" s="7"/>
      <c r="O1845" s="7"/>
    </row>
    <row r="1846" spans="14:15">
      <c r="N1846" s="7"/>
      <c r="O1846" s="7"/>
    </row>
    <row r="1847" spans="14:15">
      <c r="N1847" s="7"/>
      <c r="O1847" s="7"/>
    </row>
    <row r="1848" spans="14:15">
      <c r="N1848" s="7"/>
      <c r="O1848" s="7"/>
    </row>
    <row r="1849" spans="14:15">
      <c r="N1849" s="7"/>
      <c r="O1849" s="7"/>
    </row>
    <row r="1850" spans="14:15">
      <c r="N1850" s="7"/>
      <c r="O1850" s="7"/>
    </row>
    <row r="1851" spans="14:15">
      <c r="N1851" s="7"/>
      <c r="O1851" s="7"/>
    </row>
    <row r="1852" spans="14:15">
      <c r="N1852" s="7"/>
      <c r="O1852" s="7"/>
    </row>
    <row r="1853" spans="14:15">
      <c r="N1853" s="7"/>
      <c r="O1853" s="7"/>
    </row>
    <row r="1854" spans="14:15">
      <c r="N1854" s="7"/>
      <c r="O1854" s="7"/>
    </row>
    <row r="1855" spans="14:15">
      <c r="N1855" s="7"/>
      <c r="O1855" s="7"/>
    </row>
    <row r="1856" spans="14:15">
      <c r="N1856" s="7"/>
      <c r="O1856" s="7"/>
    </row>
    <row r="1857" spans="14:15">
      <c r="N1857" s="7"/>
      <c r="O1857" s="7"/>
    </row>
    <row r="1858" spans="14:15">
      <c r="N1858" s="7"/>
      <c r="O1858" s="7"/>
    </row>
    <row r="1859" spans="14:15">
      <c r="N1859" s="7"/>
      <c r="O1859" s="7"/>
    </row>
    <row r="1860" spans="14:15">
      <c r="N1860" s="7"/>
      <c r="O1860" s="7"/>
    </row>
    <row r="1861" spans="14:15">
      <c r="N1861" s="7"/>
      <c r="O1861" s="7"/>
    </row>
    <row r="1862" spans="14:15">
      <c r="N1862" s="7"/>
      <c r="O1862" s="7"/>
    </row>
    <row r="1863" spans="14:15">
      <c r="N1863" s="7"/>
      <c r="O1863" s="7"/>
    </row>
    <row r="1864" spans="14:15">
      <c r="N1864" s="7"/>
      <c r="O1864" s="7"/>
    </row>
    <row r="1865" spans="14:15">
      <c r="N1865" s="7"/>
      <c r="O1865" s="7"/>
    </row>
    <row r="1866" spans="14:15">
      <c r="N1866" s="7"/>
      <c r="O1866" s="7"/>
    </row>
    <row r="1867" spans="14:15">
      <c r="N1867" s="7"/>
      <c r="O1867" s="7"/>
    </row>
    <row r="1868" spans="14:15">
      <c r="N1868" s="7"/>
      <c r="O1868" s="7"/>
    </row>
    <row r="1869" spans="14:15">
      <c r="N1869" s="7"/>
      <c r="O1869" s="7"/>
    </row>
    <row r="1870" spans="14:15">
      <c r="N1870" s="7"/>
      <c r="O1870" s="7"/>
    </row>
    <row r="1871" spans="14:15">
      <c r="N1871" s="7"/>
      <c r="O1871" s="7"/>
    </row>
    <row r="1872" spans="14:15">
      <c r="N1872" s="7"/>
      <c r="O1872" s="7"/>
    </row>
    <row r="1873" spans="14:15">
      <c r="N1873" s="7"/>
      <c r="O1873" s="7"/>
    </row>
    <row r="1874" spans="14:15">
      <c r="N1874" s="7"/>
      <c r="O1874" s="7"/>
    </row>
    <row r="1875" spans="14:15">
      <c r="N1875" s="7"/>
      <c r="O1875" s="7"/>
    </row>
    <row r="1876" spans="14:15">
      <c r="N1876" s="7"/>
      <c r="O1876" s="7"/>
    </row>
    <row r="1877" spans="14:15">
      <c r="N1877" s="7"/>
      <c r="O1877" s="7"/>
    </row>
    <row r="1878" spans="14:15">
      <c r="N1878" s="7"/>
      <c r="O1878" s="7"/>
    </row>
    <row r="1879" spans="14:15">
      <c r="N1879" s="7"/>
      <c r="O1879" s="7"/>
    </row>
    <row r="1880" spans="14:15">
      <c r="N1880" s="7"/>
      <c r="O1880" s="7"/>
    </row>
    <row r="1881" spans="14:15">
      <c r="N1881" s="7"/>
      <c r="O1881" s="7"/>
    </row>
    <row r="1882" spans="14:15">
      <c r="N1882" s="7"/>
      <c r="O1882" s="7"/>
    </row>
    <row r="1883" spans="14:15">
      <c r="N1883" s="7"/>
      <c r="O1883" s="7"/>
    </row>
    <row r="1884" spans="14:15">
      <c r="N1884" s="7"/>
      <c r="O1884" s="7"/>
    </row>
    <row r="1885" spans="14:15">
      <c r="N1885" s="7"/>
      <c r="O1885" s="7"/>
    </row>
    <row r="1886" spans="14:15">
      <c r="N1886" s="7"/>
      <c r="O1886" s="7"/>
    </row>
    <row r="1887" spans="14:15">
      <c r="N1887" s="7"/>
      <c r="O1887" s="7"/>
    </row>
    <row r="1888" spans="14:15">
      <c r="N1888" s="7"/>
      <c r="O1888" s="7"/>
    </row>
    <row r="1889" spans="14:15">
      <c r="N1889" s="7"/>
      <c r="O1889" s="7"/>
    </row>
    <row r="1890" spans="14:15">
      <c r="N1890" s="7"/>
      <c r="O1890" s="7"/>
    </row>
    <row r="1891" spans="14:15">
      <c r="N1891" s="7"/>
      <c r="O1891" s="7"/>
    </row>
    <row r="1892" spans="14:15">
      <c r="N1892" s="7"/>
      <c r="O1892" s="7"/>
    </row>
    <row r="1893" spans="14:15">
      <c r="N1893" s="7"/>
      <c r="O1893" s="7"/>
    </row>
    <row r="1894" spans="14:15">
      <c r="N1894" s="7"/>
      <c r="O1894" s="7"/>
    </row>
    <row r="1895" spans="14:15">
      <c r="N1895" s="7"/>
      <c r="O1895" s="7"/>
    </row>
    <row r="1896" spans="14:15">
      <c r="N1896" s="7"/>
      <c r="O1896" s="7"/>
    </row>
    <row r="1897" spans="14:15">
      <c r="N1897" s="7"/>
      <c r="O1897" s="7"/>
    </row>
    <row r="1898" spans="14:15">
      <c r="N1898" s="7"/>
      <c r="O1898" s="7"/>
    </row>
    <row r="1899" spans="14:15">
      <c r="N1899" s="7"/>
      <c r="O1899" s="7"/>
    </row>
    <row r="1900" spans="14:15">
      <c r="N1900" s="7"/>
      <c r="O1900" s="7"/>
    </row>
    <row r="1901" spans="14:15">
      <c r="N1901" s="7"/>
      <c r="O1901" s="7"/>
    </row>
    <row r="1902" spans="14:15">
      <c r="N1902" s="7"/>
      <c r="O1902" s="7"/>
    </row>
    <row r="1903" spans="14:15">
      <c r="N1903" s="7"/>
      <c r="O1903" s="7"/>
    </row>
    <row r="1904" spans="14:15">
      <c r="N1904" s="7"/>
      <c r="O1904" s="7"/>
    </row>
    <row r="1905" spans="14:15">
      <c r="N1905" s="7"/>
      <c r="O1905" s="7"/>
    </row>
    <row r="1906" spans="14:15">
      <c r="N1906" s="7"/>
      <c r="O1906" s="7"/>
    </row>
    <row r="1907" spans="14:15">
      <c r="N1907" s="7"/>
      <c r="O1907" s="7"/>
    </row>
    <row r="1908" spans="14:15">
      <c r="N1908" s="7"/>
      <c r="O1908" s="7"/>
    </row>
    <row r="1909" spans="14:15">
      <c r="N1909" s="7"/>
      <c r="O1909" s="7"/>
    </row>
    <row r="1910" spans="14:15">
      <c r="N1910" s="7"/>
      <c r="O1910" s="7"/>
    </row>
    <row r="1911" spans="14:15">
      <c r="N1911" s="7"/>
      <c r="O1911" s="7"/>
    </row>
    <row r="1912" spans="14:15">
      <c r="N1912" s="7"/>
      <c r="O1912" s="7"/>
    </row>
    <row r="1913" spans="14:15">
      <c r="N1913" s="7"/>
      <c r="O1913" s="7"/>
    </row>
    <row r="1914" spans="14:15">
      <c r="N1914" s="7"/>
      <c r="O1914" s="7"/>
    </row>
    <row r="1915" spans="14:15">
      <c r="N1915" s="7"/>
      <c r="O1915" s="7"/>
    </row>
    <row r="1916" spans="14:15">
      <c r="N1916" s="7"/>
      <c r="O1916" s="7"/>
    </row>
    <row r="1917" spans="14:15">
      <c r="N1917" s="7"/>
      <c r="O1917" s="7"/>
    </row>
    <row r="1918" spans="14:15">
      <c r="N1918" s="7"/>
      <c r="O1918" s="7"/>
    </row>
    <row r="1919" spans="14:15">
      <c r="N1919" s="7"/>
      <c r="O1919" s="7"/>
    </row>
    <row r="1920" spans="14:15">
      <c r="N1920" s="7"/>
      <c r="O1920" s="7"/>
    </row>
    <row r="1921" spans="14:15">
      <c r="N1921" s="7"/>
      <c r="O1921" s="7"/>
    </row>
    <row r="1922" spans="14:15">
      <c r="N1922" s="7"/>
      <c r="O1922" s="7"/>
    </row>
    <row r="1923" spans="14:15">
      <c r="N1923" s="7"/>
      <c r="O1923" s="7"/>
    </row>
    <row r="1924" spans="14:15">
      <c r="N1924" s="7"/>
      <c r="O1924" s="7"/>
    </row>
    <row r="1925" spans="14:15">
      <c r="N1925" s="7"/>
      <c r="O1925" s="7"/>
    </row>
    <row r="1926" spans="14:15">
      <c r="N1926" s="7"/>
      <c r="O1926" s="7"/>
    </row>
    <row r="1927" spans="14:15">
      <c r="N1927" s="7"/>
      <c r="O1927" s="7"/>
    </row>
    <row r="1928" spans="14:15">
      <c r="N1928" s="7"/>
      <c r="O1928" s="7"/>
    </row>
    <row r="1929" spans="14:15">
      <c r="N1929" s="7"/>
      <c r="O1929" s="7"/>
    </row>
    <row r="1930" spans="14:15">
      <c r="N1930" s="7"/>
      <c r="O1930" s="7"/>
    </row>
    <row r="1931" spans="14:15">
      <c r="N1931" s="7"/>
      <c r="O1931" s="7"/>
    </row>
    <row r="1932" spans="14:15">
      <c r="N1932" s="7"/>
      <c r="O1932" s="7"/>
    </row>
    <row r="1933" spans="14:15">
      <c r="N1933" s="7"/>
      <c r="O1933" s="7"/>
    </row>
    <row r="1934" spans="14:15">
      <c r="N1934" s="7"/>
      <c r="O1934" s="7"/>
    </row>
    <row r="1935" spans="14:15">
      <c r="N1935" s="7"/>
      <c r="O1935" s="7"/>
    </row>
    <row r="1936" spans="14:15">
      <c r="N1936" s="7"/>
      <c r="O1936" s="7"/>
    </row>
    <row r="1937" spans="14:15">
      <c r="N1937" s="7"/>
      <c r="O1937" s="7"/>
    </row>
    <row r="1938" spans="14:15">
      <c r="N1938" s="7"/>
      <c r="O1938" s="7"/>
    </row>
    <row r="1939" spans="14:15">
      <c r="N1939" s="7"/>
      <c r="O1939" s="7"/>
    </row>
    <row r="1940" spans="14:15">
      <c r="N1940" s="7"/>
      <c r="O1940" s="7"/>
    </row>
    <row r="1941" spans="14:15">
      <c r="N1941" s="7"/>
      <c r="O1941" s="7"/>
    </row>
    <row r="1942" spans="14:15">
      <c r="N1942" s="7"/>
      <c r="O1942" s="7"/>
    </row>
    <row r="1943" spans="14:15">
      <c r="N1943" s="7"/>
      <c r="O1943" s="7"/>
    </row>
    <row r="1944" spans="14:15">
      <c r="N1944" s="7"/>
      <c r="O1944" s="7"/>
    </row>
    <row r="1945" spans="14:15">
      <c r="N1945" s="7"/>
      <c r="O1945" s="7"/>
    </row>
    <row r="1946" spans="14:15">
      <c r="N1946" s="7"/>
      <c r="O1946" s="7"/>
    </row>
    <row r="1947" spans="14:15">
      <c r="N1947" s="7"/>
      <c r="O1947" s="7"/>
    </row>
    <row r="1948" spans="14:15">
      <c r="N1948" s="7"/>
      <c r="O1948" s="7"/>
    </row>
    <row r="1949" spans="14:15">
      <c r="N1949" s="7"/>
      <c r="O1949" s="7"/>
    </row>
    <row r="1950" spans="14:15">
      <c r="N1950" s="7"/>
      <c r="O1950" s="7"/>
    </row>
    <row r="1951" spans="14:15">
      <c r="N1951" s="7"/>
      <c r="O1951" s="7"/>
    </row>
    <row r="1952" spans="14:15">
      <c r="N1952" s="7"/>
      <c r="O1952" s="7"/>
    </row>
    <row r="1953" spans="14:15">
      <c r="N1953" s="7"/>
      <c r="O1953" s="7"/>
    </row>
    <row r="1954" spans="14:15">
      <c r="N1954" s="7"/>
      <c r="O1954" s="7"/>
    </row>
    <row r="1955" spans="14:15">
      <c r="N1955" s="7"/>
      <c r="O1955" s="7"/>
    </row>
    <row r="1956" spans="14:15">
      <c r="N1956" s="7"/>
      <c r="O1956" s="7"/>
    </row>
    <row r="1957" spans="14:15">
      <c r="N1957" s="7"/>
      <c r="O1957" s="7"/>
    </row>
    <row r="1958" spans="14:15">
      <c r="N1958" s="7"/>
      <c r="O1958" s="7"/>
    </row>
    <row r="1959" spans="14:15">
      <c r="N1959" s="7"/>
      <c r="O1959" s="7"/>
    </row>
    <row r="1960" spans="14:15">
      <c r="N1960" s="7"/>
      <c r="O1960" s="7"/>
    </row>
    <row r="1961" spans="14:15">
      <c r="N1961" s="7"/>
      <c r="O1961" s="7"/>
    </row>
    <row r="1962" spans="14:15">
      <c r="N1962" s="7"/>
      <c r="O1962" s="7"/>
    </row>
    <row r="1963" spans="14:15">
      <c r="N1963" s="7"/>
      <c r="O1963" s="7"/>
    </row>
    <row r="1964" spans="14:15">
      <c r="N1964" s="7"/>
      <c r="O1964" s="7"/>
    </row>
    <row r="1965" spans="14:15">
      <c r="N1965" s="7"/>
      <c r="O1965" s="7"/>
    </row>
    <row r="1966" spans="14:15">
      <c r="N1966" s="7"/>
      <c r="O1966" s="7"/>
    </row>
    <row r="1967" spans="14:15">
      <c r="N1967" s="7"/>
      <c r="O1967" s="7"/>
    </row>
    <row r="1968" spans="14:15">
      <c r="N1968" s="7"/>
      <c r="O1968" s="7"/>
    </row>
    <row r="1969" spans="14:15">
      <c r="N1969" s="7"/>
      <c r="O1969" s="7"/>
    </row>
    <row r="1970" spans="14:15">
      <c r="N1970" s="7"/>
      <c r="O1970" s="7"/>
    </row>
    <row r="1971" spans="14:15">
      <c r="N1971" s="7"/>
      <c r="O1971" s="7"/>
    </row>
    <row r="1972" spans="14:15">
      <c r="N1972" s="7"/>
      <c r="O1972" s="7"/>
    </row>
    <row r="1973" spans="14:15">
      <c r="N1973" s="7"/>
      <c r="O1973" s="7"/>
    </row>
    <row r="1974" spans="14:15">
      <c r="N1974" s="7"/>
      <c r="O1974" s="7"/>
    </row>
    <row r="1975" spans="14:15">
      <c r="N1975" s="7"/>
      <c r="O1975" s="7"/>
    </row>
    <row r="1976" spans="14:15">
      <c r="N1976" s="7"/>
      <c r="O1976" s="7"/>
    </row>
    <row r="1977" spans="14:15">
      <c r="N1977" s="7"/>
      <c r="O1977" s="7"/>
    </row>
    <row r="1978" spans="14:15">
      <c r="N1978" s="7"/>
      <c r="O1978" s="7"/>
    </row>
    <row r="1979" spans="14:15">
      <c r="N1979" s="7"/>
      <c r="O1979" s="7"/>
    </row>
    <row r="1980" spans="14:15">
      <c r="N1980" s="7"/>
      <c r="O1980" s="7"/>
    </row>
    <row r="1981" spans="14:15">
      <c r="N1981" s="7"/>
      <c r="O1981" s="7"/>
    </row>
    <row r="1982" spans="14:15">
      <c r="N1982" s="7"/>
      <c r="O1982" s="7"/>
    </row>
    <row r="1983" spans="14:15">
      <c r="N1983" s="7"/>
      <c r="O1983" s="7"/>
    </row>
    <row r="1984" spans="14:15">
      <c r="N1984" s="7"/>
      <c r="O1984" s="7"/>
    </row>
    <row r="1985" spans="14:15">
      <c r="N1985" s="7"/>
      <c r="O1985" s="7"/>
    </row>
    <row r="1986" spans="14:15">
      <c r="N1986" s="7"/>
      <c r="O1986" s="7"/>
    </row>
    <row r="1987" spans="14:15">
      <c r="N1987" s="7"/>
      <c r="O1987" s="7"/>
    </row>
    <row r="1988" spans="14:15">
      <c r="N1988" s="7"/>
      <c r="O1988" s="7"/>
    </row>
    <row r="1989" spans="14:15">
      <c r="N1989" s="7"/>
      <c r="O1989" s="7"/>
    </row>
    <row r="1990" spans="14:15">
      <c r="N1990" s="7"/>
      <c r="O1990" s="7"/>
    </row>
    <row r="1991" spans="14:15">
      <c r="N1991" s="7"/>
      <c r="O1991" s="7"/>
    </row>
    <row r="1992" spans="14:15">
      <c r="N1992" s="7"/>
      <c r="O1992" s="7"/>
    </row>
    <row r="1993" spans="14:15">
      <c r="N1993" s="7"/>
      <c r="O1993" s="7"/>
    </row>
    <row r="1994" spans="14:15">
      <c r="N1994" s="7"/>
      <c r="O1994" s="7"/>
    </row>
    <row r="1995" spans="14:15">
      <c r="N1995" s="7"/>
      <c r="O1995" s="7"/>
    </row>
    <row r="1996" spans="14:15">
      <c r="N1996" s="7"/>
      <c r="O1996" s="7"/>
    </row>
    <row r="1997" spans="14:15">
      <c r="N1997" s="7"/>
      <c r="O1997" s="7"/>
    </row>
    <row r="1998" spans="14:15">
      <c r="N1998" s="7"/>
      <c r="O1998" s="7"/>
    </row>
    <row r="1999" spans="14:15">
      <c r="N1999" s="7"/>
      <c r="O1999" s="7"/>
    </row>
    <row r="2000" spans="14:15">
      <c r="N2000" s="7"/>
      <c r="O2000" s="7"/>
    </row>
    <row r="2001" spans="14:15">
      <c r="N2001" s="7"/>
      <c r="O2001" s="7"/>
    </row>
    <row r="2002" spans="14:15">
      <c r="N2002" s="7"/>
      <c r="O2002" s="7"/>
    </row>
    <row r="2003" spans="14:15">
      <c r="N2003" s="7"/>
      <c r="O2003" s="7"/>
    </row>
    <row r="2004" spans="14:15">
      <c r="N2004" s="7"/>
      <c r="O2004" s="7"/>
    </row>
    <row r="2005" spans="14:15">
      <c r="N2005" s="7"/>
      <c r="O2005" s="7"/>
    </row>
    <row r="2006" spans="14:15">
      <c r="N2006" s="7"/>
      <c r="O2006" s="7"/>
    </row>
    <row r="2007" spans="14:15">
      <c r="N2007" s="7"/>
      <c r="O2007" s="7"/>
    </row>
    <row r="2008" spans="14:15">
      <c r="N2008" s="7"/>
      <c r="O2008" s="7"/>
    </row>
    <row r="2009" spans="14:15">
      <c r="N2009" s="7"/>
      <c r="O2009" s="7"/>
    </row>
    <row r="2010" spans="14:15">
      <c r="N2010" s="7"/>
      <c r="O2010" s="7"/>
    </row>
    <row r="2011" spans="14:15">
      <c r="N2011" s="7"/>
      <c r="O2011" s="7"/>
    </row>
    <row r="2012" spans="14:15">
      <c r="N2012" s="7"/>
      <c r="O2012" s="7"/>
    </row>
    <row r="2013" spans="14:15">
      <c r="N2013" s="7"/>
      <c r="O2013" s="7"/>
    </row>
    <row r="2014" spans="14:15">
      <c r="N2014" s="7"/>
      <c r="O2014" s="7"/>
    </row>
    <row r="2015" spans="14:15">
      <c r="N2015" s="7"/>
      <c r="O2015" s="7"/>
    </row>
    <row r="2016" spans="14:15">
      <c r="N2016" s="7"/>
      <c r="O2016" s="7"/>
    </row>
    <row r="2017" spans="14:15">
      <c r="N2017" s="7"/>
      <c r="O2017" s="7"/>
    </row>
    <row r="2018" spans="14:15">
      <c r="N2018" s="7"/>
      <c r="O2018" s="7"/>
    </row>
    <row r="2019" spans="14:15">
      <c r="N2019" s="7"/>
      <c r="O2019" s="7"/>
    </row>
    <row r="2020" spans="14:15">
      <c r="N2020" s="7"/>
      <c r="O2020" s="7"/>
    </row>
    <row r="2021" spans="14:15">
      <c r="N2021" s="7"/>
      <c r="O2021" s="7"/>
    </row>
    <row r="2022" spans="14:15">
      <c r="N2022" s="7"/>
      <c r="O2022" s="7"/>
    </row>
    <row r="2023" spans="14:15">
      <c r="N2023" s="7"/>
      <c r="O2023" s="7"/>
    </row>
    <row r="2024" spans="14:15">
      <c r="N2024" s="7"/>
      <c r="O2024" s="7"/>
    </row>
    <row r="2025" spans="14:15">
      <c r="N2025" s="7"/>
      <c r="O2025" s="7"/>
    </row>
    <row r="2026" spans="14:15">
      <c r="N2026" s="7"/>
      <c r="O2026" s="7"/>
    </row>
    <row r="2027" spans="14:15">
      <c r="N2027" s="7"/>
      <c r="O2027" s="7"/>
    </row>
    <row r="2028" spans="14:15">
      <c r="N2028" s="7"/>
      <c r="O2028" s="7"/>
    </row>
    <row r="2029" spans="14:15">
      <c r="N2029" s="7"/>
      <c r="O2029" s="7"/>
    </row>
    <row r="2030" spans="14:15">
      <c r="N2030" s="7"/>
      <c r="O2030" s="7"/>
    </row>
    <row r="2031" spans="14:15">
      <c r="N2031" s="7"/>
      <c r="O2031" s="7"/>
    </row>
    <row r="2032" spans="14:15">
      <c r="N2032" s="7"/>
      <c r="O2032" s="7"/>
    </row>
    <row r="2033" spans="14:15">
      <c r="N2033" s="7"/>
      <c r="O2033" s="7"/>
    </row>
    <row r="2034" spans="14:15">
      <c r="N2034" s="7"/>
      <c r="O2034" s="7"/>
    </row>
    <row r="2035" spans="14:15">
      <c r="N2035" s="7"/>
      <c r="O2035" s="7"/>
    </row>
    <row r="2036" spans="14:15">
      <c r="N2036" s="7"/>
      <c r="O2036" s="7"/>
    </row>
    <row r="2037" spans="14:15">
      <c r="N2037" s="7"/>
      <c r="O2037" s="7"/>
    </row>
    <row r="2038" spans="14:15">
      <c r="N2038" s="7"/>
      <c r="O2038" s="7"/>
    </row>
    <row r="2039" spans="14:15">
      <c r="N2039" s="7"/>
      <c r="O2039" s="7"/>
    </row>
    <row r="2040" spans="14:15">
      <c r="N2040" s="7"/>
      <c r="O2040" s="7"/>
    </row>
    <row r="2041" spans="14:15">
      <c r="N2041" s="7"/>
      <c r="O2041" s="7"/>
    </row>
    <row r="2042" spans="14:15">
      <c r="N2042" s="7"/>
      <c r="O2042" s="7"/>
    </row>
    <row r="2043" spans="14:15">
      <c r="N2043" s="7"/>
      <c r="O2043" s="7"/>
    </row>
    <row r="2044" spans="14:15">
      <c r="N2044" s="7"/>
      <c r="O2044" s="7"/>
    </row>
    <row r="2045" spans="14:15">
      <c r="N2045" s="7"/>
      <c r="O2045" s="7"/>
    </row>
    <row r="2046" spans="14:15">
      <c r="N2046" s="7"/>
      <c r="O2046" s="7"/>
    </row>
    <row r="2047" spans="14:15">
      <c r="N2047" s="7"/>
      <c r="O2047" s="7"/>
    </row>
    <row r="2048" spans="14:15">
      <c r="N2048" s="7"/>
      <c r="O2048" s="7"/>
    </row>
    <row r="2049" spans="14:15">
      <c r="N2049" s="7"/>
      <c r="O2049" s="7"/>
    </row>
    <row r="2050" spans="14:15">
      <c r="N2050" s="7"/>
      <c r="O2050" s="7"/>
    </row>
    <row r="2051" spans="14:15">
      <c r="N2051" s="7"/>
      <c r="O2051" s="7"/>
    </row>
    <row r="2052" spans="14:15">
      <c r="N2052" s="7"/>
      <c r="O2052" s="7"/>
    </row>
    <row r="2053" spans="14:15">
      <c r="N2053" s="7"/>
      <c r="O2053" s="7"/>
    </row>
    <row r="2054" spans="14:15">
      <c r="N2054" s="7"/>
      <c r="O2054" s="7"/>
    </row>
    <row r="2055" spans="14:15">
      <c r="N2055" s="7"/>
      <c r="O2055" s="7"/>
    </row>
    <row r="2056" spans="14:15">
      <c r="N2056" s="7"/>
      <c r="O2056" s="7"/>
    </row>
    <row r="2057" spans="14:15">
      <c r="N2057" s="7"/>
      <c r="O2057" s="7"/>
    </row>
    <row r="2058" spans="14:15">
      <c r="N2058" s="7"/>
      <c r="O2058" s="7"/>
    </row>
    <row r="2059" spans="14:15">
      <c r="N2059" s="7"/>
      <c r="O2059" s="7"/>
    </row>
    <row r="2060" spans="14:15">
      <c r="N2060" s="7"/>
      <c r="O2060" s="7"/>
    </row>
    <row r="2061" spans="14:15">
      <c r="N2061" s="7"/>
      <c r="O2061" s="7"/>
    </row>
    <row r="2062" spans="14:15">
      <c r="N2062" s="7"/>
      <c r="O2062" s="7"/>
    </row>
    <row r="2063" spans="14:15">
      <c r="N2063" s="7"/>
      <c r="O2063" s="7"/>
    </row>
    <row r="2064" spans="14:15">
      <c r="N2064" s="7"/>
      <c r="O2064" s="7"/>
    </row>
    <row r="2065" spans="14:15">
      <c r="N2065" s="7"/>
      <c r="O2065" s="7"/>
    </row>
    <row r="2066" spans="14:15">
      <c r="N2066" s="7"/>
      <c r="O2066" s="7"/>
    </row>
    <row r="2067" spans="14:15">
      <c r="N2067" s="7"/>
      <c r="O2067" s="7"/>
    </row>
    <row r="2068" spans="14:15">
      <c r="N2068" s="7"/>
      <c r="O2068" s="7"/>
    </row>
    <row r="2069" spans="14:15">
      <c r="N2069" s="7"/>
      <c r="O2069" s="7"/>
    </row>
    <row r="2070" spans="14:15">
      <c r="N2070" s="7"/>
      <c r="O2070" s="7"/>
    </row>
    <row r="2071" spans="14:15">
      <c r="N2071" s="7"/>
      <c r="O2071" s="7"/>
    </row>
    <row r="2072" spans="14:15">
      <c r="N2072" s="7"/>
      <c r="O2072" s="7"/>
    </row>
    <row r="2073" spans="14:15">
      <c r="N2073" s="7"/>
      <c r="O2073" s="7"/>
    </row>
    <row r="2074" spans="14:15">
      <c r="N2074" s="7"/>
      <c r="O2074" s="7"/>
    </row>
    <row r="2075" spans="14:15">
      <c r="N2075" s="7"/>
      <c r="O2075" s="7"/>
    </row>
    <row r="2076" spans="14:15">
      <c r="N2076" s="7"/>
      <c r="O2076" s="7"/>
    </row>
    <row r="2077" spans="14:15">
      <c r="N2077" s="7"/>
      <c r="O2077" s="7"/>
    </row>
    <row r="2078" spans="14:15">
      <c r="N2078" s="7"/>
      <c r="O2078" s="7"/>
    </row>
    <row r="2079" spans="14:15">
      <c r="N2079" s="7"/>
      <c r="O2079" s="7"/>
    </row>
    <row r="2080" spans="14:15">
      <c r="N2080" s="7"/>
      <c r="O2080" s="7"/>
    </row>
    <row r="2081" spans="14:15">
      <c r="N2081" s="7"/>
      <c r="O2081" s="7"/>
    </row>
    <row r="2082" spans="14:15">
      <c r="N2082" s="7"/>
      <c r="O2082" s="7"/>
    </row>
    <row r="2083" spans="14:15">
      <c r="N2083" s="7"/>
      <c r="O2083" s="7"/>
    </row>
    <row r="2084" spans="14:15">
      <c r="N2084" s="7"/>
      <c r="O2084" s="7"/>
    </row>
    <row r="2085" spans="14:15">
      <c r="N2085" s="7"/>
      <c r="O2085" s="7"/>
    </row>
    <row r="2086" spans="14:15">
      <c r="N2086" s="7"/>
      <c r="O2086" s="7"/>
    </row>
    <row r="2087" spans="14:15">
      <c r="N2087" s="7"/>
      <c r="O2087" s="7"/>
    </row>
    <row r="2088" spans="14:15">
      <c r="N2088" s="7"/>
      <c r="O2088" s="7"/>
    </row>
    <row r="2089" spans="14:15">
      <c r="N2089" s="7"/>
      <c r="O2089" s="7"/>
    </row>
    <row r="2090" spans="14:15">
      <c r="N2090" s="7"/>
      <c r="O2090" s="7"/>
    </row>
    <row r="2091" spans="14:15">
      <c r="N2091" s="7"/>
      <c r="O2091" s="7"/>
    </row>
    <row r="2092" spans="14:15">
      <c r="N2092" s="7"/>
      <c r="O2092" s="7"/>
    </row>
    <row r="2093" spans="14:15">
      <c r="N2093" s="7"/>
      <c r="O2093" s="7"/>
    </row>
    <row r="2094" spans="14:15">
      <c r="N2094" s="7"/>
      <c r="O2094" s="7"/>
    </row>
    <row r="2095" spans="14:15">
      <c r="N2095" s="7"/>
      <c r="O2095" s="7"/>
    </row>
    <row r="2096" spans="14:15">
      <c r="N2096" s="7"/>
      <c r="O2096" s="7"/>
    </row>
    <row r="2097" spans="14:15">
      <c r="N2097" s="7"/>
      <c r="O2097" s="7"/>
    </row>
    <row r="2098" spans="14:15">
      <c r="N2098" s="7"/>
      <c r="O2098" s="7"/>
    </row>
    <row r="2099" spans="14:15">
      <c r="N2099" s="7"/>
      <c r="O2099" s="7"/>
    </row>
    <row r="2100" spans="14:15">
      <c r="N2100" s="7"/>
      <c r="O2100" s="7"/>
    </row>
    <row r="2101" spans="14:15">
      <c r="N2101" s="7"/>
      <c r="O2101" s="7"/>
    </row>
    <row r="2102" spans="14:15">
      <c r="N2102" s="7"/>
      <c r="O2102" s="7"/>
    </row>
    <row r="2103" spans="14:15">
      <c r="N2103" s="7"/>
      <c r="O2103" s="7"/>
    </row>
    <row r="2104" spans="14:15">
      <c r="N2104" s="7"/>
      <c r="O2104" s="7"/>
    </row>
    <row r="2105" spans="14:15">
      <c r="N2105" s="7"/>
      <c r="O2105" s="7"/>
    </row>
    <row r="2106" spans="14:15">
      <c r="N2106" s="7"/>
      <c r="O2106" s="7"/>
    </row>
    <row r="2107" spans="14:15">
      <c r="N2107" s="7"/>
      <c r="O2107" s="7"/>
    </row>
    <row r="2108" spans="14:15">
      <c r="N2108" s="7"/>
      <c r="O2108" s="7"/>
    </row>
    <row r="2109" spans="14:15">
      <c r="N2109" s="7"/>
      <c r="O2109" s="7"/>
    </row>
    <row r="2110" spans="14:15">
      <c r="N2110" s="7"/>
      <c r="O2110" s="7"/>
    </row>
    <row r="2111" spans="14:15">
      <c r="N2111" s="7"/>
      <c r="O2111" s="7"/>
    </row>
    <row r="2112" spans="14:15">
      <c r="N2112" s="7"/>
      <c r="O2112" s="7"/>
    </row>
    <row r="2113" spans="14:15">
      <c r="N2113" s="7"/>
      <c r="O2113" s="7"/>
    </row>
    <row r="2114" spans="14:15">
      <c r="N2114" s="7"/>
      <c r="O2114" s="7"/>
    </row>
    <row r="2115" spans="14:15">
      <c r="N2115" s="7"/>
      <c r="O2115" s="7"/>
    </row>
    <row r="2116" spans="14:15">
      <c r="N2116" s="7"/>
      <c r="O2116" s="7"/>
    </row>
    <row r="2117" spans="14:15">
      <c r="N2117" s="7"/>
      <c r="O2117" s="7"/>
    </row>
    <row r="2118" spans="14:15">
      <c r="N2118" s="7"/>
      <c r="O2118" s="7"/>
    </row>
    <row r="2119" spans="14:15">
      <c r="N2119" s="7"/>
      <c r="O2119" s="7"/>
    </row>
    <row r="2120" spans="14:15">
      <c r="N2120" s="7"/>
      <c r="O2120" s="7"/>
    </row>
    <row r="2121" spans="14:15">
      <c r="N2121" s="7"/>
      <c r="O2121" s="7"/>
    </row>
    <row r="2122" spans="14:15">
      <c r="N2122" s="7"/>
      <c r="O2122" s="7"/>
    </row>
    <row r="2123" spans="14:15">
      <c r="N2123" s="7"/>
      <c r="O2123" s="7"/>
    </row>
    <row r="2124" spans="14:15">
      <c r="N2124" s="7"/>
      <c r="O2124" s="7"/>
    </row>
    <row r="2125" spans="14:15">
      <c r="N2125" s="7"/>
      <c r="O2125" s="7"/>
    </row>
    <row r="2126" spans="14:15">
      <c r="N2126" s="7"/>
      <c r="O2126" s="7"/>
    </row>
    <row r="2127" spans="14:15">
      <c r="N2127" s="7"/>
      <c r="O2127" s="7"/>
    </row>
    <row r="2128" spans="14:15">
      <c r="N2128" s="7"/>
      <c r="O2128" s="7"/>
    </row>
    <row r="2129" spans="14:15">
      <c r="N2129" s="7"/>
      <c r="O2129" s="7"/>
    </row>
    <row r="2130" spans="14:15">
      <c r="N2130" s="7"/>
      <c r="O2130" s="7"/>
    </row>
    <row r="2131" spans="14:15">
      <c r="N2131" s="7"/>
      <c r="O2131" s="7"/>
    </row>
    <row r="2132" spans="14:15">
      <c r="N2132" s="7"/>
      <c r="O2132" s="7"/>
    </row>
    <row r="2133" spans="14:15">
      <c r="N2133" s="7"/>
      <c r="O2133" s="7"/>
    </row>
    <row r="2134" spans="14:15">
      <c r="N2134" s="7"/>
      <c r="O2134" s="7"/>
    </row>
    <row r="2135" spans="14:15">
      <c r="N2135" s="7"/>
      <c r="O2135" s="7"/>
    </row>
    <row r="2136" spans="14:15">
      <c r="N2136" s="7"/>
      <c r="O2136" s="7"/>
    </row>
    <row r="2137" spans="14:15">
      <c r="N2137" s="7"/>
      <c r="O2137" s="7"/>
    </row>
    <row r="2138" spans="14:15">
      <c r="N2138" s="7"/>
      <c r="O2138" s="7"/>
    </row>
    <row r="2139" spans="14:15">
      <c r="N2139" s="7"/>
      <c r="O2139" s="7"/>
    </row>
    <row r="2140" spans="14:15">
      <c r="N2140" s="7"/>
      <c r="O2140" s="7"/>
    </row>
    <row r="2141" spans="14:15">
      <c r="N2141" s="7"/>
      <c r="O2141" s="7"/>
    </row>
    <row r="2142" spans="14:15">
      <c r="N2142" s="7"/>
      <c r="O2142" s="7"/>
    </row>
    <row r="2143" spans="14:15">
      <c r="N2143" s="7"/>
      <c r="O2143" s="7"/>
    </row>
    <row r="2144" spans="14:15">
      <c r="N2144" s="7"/>
      <c r="O2144" s="7"/>
    </row>
    <row r="2145" spans="14:15">
      <c r="N2145" s="7"/>
      <c r="O2145" s="7"/>
    </row>
    <row r="2146" spans="14:15">
      <c r="N2146" s="7"/>
      <c r="O2146" s="7"/>
    </row>
    <row r="2147" spans="14:15">
      <c r="N2147" s="7"/>
      <c r="O2147" s="7"/>
    </row>
    <row r="2148" spans="14:15">
      <c r="N2148" s="7"/>
      <c r="O2148" s="7"/>
    </row>
    <row r="2149" spans="14:15">
      <c r="N2149" s="7"/>
      <c r="O2149" s="7"/>
    </row>
    <row r="2150" spans="14:15">
      <c r="N2150" s="7"/>
      <c r="O2150" s="7"/>
    </row>
    <row r="2151" spans="14:15">
      <c r="N2151" s="7"/>
      <c r="O2151" s="7"/>
    </row>
    <row r="2152" spans="14:15">
      <c r="N2152" s="7"/>
      <c r="O2152" s="7"/>
    </row>
    <row r="2153" spans="14:15">
      <c r="N2153" s="7"/>
      <c r="O2153" s="7"/>
    </row>
    <row r="2154" spans="14:15">
      <c r="N2154" s="7"/>
      <c r="O2154" s="7"/>
    </row>
    <row r="2155" spans="14:15">
      <c r="N2155" s="7"/>
      <c r="O2155" s="7"/>
    </row>
    <row r="2156" spans="14:15">
      <c r="N2156" s="7"/>
      <c r="O2156" s="7"/>
    </row>
    <row r="2157" spans="14:15">
      <c r="N2157" s="7"/>
      <c r="O2157" s="7"/>
    </row>
    <row r="2158" spans="14:15">
      <c r="N2158" s="7"/>
      <c r="O2158" s="7"/>
    </row>
    <row r="2159" spans="14:15">
      <c r="N2159" s="7"/>
      <c r="O2159" s="7"/>
    </row>
    <row r="2160" spans="14:15">
      <c r="N2160" s="7"/>
      <c r="O2160" s="7"/>
    </row>
    <row r="2161" spans="14:15">
      <c r="N2161" s="7"/>
      <c r="O2161" s="7"/>
    </row>
    <row r="2162" spans="14:15">
      <c r="N2162" s="7"/>
      <c r="O2162" s="7"/>
    </row>
    <row r="2163" spans="14:15">
      <c r="N2163" s="7"/>
      <c r="O2163" s="7"/>
    </row>
    <row r="2164" spans="14:15">
      <c r="N2164" s="7"/>
      <c r="O2164" s="7"/>
    </row>
    <row r="2165" spans="14:15">
      <c r="N2165" s="7"/>
      <c r="O2165" s="7"/>
    </row>
    <row r="2166" spans="14:15">
      <c r="N2166" s="7"/>
      <c r="O2166" s="7"/>
    </row>
    <row r="2167" spans="14:15">
      <c r="N2167" s="7"/>
      <c r="O2167" s="7"/>
    </row>
    <row r="2168" spans="14:15">
      <c r="N2168" s="7"/>
      <c r="O2168" s="7"/>
    </row>
    <row r="2169" spans="14:15">
      <c r="N2169" s="7"/>
      <c r="O2169" s="7"/>
    </row>
    <row r="2170" spans="14:15">
      <c r="N2170" s="7"/>
      <c r="O2170" s="7"/>
    </row>
    <row r="2171" spans="14:15">
      <c r="N2171" s="7"/>
      <c r="O2171" s="7"/>
    </row>
    <row r="2172" spans="14:15">
      <c r="N2172" s="7"/>
      <c r="O2172" s="7"/>
    </row>
    <row r="2173" spans="14:15">
      <c r="N2173" s="7"/>
      <c r="O2173" s="7"/>
    </row>
    <row r="2174" spans="14:15">
      <c r="N2174" s="7"/>
      <c r="O2174" s="7"/>
    </row>
    <row r="2175" spans="14:15">
      <c r="N2175" s="7"/>
      <c r="O2175" s="7"/>
    </row>
    <row r="2176" spans="14:15">
      <c r="N2176" s="7"/>
      <c r="O2176" s="7"/>
    </row>
    <row r="2177" spans="14:15">
      <c r="N2177" s="7"/>
      <c r="O2177" s="7"/>
    </row>
    <row r="2178" spans="14:15">
      <c r="N2178" s="7"/>
      <c r="O2178" s="7"/>
    </row>
    <row r="2179" spans="14:15">
      <c r="N2179" s="7"/>
      <c r="O2179" s="7"/>
    </row>
    <row r="2180" spans="14:15">
      <c r="N2180" s="7"/>
      <c r="O2180" s="7"/>
    </row>
    <row r="2181" spans="14:15">
      <c r="N2181" s="7"/>
      <c r="O2181" s="7"/>
    </row>
    <row r="2182" spans="14:15">
      <c r="N2182" s="7"/>
      <c r="O2182" s="7"/>
    </row>
    <row r="2183" spans="14:15">
      <c r="N2183" s="7"/>
      <c r="O2183" s="7"/>
    </row>
    <row r="2184" spans="14:15">
      <c r="N2184" s="7"/>
      <c r="O2184" s="7"/>
    </row>
    <row r="2185" spans="14:15">
      <c r="N2185" s="7"/>
      <c r="O2185" s="7"/>
    </row>
    <row r="2186" spans="14:15">
      <c r="N2186" s="7"/>
      <c r="O2186" s="7"/>
    </row>
    <row r="2187" spans="14:15">
      <c r="N2187" s="7"/>
      <c r="O2187" s="7"/>
    </row>
    <row r="2188" spans="14:15">
      <c r="N2188" s="7"/>
      <c r="O2188" s="7"/>
    </row>
    <row r="2189" spans="14:15">
      <c r="N2189" s="7"/>
      <c r="O2189" s="7"/>
    </row>
    <row r="2190" spans="14:15">
      <c r="N2190" s="7"/>
      <c r="O2190" s="7"/>
    </row>
    <row r="2191" spans="14:15">
      <c r="N2191" s="7"/>
      <c r="O2191" s="7"/>
    </row>
    <row r="2192" spans="14:15">
      <c r="N2192" s="7"/>
      <c r="O2192" s="7"/>
    </row>
    <row r="2193" spans="14:15">
      <c r="N2193" s="7"/>
      <c r="O2193" s="7"/>
    </row>
    <row r="2194" spans="14:15">
      <c r="N2194" s="7"/>
      <c r="O2194" s="7"/>
    </row>
    <row r="2195" spans="14:15">
      <c r="N2195" s="7"/>
      <c r="O2195" s="7"/>
    </row>
    <row r="2196" spans="14:15">
      <c r="N2196" s="7"/>
      <c r="O2196" s="7"/>
    </row>
    <row r="2197" spans="14:15">
      <c r="N2197" s="7"/>
      <c r="O2197" s="7"/>
    </row>
    <row r="2198" spans="14:15">
      <c r="N2198" s="7"/>
      <c r="O2198" s="7"/>
    </row>
    <row r="2199" spans="14:15">
      <c r="N2199" s="7"/>
      <c r="O2199" s="7"/>
    </row>
    <row r="2200" spans="14:15">
      <c r="N2200" s="7"/>
      <c r="O2200" s="7"/>
    </row>
    <row r="2201" spans="14:15">
      <c r="N2201" s="7"/>
      <c r="O2201" s="7"/>
    </row>
    <row r="2202" spans="14:15">
      <c r="N2202" s="7"/>
      <c r="O2202" s="7"/>
    </row>
    <row r="2203" spans="14:15">
      <c r="N2203" s="7"/>
      <c r="O2203" s="7"/>
    </row>
    <row r="2204" spans="14:15">
      <c r="N2204" s="7"/>
      <c r="O2204" s="7"/>
    </row>
    <row r="2205" spans="14:15">
      <c r="N2205" s="7"/>
      <c r="O2205" s="7"/>
    </row>
    <row r="2206" spans="14:15">
      <c r="N2206" s="7"/>
      <c r="O2206" s="7"/>
    </row>
    <row r="2207" spans="14:15">
      <c r="N2207" s="7"/>
      <c r="O2207" s="7"/>
    </row>
    <row r="2208" spans="14:15">
      <c r="N2208" s="7"/>
      <c r="O2208" s="7"/>
    </row>
    <row r="2209" spans="14:15">
      <c r="N2209" s="7"/>
      <c r="O2209" s="7"/>
    </row>
    <row r="2210" spans="14:15">
      <c r="N2210" s="7"/>
      <c r="O2210" s="7"/>
    </row>
    <row r="2211" spans="14:15">
      <c r="N2211" s="7"/>
      <c r="O2211" s="7"/>
    </row>
    <row r="2212" spans="14:15">
      <c r="N2212" s="7"/>
      <c r="O2212" s="7"/>
    </row>
    <row r="2213" spans="14:15">
      <c r="N2213" s="7"/>
      <c r="O2213" s="7"/>
    </row>
    <row r="2214" spans="14:15">
      <c r="N2214" s="7"/>
      <c r="O2214" s="7"/>
    </row>
    <row r="2215" spans="14:15">
      <c r="N2215" s="7"/>
      <c r="O2215" s="7"/>
    </row>
    <row r="2216" spans="14:15">
      <c r="N2216" s="7"/>
      <c r="O2216" s="7"/>
    </row>
    <row r="2217" spans="14:15">
      <c r="N2217" s="7"/>
      <c r="O2217" s="7"/>
    </row>
    <row r="2218" spans="14:15">
      <c r="N2218" s="7"/>
      <c r="O2218" s="7"/>
    </row>
    <row r="2219" spans="14:15">
      <c r="N2219" s="7"/>
      <c r="O2219" s="7"/>
    </row>
    <row r="2220" spans="14:15">
      <c r="N2220" s="7"/>
      <c r="O2220" s="7"/>
    </row>
    <row r="2221" spans="14:15">
      <c r="N2221" s="7"/>
      <c r="O2221" s="7"/>
    </row>
    <row r="2222" spans="14:15">
      <c r="N2222" s="7"/>
      <c r="O2222" s="7"/>
    </row>
    <row r="2223" spans="14:15">
      <c r="N2223" s="7"/>
      <c r="O2223" s="7"/>
    </row>
    <row r="2224" spans="14:15">
      <c r="N2224" s="7"/>
      <c r="O2224" s="7"/>
    </row>
    <row r="2225" spans="14:15">
      <c r="N2225" s="7"/>
      <c r="O2225" s="7"/>
    </row>
    <row r="2226" spans="14:15">
      <c r="N2226" s="7"/>
      <c r="O2226" s="7"/>
    </row>
    <row r="2227" spans="14:15">
      <c r="N2227" s="7"/>
      <c r="O2227" s="7"/>
    </row>
    <row r="2228" spans="14:15">
      <c r="N2228" s="7"/>
      <c r="O2228" s="7"/>
    </row>
    <row r="2229" spans="14:15">
      <c r="N2229" s="7"/>
      <c r="O2229" s="7"/>
    </row>
    <row r="2230" spans="14:15">
      <c r="N2230" s="7"/>
      <c r="O2230" s="7"/>
    </row>
    <row r="2231" spans="14:15">
      <c r="N2231" s="7"/>
      <c r="O2231" s="7"/>
    </row>
    <row r="2232" spans="14:15">
      <c r="N2232" s="7"/>
      <c r="O2232" s="7"/>
    </row>
    <row r="2233" spans="14:15">
      <c r="N2233" s="7"/>
      <c r="O2233" s="7"/>
    </row>
    <row r="2234" spans="14:15">
      <c r="N2234" s="7"/>
      <c r="O2234" s="7"/>
    </row>
    <row r="2235" spans="14:15">
      <c r="N2235" s="7"/>
      <c r="O2235" s="7"/>
    </row>
    <row r="2236" spans="14:15">
      <c r="N2236" s="7"/>
      <c r="O2236" s="7"/>
    </row>
    <row r="2237" spans="14:15">
      <c r="N2237" s="7"/>
      <c r="O2237" s="7"/>
    </row>
    <row r="2238" spans="14:15">
      <c r="N2238" s="7"/>
      <c r="O2238" s="7"/>
    </row>
    <row r="2239" spans="14:15">
      <c r="N2239" s="7"/>
      <c r="O2239" s="7"/>
    </row>
    <row r="2240" spans="14:15">
      <c r="N2240" s="7"/>
      <c r="O2240" s="7"/>
    </row>
    <row r="2241" spans="14:15">
      <c r="N2241" s="7"/>
      <c r="O2241" s="7"/>
    </row>
    <row r="2242" spans="14:15">
      <c r="N2242" s="7"/>
      <c r="O2242" s="7"/>
    </row>
    <row r="2243" spans="14:15">
      <c r="N2243" s="7"/>
      <c r="O2243" s="7"/>
    </row>
    <row r="2244" spans="14:15">
      <c r="N2244" s="7"/>
      <c r="O2244" s="7"/>
    </row>
    <row r="2245" spans="14:15">
      <c r="N2245" s="7"/>
      <c r="O2245" s="7"/>
    </row>
    <row r="2246" spans="14:15">
      <c r="N2246" s="7"/>
      <c r="O2246" s="7"/>
    </row>
    <row r="2247" spans="14:15">
      <c r="N2247" s="7"/>
      <c r="O2247" s="7"/>
    </row>
    <row r="2248" spans="14:15">
      <c r="N2248" s="7"/>
      <c r="O2248" s="7"/>
    </row>
    <row r="2249" spans="14:15">
      <c r="N2249" s="7"/>
      <c r="O2249" s="7"/>
    </row>
    <row r="2250" spans="14:15">
      <c r="N2250" s="7"/>
      <c r="O2250" s="7"/>
    </row>
    <row r="2251" spans="14:15">
      <c r="N2251" s="7"/>
      <c r="O2251" s="7"/>
    </row>
    <row r="2252" spans="14:15">
      <c r="N2252" s="7"/>
      <c r="O2252" s="7"/>
    </row>
    <row r="2253" spans="14:15">
      <c r="N2253" s="7"/>
      <c r="O2253" s="7"/>
    </row>
    <row r="2254" spans="14:15">
      <c r="N2254" s="7"/>
      <c r="O2254" s="7"/>
    </row>
    <row r="2255" spans="14:15">
      <c r="N2255" s="7"/>
      <c r="O2255" s="7"/>
    </row>
    <row r="2256" spans="14:15">
      <c r="N2256" s="7"/>
      <c r="O2256" s="7"/>
    </row>
    <row r="2257" spans="14:15">
      <c r="N2257" s="7"/>
      <c r="O2257" s="7"/>
    </row>
    <row r="2258" spans="14:15">
      <c r="N2258" s="7"/>
      <c r="O2258" s="7"/>
    </row>
    <row r="2259" spans="14:15">
      <c r="N2259" s="7"/>
      <c r="O2259" s="7"/>
    </row>
    <row r="2260" spans="14:15">
      <c r="N2260" s="7"/>
      <c r="O2260" s="7"/>
    </row>
    <row r="2261" spans="14:15">
      <c r="N2261" s="7"/>
      <c r="O2261" s="7"/>
    </row>
    <row r="2262" spans="14:15">
      <c r="N2262" s="7"/>
      <c r="O2262" s="7"/>
    </row>
    <row r="2263" spans="14:15">
      <c r="N2263" s="7"/>
      <c r="O2263" s="7"/>
    </row>
    <row r="2264" spans="14:15">
      <c r="N2264" s="7"/>
      <c r="O2264" s="7"/>
    </row>
    <row r="2265" spans="14:15">
      <c r="N2265" s="7"/>
      <c r="O2265" s="7"/>
    </row>
    <row r="2266" spans="14:15">
      <c r="N2266" s="7"/>
      <c r="O2266" s="7"/>
    </row>
    <row r="2267" spans="14:15">
      <c r="N2267" s="7"/>
      <c r="O2267" s="7"/>
    </row>
    <row r="2268" spans="14:15">
      <c r="N2268" s="7"/>
      <c r="O2268" s="7"/>
    </row>
    <row r="2269" spans="14:15">
      <c r="N2269" s="7"/>
      <c r="O2269" s="7"/>
    </row>
    <row r="2270" spans="14:15">
      <c r="N2270" s="7"/>
      <c r="O2270" s="7"/>
    </row>
    <row r="2271" spans="14:15">
      <c r="N2271" s="7"/>
      <c r="O2271" s="7"/>
    </row>
    <row r="2272" spans="14:15">
      <c r="N2272" s="7"/>
      <c r="O2272" s="7"/>
    </row>
    <row r="2273" spans="14:15">
      <c r="N2273" s="7"/>
      <c r="O2273" s="7"/>
    </row>
    <row r="2274" spans="14:15">
      <c r="N2274" s="7"/>
      <c r="O2274" s="7"/>
    </row>
    <row r="2275" spans="14:15">
      <c r="N2275" s="7"/>
      <c r="O2275" s="7"/>
    </row>
    <row r="2276" spans="14:15">
      <c r="N2276" s="7"/>
      <c r="O2276" s="7"/>
    </row>
    <row r="2277" spans="14:15">
      <c r="N2277" s="7"/>
      <c r="O2277" s="7"/>
    </row>
    <row r="2278" spans="14:15">
      <c r="N2278" s="7"/>
      <c r="O2278" s="7"/>
    </row>
    <row r="2279" spans="14:15">
      <c r="N2279" s="7"/>
      <c r="O2279" s="7"/>
    </row>
    <row r="2280" spans="14:15">
      <c r="N2280" s="7"/>
      <c r="O2280" s="7"/>
    </row>
    <row r="2281" spans="14:15">
      <c r="N2281" s="7"/>
      <c r="O2281" s="7"/>
    </row>
    <row r="2282" spans="14:15">
      <c r="N2282" s="7"/>
      <c r="O2282" s="7"/>
    </row>
    <row r="2283" spans="14:15">
      <c r="N2283" s="7"/>
      <c r="O2283" s="7"/>
    </row>
    <row r="2284" spans="14:15">
      <c r="N2284" s="7"/>
      <c r="O2284" s="7"/>
    </row>
    <row r="2285" spans="14:15">
      <c r="N2285" s="7"/>
      <c r="O2285" s="7"/>
    </row>
    <row r="2286" spans="14:15">
      <c r="N2286" s="7"/>
      <c r="O2286" s="7"/>
    </row>
    <row r="2287" spans="14:15">
      <c r="N2287" s="7"/>
      <c r="O2287" s="7"/>
    </row>
    <row r="2288" spans="14:15">
      <c r="N2288" s="7"/>
      <c r="O2288" s="7"/>
    </row>
    <row r="2289" spans="14:15">
      <c r="N2289" s="7"/>
      <c r="O2289" s="7"/>
    </row>
    <row r="2290" spans="14:15">
      <c r="N2290" s="7"/>
      <c r="O2290" s="7"/>
    </row>
    <row r="2291" spans="14:15">
      <c r="N2291" s="7"/>
      <c r="O2291" s="7"/>
    </row>
    <row r="2292" spans="14:15">
      <c r="N2292" s="7"/>
      <c r="O2292" s="7"/>
    </row>
    <row r="2293" spans="14:15">
      <c r="N2293" s="7"/>
      <c r="O2293" s="7"/>
    </row>
    <row r="2294" spans="14:15">
      <c r="N2294" s="7"/>
      <c r="O2294" s="7"/>
    </row>
    <row r="2295" spans="14:15">
      <c r="N2295" s="7"/>
      <c r="O2295" s="7"/>
    </row>
    <row r="2296" spans="14:15">
      <c r="N2296" s="7"/>
      <c r="O2296" s="7"/>
    </row>
    <row r="2297" spans="14:15">
      <c r="N2297" s="7"/>
      <c r="O2297" s="7"/>
    </row>
    <row r="2298" spans="14:15">
      <c r="N2298" s="7"/>
      <c r="O2298" s="7"/>
    </row>
    <row r="2299" spans="14:15">
      <c r="N2299" s="7"/>
      <c r="O2299" s="7"/>
    </row>
    <row r="2300" spans="14:15">
      <c r="N2300" s="7"/>
      <c r="O2300" s="7"/>
    </row>
    <row r="2301" spans="14:15">
      <c r="N2301" s="7"/>
      <c r="O2301" s="7"/>
    </row>
    <row r="2302" spans="14:15">
      <c r="N2302" s="7"/>
      <c r="O2302" s="7"/>
    </row>
    <row r="2303" spans="14:15">
      <c r="N2303" s="7"/>
      <c r="O2303" s="7"/>
    </row>
    <row r="2304" spans="14:15">
      <c r="N2304" s="7"/>
      <c r="O2304" s="7"/>
    </row>
    <row r="2305" spans="14:15">
      <c r="N2305" s="7"/>
      <c r="O2305" s="7"/>
    </row>
    <row r="2306" spans="14:15">
      <c r="N2306" s="7"/>
      <c r="O2306" s="7"/>
    </row>
    <row r="2307" spans="14:15">
      <c r="N2307" s="7"/>
      <c r="O2307" s="7"/>
    </row>
    <row r="2308" spans="14:15">
      <c r="N2308" s="7"/>
      <c r="O2308" s="7"/>
    </row>
    <row r="2309" spans="14:15">
      <c r="N2309" s="7"/>
      <c r="O2309" s="7"/>
    </row>
    <row r="2310" spans="14:15">
      <c r="N2310" s="7"/>
      <c r="O2310" s="7"/>
    </row>
    <row r="2311" spans="14:15">
      <c r="N2311" s="7"/>
      <c r="O2311" s="7"/>
    </row>
    <row r="2312" spans="14:15">
      <c r="N2312" s="7"/>
      <c r="O2312" s="7"/>
    </row>
    <row r="2313" spans="14:15">
      <c r="N2313" s="7"/>
      <c r="O2313" s="7"/>
    </row>
    <row r="2314" spans="14:15">
      <c r="N2314" s="7"/>
      <c r="O2314" s="7"/>
    </row>
    <row r="2315" spans="14:15">
      <c r="N2315" s="7"/>
      <c r="O2315" s="7"/>
    </row>
    <row r="2316" spans="14:15">
      <c r="N2316" s="7"/>
      <c r="O2316" s="7"/>
    </row>
    <row r="2317" spans="14:15">
      <c r="N2317" s="7"/>
      <c r="O2317" s="7"/>
    </row>
    <row r="2318" spans="14:15">
      <c r="N2318" s="7"/>
      <c r="O2318" s="7"/>
    </row>
    <row r="2319" spans="14:15">
      <c r="N2319" s="7"/>
      <c r="O2319" s="7"/>
    </row>
    <row r="2320" spans="14:15">
      <c r="N2320" s="7"/>
      <c r="O2320" s="7"/>
    </row>
    <row r="2321" spans="14:15">
      <c r="N2321" s="7"/>
      <c r="O2321" s="7"/>
    </row>
    <row r="2322" spans="14:15">
      <c r="N2322" s="7"/>
      <c r="O2322" s="7"/>
    </row>
    <row r="2323" spans="14:15">
      <c r="N2323" s="7"/>
      <c r="O2323" s="7"/>
    </row>
    <row r="2324" spans="14:15">
      <c r="N2324" s="7"/>
      <c r="O2324" s="7"/>
    </row>
    <row r="2325" spans="14:15">
      <c r="N2325" s="7"/>
      <c r="O2325" s="7"/>
    </row>
    <row r="2326" spans="14:15">
      <c r="N2326" s="7"/>
      <c r="O2326" s="7"/>
    </row>
    <row r="2327" spans="14:15">
      <c r="N2327" s="7"/>
      <c r="O2327" s="7"/>
    </row>
    <row r="2328" spans="14:15">
      <c r="N2328" s="7"/>
      <c r="O2328" s="7"/>
    </row>
    <row r="2329" spans="14:15">
      <c r="N2329" s="7"/>
      <c r="O2329" s="7"/>
    </row>
    <row r="2330" spans="14:15">
      <c r="N2330" s="7"/>
      <c r="O2330" s="7"/>
    </row>
    <row r="2331" spans="14:15">
      <c r="N2331" s="7"/>
      <c r="O2331" s="7"/>
    </row>
    <row r="2332" spans="14:15">
      <c r="N2332" s="7"/>
      <c r="O2332" s="7"/>
    </row>
    <row r="2333" spans="14:15">
      <c r="N2333" s="7"/>
      <c r="O2333" s="7"/>
    </row>
    <row r="2334" spans="14:15">
      <c r="N2334" s="7"/>
      <c r="O2334" s="7"/>
    </row>
    <row r="2335" spans="14:15">
      <c r="N2335" s="7"/>
      <c r="O2335" s="7"/>
    </row>
    <row r="2336" spans="14:15">
      <c r="N2336" s="7"/>
      <c r="O2336" s="7"/>
    </row>
    <row r="2337" spans="14:15">
      <c r="N2337" s="7"/>
      <c r="O2337" s="7"/>
    </row>
    <row r="2338" spans="14:15">
      <c r="N2338" s="7"/>
      <c r="O2338" s="7"/>
    </row>
    <row r="2339" spans="14:15">
      <c r="N2339" s="7"/>
      <c r="O2339" s="7"/>
    </row>
    <row r="2340" spans="14:15">
      <c r="N2340" s="7"/>
      <c r="O2340" s="7"/>
    </row>
    <row r="2341" spans="14:15">
      <c r="N2341" s="7"/>
      <c r="O2341" s="7"/>
    </row>
    <row r="2342" spans="14:15">
      <c r="N2342" s="7"/>
      <c r="O2342" s="7"/>
    </row>
    <row r="2343" spans="14:15">
      <c r="N2343" s="7"/>
      <c r="O2343" s="7"/>
    </row>
    <row r="2344" spans="14:15">
      <c r="N2344" s="7"/>
      <c r="O2344" s="7"/>
    </row>
    <row r="2345" spans="14:15">
      <c r="N2345" s="7"/>
      <c r="O2345" s="7"/>
    </row>
    <row r="2346" spans="14:15">
      <c r="N2346" s="7"/>
      <c r="O2346" s="7"/>
    </row>
    <row r="2347" spans="14:15">
      <c r="N2347" s="7"/>
      <c r="O2347" s="7"/>
    </row>
    <row r="2348" spans="14:15">
      <c r="N2348" s="7"/>
      <c r="O2348" s="7"/>
    </row>
    <row r="2349" spans="14:15">
      <c r="N2349" s="7"/>
      <c r="O2349" s="7"/>
    </row>
    <row r="2350" spans="14:15">
      <c r="N2350" s="7"/>
      <c r="O2350" s="7"/>
    </row>
    <row r="2351" spans="14:15">
      <c r="N2351" s="7"/>
      <c r="O2351" s="7"/>
    </row>
    <row r="2352" spans="14:15">
      <c r="N2352" s="7"/>
      <c r="O2352" s="7"/>
    </row>
    <row r="2353" spans="14:15">
      <c r="N2353" s="7"/>
      <c r="O2353" s="7"/>
    </row>
    <row r="2354" spans="14:15">
      <c r="N2354" s="7"/>
      <c r="O2354" s="7"/>
    </row>
    <row r="2355" spans="14:15">
      <c r="N2355" s="7"/>
      <c r="O2355" s="7"/>
    </row>
    <row r="2356" spans="14:15">
      <c r="N2356" s="7"/>
      <c r="O2356" s="7"/>
    </row>
    <row r="2357" spans="14:15">
      <c r="N2357" s="7"/>
      <c r="O2357" s="7"/>
    </row>
    <row r="2358" spans="14:15">
      <c r="N2358" s="7"/>
      <c r="O2358" s="7"/>
    </row>
    <row r="2359" spans="14:15">
      <c r="N2359" s="7"/>
      <c r="O2359" s="7"/>
    </row>
    <row r="2360" spans="14:15">
      <c r="N2360" s="7"/>
      <c r="O2360" s="7"/>
    </row>
    <row r="2361" spans="14:15">
      <c r="N2361" s="7"/>
      <c r="O2361" s="7"/>
    </row>
    <row r="2362" spans="14:15">
      <c r="N2362" s="7"/>
      <c r="O2362" s="7"/>
    </row>
    <row r="2363" spans="14:15">
      <c r="N2363" s="7"/>
      <c r="O2363" s="7"/>
    </row>
    <row r="2364" spans="14:15">
      <c r="N2364" s="7"/>
      <c r="O2364" s="7"/>
    </row>
    <row r="2365" spans="14:15">
      <c r="N2365" s="7"/>
      <c r="O2365" s="7"/>
    </row>
    <row r="2366" spans="14:15">
      <c r="N2366" s="7"/>
      <c r="O2366" s="7"/>
    </row>
    <row r="2367" spans="14:15">
      <c r="N2367" s="7"/>
      <c r="O2367" s="7"/>
    </row>
    <row r="2368" spans="14:15">
      <c r="N2368" s="7"/>
      <c r="O2368" s="7"/>
    </row>
    <row r="2369" spans="14:15">
      <c r="N2369" s="7"/>
      <c r="O2369" s="7"/>
    </row>
    <row r="2370" spans="14:15">
      <c r="N2370" s="7"/>
      <c r="O2370" s="7"/>
    </row>
    <row r="2371" spans="14:15">
      <c r="N2371" s="7"/>
      <c r="O2371" s="7"/>
    </row>
    <row r="2372" spans="14:15">
      <c r="N2372" s="7"/>
      <c r="O2372" s="7"/>
    </row>
    <row r="2373" spans="14:15">
      <c r="N2373" s="7"/>
      <c r="O2373" s="7"/>
    </row>
    <row r="2374" spans="14:15">
      <c r="N2374" s="7"/>
      <c r="O2374" s="7"/>
    </row>
    <row r="2375" spans="14:15">
      <c r="N2375" s="7"/>
      <c r="O2375" s="7"/>
    </row>
    <row r="2376" spans="14:15">
      <c r="N2376" s="7"/>
      <c r="O2376" s="7"/>
    </row>
    <row r="2377" spans="14:15">
      <c r="N2377" s="7"/>
      <c r="O2377" s="7"/>
    </row>
    <row r="2378" spans="14:15">
      <c r="N2378" s="7"/>
      <c r="O2378" s="7"/>
    </row>
    <row r="2379" spans="14:15">
      <c r="N2379" s="7"/>
      <c r="O2379" s="7"/>
    </row>
    <row r="2380" spans="14:15">
      <c r="N2380" s="7"/>
      <c r="O2380" s="7"/>
    </row>
    <row r="2381" spans="14:15">
      <c r="N2381" s="7"/>
      <c r="O2381" s="7"/>
    </row>
    <row r="2382" spans="14:15">
      <c r="N2382" s="7"/>
      <c r="O2382" s="7"/>
    </row>
    <row r="2383" spans="14:15">
      <c r="N2383" s="7"/>
      <c r="O2383" s="7"/>
    </row>
    <row r="2384" spans="14:15">
      <c r="N2384" s="7"/>
      <c r="O2384" s="7"/>
    </row>
    <row r="2385" spans="14:15">
      <c r="N2385" s="7"/>
      <c r="O2385" s="7"/>
    </row>
    <row r="2386" spans="14:15">
      <c r="N2386" s="7"/>
      <c r="O2386" s="7"/>
    </row>
    <row r="2387" spans="14:15">
      <c r="N2387" s="7"/>
      <c r="O2387" s="7"/>
    </row>
    <row r="2388" spans="14:15">
      <c r="N2388" s="7"/>
      <c r="O2388" s="7"/>
    </row>
    <row r="2389" spans="14:15">
      <c r="N2389" s="7"/>
      <c r="O2389" s="7"/>
    </row>
    <row r="2390" spans="14:15">
      <c r="N2390" s="7"/>
      <c r="O2390" s="7"/>
    </row>
    <row r="2391" spans="14:15">
      <c r="N2391" s="7"/>
      <c r="O2391" s="7"/>
    </row>
    <row r="2392" spans="14:15">
      <c r="N2392" s="7"/>
      <c r="O2392" s="7"/>
    </row>
    <row r="2393" spans="14:15">
      <c r="N2393" s="7"/>
      <c r="O2393" s="7"/>
    </row>
    <row r="2394" spans="14:15">
      <c r="N2394" s="7"/>
      <c r="O2394" s="7"/>
    </row>
    <row r="2395" spans="14:15">
      <c r="N2395" s="7"/>
      <c r="O2395" s="7"/>
    </row>
    <row r="2396" spans="14:15">
      <c r="N2396" s="7"/>
      <c r="O2396" s="7"/>
    </row>
    <row r="2397" spans="14:15">
      <c r="N2397" s="7"/>
      <c r="O2397" s="7"/>
    </row>
    <row r="2398" spans="14:15">
      <c r="N2398" s="7"/>
      <c r="O2398" s="7"/>
    </row>
    <row r="2399" spans="14:15">
      <c r="N2399" s="7"/>
      <c r="O2399" s="7"/>
    </row>
    <row r="2400" spans="14:15">
      <c r="N2400" s="7"/>
      <c r="O2400" s="7"/>
    </row>
    <row r="2401" spans="14:15">
      <c r="N2401" s="7"/>
      <c r="O2401" s="7"/>
    </row>
    <row r="2402" spans="14:15">
      <c r="N2402" s="7"/>
      <c r="O2402" s="7"/>
    </row>
    <row r="2403" spans="14:15">
      <c r="N2403" s="7"/>
      <c r="O2403" s="7"/>
    </row>
    <row r="2404" spans="14:15">
      <c r="N2404" s="7"/>
      <c r="O2404" s="7"/>
    </row>
    <row r="2405" spans="14:15">
      <c r="N2405" s="7"/>
      <c r="O2405" s="7"/>
    </row>
    <row r="2406" spans="14:15">
      <c r="N2406" s="7"/>
      <c r="O2406" s="7"/>
    </row>
    <row r="2407" spans="14:15">
      <c r="N2407" s="7"/>
      <c r="O2407" s="7"/>
    </row>
    <row r="2408" spans="14:15">
      <c r="N2408" s="7"/>
      <c r="O2408" s="7"/>
    </row>
    <row r="2409" spans="14:15">
      <c r="N2409" s="7"/>
      <c r="O2409" s="7"/>
    </row>
    <row r="2410" spans="14:15">
      <c r="N2410" s="7"/>
      <c r="O2410" s="7"/>
    </row>
    <row r="2411" spans="14:15">
      <c r="N2411" s="7"/>
      <c r="O2411" s="7"/>
    </row>
    <row r="2412" spans="14:15">
      <c r="N2412" s="7"/>
      <c r="O2412" s="7"/>
    </row>
    <row r="2413" spans="14:15">
      <c r="N2413" s="7"/>
      <c r="O2413" s="7"/>
    </row>
    <row r="2414" spans="14:15">
      <c r="N2414" s="7"/>
      <c r="O2414" s="7"/>
    </row>
    <row r="2415" spans="14:15">
      <c r="N2415" s="7"/>
      <c r="O2415" s="7"/>
    </row>
    <row r="2416" spans="14:15">
      <c r="N2416" s="7"/>
      <c r="O2416" s="7"/>
    </row>
    <row r="2417" spans="14:15">
      <c r="N2417" s="7"/>
      <c r="O2417" s="7"/>
    </row>
    <row r="2418" spans="14:15">
      <c r="N2418" s="7"/>
      <c r="O2418" s="7"/>
    </row>
    <row r="2419" spans="14:15">
      <c r="N2419" s="7"/>
      <c r="O2419" s="7"/>
    </row>
    <row r="2420" spans="14:15">
      <c r="N2420" s="7"/>
      <c r="O2420" s="7"/>
    </row>
    <row r="2421" spans="14:15">
      <c r="N2421" s="7"/>
      <c r="O2421" s="7"/>
    </row>
    <row r="2422" spans="14:15">
      <c r="N2422" s="7"/>
      <c r="O2422" s="7"/>
    </row>
    <row r="2423" spans="14:15">
      <c r="N2423" s="7"/>
      <c r="O2423" s="7"/>
    </row>
    <row r="2424" spans="14:15">
      <c r="N2424" s="7"/>
      <c r="O2424" s="7"/>
    </row>
    <row r="2425" spans="14:15">
      <c r="N2425" s="7"/>
      <c r="O2425" s="7"/>
    </row>
    <row r="2426" spans="14:15">
      <c r="N2426" s="7"/>
      <c r="O2426" s="7"/>
    </row>
    <row r="2427" spans="14:15">
      <c r="N2427" s="7"/>
      <c r="O2427" s="7"/>
    </row>
    <row r="2428" spans="14:15">
      <c r="N2428" s="7"/>
      <c r="O2428" s="7"/>
    </row>
    <row r="2429" spans="14:15">
      <c r="N2429" s="7"/>
      <c r="O2429" s="7"/>
    </row>
    <row r="2430" spans="14:15">
      <c r="N2430" s="7"/>
      <c r="O2430" s="7"/>
    </row>
    <row r="2431" spans="14:15">
      <c r="N2431" s="7"/>
      <c r="O2431" s="7"/>
    </row>
    <row r="2432" spans="14:15">
      <c r="N2432" s="7"/>
      <c r="O2432" s="7"/>
    </row>
    <row r="2433" spans="14:15">
      <c r="N2433" s="7"/>
      <c r="O2433" s="7"/>
    </row>
    <row r="2434" spans="14:15">
      <c r="N2434" s="7"/>
      <c r="O2434" s="7"/>
    </row>
    <row r="2435" spans="14:15">
      <c r="N2435" s="7"/>
      <c r="O2435" s="7"/>
    </row>
    <row r="2436" spans="14:15">
      <c r="N2436" s="7"/>
      <c r="O2436" s="7"/>
    </row>
    <row r="2437" spans="14:15">
      <c r="N2437" s="7"/>
      <c r="O2437" s="7"/>
    </row>
    <row r="2438" spans="14:15">
      <c r="N2438" s="7"/>
      <c r="O2438" s="7"/>
    </row>
    <row r="2439" spans="14:15">
      <c r="N2439" s="7"/>
      <c r="O2439" s="7"/>
    </row>
    <row r="2440" spans="14:15">
      <c r="N2440" s="7"/>
      <c r="O2440" s="7"/>
    </row>
    <row r="2441" spans="14:15">
      <c r="N2441" s="7"/>
      <c r="O2441" s="7"/>
    </row>
    <row r="2442" spans="14:15">
      <c r="N2442" s="7"/>
      <c r="O2442" s="7"/>
    </row>
    <row r="2443" spans="14:15">
      <c r="N2443" s="7"/>
      <c r="O2443" s="7"/>
    </row>
    <row r="2444" spans="14:15">
      <c r="N2444" s="7"/>
      <c r="O2444" s="7"/>
    </row>
    <row r="2445" spans="14:15">
      <c r="N2445" s="7"/>
      <c r="O2445" s="7"/>
    </row>
    <row r="2446" spans="14:15">
      <c r="N2446" s="7"/>
      <c r="O2446" s="7"/>
    </row>
    <row r="2447" spans="14:15">
      <c r="N2447" s="7"/>
      <c r="O2447" s="7"/>
    </row>
    <row r="2448" spans="14:15">
      <c r="N2448" s="7"/>
      <c r="O2448" s="7"/>
    </row>
    <row r="2449" spans="14:15">
      <c r="N2449" s="7"/>
      <c r="O2449" s="7"/>
    </row>
    <row r="2450" spans="14:15">
      <c r="N2450" s="7"/>
      <c r="O2450" s="7"/>
    </row>
    <row r="2451" spans="14:15">
      <c r="N2451" s="7"/>
      <c r="O2451" s="7"/>
    </row>
    <row r="2452" spans="14:15">
      <c r="N2452" s="7"/>
      <c r="O2452" s="7"/>
    </row>
    <row r="2453" spans="14:15">
      <c r="N2453" s="7"/>
      <c r="O2453" s="7"/>
    </row>
    <row r="2454" spans="14:15">
      <c r="N2454" s="7"/>
      <c r="O2454" s="7"/>
    </row>
    <row r="2455" spans="14:15">
      <c r="N2455" s="7"/>
      <c r="O2455" s="7"/>
    </row>
    <row r="2456" spans="14:15">
      <c r="N2456" s="7"/>
      <c r="O2456" s="7"/>
    </row>
    <row r="2457" spans="14:15">
      <c r="N2457" s="7"/>
      <c r="O2457" s="7"/>
    </row>
    <row r="2458" spans="14:15">
      <c r="N2458" s="7"/>
      <c r="O2458" s="7"/>
    </row>
    <row r="2459" spans="14:15">
      <c r="N2459" s="7"/>
      <c r="O2459" s="7"/>
    </row>
    <row r="2460" spans="14:15">
      <c r="N2460" s="7"/>
      <c r="O2460" s="7"/>
    </row>
    <row r="2461" spans="14:15">
      <c r="N2461" s="7"/>
      <c r="O2461" s="7"/>
    </row>
    <row r="2462" spans="14:15">
      <c r="N2462" s="7"/>
      <c r="O2462" s="7"/>
    </row>
    <row r="2463" spans="14:15">
      <c r="N2463" s="7"/>
      <c r="O2463" s="7"/>
    </row>
    <row r="2464" spans="14:15">
      <c r="N2464" s="7"/>
      <c r="O2464" s="7"/>
    </row>
    <row r="2465" spans="14:15">
      <c r="N2465" s="7"/>
      <c r="O2465" s="7"/>
    </row>
    <row r="2466" spans="14:15">
      <c r="N2466" s="7"/>
      <c r="O2466" s="7"/>
    </row>
    <row r="2467" spans="14:15">
      <c r="N2467" s="7"/>
      <c r="O2467" s="7"/>
    </row>
    <row r="2468" spans="14:15">
      <c r="N2468" s="7"/>
      <c r="O2468" s="7"/>
    </row>
    <row r="2469" spans="14:15">
      <c r="N2469" s="7"/>
      <c r="O2469" s="7"/>
    </row>
    <row r="2470" spans="14:15">
      <c r="N2470" s="7"/>
      <c r="O2470" s="7"/>
    </row>
    <row r="2471" spans="14:15">
      <c r="N2471" s="7"/>
      <c r="O2471" s="7"/>
    </row>
    <row r="2472" spans="14:15">
      <c r="N2472" s="7"/>
      <c r="O2472" s="7"/>
    </row>
    <row r="2473" spans="14:15">
      <c r="N2473" s="7"/>
      <c r="O2473" s="7"/>
    </row>
    <row r="2474" spans="14:15">
      <c r="N2474" s="7"/>
      <c r="O2474" s="7"/>
    </row>
    <row r="2475" spans="14:15">
      <c r="N2475" s="7"/>
      <c r="O2475" s="7"/>
    </row>
    <row r="2476" spans="14:15">
      <c r="N2476" s="7"/>
      <c r="O2476" s="7"/>
    </row>
    <row r="2477" spans="14:15">
      <c r="N2477" s="7"/>
      <c r="O2477" s="7"/>
    </row>
    <row r="2478" spans="14:15">
      <c r="N2478" s="7"/>
      <c r="O2478" s="7"/>
    </row>
    <row r="2479" spans="14:15">
      <c r="N2479" s="7"/>
      <c r="O2479" s="7"/>
    </row>
    <row r="2480" spans="14:15">
      <c r="N2480" s="7"/>
      <c r="O2480" s="7"/>
    </row>
    <row r="2481" spans="14:15">
      <c r="N2481" s="7"/>
      <c r="O2481" s="7"/>
    </row>
    <row r="2482" spans="14:15">
      <c r="N2482" s="7"/>
      <c r="O2482" s="7"/>
    </row>
    <row r="2483" spans="14:15">
      <c r="N2483" s="7"/>
      <c r="O2483" s="7"/>
    </row>
    <row r="2484" spans="14:15">
      <c r="N2484" s="7"/>
      <c r="O2484" s="7"/>
    </row>
    <row r="2485" spans="14:15">
      <c r="N2485" s="7"/>
      <c r="O2485" s="7"/>
    </row>
    <row r="2486" spans="14:15">
      <c r="N2486" s="7"/>
      <c r="O2486" s="7"/>
    </row>
    <row r="2487" spans="14:15">
      <c r="N2487" s="7"/>
      <c r="O2487" s="7"/>
    </row>
    <row r="2488" spans="14:15">
      <c r="N2488" s="7"/>
      <c r="O2488" s="7"/>
    </row>
    <row r="2489" spans="14:15">
      <c r="N2489" s="7"/>
      <c r="O2489" s="7"/>
    </row>
    <row r="2490" spans="14:15">
      <c r="N2490" s="7"/>
      <c r="O2490" s="7"/>
    </row>
    <row r="2491" spans="14:15">
      <c r="N2491" s="7"/>
      <c r="O2491" s="7"/>
    </row>
    <row r="2492" spans="14:15">
      <c r="N2492" s="7"/>
      <c r="O2492" s="7"/>
    </row>
    <row r="2493" spans="14:15">
      <c r="N2493" s="7"/>
      <c r="O2493" s="7"/>
    </row>
    <row r="2494" spans="14:15">
      <c r="N2494" s="7"/>
      <c r="O2494" s="7"/>
    </row>
    <row r="2495" spans="14:15">
      <c r="N2495" s="7"/>
      <c r="O2495" s="7"/>
    </row>
    <row r="2496" spans="14:15">
      <c r="N2496" s="7"/>
      <c r="O2496" s="7"/>
    </row>
    <row r="2497" spans="14:15">
      <c r="N2497" s="7"/>
      <c r="O2497" s="7"/>
    </row>
    <row r="2498" spans="14:15">
      <c r="N2498" s="7"/>
      <c r="O2498" s="7"/>
    </row>
    <row r="2499" spans="14:15">
      <c r="N2499" s="7"/>
      <c r="O2499" s="7"/>
    </row>
    <row r="2500" spans="14:15">
      <c r="N2500" s="7"/>
      <c r="O2500" s="7"/>
    </row>
    <row r="2501" spans="14:15">
      <c r="N2501" s="7"/>
      <c r="O2501" s="7"/>
    </row>
    <row r="2502" spans="14:15">
      <c r="N2502" s="7"/>
      <c r="O2502" s="7"/>
    </row>
    <row r="2503" spans="14:15">
      <c r="N2503" s="7"/>
      <c r="O2503" s="7"/>
    </row>
    <row r="2504" spans="14:15">
      <c r="N2504" s="7"/>
      <c r="O2504" s="7"/>
    </row>
    <row r="2505" spans="14:15">
      <c r="N2505" s="7"/>
      <c r="O2505" s="7"/>
    </row>
    <row r="2506" spans="14:15">
      <c r="N2506" s="7"/>
      <c r="O2506" s="7"/>
    </row>
    <row r="2507" spans="14:15">
      <c r="N2507" s="7"/>
      <c r="O2507" s="7"/>
    </row>
    <row r="2508" spans="14:15">
      <c r="N2508" s="7"/>
      <c r="O2508" s="7"/>
    </row>
    <row r="2509" spans="14:15">
      <c r="N2509" s="7"/>
      <c r="O2509" s="7"/>
    </row>
    <row r="2510" spans="14:15">
      <c r="N2510" s="7"/>
      <c r="O2510" s="7"/>
    </row>
    <row r="2511" spans="14:15">
      <c r="N2511" s="7"/>
      <c r="O2511" s="7"/>
    </row>
    <row r="2512" spans="14:15">
      <c r="N2512" s="7"/>
      <c r="O2512" s="7"/>
    </row>
    <row r="2513" spans="14:15">
      <c r="N2513" s="7"/>
      <c r="O2513" s="7"/>
    </row>
    <row r="2514" spans="14:15">
      <c r="N2514" s="7"/>
      <c r="O2514" s="7"/>
    </row>
    <row r="2515" spans="14:15">
      <c r="N2515" s="7"/>
      <c r="O2515" s="7"/>
    </row>
    <row r="2516" spans="14:15">
      <c r="N2516" s="7"/>
      <c r="O2516" s="7"/>
    </row>
    <row r="2517" spans="14:15">
      <c r="N2517" s="7"/>
      <c r="O2517" s="7"/>
    </row>
    <row r="2518" spans="14:15">
      <c r="N2518" s="7"/>
      <c r="O2518" s="7"/>
    </row>
    <row r="2519" spans="14:15">
      <c r="N2519" s="7"/>
      <c r="O2519" s="7"/>
    </row>
    <row r="2520" spans="14:15">
      <c r="N2520" s="7"/>
      <c r="O2520" s="7"/>
    </row>
    <row r="2521" spans="14:15">
      <c r="N2521" s="7"/>
      <c r="O2521" s="7"/>
    </row>
    <row r="2522" spans="14:15">
      <c r="N2522" s="7"/>
      <c r="O2522" s="7"/>
    </row>
    <row r="2523" spans="14:15">
      <c r="N2523" s="7"/>
      <c r="O2523" s="7"/>
    </row>
    <row r="2524" spans="14:15">
      <c r="N2524" s="7"/>
      <c r="O2524" s="7"/>
    </row>
    <row r="2525" spans="14:15">
      <c r="N2525" s="7"/>
      <c r="O2525" s="7"/>
    </row>
    <row r="2526" spans="14:15">
      <c r="N2526" s="7"/>
      <c r="O2526" s="7"/>
    </row>
    <row r="2527" spans="14:15">
      <c r="N2527" s="7"/>
      <c r="O2527" s="7"/>
    </row>
    <row r="2528" spans="14:15">
      <c r="N2528" s="7"/>
      <c r="O2528" s="7"/>
    </row>
    <row r="2529" spans="14:15">
      <c r="N2529" s="7"/>
      <c r="O2529" s="7"/>
    </row>
    <row r="2530" spans="14:15">
      <c r="N2530" s="7"/>
      <c r="O2530" s="7"/>
    </row>
    <row r="2531" spans="14:15">
      <c r="N2531" s="7"/>
      <c r="O2531" s="7"/>
    </row>
    <row r="2532" spans="14:15">
      <c r="N2532" s="7"/>
      <c r="O2532" s="7"/>
    </row>
    <row r="2533" spans="14:15">
      <c r="N2533" s="7"/>
      <c r="O2533" s="7"/>
    </row>
    <row r="2534" spans="14:15">
      <c r="N2534" s="7"/>
      <c r="O2534" s="7"/>
    </row>
    <row r="2535" spans="14:15">
      <c r="N2535" s="7"/>
      <c r="O2535" s="7"/>
    </row>
    <row r="2536" spans="14:15">
      <c r="N2536" s="7"/>
      <c r="O2536" s="7"/>
    </row>
    <row r="2537" spans="14:15">
      <c r="N2537" s="7"/>
      <c r="O2537" s="7"/>
    </row>
    <row r="2538" spans="14:15">
      <c r="N2538" s="7"/>
      <c r="O2538" s="7"/>
    </row>
    <row r="2539" spans="14:15">
      <c r="N2539" s="7"/>
      <c r="O2539" s="7"/>
    </row>
    <row r="2540" spans="14:15">
      <c r="N2540" s="7"/>
      <c r="O2540" s="7"/>
    </row>
    <row r="2541" spans="14:15">
      <c r="N2541" s="7"/>
      <c r="O2541" s="7"/>
    </row>
    <row r="2542" spans="14:15">
      <c r="N2542" s="7"/>
      <c r="O2542" s="7"/>
    </row>
    <row r="2543" spans="14:15">
      <c r="N2543" s="7"/>
      <c r="O2543" s="7"/>
    </row>
    <row r="2544" spans="14:15">
      <c r="N2544" s="7"/>
      <c r="O2544" s="7"/>
    </row>
    <row r="2545" spans="14:15">
      <c r="N2545" s="7"/>
      <c r="O2545" s="7"/>
    </row>
    <row r="2546" spans="14:15">
      <c r="N2546" s="7"/>
      <c r="O2546" s="7"/>
    </row>
    <row r="2547" spans="14:15">
      <c r="N2547" s="7"/>
      <c r="O2547" s="7"/>
    </row>
    <row r="2548" spans="14:15">
      <c r="N2548" s="7"/>
      <c r="O2548" s="7"/>
    </row>
    <row r="2549" spans="14:15">
      <c r="N2549" s="7"/>
      <c r="O2549" s="7"/>
    </row>
    <row r="2550" spans="14:15">
      <c r="N2550" s="7"/>
      <c r="O2550" s="7"/>
    </row>
    <row r="2551" spans="14:15">
      <c r="N2551" s="7"/>
      <c r="O2551" s="7"/>
    </row>
    <row r="2552" spans="14:15">
      <c r="N2552" s="7"/>
      <c r="O2552" s="7"/>
    </row>
    <row r="2553" spans="14:15">
      <c r="N2553" s="7"/>
      <c r="O2553" s="7"/>
    </row>
    <row r="2554" spans="14:15">
      <c r="N2554" s="7"/>
      <c r="O2554" s="7"/>
    </row>
    <row r="2555" spans="14:15">
      <c r="N2555" s="7"/>
      <c r="O2555" s="7"/>
    </row>
    <row r="2556" spans="14:15">
      <c r="N2556" s="7"/>
      <c r="O2556" s="7"/>
    </row>
    <row r="2557" spans="14:15">
      <c r="N2557" s="7"/>
      <c r="O2557" s="7"/>
    </row>
    <row r="2558" spans="14:15">
      <c r="N2558" s="7"/>
      <c r="O2558" s="7"/>
    </row>
    <row r="2559" spans="14:15">
      <c r="N2559" s="7"/>
      <c r="O2559" s="7"/>
    </row>
    <row r="2560" spans="14:15">
      <c r="N2560" s="7"/>
      <c r="O2560" s="7"/>
    </row>
    <row r="2561" spans="14:15">
      <c r="N2561" s="7"/>
      <c r="O2561" s="7"/>
    </row>
    <row r="2562" spans="14:15">
      <c r="N2562" s="7"/>
      <c r="O2562" s="7"/>
    </row>
    <row r="2563" spans="14:15">
      <c r="N2563" s="7"/>
      <c r="O2563" s="7"/>
    </row>
    <row r="2564" spans="14:15">
      <c r="N2564" s="7"/>
      <c r="O2564" s="7"/>
    </row>
    <row r="2565" spans="14:15">
      <c r="N2565" s="7"/>
      <c r="O2565" s="7"/>
    </row>
    <row r="2566" spans="14:15">
      <c r="N2566" s="7"/>
      <c r="O2566" s="7"/>
    </row>
    <row r="2567" spans="14:15">
      <c r="N2567" s="7"/>
      <c r="O2567" s="7"/>
    </row>
    <row r="2568" spans="14:15">
      <c r="N2568" s="7"/>
      <c r="O2568" s="7"/>
    </row>
    <row r="2569" spans="14:15">
      <c r="N2569" s="7"/>
      <c r="O2569" s="7"/>
    </row>
    <row r="2570" spans="14:15">
      <c r="N2570" s="7"/>
      <c r="O2570" s="7"/>
    </row>
    <row r="2571" spans="14:15">
      <c r="N2571" s="7"/>
      <c r="O2571" s="7"/>
    </row>
    <row r="2572" spans="14:15">
      <c r="N2572" s="7"/>
      <c r="O2572" s="7"/>
    </row>
    <row r="2573" spans="14:15">
      <c r="N2573" s="7"/>
      <c r="O2573" s="7"/>
    </row>
    <row r="2574" spans="14:15">
      <c r="N2574" s="7"/>
      <c r="O2574" s="7"/>
    </row>
    <row r="2575" spans="14:15">
      <c r="N2575" s="7"/>
      <c r="O2575" s="7"/>
    </row>
    <row r="2576" spans="14:15">
      <c r="N2576" s="7"/>
      <c r="O2576" s="7"/>
    </row>
    <row r="2577" spans="14:15">
      <c r="N2577" s="7"/>
      <c r="O2577" s="7"/>
    </row>
    <row r="2578" spans="14:15">
      <c r="N2578" s="7"/>
      <c r="O2578" s="7"/>
    </row>
    <row r="2579" spans="14:15">
      <c r="N2579" s="7"/>
      <c r="O2579" s="7"/>
    </row>
    <row r="2580" spans="14:15">
      <c r="N2580" s="7"/>
      <c r="O2580" s="7"/>
    </row>
    <row r="2581" spans="14:15">
      <c r="N2581" s="7"/>
      <c r="O2581" s="7"/>
    </row>
    <row r="2582" spans="14:15">
      <c r="N2582" s="7"/>
      <c r="O2582" s="7"/>
    </row>
    <row r="2583" spans="14:15">
      <c r="N2583" s="7"/>
      <c r="O2583" s="7"/>
    </row>
    <row r="2584" spans="14:15">
      <c r="N2584" s="7"/>
      <c r="O2584" s="7"/>
    </row>
    <row r="2585" spans="14:15">
      <c r="N2585" s="7"/>
      <c r="O2585" s="7"/>
    </row>
    <row r="2586" spans="14:15">
      <c r="N2586" s="7"/>
      <c r="O2586" s="7"/>
    </row>
    <row r="2587" spans="14:15">
      <c r="N2587" s="7"/>
      <c r="O2587" s="7"/>
    </row>
    <row r="2588" spans="14:15">
      <c r="N2588" s="7"/>
      <c r="O2588" s="7"/>
    </row>
    <row r="2589" spans="14:15">
      <c r="N2589" s="7"/>
      <c r="O2589" s="7"/>
    </row>
    <row r="2590" spans="14:15">
      <c r="N2590" s="7"/>
      <c r="O2590" s="7"/>
    </row>
    <row r="2591" spans="14:15">
      <c r="N2591" s="7"/>
      <c r="O2591" s="7"/>
    </row>
    <row r="2592" spans="14:15">
      <c r="N2592" s="7"/>
      <c r="O2592" s="7"/>
    </row>
    <row r="2593" spans="14:15">
      <c r="N2593" s="7"/>
      <c r="O2593" s="7"/>
    </row>
    <row r="2594" spans="14:15">
      <c r="N2594" s="7"/>
      <c r="O2594" s="7"/>
    </row>
    <row r="2595" spans="14:15">
      <c r="N2595" s="7"/>
      <c r="O2595" s="7"/>
    </row>
    <row r="2596" spans="14:15">
      <c r="N2596" s="7"/>
      <c r="O2596" s="7"/>
    </row>
    <row r="2597" spans="14:15">
      <c r="N2597" s="7"/>
      <c r="O2597" s="7"/>
    </row>
    <row r="2598" spans="14:15">
      <c r="N2598" s="7"/>
      <c r="O2598" s="7"/>
    </row>
    <row r="2599" spans="14:15">
      <c r="N2599" s="7"/>
      <c r="O2599" s="7"/>
    </row>
    <row r="2600" spans="14:15">
      <c r="N2600" s="7"/>
      <c r="O2600" s="7"/>
    </row>
    <row r="2601" spans="14:15">
      <c r="N2601" s="7"/>
      <c r="O2601" s="7"/>
    </row>
    <row r="2602" spans="14:15">
      <c r="N2602" s="7"/>
      <c r="O2602" s="7"/>
    </row>
    <row r="2603" spans="14:15">
      <c r="N2603" s="7"/>
      <c r="O2603" s="7"/>
    </row>
    <row r="2604" spans="14:15">
      <c r="N2604" s="7"/>
      <c r="O2604" s="7"/>
    </row>
    <row r="2605" spans="14:15">
      <c r="N2605" s="7"/>
      <c r="O2605" s="7"/>
    </row>
    <row r="2606" spans="14:15">
      <c r="N2606" s="7"/>
      <c r="O2606" s="7"/>
    </row>
    <row r="2607" spans="14:15">
      <c r="N2607" s="7"/>
      <c r="O2607" s="7"/>
    </row>
    <row r="2608" spans="14:15">
      <c r="N2608" s="7"/>
      <c r="O2608" s="7"/>
    </row>
    <row r="2609" spans="14:15">
      <c r="N2609" s="7"/>
      <c r="O2609" s="7"/>
    </row>
    <row r="2610" spans="14:15">
      <c r="N2610" s="7"/>
      <c r="O2610" s="7"/>
    </row>
    <row r="2611" spans="14:15">
      <c r="N2611" s="7"/>
      <c r="O2611" s="7"/>
    </row>
    <row r="2612" spans="14:15">
      <c r="N2612" s="7"/>
      <c r="O2612" s="7"/>
    </row>
    <row r="2613" spans="14:15">
      <c r="N2613" s="7"/>
      <c r="O2613" s="7"/>
    </row>
    <row r="2614" spans="14:15">
      <c r="N2614" s="7"/>
      <c r="O2614" s="7"/>
    </row>
    <row r="2615" spans="14:15">
      <c r="N2615" s="7"/>
      <c r="O2615" s="7"/>
    </row>
    <row r="2616" spans="14:15">
      <c r="N2616" s="7"/>
      <c r="O2616" s="7"/>
    </row>
    <row r="2617" spans="14:15">
      <c r="N2617" s="7"/>
      <c r="O2617" s="7"/>
    </row>
    <row r="2618" spans="14:15">
      <c r="N2618" s="7"/>
      <c r="O2618" s="7"/>
    </row>
    <row r="2619" spans="14:15">
      <c r="N2619" s="7"/>
      <c r="O2619" s="7"/>
    </row>
    <row r="2620" spans="14:15">
      <c r="N2620" s="7"/>
      <c r="O2620" s="7"/>
    </row>
    <row r="2621" spans="14:15">
      <c r="N2621" s="7"/>
      <c r="O2621" s="7"/>
    </row>
    <row r="2622" spans="14:15">
      <c r="N2622" s="7"/>
      <c r="O2622" s="7"/>
    </row>
    <row r="2623" spans="14:15">
      <c r="N2623" s="7"/>
      <c r="O2623" s="7"/>
    </row>
    <row r="2624" spans="14:15">
      <c r="N2624" s="7"/>
      <c r="O2624" s="7"/>
    </row>
    <row r="2625" spans="14:15">
      <c r="N2625" s="7"/>
      <c r="O2625" s="7"/>
    </row>
    <row r="2626" spans="14:15">
      <c r="N2626" s="7"/>
      <c r="O2626" s="7"/>
    </row>
    <row r="2627" spans="14:15">
      <c r="N2627" s="7"/>
      <c r="O2627" s="7"/>
    </row>
    <row r="2628" spans="14:15">
      <c r="N2628" s="7"/>
      <c r="O2628" s="7"/>
    </row>
    <row r="2629" spans="14:15">
      <c r="N2629" s="7"/>
      <c r="O2629" s="7"/>
    </row>
    <row r="2630" spans="14:15">
      <c r="N2630" s="7"/>
      <c r="O2630" s="7"/>
    </row>
    <row r="2631" spans="14:15">
      <c r="N2631" s="7"/>
      <c r="O2631" s="7"/>
    </row>
    <row r="2632" spans="14:15">
      <c r="N2632" s="7"/>
      <c r="O2632" s="7"/>
    </row>
    <row r="2633" spans="14:15">
      <c r="N2633" s="7"/>
      <c r="O2633" s="7"/>
    </row>
    <row r="2634" spans="14:15">
      <c r="N2634" s="7"/>
      <c r="O2634" s="7"/>
    </row>
    <row r="2635" spans="14:15">
      <c r="N2635" s="7"/>
      <c r="O2635" s="7"/>
    </row>
    <row r="2636" spans="14:15">
      <c r="N2636" s="7"/>
      <c r="O2636" s="7"/>
    </row>
    <row r="2637" spans="14:15">
      <c r="N2637" s="7"/>
      <c r="O2637" s="7"/>
    </row>
    <row r="2638" spans="14:15">
      <c r="N2638" s="7"/>
      <c r="O2638" s="7"/>
    </row>
    <row r="2639" spans="14:15">
      <c r="N2639" s="7"/>
      <c r="O2639" s="7"/>
    </row>
    <row r="2640" spans="14:15">
      <c r="N2640" s="7"/>
      <c r="O2640" s="7"/>
    </row>
    <row r="2641" spans="14:15">
      <c r="N2641" s="7"/>
      <c r="O2641" s="7"/>
    </row>
    <row r="2642" spans="14:15">
      <c r="N2642" s="7"/>
      <c r="O2642" s="7"/>
    </row>
    <row r="2643" spans="14:15">
      <c r="N2643" s="7"/>
      <c r="O2643" s="7"/>
    </row>
    <row r="2644" spans="14:15">
      <c r="N2644" s="7"/>
      <c r="O2644" s="7"/>
    </row>
    <row r="2645" spans="14:15">
      <c r="N2645" s="7"/>
      <c r="O2645" s="7"/>
    </row>
    <row r="2646" spans="14:15">
      <c r="N2646" s="7"/>
      <c r="O2646" s="7"/>
    </row>
    <row r="2647" spans="14:15">
      <c r="N2647" s="7"/>
      <c r="O2647" s="7"/>
    </row>
    <row r="2648" spans="14:15">
      <c r="N2648" s="7"/>
      <c r="O2648" s="7"/>
    </row>
    <row r="2649" spans="14:15">
      <c r="N2649" s="7"/>
      <c r="O2649" s="7"/>
    </row>
    <row r="2650" spans="14:15">
      <c r="N2650" s="7"/>
      <c r="O2650" s="7"/>
    </row>
    <row r="2651" spans="14:15">
      <c r="N2651" s="7"/>
      <c r="O2651" s="7"/>
    </row>
    <row r="2652" spans="14:15">
      <c r="N2652" s="7"/>
      <c r="O2652" s="7"/>
    </row>
    <row r="2653" spans="14:15">
      <c r="N2653" s="7"/>
      <c r="O2653" s="7"/>
    </row>
    <row r="2654" spans="14:15">
      <c r="N2654" s="7"/>
      <c r="O2654" s="7"/>
    </row>
    <row r="2655" spans="14:15">
      <c r="N2655" s="7"/>
      <c r="O2655" s="7"/>
    </row>
    <row r="2656" spans="14:15">
      <c r="N2656" s="7"/>
      <c r="O2656" s="7"/>
    </row>
    <row r="2657" spans="14:15">
      <c r="N2657" s="7"/>
      <c r="O2657" s="7"/>
    </row>
    <row r="2658" spans="14:15">
      <c r="N2658" s="7"/>
      <c r="O2658" s="7"/>
    </row>
    <row r="2659" spans="14:15">
      <c r="N2659" s="7"/>
      <c r="O2659" s="7"/>
    </row>
    <row r="2660" spans="14:15">
      <c r="N2660" s="7"/>
      <c r="O2660" s="7"/>
    </row>
    <row r="2661" spans="14:15">
      <c r="N2661" s="7"/>
      <c r="O2661" s="7"/>
    </row>
    <row r="2662" spans="14:15">
      <c r="N2662" s="7"/>
      <c r="O2662" s="7"/>
    </row>
    <row r="2663" spans="14:15">
      <c r="N2663" s="7"/>
      <c r="O2663" s="7"/>
    </row>
    <row r="2664" spans="14:15">
      <c r="N2664" s="7"/>
      <c r="O2664" s="7"/>
    </row>
    <row r="2665" spans="14:15">
      <c r="N2665" s="7"/>
      <c r="O2665" s="7"/>
    </row>
    <row r="2666" spans="14:15">
      <c r="N2666" s="7"/>
      <c r="O2666" s="7"/>
    </row>
    <row r="2667" spans="14:15">
      <c r="N2667" s="7"/>
      <c r="O2667" s="7"/>
    </row>
    <row r="2668" spans="14:15">
      <c r="N2668" s="7"/>
      <c r="O2668" s="7"/>
    </row>
    <row r="2669" spans="14:15">
      <c r="N2669" s="7"/>
      <c r="O2669" s="7"/>
    </row>
    <row r="2670" spans="14:15">
      <c r="N2670" s="7"/>
      <c r="O2670" s="7"/>
    </row>
    <row r="2671" spans="14:15">
      <c r="N2671" s="7"/>
      <c r="O2671" s="7"/>
    </row>
    <row r="2672" spans="14:15">
      <c r="N2672" s="7"/>
      <c r="O2672" s="7"/>
    </row>
    <row r="2673" spans="14:15">
      <c r="N2673" s="7"/>
      <c r="O2673" s="7"/>
    </row>
    <row r="2674" spans="14:15">
      <c r="N2674" s="7"/>
      <c r="O2674" s="7"/>
    </row>
    <row r="2675" spans="14:15">
      <c r="N2675" s="7"/>
      <c r="O2675" s="7"/>
    </row>
    <row r="2676" spans="14:15">
      <c r="N2676" s="7"/>
      <c r="O2676" s="7"/>
    </row>
    <row r="2677" spans="14:15">
      <c r="N2677" s="7"/>
      <c r="O2677" s="7"/>
    </row>
    <row r="2678" spans="14:15">
      <c r="N2678" s="7"/>
      <c r="O2678" s="7"/>
    </row>
    <row r="2679" spans="14:15">
      <c r="N2679" s="7"/>
      <c r="O2679" s="7"/>
    </row>
    <row r="2680" spans="14:15">
      <c r="N2680" s="7"/>
      <c r="O2680" s="7"/>
    </row>
    <row r="2681" spans="14:15">
      <c r="N2681" s="7"/>
      <c r="O2681" s="7"/>
    </row>
    <row r="2682" spans="14:15">
      <c r="N2682" s="7"/>
      <c r="O2682" s="7"/>
    </row>
    <row r="2683" spans="14:15">
      <c r="N2683" s="7"/>
      <c r="O2683" s="7"/>
    </row>
    <row r="2684" spans="14:15">
      <c r="N2684" s="7"/>
      <c r="O2684" s="7"/>
    </row>
    <row r="2685" spans="14:15">
      <c r="N2685" s="7"/>
      <c r="O2685" s="7"/>
    </row>
    <row r="2686" spans="14:15">
      <c r="N2686" s="7"/>
      <c r="O2686" s="7"/>
    </row>
    <row r="2687" spans="14:15">
      <c r="N2687" s="7"/>
      <c r="O2687" s="7"/>
    </row>
    <row r="2688" spans="14:15">
      <c r="N2688" s="7"/>
      <c r="O2688" s="7"/>
    </row>
    <row r="2689" spans="14:15">
      <c r="N2689" s="7"/>
      <c r="O2689" s="7"/>
    </row>
    <row r="2690" spans="14:15">
      <c r="N2690" s="7"/>
      <c r="O2690" s="7"/>
    </row>
    <row r="2691" spans="14:15">
      <c r="N2691" s="7"/>
      <c r="O2691" s="7"/>
    </row>
    <row r="2692" spans="14:15">
      <c r="N2692" s="7"/>
      <c r="O2692" s="7"/>
    </row>
    <row r="2693" spans="14:15">
      <c r="N2693" s="7"/>
      <c r="O2693" s="7"/>
    </row>
    <row r="2694" spans="14:15">
      <c r="N2694" s="7"/>
      <c r="O2694" s="7"/>
    </row>
    <row r="2695" spans="14:15">
      <c r="N2695" s="7"/>
      <c r="O2695" s="7"/>
    </row>
    <row r="2696" spans="14:15">
      <c r="N2696" s="7"/>
      <c r="O2696" s="7"/>
    </row>
    <row r="2697" spans="14:15">
      <c r="N2697" s="7"/>
      <c r="O2697" s="7"/>
    </row>
    <row r="2698" spans="14:15">
      <c r="N2698" s="7"/>
      <c r="O2698" s="7"/>
    </row>
    <row r="2699" spans="14:15">
      <c r="N2699" s="7"/>
      <c r="O2699" s="7"/>
    </row>
    <row r="2700" spans="14:15">
      <c r="N2700" s="7"/>
      <c r="O2700" s="7"/>
    </row>
    <row r="2701" spans="14:15">
      <c r="N2701" s="7"/>
      <c r="O2701" s="7"/>
    </row>
    <row r="2702" spans="14:15">
      <c r="N2702" s="7"/>
      <c r="O2702" s="7"/>
    </row>
    <row r="2703" spans="14:15">
      <c r="N2703" s="7"/>
      <c r="O2703" s="7"/>
    </row>
    <row r="2704" spans="14:15">
      <c r="N2704" s="7"/>
      <c r="O2704" s="7"/>
    </row>
    <row r="2705" spans="14:15">
      <c r="N2705" s="7"/>
      <c r="O2705" s="7"/>
    </row>
    <row r="2706" spans="14:15">
      <c r="N2706" s="7"/>
      <c r="O2706" s="7"/>
    </row>
    <row r="2707" spans="14:15">
      <c r="N2707" s="7"/>
      <c r="O2707" s="7"/>
    </row>
    <row r="2708" spans="14:15">
      <c r="N2708" s="7"/>
      <c r="O2708" s="7"/>
    </row>
    <row r="2709" spans="14:15">
      <c r="N2709" s="7"/>
      <c r="O2709" s="7"/>
    </row>
    <row r="2710" spans="14:15">
      <c r="N2710" s="7"/>
      <c r="O2710" s="7"/>
    </row>
    <row r="2711" spans="14:15">
      <c r="N2711" s="7"/>
      <c r="O2711" s="7"/>
    </row>
    <row r="2712" spans="14:15">
      <c r="N2712" s="7"/>
      <c r="O2712" s="7"/>
    </row>
    <row r="2713" spans="14:15">
      <c r="N2713" s="7"/>
      <c r="O2713" s="7"/>
    </row>
    <row r="2714" spans="14:15">
      <c r="N2714" s="7"/>
      <c r="O2714" s="7"/>
    </row>
    <row r="2715" spans="14:15">
      <c r="N2715" s="7"/>
      <c r="O2715" s="7"/>
    </row>
    <row r="2716" spans="14:15">
      <c r="N2716" s="7"/>
      <c r="O2716" s="7"/>
    </row>
    <row r="2717" spans="14:15">
      <c r="N2717" s="7"/>
      <c r="O2717" s="7"/>
    </row>
    <row r="2718" spans="14:15">
      <c r="N2718" s="7"/>
      <c r="O2718" s="7"/>
    </row>
    <row r="2719" spans="14:15">
      <c r="N2719" s="7"/>
      <c r="O2719" s="7"/>
    </row>
    <row r="2720" spans="14:15">
      <c r="N2720" s="7"/>
      <c r="O2720" s="7"/>
    </row>
    <row r="2721" spans="14:15">
      <c r="N2721" s="7"/>
      <c r="O2721" s="7"/>
    </row>
    <row r="2722" spans="14:15">
      <c r="N2722" s="7"/>
      <c r="O2722" s="7"/>
    </row>
    <row r="2723" spans="14:15">
      <c r="N2723" s="7"/>
      <c r="O2723" s="7"/>
    </row>
    <row r="2724" spans="14:15">
      <c r="N2724" s="7"/>
      <c r="O2724" s="7"/>
    </row>
    <row r="2725" spans="14:15">
      <c r="N2725" s="7"/>
      <c r="O2725" s="7"/>
    </row>
    <row r="2726" spans="14:15">
      <c r="N2726" s="7"/>
      <c r="O2726" s="7"/>
    </row>
    <row r="2727" spans="14:15">
      <c r="N2727" s="7"/>
      <c r="O2727" s="7"/>
    </row>
    <row r="2728" spans="14:15">
      <c r="N2728" s="7"/>
      <c r="O2728" s="7"/>
    </row>
    <row r="2729" spans="14:15">
      <c r="N2729" s="7"/>
      <c r="O2729" s="7"/>
    </row>
    <row r="2730" spans="14:15">
      <c r="N2730" s="7"/>
      <c r="O2730" s="7"/>
    </row>
    <row r="2731" spans="14:15">
      <c r="N2731" s="7"/>
      <c r="O2731" s="7"/>
    </row>
    <row r="2732" spans="14:15">
      <c r="N2732" s="7"/>
      <c r="O2732" s="7"/>
    </row>
    <row r="2733" spans="14:15">
      <c r="N2733" s="7"/>
      <c r="O2733" s="7"/>
    </row>
    <row r="2734" spans="14:15">
      <c r="N2734" s="7"/>
      <c r="O2734" s="7"/>
    </row>
    <row r="2735" spans="14:15">
      <c r="N2735" s="7"/>
      <c r="O2735" s="7"/>
    </row>
    <row r="2736" spans="14:15">
      <c r="N2736" s="7"/>
      <c r="O2736" s="7"/>
    </row>
    <row r="2737" spans="14:15">
      <c r="N2737" s="7"/>
      <c r="O2737" s="7"/>
    </row>
    <row r="2738" spans="14:15">
      <c r="N2738" s="7"/>
      <c r="O2738" s="7"/>
    </row>
    <row r="2739" spans="14:15">
      <c r="N2739" s="7"/>
      <c r="O2739" s="7"/>
    </row>
    <row r="2740" spans="14:15">
      <c r="N2740" s="7"/>
      <c r="O2740" s="7"/>
    </row>
    <row r="2741" spans="14:15">
      <c r="N2741" s="7"/>
      <c r="O2741" s="7"/>
    </row>
    <row r="2742" spans="14:15">
      <c r="N2742" s="7"/>
      <c r="O2742" s="7"/>
    </row>
    <row r="2743" spans="14:15">
      <c r="N2743" s="7"/>
      <c r="O2743" s="7"/>
    </row>
    <row r="2744" spans="14:15">
      <c r="N2744" s="7"/>
      <c r="O2744" s="7"/>
    </row>
    <row r="2745" spans="14:15">
      <c r="N2745" s="7"/>
      <c r="O2745" s="7"/>
    </row>
    <row r="2746" spans="14:15">
      <c r="N2746" s="7"/>
      <c r="O2746" s="7"/>
    </row>
    <row r="2747" spans="14:15">
      <c r="N2747" s="7"/>
      <c r="O2747" s="7"/>
    </row>
    <row r="2748" spans="14:15">
      <c r="N2748" s="7"/>
      <c r="O2748" s="7"/>
    </row>
    <row r="2749" spans="14:15">
      <c r="N2749" s="7"/>
      <c r="O2749" s="7"/>
    </row>
    <row r="2750" spans="14:15">
      <c r="N2750" s="7"/>
      <c r="O2750" s="7"/>
    </row>
    <row r="2751" spans="14:15">
      <c r="N2751" s="7"/>
      <c r="O2751" s="7"/>
    </row>
    <row r="2752" spans="14:15">
      <c r="N2752" s="7"/>
      <c r="O2752" s="7"/>
    </row>
    <row r="2753" spans="14:15">
      <c r="N2753" s="7"/>
      <c r="O2753" s="7"/>
    </row>
    <row r="2754" spans="14:15">
      <c r="N2754" s="7"/>
      <c r="O2754" s="7"/>
    </row>
    <row r="2755" spans="14:15">
      <c r="N2755" s="7"/>
      <c r="O2755" s="7"/>
    </row>
    <row r="2756" spans="14:15">
      <c r="N2756" s="7"/>
      <c r="O2756" s="7"/>
    </row>
    <row r="2757" spans="14:15">
      <c r="N2757" s="7"/>
      <c r="O2757" s="7"/>
    </row>
    <row r="2758" spans="14:15">
      <c r="N2758" s="7"/>
      <c r="O2758" s="7"/>
    </row>
    <row r="2759" spans="14:15">
      <c r="N2759" s="7"/>
      <c r="O2759" s="7"/>
    </row>
    <row r="2760" spans="14:15">
      <c r="N2760" s="7"/>
      <c r="O2760" s="7"/>
    </row>
    <row r="2761" spans="14:15">
      <c r="N2761" s="7"/>
      <c r="O2761" s="7"/>
    </row>
    <row r="2762" spans="14:15">
      <c r="N2762" s="7"/>
      <c r="O2762" s="7"/>
    </row>
    <row r="2763" spans="14:15">
      <c r="N2763" s="7"/>
      <c r="O2763" s="7"/>
    </row>
    <row r="2764" spans="14:15">
      <c r="N2764" s="7"/>
      <c r="O2764" s="7"/>
    </row>
    <row r="2765" spans="14:15">
      <c r="N2765" s="7"/>
      <c r="O2765" s="7"/>
    </row>
    <row r="2766" spans="14:15">
      <c r="N2766" s="7"/>
      <c r="O2766" s="7"/>
    </row>
    <row r="2767" spans="14:15">
      <c r="N2767" s="7"/>
      <c r="O2767" s="7"/>
    </row>
    <row r="2768" spans="14:15">
      <c r="N2768" s="7"/>
      <c r="O2768" s="7"/>
    </row>
    <row r="2769" spans="14:15">
      <c r="N2769" s="7"/>
      <c r="O2769" s="7"/>
    </row>
    <row r="2770" spans="14:15">
      <c r="N2770" s="7"/>
      <c r="O2770" s="7"/>
    </row>
    <row r="2771" spans="14:15">
      <c r="N2771" s="7"/>
      <c r="O2771" s="7"/>
    </row>
    <row r="2772" spans="14:15">
      <c r="N2772" s="7"/>
      <c r="O2772" s="7"/>
    </row>
    <row r="2773" spans="14:15">
      <c r="N2773" s="7"/>
      <c r="O2773" s="7"/>
    </row>
    <row r="2774" spans="14:15">
      <c r="N2774" s="7"/>
      <c r="O2774" s="7"/>
    </row>
    <row r="2775" spans="14:15">
      <c r="N2775" s="7"/>
      <c r="O2775" s="7"/>
    </row>
    <row r="2776" spans="14:15">
      <c r="N2776" s="7"/>
      <c r="O2776" s="7"/>
    </row>
    <row r="2777" spans="14:15">
      <c r="N2777" s="7"/>
      <c r="O2777" s="7"/>
    </row>
    <row r="2778" spans="14:15">
      <c r="N2778" s="7"/>
      <c r="O2778" s="7"/>
    </row>
    <row r="2779" spans="14:15">
      <c r="N2779" s="7"/>
      <c r="O2779" s="7"/>
    </row>
    <row r="2780" spans="14:15">
      <c r="N2780" s="7"/>
      <c r="O2780" s="7"/>
    </row>
    <row r="2781" spans="14:15">
      <c r="N2781" s="7"/>
      <c r="O2781" s="7"/>
    </row>
    <row r="2782" spans="14:15">
      <c r="N2782" s="7"/>
      <c r="O2782" s="7"/>
    </row>
    <row r="2783" spans="14:15">
      <c r="N2783" s="7"/>
      <c r="O2783" s="7"/>
    </row>
    <row r="2784" spans="14:15">
      <c r="N2784" s="7"/>
      <c r="O2784" s="7"/>
    </row>
    <row r="2785" spans="14:15">
      <c r="N2785" s="7"/>
      <c r="O2785" s="7"/>
    </row>
    <row r="2786" spans="14:15">
      <c r="N2786" s="7"/>
      <c r="O2786" s="7"/>
    </row>
    <row r="2787" spans="14:15">
      <c r="N2787" s="7"/>
      <c r="O2787" s="7"/>
    </row>
    <row r="2788" spans="14:15">
      <c r="N2788" s="7"/>
      <c r="O2788" s="7"/>
    </row>
    <row r="2789" spans="14:15">
      <c r="N2789" s="7"/>
      <c r="O2789" s="7"/>
    </row>
    <row r="2790" spans="14:15">
      <c r="N2790" s="7"/>
      <c r="O2790" s="7"/>
    </row>
    <row r="2791" spans="14:15">
      <c r="N2791" s="7"/>
      <c r="O2791" s="7"/>
    </row>
    <row r="2792" spans="14:15">
      <c r="N2792" s="7"/>
      <c r="O2792" s="7"/>
    </row>
    <row r="2793" spans="14:15">
      <c r="N2793" s="7"/>
      <c r="O2793" s="7"/>
    </row>
    <row r="2794" spans="14:15">
      <c r="N2794" s="7"/>
      <c r="O2794" s="7"/>
    </row>
    <row r="2795" spans="14:15">
      <c r="N2795" s="7"/>
      <c r="O2795" s="7"/>
    </row>
    <row r="2796" spans="14:15">
      <c r="N2796" s="7"/>
      <c r="O2796" s="7"/>
    </row>
    <row r="2797" spans="14:15">
      <c r="N2797" s="7"/>
      <c r="O2797" s="7"/>
    </row>
    <row r="2798" spans="14:15">
      <c r="N2798" s="7"/>
      <c r="O2798" s="7"/>
    </row>
    <row r="2799" spans="14:15">
      <c r="N2799" s="7"/>
      <c r="O2799" s="7"/>
    </row>
    <row r="2800" spans="14:15">
      <c r="N2800" s="7"/>
      <c r="O2800" s="7"/>
    </row>
    <row r="2801" spans="14:15">
      <c r="N2801" s="7"/>
      <c r="O2801" s="7"/>
    </row>
    <row r="2802" spans="14:15">
      <c r="N2802" s="7"/>
      <c r="O2802" s="7"/>
    </row>
    <row r="2803" spans="14:15">
      <c r="N2803" s="7"/>
      <c r="O2803" s="7"/>
    </row>
    <row r="2804" spans="14:15">
      <c r="N2804" s="7"/>
      <c r="O2804" s="7"/>
    </row>
    <row r="2805" spans="14:15">
      <c r="N2805" s="7"/>
      <c r="O2805" s="7"/>
    </row>
    <row r="2806" spans="14:15">
      <c r="N2806" s="7"/>
      <c r="O2806" s="7"/>
    </row>
    <row r="2807" spans="14:15">
      <c r="N2807" s="7"/>
      <c r="O2807" s="7"/>
    </row>
    <row r="2808" spans="14:15">
      <c r="N2808" s="7"/>
      <c r="O2808" s="7"/>
    </row>
    <row r="2809" spans="14:15">
      <c r="N2809" s="7"/>
      <c r="O2809" s="7"/>
    </row>
    <row r="2810" spans="14:15">
      <c r="N2810" s="7"/>
      <c r="O2810" s="7"/>
    </row>
    <row r="2811" spans="14:15">
      <c r="N2811" s="7"/>
      <c r="O2811" s="7"/>
    </row>
    <row r="2812" spans="14:15">
      <c r="N2812" s="7"/>
      <c r="O2812" s="7"/>
    </row>
    <row r="2813" spans="14:15">
      <c r="N2813" s="7"/>
      <c r="O2813" s="7"/>
    </row>
    <row r="2814" spans="14:15">
      <c r="N2814" s="7"/>
      <c r="O2814" s="7"/>
    </row>
    <row r="2815" spans="14:15">
      <c r="N2815" s="7"/>
      <c r="O2815" s="7"/>
    </row>
    <row r="2816" spans="14:15">
      <c r="N2816" s="7"/>
      <c r="O2816" s="7"/>
    </row>
    <row r="2817" spans="14:15">
      <c r="N2817" s="7"/>
      <c r="O2817" s="7"/>
    </row>
    <row r="2818" spans="14:15">
      <c r="N2818" s="7"/>
      <c r="O2818" s="7"/>
    </row>
    <row r="2819" spans="14:15">
      <c r="N2819" s="7"/>
      <c r="O2819" s="7"/>
    </row>
    <row r="2820" spans="14:15">
      <c r="N2820" s="7"/>
      <c r="O2820" s="7"/>
    </row>
    <row r="2821" spans="14:15">
      <c r="N2821" s="7"/>
      <c r="O2821" s="7"/>
    </row>
    <row r="2822" spans="14:15">
      <c r="N2822" s="7"/>
      <c r="O2822" s="7"/>
    </row>
    <row r="2823" spans="14:15">
      <c r="N2823" s="7"/>
      <c r="O2823" s="7"/>
    </row>
    <row r="2824" spans="14:15">
      <c r="N2824" s="7"/>
      <c r="O2824" s="7"/>
    </row>
    <row r="2825" spans="14:15">
      <c r="N2825" s="7"/>
      <c r="O2825" s="7"/>
    </row>
    <row r="2826" spans="14:15">
      <c r="N2826" s="7"/>
      <c r="O2826" s="7"/>
    </row>
    <row r="2827" spans="14:15">
      <c r="N2827" s="7"/>
      <c r="O2827" s="7"/>
    </row>
    <row r="2828" spans="14:15">
      <c r="N2828" s="7"/>
      <c r="O2828" s="7"/>
    </row>
    <row r="2829" spans="14:15">
      <c r="N2829" s="7"/>
      <c r="O2829" s="7"/>
    </row>
    <row r="2830" spans="14:15">
      <c r="N2830" s="7"/>
      <c r="O2830" s="7"/>
    </row>
    <row r="2831" spans="14:15">
      <c r="N2831" s="7"/>
      <c r="O2831" s="7"/>
    </row>
    <row r="2832" spans="14:15">
      <c r="N2832" s="7"/>
      <c r="O2832" s="7"/>
    </row>
    <row r="2833" spans="14:15">
      <c r="N2833" s="7"/>
      <c r="O2833" s="7"/>
    </row>
    <row r="2834" spans="14:15">
      <c r="N2834" s="7"/>
      <c r="O2834" s="7"/>
    </row>
    <row r="2835" spans="14:15">
      <c r="N2835" s="7"/>
      <c r="O2835" s="7"/>
    </row>
    <row r="2836" spans="14:15">
      <c r="N2836" s="7"/>
      <c r="O2836" s="7"/>
    </row>
    <row r="2837" spans="14:15">
      <c r="N2837" s="7"/>
      <c r="O2837" s="7"/>
    </row>
    <row r="2838" spans="14:15">
      <c r="N2838" s="7"/>
      <c r="O2838" s="7"/>
    </row>
    <row r="2839" spans="14:15">
      <c r="N2839" s="7"/>
      <c r="O2839" s="7"/>
    </row>
    <row r="2840" spans="14:15">
      <c r="N2840" s="7"/>
      <c r="O2840" s="7"/>
    </row>
    <row r="2841" spans="14:15">
      <c r="N2841" s="7"/>
      <c r="O2841" s="7"/>
    </row>
    <row r="2842" spans="14:15">
      <c r="N2842" s="7"/>
      <c r="O2842" s="7"/>
    </row>
    <row r="2843" spans="14:15">
      <c r="N2843" s="7"/>
      <c r="O2843" s="7"/>
    </row>
    <row r="2844" spans="14:15">
      <c r="N2844" s="7"/>
      <c r="O2844" s="7"/>
    </row>
    <row r="2845" spans="14:15">
      <c r="N2845" s="7"/>
      <c r="O2845" s="7"/>
    </row>
    <row r="2846" spans="14:15">
      <c r="N2846" s="7"/>
      <c r="O2846" s="7"/>
    </row>
    <row r="2847" spans="14:15">
      <c r="N2847" s="7"/>
      <c r="O2847" s="7"/>
    </row>
    <row r="2848" spans="14:15">
      <c r="N2848" s="7"/>
      <c r="O2848" s="7"/>
    </row>
    <row r="2849" spans="14:15">
      <c r="N2849" s="7"/>
      <c r="O2849" s="7"/>
    </row>
    <row r="2850" spans="14:15">
      <c r="N2850" s="7"/>
      <c r="O2850" s="7"/>
    </row>
    <row r="2851" spans="14:15">
      <c r="N2851" s="7"/>
      <c r="O2851" s="7"/>
    </row>
    <row r="2852" spans="14:15">
      <c r="N2852" s="7"/>
      <c r="O2852" s="7"/>
    </row>
    <row r="2853" spans="14:15">
      <c r="N2853" s="7"/>
      <c r="O2853" s="7"/>
    </row>
    <row r="2854" spans="14:15">
      <c r="N2854" s="7"/>
      <c r="O2854" s="7"/>
    </row>
    <row r="2855" spans="14:15">
      <c r="N2855" s="7"/>
      <c r="O2855" s="7"/>
    </row>
    <row r="2856" spans="14:15">
      <c r="N2856" s="7"/>
      <c r="O2856" s="7"/>
    </row>
    <row r="2857" spans="14:15">
      <c r="N2857" s="7"/>
      <c r="O2857" s="7"/>
    </row>
    <row r="2858" spans="14:15">
      <c r="N2858" s="7"/>
      <c r="O2858" s="7"/>
    </row>
    <row r="2859" spans="14:15">
      <c r="N2859" s="7"/>
      <c r="O2859" s="7"/>
    </row>
    <row r="2860" spans="14:15">
      <c r="N2860" s="7"/>
      <c r="O2860" s="7"/>
    </row>
    <row r="2861" spans="14:15">
      <c r="N2861" s="7"/>
      <c r="O2861" s="7"/>
    </row>
    <row r="2862" spans="14:15">
      <c r="N2862" s="7"/>
      <c r="O2862" s="7"/>
    </row>
    <row r="2863" spans="14:15">
      <c r="N2863" s="7"/>
      <c r="O2863" s="7"/>
    </row>
    <row r="2864" spans="14:15">
      <c r="N2864" s="7"/>
      <c r="O2864" s="7"/>
    </row>
    <row r="2865" spans="14:15">
      <c r="N2865" s="7"/>
      <c r="O2865" s="7"/>
    </row>
    <row r="2866" spans="14:15">
      <c r="N2866" s="7"/>
      <c r="O2866" s="7"/>
    </row>
    <row r="2867" spans="14:15">
      <c r="N2867" s="7"/>
      <c r="O2867" s="7"/>
    </row>
    <row r="2868" spans="14:15">
      <c r="N2868" s="7"/>
      <c r="O2868" s="7"/>
    </row>
    <row r="2869" spans="14:15">
      <c r="N2869" s="7"/>
      <c r="O2869" s="7"/>
    </row>
    <row r="2870" spans="14:15">
      <c r="N2870" s="7"/>
      <c r="O2870" s="7"/>
    </row>
    <row r="2871" spans="14:15">
      <c r="N2871" s="7"/>
      <c r="O2871" s="7"/>
    </row>
    <row r="2872" spans="14:15">
      <c r="N2872" s="7"/>
      <c r="O2872" s="7"/>
    </row>
    <row r="2873" spans="14:15">
      <c r="N2873" s="7"/>
      <c r="O2873" s="7"/>
    </row>
    <row r="2874" spans="14:15">
      <c r="N2874" s="7"/>
      <c r="O2874" s="7"/>
    </row>
    <row r="2875" spans="14:15">
      <c r="N2875" s="7"/>
      <c r="O2875" s="7"/>
    </row>
    <row r="2876" spans="14:15">
      <c r="N2876" s="7"/>
      <c r="O2876" s="7"/>
    </row>
    <row r="2877" spans="14:15">
      <c r="N2877" s="7"/>
      <c r="O2877" s="7"/>
    </row>
    <row r="2878" spans="14:15">
      <c r="N2878" s="7"/>
      <c r="O2878" s="7"/>
    </row>
    <row r="2879" spans="14:15">
      <c r="N2879" s="7"/>
      <c r="O2879" s="7"/>
    </row>
    <row r="2880" spans="14:15">
      <c r="N2880" s="7"/>
      <c r="O2880" s="7"/>
    </row>
    <row r="2881" spans="14:15">
      <c r="N2881" s="7"/>
      <c r="O2881" s="7"/>
    </row>
    <row r="2882" spans="14:15">
      <c r="N2882" s="7"/>
      <c r="O2882" s="7"/>
    </row>
    <row r="2883" spans="14:15">
      <c r="N2883" s="7"/>
      <c r="O2883" s="7"/>
    </row>
    <row r="2884" spans="14:15">
      <c r="N2884" s="7"/>
      <c r="O2884" s="7"/>
    </row>
    <row r="2885" spans="14:15">
      <c r="N2885" s="7"/>
      <c r="O2885" s="7"/>
    </row>
    <row r="2886" spans="14:15">
      <c r="N2886" s="7"/>
      <c r="O2886" s="7"/>
    </row>
    <row r="2887" spans="14:15">
      <c r="N2887" s="7"/>
      <c r="O2887" s="7"/>
    </row>
    <row r="2888" spans="14:15">
      <c r="N2888" s="7"/>
      <c r="O2888" s="7"/>
    </row>
    <row r="2889" spans="14:15">
      <c r="N2889" s="7"/>
      <c r="O2889" s="7"/>
    </row>
    <row r="2890" spans="14:15">
      <c r="N2890" s="7"/>
      <c r="O2890" s="7"/>
    </row>
    <row r="2891" spans="14:15">
      <c r="N2891" s="7"/>
      <c r="O2891" s="7"/>
    </row>
    <row r="2892" spans="14:15">
      <c r="N2892" s="7"/>
      <c r="O2892" s="7"/>
    </row>
    <row r="2893" spans="14:15">
      <c r="N2893" s="7"/>
      <c r="O2893" s="7"/>
    </row>
    <row r="2894" spans="14:15">
      <c r="N2894" s="7"/>
      <c r="O2894" s="7"/>
    </row>
    <row r="2895" spans="14:15">
      <c r="N2895" s="7"/>
      <c r="O2895" s="7"/>
    </row>
    <row r="2896" spans="14:15">
      <c r="N2896" s="7"/>
      <c r="O2896" s="7"/>
    </row>
    <row r="2897" spans="14:15">
      <c r="N2897" s="7"/>
      <c r="O2897" s="7"/>
    </row>
    <row r="2898" spans="14:15">
      <c r="N2898" s="7"/>
      <c r="O2898" s="7"/>
    </row>
    <row r="2899" spans="14:15">
      <c r="N2899" s="7"/>
      <c r="O2899" s="7"/>
    </row>
    <row r="2900" spans="14:15">
      <c r="N2900" s="7"/>
      <c r="O2900" s="7"/>
    </row>
    <row r="2901" spans="14:15">
      <c r="N2901" s="7"/>
      <c r="O2901" s="7"/>
    </row>
    <row r="2902" spans="14:15">
      <c r="N2902" s="7"/>
      <c r="O2902" s="7"/>
    </row>
    <row r="2903" spans="14:15">
      <c r="N2903" s="7"/>
      <c r="O2903" s="7"/>
    </row>
    <row r="2904" spans="14:15">
      <c r="N2904" s="7"/>
      <c r="O2904" s="7"/>
    </row>
    <row r="2905" spans="14:15">
      <c r="N2905" s="7"/>
      <c r="O2905" s="7"/>
    </row>
    <row r="2906" spans="14:15">
      <c r="N2906" s="7"/>
      <c r="O2906" s="7"/>
    </row>
    <row r="2907" spans="14:15">
      <c r="N2907" s="7"/>
      <c r="O2907" s="7"/>
    </row>
    <row r="2908" spans="14:15">
      <c r="N2908" s="7"/>
      <c r="O2908" s="7"/>
    </row>
    <row r="2909" spans="14:15">
      <c r="N2909" s="7"/>
      <c r="O2909" s="7"/>
    </row>
    <row r="2910" spans="14:15">
      <c r="N2910" s="7"/>
      <c r="O2910" s="7"/>
    </row>
    <row r="2911" spans="14:15">
      <c r="N2911" s="7"/>
      <c r="O2911" s="7"/>
    </row>
    <row r="2912" spans="14:15">
      <c r="N2912" s="7"/>
      <c r="O2912" s="7"/>
    </row>
    <row r="2913" spans="14:15">
      <c r="N2913" s="7"/>
      <c r="O2913" s="7"/>
    </row>
    <row r="2914" spans="14:15">
      <c r="N2914" s="7"/>
      <c r="O2914" s="7"/>
    </row>
    <row r="2915" spans="14:15">
      <c r="N2915" s="7"/>
      <c r="O2915" s="7"/>
    </row>
    <row r="2916" spans="14:15">
      <c r="N2916" s="7"/>
      <c r="O2916" s="7"/>
    </row>
    <row r="2917" spans="14:15">
      <c r="N2917" s="7"/>
      <c r="O2917" s="7"/>
    </row>
    <row r="2918" spans="14:15">
      <c r="N2918" s="7"/>
      <c r="O2918" s="7"/>
    </row>
    <row r="2919" spans="14:15">
      <c r="N2919" s="7"/>
      <c r="O2919" s="7"/>
    </row>
    <row r="2920" spans="14:15">
      <c r="N2920" s="7"/>
      <c r="O2920" s="7"/>
    </row>
    <row r="2921" spans="14:15">
      <c r="N2921" s="7"/>
      <c r="O2921" s="7"/>
    </row>
    <row r="2922" spans="14:15">
      <c r="N2922" s="7"/>
      <c r="O2922" s="7"/>
    </row>
    <row r="2923" spans="14:15">
      <c r="N2923" s="7"/>
      <c r="O2923" s="7"/>
    </row>
    <row r="2924" spans="14:15">
      <c r="N2924" s="7"/>
      <c r="O2924" s="7"/>
    </row>
    <row r="2925" spans="14:15">
      <c r="N2925" s="7"/>
      <c r="O2925" s="7"/>
    </row>
    <row r="2926" spans="14:15">
      <c r="N2926" s="7"/>
      <c r="O2926" s="7"/>
    </row>
    <row r="2927" spans="14:15">
      <c r="N2927" s="7"/>
      <c r="O2927" s="7"/>
    </row>
    <row r="2928" spans="14:15">
      <c r="N2928" s="7"/>
      <c r="O2928" s="7"/>
    </row>
    <row r="2929" spans="14:15">
      <c r="N2929" s="7"/>
      <c r="O2929" s="7"/>
    </row>
    <row r="2930" spans="14:15">
      <c r="N2930" s="7"/>
      <c r="O2930" s="7"/>
    </row>
    <row r="2931" spans="14:15">
      <c r="N2931" s="7"/>
      <c r="O2931" s="7"/>
    </row>
    <row r="2932" spans="14:15">
      <c r="N2932" s="7"/>
      <c r="O2932" s="7"/>
    </row>
    <row r="2933" spans="14:15">
      <c r="N2933" s="7"/>
      <c r="O2933" s="7"/>
    </row>
    <row r="2934" spans="14:15">
      <c r="N2934" s="7"/>
      <c r="O2934" s="7"/>
    </row>
    <row r="2935" spans="14:15">
      <c r="N2935" s="7"/>
      <c r="O2935" s="7"/>
    </row>
    <row r="2936" spans="14:15">
      <c r="N2936" s="7"/>
      <c r="O2936" s="7"/>
    </row>
    <row r="2937" spans="14:15">
      <c r="N2937" s="7"/>
      <c r="O2937" s="7"/>
    </row>
    <row r="2938" spans="14:15">
      <c r="N2938" s="7"/>
      <c r="O2938" s="7"/>
    </row>
    <row r="2939" spans="14:15">
      <c r="N2939" s="7"/>
      <c r="O2939" s="7"/>
    </row>
    <row r="2940" spans="14:15">
      <c r="N2940" s="7"/>
      <c r="O2940" s="7"/>
    </row>
    <row r="2941" spans="14:15">
      <c r="N2941" s="7"/>
      <c r="O2941" s="7"/>
    </row>
    <row r="2942" spans="14:15">
      <c r="N2942" s="7"/>
      <c r="O2942" s="7"/>
    </row>
    <row r="2943" spans="14:15">
      <c r="N2943" s="7"/>
      <c r="O2943" s="7"/>
    </row>
    <row r="2944" spans="14:15">
      <c r="N2944" s="7"/>
      <c r="O2944" s="7"/>
    </row>
    <row r="2945" spans="14:15">
      <c r="N2945" s="7"/>
      <c r="O2945" s="7"/>
    </row>
    <row r="2946" spans="14:15">
      <c r="N2946" s="7"/>
      <c r="O2946" s="7"/>
    </row>
    <row r="2947" spans="14:15">
      <c r="N2947" s="7"/>
      <c r="O2947" s="7"/>
    </row>
    <row r="2948" spans="14:15">
      <c r="N2948" s="7"/>
      <c r="O2948" s="7"/>
    </row>
    <row r="2949" spans="14:15">
      <c r="N2949" s="7"/>
      <c r="O2949" s="7"/>
    </row>
    <row r="2950" spans="14:15">
      <c r="N2950" s="7"/>
      <c r="O2950" s="7"/>
    </row>
    <row r="2951" spans="14:15">
      <c r="N2951" s="7"/>
      <c r="O2951" s="7"/>
    </row>
    <row r="2952" spans="14:15">
      <c r="N2952" s="7"/>
      <c r="O2952" s="7"/>
    </row>
    <row r="2953" spans="14:15">
      <c r="N2953" s="7"/>
      <c r="O2953" s="7"/>
    </row>
    <row r="2954" spans="14:15">
      <c r="N2954" s="7"/>
      <c r="O2954" s="7"/>
    </row>
    <row r="2955" spans="14:15">
      <c r="N2955" s="7"/>
      <c r="O2955" s="7"/>
    </row>
    <row r="2956" spans="14:15">
      <c r="N2956" s="7"/>
      <c r="O2956" s="7"/>
    </row>
    <row r="2957" spans="14:15">
      <c r="N2957" s="7"/>
      <c r="O2957" s="7"/>
    </row>
    <row r="2958" spans="14:15">
      <c r="N2958" s="7"/>
      <c r="O2958" s="7"/>
    </row>
    <row r="2959" spans="14:15">
      <c r="N2959" s="7"/>
      <c r="O2959" s="7"/>
    </row>
    <row r="2960" spans="14:15">
      <c r="N2960" s="7"/>
      <c r="O2960" s="7"/>
    </row>
    <row r="2961" spans="14:15">
      <c r="N2961" s="7"/>
      <c r="O2961" s="7"/>
    </row>
    <row r="2962" spans="14:15">
      <c r="N2962" s="7"/>
      <c r="O2962" s="7"/>
    </row>
    <row r="2963" spans="14:15">
      <c r="N2963" s="7"/>
      <c r="O2963" s="7"/>
    </row>
    <row r="2964" spans="14:15">
      <c r="N2964" s="7"/>
      <c r="O2964" s="7"/>
    </row>
    <row r="2965" spans="14:15">
      <c r="N2965" s="7"/>
      <c r="O2965" s="7"/>
    </row>
    <row r="2966" spans="14:15">
      <c r="N2966" s="7"/>
      <c r="O2966" s="7"/>
    </row>
    <row r="2967" spans="14:15">
      <c r="N2967" s="7"/>
      <c r="O2967" s="7"/>
    </row>
    <row r="2968" spans="14:15">
      <c r="N2968" s="7"/>
      <c r="O2968" s="7"/>
    </row>
    <row r="2969" spans="14:15">
      <c r="N2969" s="7"/>
      <c r="O2969" s="7"/>
    </row>
    <row r="2970" spans="14:15">
      <c r="N2970" s="7"/>
      <c r="O2970" s="7"/>
    </row>
    <row r="2971" spans="14:15">
      <c r="N2971" s="7"/>
      <c r="O2971" s="7"/>
    </row>
    <row r="2972" spans="14:15">
      <c r="N2972" s="7"/>
      <c r="O2972" s="7"/>
    </row>
    <row r="2973" spans="14:15">
      <c r="N2973" s="7"/>
      <c r="O2973" s="7"/>
    </row>
    <row r="2974" spans="14:15">
      <c r="N2974" s="7"/>
      <c r="O2974" s="7"/>
    </row>
    <row r="2975" spans="14:15">
      <c r="N2975" s="7"/>
      <c r="O2975" s="7"/>
    </row>
    <row r="2976" spans="14:15">
      <c r="N2976" s="7"/>
      <c r="O2976" s="7"/>
    </row>
    <row r="2977" spans="14:15">
      <c r="N2977" s="7"/>
      <c r="O2977" s="7"/>
    </row>
    <row r="2978" spans="14:15">
      <c r="N2978" s="7"/>
      <c r="O2978" s="7"/>
    </row>
    <row r="2979" spans="14:15">
      <c r="N2979" s="7"/>
      <c r="O2979" s="7"/>
    </row>
    <row r="2980" spans="14:15">
      <c r="N2980" s="7"/>
      <c r="O2980" s="7"/>
    </row>
    <row r="2981" spans="14:15">
      <c r="N2981" s="7"/>
      <c r="O2981" s="7"/>
    </row>
    <row r="2982" spans="14:15">
      <c r="N2982" s="7"/>
      <c r="O2982" s="7"/>
    </row>
    <row r="2983" spans="14:15">
      <c r="N2983" s="7"/>
      <c r="O2983" s="7"/>
    </row>
    <row r="2984" spans="14:15">
      <c r="N2984" s="7"/>
      <c r="O2984" s="7"/>
    </row>
    <row r="2985" spans="14:15">
      <c r="N2985" s="7"/>
      <c r="O2985" s="7"/>
    </row>
    <row r="2986" spans="14:15">
      <c r="N2986" s="7"/>
      <c r="O2986" s="7"/>
    </row>
    <row r="2987" spans="14:15">
      <c r="N2987" s="7"/>
      <c r="O2987" s="7"/>
    </row>
    <row r="2988" spans="14:15">
      <c r="N2988" s="7"/>
      <c r="O2988" s="7"/>
    </row>
    <row r="2989" spans="14:15">
      <c r="N2989" s="7"/>
      <c r="O2989" s="7"/>
    </row>
    <row r="2990" spans="14:15">
      <c r="N2990" s="7"/>
      <c r="O2990" s="7"/>
    </row>
    <row r="2991" spans="14:15">
      <c r="N2991" s="7"/>
      <c r="O2991" s="7"/>
    </row>
    <row r="2992" spans="14:15">
      <c r="N2992" s="7"/>
      <c r="O2992" s="7"/>
    </row>
    <row r="2993" spans="14:15">
      <c r="N2993" s="7"/>
      <c r="O2993" s="7"/>
    </row>
    <row r="2994" spans="14:15">
      <c r="N2994" s="7"/>
      <c r="O2994" s="7"/>
    </row>
    <row r="2995" spans="14:15">
      <c r="N2995" s="7"/>
      <c r="O2995" s="7"/>
    </row>
    <row r="2996" spans="14:15">
      <c r="N2996" s="7"/>
      <c r="O2996" s="7"/>
    </row>
    <row r="2997" spans="14:15">
      <c r="N2997" s="7"/>
      <c r="O2997" s="7"/>
    </row>
    <row r="2998" spans="14:15">
      <c r="N2998" s="7"/>
      <c r="O2998" s="7"/>
    </row>
    <row r="2999" spans="14:15">
      <c r="N2999" s="7"/>
      <c r="O2999" s="7"/>
    </row>
    <row r="3000" spans="14:15">
      <c r="N3000" s="7"/>
      <c r="O3000" s="7"/>
    </row>
    <row r="3001" spans="14:15">
      <c r="N3001" s="7"/>
      <c r="O3001" s="7"/>
    </row>
    <row r="3002" spans="14:15">
      <c r="N3002" s="7"/>
      <c r="O3002" s="7"/>
    </row>
    <row r="3003" spans="14:15">
      <c r="N3003" s="7"/>
      <c r="O3003" s="7"/>
    </row>
    <row r="3004" spans="14:15">
      <c r="N3004" s="7"/>
      <c r="O3004" s="7"/>
    </row>
    <row r="3005" spans="14:15">
      <c r="N3005" s="7"/>
      <c r="O3005" s="7"/>
    </row>
    <row r="3006" spans="14:15">
      <c r="N3006" s="7"/>
      <c r="O3006" s="7"/>
    </row>
    <row r="3007" spans="14:15">
      <c r="N3007" s="7"/>
      <c r="O3007" s="7"/>
    </row>
    <row r="3008" spans="14:15">
      <c r="N3008" s="7"/>
      <c r="O3008" s="7"/>
    </row>
    <row r="3009" spans="14:15">
      <c r="N3009" s="7"/>
      <c r="O3009" s="7"/>
    </row>
    <row r="3010" spans="14:15">
      <c r="N3010" s="7"/>
      <c r="O3010" s="7"/>
    </row>
    <row r="3011" spans="14:15">
      <c r="N3011" s="7"/>
      <c r="O3011" s="7"/>
    </row>
    <row r="3012" spans="14:15">
      <c r="N3012" s="7"/>
      <c r="O3012" s="7"/>
    </row>
    <row r="3013" spans="14:15">
      <c r="N3013" s="7"/>
      <c r="O3013" s="7"/>
    </row>
    <row r="3014" spans="14:15">
      <c r="N3014" s="7"/>
      <c r="O3014" s="7"/>
    </row>
    <row r="3015" spans="14:15">
      <c r="N3015" s="7"/>
      <c r="O3015" s="7"/>
    </row>
    <row r="3016" spans="14:15">
      <c r="N3016" s="7"/>
      <c r="O3016" s="7"/>
    </row>
    <row r="3017" spans="14:15">
      <c r="N3017" s="7"/>
      <c r="O3017" s="7"/>
    </row>
    <row r="3018" spans="14:15">
      <c r="N3018" s="7"/>
      <c r="O3018" s="7"/>
    </row>
    <row r="3019" spans="14:15">
      <c r="N3019" s="7"/>
      <c r="O3019" s="7"/>
    </row>
    <row r="3020" spans="14:15">
      <c r="N3020" s="7"/>
      <c r="O3020" s="7"/>
    </row>
    <row r="3021" spans="14:15">
      <c r="N3021" s="7"/>
      <c r="O3021" s="7"/>
    </row>
    <row r="3022" spans="14:15">
      <c r="N3022" s="7"/>
      <c r="O3022" s="7"/>
    </row>
    <row r="3023" spans="14:15">
      <c r="N3023" s="7"/>
      <c r="O3023" s="7"/>
    </row>
    <row r="3024" spans="14:15">
      <c r="N3024" s="7"/>
      <c r="O3024" s="7"/>
    </row>
    <row r="3025" spans="14:15">
      <c r="N3025" s="7"/>
      <c r="O3025" s="7"/>
    </row>
    <row r="3026" spans="14:15">
      <c r="N3026" s="7"/>
      <c r="O3026" s="7"/>
    </row>
    <row r="3027" spans="14:15">
      <c r="N3027" s="7"/>
      <c r="O3027" s="7"/>
    </row>
    <row r="3028" spans="14:15">
      <c r="N3028" s="7"/>
      <c r="O3028" s="7"/>
    </row>
    <row r="3029" spans="14:15">
      <c r="N3029" s="7"/>
      <c r="O3029" s="7"/>
    </row>
  </sheetData>
  <autoFilter ref="A1:P1425" xr:uid="{D17F49C5-045C-4C41-8133-90E2E1555C53}">
    <filterColumn colId="0">
      <filters>
        <filter val="Import of clothing (EU)"/>
        <filter val="Import of clothing (Global)"/>
        <filter val="Import of plastic sheets"/>
        <filter val="Import of primary plastics"/>
        <filter val="Import of yarn"/>
      </filters>
    </filterColumn>
  </autoFilter>
  <sortState xmlns:xlrd2="http://schemas.microsoft.com/office/spreadsheetml/2017/richdata2" ref="A2:P3029">
    <sortCondition ref="A1:A3029"/>
  </sortState>
  <phoneticPr fontId="22" type="noConversion"/>
  <conditionalFormatting sqref="H278:H279">
    <cfRule type="dataBar" priority="186">
      <dataBar>
        <cfvo type="min"/>
        <cfvo type="num" val="4"/>
        <color rgb="FFFFC000"/>
      </dataBar>
      <extLst>
        <ext xmlns:x14="http://schemas.microsoft.com/office/spreadsheetml/2009/9/main" uri="{B025F937-C7B1-47D3-B67F-A62EFF666E3E}">
          <x14:id>{639DB7A4-AB12-4E57-AD97-0D9CFDF09E4F}</x14:id>
        </ext>
      </extLst>
    </cfRule>
  </conditionalFormatting>
  <conditionalFormatting sqref="H281:H282">
    <cfRule type="dataBar" priority="204">
      <dataBar>
        <cfvo type="min"/>
        <cfvo type="num" val="4"/>
        <color rgb="FFFFC000"/>
      </dataBar>
      <extLst>
        <ext xmlns:x14="http://schemas.microsoft.com/office/spreadsheetml/2009/9/main" uri="{B025F937-C7B1-47D3-B67F-A62EFF666E3E}">
          <x14:id>{7F0D3BF5-F7D3-41C9-B5D1-8E4AFD59C17C}</x14:id>
        </ext>
      </extLst>
    </cfRule>
  </conditionalFormatting>
  <conditionalFormatting sqref="H905:H910">
    <cfRule type="dataBar" priority="142">
      <dataBar>
        <cfvo type="min"/>
        <cfvo type="num" val="4"/>
        <color rgb="FFFFC000"/>
      </dataBar>
      <extLst>
        <ext xmlns:x14="http://schemas.microsoft.com/office/spreadsheetml/2009/9/main" uri="{B025F937-C7B1-47D3-B67F-A62EFF666E3E}">
          <x14:id>{417BFCA9-CDE7-4C65-85B5-ADEF903F56D6}</x14:id>
        </ext>
      </extLst>
    </cfRule>
  </conditionalFormatting>
  <conditionalFormatting sqref="H2:M903">
    <cfRule type="cellIs" dxfId="169" priority="7964" stopIfTrue="1" operator="notBetween">
      <formula>1</formula>
      <formula>4</formula>
    </cfRule>
  </conditionalFormatting>
  <conditionalFormatting sqref="H283:M283 H277:M277 H280:M280">
    <cfRule type="dataBar" priority="222">
      <dataBar>
        <cfvo type="min"/>
        <cfvo type="num" val="4"/>
        <color rgb="FFFFC000"/>
      </dataBar>
      <extLst>
        <ext xmlns:x14="http://schemas.microsoft.com/office/spreadsheetml/2009/9/main" uri="{B025F937-C7B1-47D3-B67F-A62EFF666E3E}">
          <x14:id>{7FB5FFFD-BFF5-4607-8266-C61D50D37610}</x14:id>
        </ext>
      </extLst>
    </cfRule>
  </conditionalFormatting>
  <conditionalFormatting sqref="H284:M903 H2:M276">
    <cfRule type="dataBar" priority="8081">
      <dataBar>
        <cfvo type="min"/>
        <cfvo type="num" val="4"/>
        <color rgb="FFFFC000"/>
      </dataBar>
      <extLst>
        <ext xmlns:x14="http://schemas.microsoft.com/office/spreadsheetml/2009/9/main" uri="{B025F937-C7B1-47D3-B67F-A62EFF666E3E}">
          <x14:id>{63002CF0-DF8C-4594-826D-C58BB7151C72}</x14:id>
        </ext>
      </extLst>
    </cfRule>
  </conditionalFormatting>
  <conditionalFormatting sqref="H904:M904">
    <cfRule type="dataBar" priority="157">
      <dataBar>
        <cfvo type="min"/>
        <cfvo type="num" val="4"/>
        <color rgb="FFFFC000"/>
      </dataBar>
      <extLst>
        <ext xmlns:x14="http://schemas.microsoft.com/office/spreadsheetml/2009/9/main" uri="{B025F937-C7B1-47D3-B67F-A62EFF666E3E}">
          <x14:id>{8E152E79-9395-4607-AAB9-133D2AEF55CD}</x14:id>
        </ext>
      </extLst>
    </cfRule>
  </conditionalFormatting>
  <conditionalFormatting sqref="H904:M910">
    <cfRule type="cellIs" dxfId="168" priority="138" stopIfTrue="1" operator="notBetween">
      <formula>1</formula>
      <formula>4</formula>
    </cfRule>
  </conditionalFormatting>
  <conditionalFormatting sqref="H911:M911">
    <cfRule type="dataBar" priority="124">
      <dataBar>
        <cfvo type="min"/>
        <cfvo type="num" val="4"/>
        <color rgb="FFFFC000"/>
      </dataBar>
      <extLst>
        <ext xmlns:x14="http://schemas.microsoft.com/office/spreadsheetml/2009/9/main" uri="{B025F937-C7B1-47D3-B67F-A62EFF666E3E}">
          <x14:id>{B6046930-B12E-4F63-A1A3-82B63FAA2115}</x14:id>
        </ext>
      </extLst>
    </cfRule>
  </conditionalFormatting>
  <conditionalFormatting sqref="H911:M912">
    <cfRule type="dataBar" priority="107">
      <dataBar>
        <cfvo type="min"/>
        <cfvo type="num" val="4"/>
        <color rgb="FFFFC000"/>
      </dataBar>
      <extLst>
        <ext xmlns:x14="http://schemas.microsoft.com/office/spreadsheetml/2009/9/main" uri="{B025F937-C7B1-47D3-B67F-A62EFF666E3E}">
          <x14:id>{313108EF-E70F-470E-8327-337884178851}</x14:id>
        </ext>
      </extLst>
    </cfRule>
  </conditionalFormatting>
  <conditionalFormatting sqref="H911:M913">
    <cfRule type="cellIs" dxfId="167" priority="108" stopIfTrue="1" operator="notBetween">
      <formula>1</formula>
      <formula>4</formula>
    </cfRule>
  </conditionalFormatting>
  <conditionalFormatting sqref="H911:M922 N924:O1422">
    <cfRule type="containsBlanks" dxfId="166" priority="101">
      <formula>LEN(TRIM(H911))=0</formula>
    </cfRule>
  </conditionalFormatting>
  <conditionalFormatting sqref="H912:M912">
    <cfRule type="dataBar" priority="126">
      <dataBar>
        <cfvo type="min"/>
        <cfvo type="num" val="4"/>
        <color rgb="FFFFC000"/>
      </dataBar>
      <extLst>
        <ext xmlns:x14="http://schemas.microsoft.com/office/spreadsheetml/2009/9/main" uri="{B025F937-C7B1-47D3-B67F-A62EFF666E3E}">
          <x14:id>{2A4AEB21-0401-4F6F-BAFE-DCE5BAE1F22E}</x14:id>
        </ext>
      </extLst>
    </cfRule>
  </conditionalFormatting>
  <conditionalFormatting sqref="H913:M913">
    <cfRule type="dataBar" priority="119">
      <dataBar>
        <cfvo type="min"/>
        <cfvo type="num" val="4"/>
        <color rgb="FFFFC000"/>
      </dataBar>
      <extLst>
        <ext xmlns:x14="http://schemas.microsoft.com/office/spreadsheetml/2009/9/main" uri="{B025F937-C7B1-47D3-B67F-A62EFF666E3E}">
          <x14:id>{5D386311-A62A-4DEA-933B-43D27B06F7D1}</x14:id>
        </ext>
      </extLst>
    </cfRule>
  </conditionalFormatting>
  <conditionalFormatting sqref="H914:M914">
    <cfRule type="dataBar" priority="134">
      <dataBar>
        <cfvo type="min"/>
        <cfvo type="num" val="4"/>
        <color rgb="FFFFC000"/>
      </dataBar>
      <extLst>
        <ext xmlns:x14="http://schemas.microsoft.com/office/spreadsheetml/2009/9/main" uri="{B025F937-C7B1-47D3-B67F-A62EFF666E3E}">
          <x14:id>{7BAE4504-4F0E-4DB4-9789-A64DEFBEF436}</x14:id>
        </ext>
      </extLst>
    </cfRule>
  </conditionalFormatting>
  <conditionalFormatting sqref="H914:M918">
    <cfRule type="cellIs" dxfId="165" priority="132" stopIfTrue="1" operator="notBetween">
      <formula>1</formula>
      <formula>4</formula>
    </cfRule>
  </conditionalFormatting>
  <conditionalFormatting sqref="H915:M918">
    <cfRule type="dataBar" priority="129">
      <dataBar>
        <cfvo type="min"/>
        <cfvo type="num" val="4"/>
        <color rgb="FFFFC000"/>
      </dataBar>
      <extLst>
        <ext xmlns:x14="http://schemas.microsoft.com/office/spreadsheetml/2009/9/main" uri="{B025F937-C7B1-47D3-B67F-A62EFF666E3E}">
          <x14:id>{196AA2B0-1A96-46F6-9570-3964F7E343F8}</x14:id>
        </ext>
      </extLst>
    </cfRule>
  </conditionalFormatting>
  <conditionalFormatting sqref="H919:M920">
    <cfRule type="dataBar" priority="102">
      <dataBar>
        <cfvo type="min"/>
        <cfvo type="num" val="4"/>
        <color rgb="FFFFC000"/>
      </dataBar>
      <extLst>
        <ext xmlns:x14="http://schemas.microsoft.com/office/spreadsheetml/2009/9/main" uri="{B025F937-C7B1-47D3-B67F-A62EFF666E3E}">
          <x14:id>{4FF3944F-F6EB-469A-B3BF-89C2ACEF9A5A}</x14:id>
        </ext>
      </extLst>
    </cfRule>
    <cfRule type="cellIs" dxfId="164" priority="104" stopIfTrue="1" operator="notBetween">
      <formula>1</formula>
      <formula>4</formula>
    </cfRule>
  </conditionalFormatting>
  <conditionalFormatting sqref="H921:M922">
    <cfRule type="dataBar" priority="110">
      <dataBar>
        <cfvo type="min"/>
        <cfvo type="num" val="4"/>
        <color rgb="FFFFC000"/>
      </dataBar>
      <extLst>
        <ext xmlns:x14="http://schemas.microsoft.com/office/spreadsheetml/2009/9/main" uri="{B025F937-C7B1-47D3-B67F-A62EFF666E3E}">
          <x14:id>{C636A330-3589-4118-9161-5E09435D3530}</x14:id>
        </ext>
      </extLst>
    </cfRule>
    <cfRule type="cellIs" dxfId="163" priority="112" stopIfTrue="1" operator="notBetween">
      <formula>1</formula>
      <formula>4</formula>
    </cfRule>
  </conditionalFormatting>
  <conditionalFormatting sqref="H923:M936">
    <cfRule type="dataBar" priority="96">
      <dataBar>
        <cfvo type="min"/>
        <cfvo type="num" val="4"/>
        <color rgb="FFFFC000"/>
      </dataBar>
      <extLst>
        <ext xmlns:x14="http://schemas.microsoft.com/office/spreadsheetml/2009/9/main" uri="{B025F937-C7B1-47D3-B67F-A62EFF666E3E}">
          <x14:id>{0ACD0B7B-98AF-45E4-8215-5123E796F153}</x14:id>
        </ext>
      </extLst>
    </cfRule>
  </conditionalFormatting>
  <conditionalFormatting sqref="H923:M1177">
    <cfRule type="cellIs" dxfId="162" priority="43" stopIfTrue="1" operator="notBetween">
      <formula>1</formula>
      <formula>4</formula>
    </cfRule>
  </conditionalFormatting>
  <conditionalFormatting sqref="H924:M924">
    <cfRule type="containsBlanks" dxfId="161" priority="39" stopIfTrue="1">
      <formula>LEN(TRIM(H924))=0</formula>
    </cfRule>
    <cfRule type="dataBar" priority="40">
      <dataBar>
        <cfvo type="min"/>
        <cfvo type="num" val="4"/>
        <color rgb="FFFFC000"/>
      </dataBar>
      <extLst>
        <ext xmlns:x14="http://schemas.microsoft.com/office/spreadsheetml/2009/9/main" uri="{B025F937-C7B1-47D3-B67F-A62EFF666E3E}">
          <x14:id>{4A516C74-FCED-47AC-AAE2-98D1F54DE959}</x14:id>
        </ext>
      </extLst>
    </cfRule>
  </conditionalFormatting>
  <conditionalFormatting sqref="H954:M954">
    <cfRule type="dataBar" priority="92">
      <dataBar>
        <cfvo type="min"/>
        <cfvo type="num" val="4"/>
        <color rgb="FFFFC000"/>
      </dataBar>
      <extLst>
        <ext xmlns:x14="http://schemas.microsoft.com/office/spreadsheetml/2009/9/main" uri="{B025F937-C7B1-47D3-B67F-A62EFF666E3E}">
          <x14:id>{BA1F9C6C-AC7E-448E-BA6C-317D0FFF122C}</x14:id>
        </ext>
      </extLst>
    </cfRule>
  </conditionalFormatting>
  <conditionalFormatting sqref="H955:M960 H1175:M1177 H937:M953 H963:M980 H982:M999 H1001:M1018 H1020:M1037 H1039:M1056 H1058:M1075 H1077:M1094 H1096:M1113 H1115:M1135 H1137:M1154 H1156:M1173">
    <cfRule type="dataBar" priority="100">
      <dataBar>
        <cfvo type="min"/>
        <cfvo type="num" val="4"/>
        <color rgb="FFFFC000"/>
      </dataBar>
      <extLst>
        <ext xmlns:x14="http://schemas.microsoft.com/office/spreadsheetml/2009/9/main" uri="{B025F937-C7B1-47D3-B67F-A62EFF666E3E}">
          <x14:id>{F6EBAD4B-397A-4D41-A011-39216889E484}</x14:id>
        </ext>
      </extLst>
    </cfRule>
  </conditionalFormatting>
  <conditionalFormatting sqref="H961:M962">
    <cfRule type="dataBar" priority="88">
      <dataBar>
        <cfvo type="min"/>
        <cfvo type="num" val="4"/>
        <color rgb="FFFFC000"/>
      </dataBar>
      <extLst>
        <ext xmlns:x14="http://schemas.microsoft.com/office/spreadsheetml/2009/9/main" uri="{B025F937-C7B1-47D3-B67F-A62EFF666E3E}">
          <x14:id>{3FE364B5-5DD3-4A5D-838F-4917A68DD0D8}</x14:id>
        </ext>
      </extLst>
    </cfRule>
  </conditionalFormatting>
  <conditionalFormatting sqref="H981:M981">
    <cfRule type="dataBar" priority="84">
      <dataBar>
        <cfvo type="min"/>
        <cfvo type="num" val="4"/>
        <color rgb="FFFFC000"/>
      </dataBar>
      <extLst>
        <ext xmlns:x14="http://schemas.microsoft.com/office/spreadsheetml/2009/9/main" uri="{B025F937-C7B1-47D3-B67F-A62EFF666E3E}">
          <x14:id>{E849F10B-2B10-497E-B79A-0495DC630C98}</x14:id>
        </ext>
      </extLst>
    </cfRule>
  </conditionalFormatting>
  <conditionalFormatting sqref="H1000:M1000">
    <cfRule type="dataBar" priority="80">
      <dataBar>
        <cfvo type="min"/>
        <cfvo type="num" val="4"/>
        <color rgb="FFFFC000"/>
      </dataBar>
      <extLst>
        <ext xmlns:x14="http://schemas.microsoft.com/office/spreadsheetml/2009/9/main" uri="{B025F937-C7B1-47D3-B67F-A62EFF666E3E}">
          <x14:id>{EA43D244-56CF-446F-AC5E-E8422A84AF22}</x14:id>
        </ext>
      </extLst>
    </cfRule>
  </conditionalFormatting>
  <conditionalFormatting sqref="H1019:M1019">
    <cfRule type="dataBar" priority="76">
      <dataBar>
        <cfvo type="min"/>
        <cfvo type="num" val="4"/>
        <color rgb="FFFFC000"/>
      </dataBar>
      <extLst>
        <ext xmlns:x14="http://schemas.microsoft.com/office/spreadsheetml/2009/9/main" uri="{B025F937-C7B1-47D3-B67F-A62EFF666E3E}">
          <x14:id>{49E73A2C-8A08-4096-9749-FF6D8E8F492F}</x14:id>
        </ext>
      </extLst>
    </cfRule>
  </conditionalFormatting>
  <conditionalFormatting sqref="H1038:M1038">
    <cfRule type="dataBar" priority="72">
      <dataBar>
        <cfvo type="min"/>
        <cfvo type="num" val="4"/>
        <color rgb="FFFFC000"/>
      </dataBar>
      <extLst>
        <ext xmlns:x14="http://schemas.microsoft.com/office/spreadsheetml/2009/9/main" uri="{B025F937-C7B1-47D3-B67F-A62EFF666E3E}">
          <x14:id>{07E15439-BBFA-4CFE-A61F-33485D00BD6F}</x14:id>
        </ext>
      </extLst>
    </cfRule>
  </conditionalFormatting>
  <conditionalFormatting sqref="H1057:M1057">
    <cfRule type="dataBar" priority="68">
      <dataBar>
        <cfvo type="min"/>
        <cfvo type="num" val="4"/>
        <color rgb="FFFFC000"/>
      </dataBar>
      <extLst>
        <ext xmlns:x14="http://schemas.microsoft.com/office/spreadsheetml/2009/9/main" uri="{B025F937-C7B1-47D3-B67F-A62EFF666E3E}">
          <x14:id>{38745E4E-3A56-44D1-B890-7189DCD49A5C}</x14:id>
        </ext>
      </extLst>
    </cfRule>
  </conditionalFormatting>
  <conditionalFormatting sqref="H1076:M1076">
    <cfRule type="dataBar" priority="64">
      <dataBar>
        <cfvo type="min"/>
        <cfvo type="num" val="4"/>
        <color rgb="FFFFC000"/>
      </dataBar>
      <extLst>
        <ext xmlns:x14="http://schemas.microsoft.com/office/spreadsheetml/2009/9/main" uri="{B025F937-C7B1-47D3-B67F-A62EFF666E3E}">
          <x14:id>{5C6A9FF9-D196-42A0-9CDF-7889F935CE1A}</x14:id>
        </ext>
      </extLst>
    </cfRule>
  </conditionalFormatting>
  <conditionalFormatting sqref="H1095:M1095">
    <cfRule type="dataBar" priority="60">
      <dataBar>
        <cfvo type="min"/>
        <cfvo type="num" val="4"/>
        <color rgb="FFFFC000"/>
      </dataBar>
      <extLst>
        <ext xmlns:x14="http://schemas.microsoft.com/office/spreadsheetml/2009/9/main" uri="{B025F937-C7B1-47D3-B67F-A62EFF666E3E}">
          <x14:id>{BA4D3E41-5B69-4BC9-9D03-B27E5624E081}</x14:id>
        </ext>
      </extLst>
    </cfRule>
  </conditionalFormatting>
  <conditionalFormatting sqref="H1114:M1114">
    <cfRule type="dataBar" priority="56">
      <dataBar>
        <cfvo type="min"/>
        <cfvo type="num" val="4"/>
        <color rgb="FFFFC000"/>
      </dataBar>
      <extLst>
        <ext xmlns:x14="http://schemas.microsoft.com/office/spreadsheetml/2009/9/main" uri="{B025F937-C7B1-47D3-B67F-A62EFF666E3E}">
          <x14:id>{F531ED59-95EA-44D1-8C42-6C72F488B85A}</x14:id>
        </ext>
      </extLst>
    </cfRule>
  </conditionalFormatting>
  <conditionalFormatting sqref="H1136:M1136">
    <cfRule type="dataBar" priority="52">
      <dataBar>
        <cfvo type="min"/>
        <cfvo type="num" val="4"/>
        <color rgb="FFFFC000"/>
      </dataBar>
      <extLst>
        <ext xmlns:x14="http://schemas.microsoft.com/office/spreadsheetml/2009/9/main" uri="{B025F937-C7B1-47D3-B67F-A62EFF666E3E}">
          <x14:id>{EB2DD670-BF81-427B-AFC4-FC454331F690}</x14:id>
        </ext>
      </extLst>
    </cfRule>
  </conditionalFormatting>
  <conditionalFormatting sqref="H1155:M1155">
    <cfRule type="dataBar" priority="48">
      <dataBar>
        <cfvo type="min"/>
        <cfvo type="num" val="4"/>
        <color rgb="FFFFC000"/>
      </dataBar>
      <extLst>
        <ext xmlns:x14="http://schemas.microsoft.com/office/spreadsheetml/2009/9/main" uri="{B025F937-C7B1-47D3-B67F-A62EFF666E3E}">
          <x14:id>{F17A6D30-0FA8-445D-A163-EF37F8FAC453}</x14:id>
        </ext>
      </extLst>
    </cfRule>
  </conditionalFormatting>
  <conditionalFormatting sqref="H1174:M1174">
    <cfRule type="dataBar" priority="44">
      <dataBar>
        <cfvo type="min"/>
        <cfvo type="num" val="4"/>
        <color rgb="FFFFC000"/>
      </dataBar>
      <extLst>
        <ext xmlns:x14="http://schemas.microsoft.com/office/spreadsheetml/2009/9/main" uri="{B025F937-C7B1-47D3-B67F-A62EFF666E3E}">
          <x14:id>{04F6C02E-7BF6-4FBC-A993-DC42F0422558}</x14:id>
        </ext>
      </extLst>
    </cfRule>
  </conditionalFormatting>
  <conditionalFormatting sqref="H1188:M1188">
    <cfRule type="dataBar" priority="37">
      <dataBar>
        <cfvo type="min"/>
        <cfvo type="num" val="4"/>
        <color rgb="FFFFC000"/>
      </dataBar>
      <extLst>
        <ext xmlns:x14="http://schemas.microsoft.com/office/spreadsheetml/2009/9/main" uri="{B025F937-C7B1-47D3-B67F-A62EFF666E3E}">
          <x14:id>{E3D3A31F-1B4D-4C1E-B155-12725913D55E}</x14:id>
        </ext>
      </extLst>
    </cfRule>
  </conditionalFormatting>
  <conditionalFormatting sqref="H1188:M1409">
    <cfRule type="containsBlanks" dxfId="160" priority="2" stopIfTrue="1">
      <formula>LEN(TRIM(H1188))=0</formula>
    </cfRule>
    <cfRule type="cellIs" dxfId="159" priority="3" stopIfTrue="1" operator="notBetween">
      <formula>1</formula>
      <formula>4</formula>
    </cfRule>
  </conditionalFormatting>
  <conditionalFormatting sqref="H1189:M1246">
    <cfRule type="dataBar" priority="27">
      <dataBar>
        <cfvo type="min"/>
        <cfvo type="num" val="4"/>
        <color rgb="FFFFC000"/>
      </dataBar>
      <extLst>
        <ext xmlns:x14="http://schemas.microsoft.com/office/spreadsheetml/2009/9/main" uri="{B025F937-C7B1-47D3-B67F-A62EFF666E3E}">
          <x14:id>{477C9796-99D8-42A2-AD03-395B8F54A3A5}</x14:id>
        </ext>
      </extLst>
    </cfRule>
  </conditionalFormatting>
  <conditionalFormatting sqref="H1247:M1304">
    <cfRule type="dataBar" priority="8">
      <dataBar>
        <cfvo type="min"/>
        <cfvo type="num" val="4"/>
        <color rgb="FFFFC000"/>
      </dataBar>
      <extLst>
        <ext xmlns:x14="http://schemas.microsoft.com/office/spreadsheetml/2009/9/main" uri="{B025F937-C7B1-47D3-B67F-A62EFF666E3E}">
          <x14:id>{BB1630BC-20D1-4F08-AC7A-9A21EC3D6B6B}</x14:id>
        </ext>
      </extLst>
    </cfRule>
  </conditionalFormatting>
  <conditionalFormatting sqref="H1305:M1409">
    <cfRule type="dataBar" priority="4">
      <dataBar>
        <cfvo type="min"/>
        <cfvo type="num" val="4"/>
        <color rgb="FFFFC000"/>
      </dataBar>
      <extLst>
        <ext xmlns:x14="http://schemas.microsoft.com/office/spreadsheetml/2009/9/main" uri="{B025F937-C7B1-47D3-B67F-A62EFF666E3E}">
          <x14:id>{FD2D57E6-A4A2-46E5-8307-8ABDE36BA79D}</x14:id>
        </ext>
      </extLst>
    </cfRule>
  </conditionalFormatting>
  <conditionalFormatting sqref="H905:N910">
    <cfRule type="containsBlanks" dxfId="158" priority="135">
      <formula>LEN(TRIM(H905))=0</formula>
    </cfRule>
  </conditionalFormatting>
  <conditionalFormatting sqref="H2:O276 H284:O904 H937:M1177">
    <cfRule type="containsBlanks" dxfId="157" priority="42" stopIfTrue="1">
      <formula>LEN(TRIM(H2))=0</formula>
    </cfRule>
  </conditionalFormatting>
  <conditionalFormatting sqref="H277:O283">
    <cfRule type="containsBlanks" dxfId="156" priority="181">
      <formula>LEN(TRIM(H277))=0</formula>
    </cfRule>
  </conditionalFormatting>
  <conditionalFormatting sqref="H911:O912 N913:O922">
    <cfRule type="containsBlanks" dxfId="155" priority="130">
      <formula>LEN(TRIM(H911))=0</formula>
    </cfRule>
  </conditionalFormatting>
  <conditionalFormatting sqref="H923:O923 H924:M936">
    <cfRule type="containsBlanks" dxfId="154" priority="97">
      <formula>LEN(TRIM(H923))=0</formula>
    </cfRule>
  </conditionalFormatting>
  <conditionalFormatting sqref="I278:I279">
    <cfRule type="dataBar" priority="189">
      <dataBar>
        <cfvo type="min"/>
        <cfvo type="num" val="4"/>
        <color rgb="FFFFC000"/>
      </dataBar>
      <extLst>
        <ext xmlns:x14="http://schemas.microsoft.com/office/spreadsheetml/2009/9/main" uri="{B025F937-C7B1-47D3-B67F-A62EFF666E3E}">
          <x14:id>{0981FE92-40C9-4998-8688-F5E958AF26DF}</x14:id>
        </ext>
      </extLst>
    </cfRule>
  </conditionalFormatting>
  <conditionalFormatting sqref="I281:I282">
    <cfRule type="dataBar" priority="207">
      <dataBar>
        <cfvo type="min"/>
        <cfvo type="num" val="4"/>
        <color rgb="FFFFC000"/>
      </dataBar>
      <extLst>
        <ext xmlns:x14="http://schemas.microsoft.com/office/spreadsheetml/2009/9/main" uri="{B025F937-C7B1-47D3-B67F-A62EFF666E3E}">
          <x14:id>{8C325829-DC4E-4059-85B7-DE2682CB3B57}</x14:id>
        </ext>
      </extLst>
    </cfRule>
  </conditionalFormatting>
  <conditionalFormatting sqref="I905:I910">
    <cfRule type="dataBar" priority="145">
      <dataBar>
        <cfvo type="min"/>
        <cfvo type="num" val="4"/>
        <color rgb="FFFFC000"/>
      </dataBar>
      <extLst>
        <ext xmlns:x14="http://schemas.microsoft.com/office/spreadsheetml/2009/9/main" uri="{B025F937-C7B1-47D3-B67F-A62EFF666E3E}">
          <x14:id>{64BBA177-E9E6-4258-837C-B4E2091A860D}</x14:id>
        </ext>
      </extLst>
    </cfRule>
  </conditionalFormatting>
  <conditionalFormatting sqref="J278:J279">
    <cfRule type="dataBar" priority="183">
      <dataBar>
        <cfvo type="min"/>
        <cfvo type="num" val="4"/>
        <color rgb="FFFFC000"/>
      </dataBar>
      <extLst>
        <ext xmlns:x14="http://schemas.microsoft.com/office/spreadsheetml/2009/9/main" uri="{B025F937-C7B1-47D3-B67F-A62EFF666E3E}">
          <x14:id>{36844039-BEAE-48B6-9E94-15D168E5520E}</x14:id>
        </ext>
      </extLst>
    </cfRule>
  </conditionalFormatting>
  <conditionalFormatting sqref="J281:J282">
    <cfRule type="dataBar" priority="201">
      <dataBar>
        <cfvo type="min"/>
        <cfvo type="num" val="4"/>
        <color rgb="FFFFC000"/>
      </dataBar>
      <extLst>
        <ext xmlns:x14="http://schemas.microsoft.com/office/spreadsheetml/2009/9/main" uri="{B025F937-C7B1-47D3-B67F-A62EFF666E3E}">
          <x14:id>{F934E2D6-1F08-4146-B105-9A045A89AA43}</x14:id>
        </ext>
      </extLst>
    </cfRule>
  </conditionalFormatting>
  <conditionalFormatting sqref="J905:J910">
    <cfRule type="dataBar" priority="139">
      <dataBar>
        <cfvo type="min"/>
        <cfvo type="num" val="4"/>
        <color rgb="FFFFC000"/>
      </dataBar>
      <extLst>
        <ext xmlns:x14="http://schemas.microsoft.com/office/spreadsheetml/2009/9/main" uri="{B025F937-C7B1-47D3-B67F-A62EFF666E3E}">
          <x14:id>{40511D16-FD68-424C-B221-1299B52B9CEF}</x14:id>
        </ext>
      </extLst>
    </cfRule>
  </conditionalFormatting>
  <conditionalFormatting sqref="K278:K279">
    <cfRule type="dataBar" priority="198">
      <dataBar>
        <cfvo type="min"/>
        <cfvo type="num" val="4"/>
        <color rgb="FFFFC000"/>
      </dataBar>
      <extLst>
        <ext xmlns:x14="http://schemas.microsoft.com/office/spreadsheetml/2009/9/main" uri="{B025F937-C7B1-47D3-B67F-A62EFF666E3E}">
          <x14:id>{35655516-FD7D-487A-A136-73E746610FEE}</x14:id>
        </ext>
      </extLst>
    </cfRule>
  </conditionalFormatting>
  <conditionalFormatting sqref="K281:K282">
    <cfRule type="dataBar" priority="216">
      <dataBar>
        <cfvo type="min"/>
        <cfvo type="num" val="4"/>
        <color rgb="FFFFC000"/>
      </dataBar>
      <extLst>
        <ext xmlns:x14="http://schemas.microsoft.com/office/spreadsheetml/2009/9/main" uri="{B025F937-C7B1-47D3-B67F-A62EFF666E3E}">
          <x14:id>{3AC1C6DC-4662-48C3-A299-2758C912D15B}</x14:id>
        </ext>
      </extLst>
    </cfRule>
  </conditionalFormatting>
  <conditionalFormatting sqref="K905:K910">
    <cfRule type="dataBar" priority="154">
      <dataBar>
        <cfvo type="min"/>
        <cfvo type="num" val="4"/>
        <color rgb="FFFFC000"/>
      </dataBar>
      <extLst>
        <ext xmlns:x14="http://schemas.microsoft.com/office/spreadsheetml/2009/9/main" uri="{B025F937-C7B1-47D3-B67F-A62EFF666E3E}">
          <x14:id>{410751F8-359B-48E2-B5D1-B8A6F48ADF33}</x14:id>
        </ext>
      </extLst>
    </cfRule>
  </conditionalFormatting>
  <conditionalFormatting sqref="L278:L279">
    <cfRule type="dataBar" priority="195">
      <dataBar>
        <cfvo type="min"/>
        <cfvo type="num" val="4"/>
        <color rgb="FFFFC000"/>
      </dataBar>
      <extLst>
        <ext xmlns:x14="http://schemas.microsoft.com/office/spreadsheetml/2009/9/main" uri="{B025F937-C7B1-47D3-B67F-A62EFF666E3E}">
          <x14:id>{A0C0C633-887C-4064-B0C9-D8DCFD8A0232}</x14:id>
        </ext>
      </extLst>
    </cfRule>
  </conditionalFormatting>
  <conditionalFormatting sqref="L281:L282">
    <cfRule type="dataBar" priority="213">
      <dataBar>
        <cfvo type="min"/>
        <cfvo type="num" val="4"/>
        <color rgb="FFFFC000"/>
      </dataBar>
      <extLst>
        <ext xmlns:x14="http://schemas.microsoft.com/office/spreadsheetml/2009/9/main" uri="{B025F937-C7B1-47D3-B67F-A62EFF666E3E}">
          <x14:id>{EB0DFE2C-63FE-4D19-8832-2FF6F7765BEF}</x14:id>
        </ext>
      </extLst>
    </cfRule>
  </conditionalFormatting>
  <conditionalFormatting sqref="L905:L910">
    <cfRule type="dataBar" priority="151">
      <dataBar>
        <cfvo type="min"/>
        <cfvo type="num" val="4"/>
        <color rgb="FFFFC000"/>
      </dataBar>
      <extLst>
        <ext xmlns:x14="http://schemas.microsoft.com/office/spreadsheetml/2009/9/main" uri="{B025F937-C7B1-47D3-B67F-A62EFF666E3E}">
          <x14:id>{7F39E170-6BBD-4A71-8987-7FAC5C0FBA51}</x14:id>
        </ext>
      </extLst>
    </cfRule>
  </conditionalFormatting>
  <conditionalFormatting sqref="M278:M279">
    <cfRule type="dataBar" priority="192">
      <dataBar>
        <cfvo type="min"/>
        <cfvo type="num" val="4"/>
        <color rgb="FFFFC000"/>
      </dataBar>
      <extLst>
        <ext xmlns:x14="http://schemas.microsoft.com/office/spreadsheetml/2009/9/main" uri="{B025F937-C7B1-47D3-B67F-A62EFF666E3E}">
          <x14:id>{2FF23883-0495-42DD-8901-6B987EBA4DFE}</x14:id>
        </ext>
      </extLst>
    </cfRule>
  </conditionalFormatting>
  <conditionalFormatting sqref="M281:M282">
    <cfRule type="dataBar" priority="210">
      <dataBar>
        <cfvo type="min"/>
        <cfvo type="num" val="4"/>
        <color rgb="FFFFC000"/>
      </dataBar>
      <extLst>
        <ext xmlns:x14="http://schemas.microsoft.com/office/spreadsheetml/2009/9/main" uri="{B025F937-C7B1-47D3-B67F-A62EFF666E3E}">
          <x14:id>{5AEF6319-80C2-4A0C-B2D1-345E3DD9F043}</x14:id>
        </ext>
      </extLst>
    </cfRule>
  </conditionalFormatting>
  <conditionalFormatting sqref="M905:M910">
    <cfRule type="dataBar" priority="148">
      <dataBar>
        <cfvo type="min"/>
        <cfvo type="num" val="4"/>
        <color rgb="FFFFC000"/>
      </dataBar>
      <extLst>
        <ext xmlns:x14="http://schemas.microsoft.com/office/spreadsheetml/2009/9/main" uri="{B025F937-C7B1-47D3-B67F-A62EFF666E3E}">
          <x14:id>{D8476B79-A7A0-48EE-B819-C78E9304EB16}</x14:id>
        </ext>
      </extLst>
    </cfRule>
  </conditionalFormatting>
  <conditionalFormatting sqref="N277:N283">
    <cfRule type="dataBar" priority="218">
      <dataBar>
        <cfvo type="min"/>
        <cfvo type="max"/>
        <color rgb="FF3FCDFF"/>
      </dataBar>
      <extLst>
        <ext xmlns:x14="http://schemas.microsoft.com/office/spreadsheetml/2009/9/main" uri="{B025F937-C7B1-47D3-B67F-A62EFF666E3E}">
          <x14:id>{5FE02AD2-B592-4442-BE93-F1FA8A0DDB6E}</x14:id>
        </ext>
      </extLst>
    </cfRule>
  </conditionalFormatting>
  <conditionalFormatting sqref="N905:N910">
    <cfRule type="dataBar" priority="136">
      <dataBar>
        <cfvo type="min"/>
        <cfvo type="max"/>
        <color rgb="FF3FCDFF"/>
      </dataBar>
      <extLst>
        <ext xmlns:x14="http://schemas.microsoft.com/office/spreadsheetml/2009/9/main" uri="{B025F937-C7B1-47D3-B67F-A62EFF666E3E}">
          <x14:id>{653FB42B-DE40-4B04-BFE0-2BFA64BBDF9F}</x14:id>
        </ext>
      </extLst>
    </cfRule>
  </conditionalFormatting>
  <conditionalFormatting sqref="N911:N922">
    <cfRule type="dataBar" priority="127">
      <dataBar>
        <cfvo type="min"/>
        <cfvo type="max"/>
        <color rgb="FF3FCDFF"/>
      </dataBar>
      <extLst>
        <ext xmlns:x14="http://schemas.microsoft.com/office/spreadsheetml/2009/9/main" uri="{B025F937-C7B1-47D3-B67F-A62EFF666E3E}">
          <x14:id>{71FBF820-96F4-4292-A09E-2001342C43A2}</x14:id>
        </ext>
      </extLst>
    </cfRule>
  </conditionalFormatting>
  <conditionalFormatting sqref="N284:O903 N2:O276">
    <cfRule type="dataBar" priority="8084">
      <dataBar>
        <cfvo type="min"/>
        <cfvo type="max"/>
        <color rgb="FF3FCDFF"/>
      </dataBar>
      <extLst>
        <ext xmlns:x14="http://schemas.microsoft.com/office/spreadsheetml/2009/9/main" uri="{B025F937-C7B1-47D3-B67F-A62EFF666E3E}">
          <x14:id>{39683FCE-C635-49D2-A9BA-C7023BF37511}</x14:id>
        </ext>
      </extLst>
    </cfRule>
  </conditionalFormatting>
  <conditionalFormatting sqref="N904:O904">
    <cfRule type="dataBar" priority="160">
      <dataBar>
        <cfvo type="min"/>
        <cfvo type="max"/>
        <color rgb="FF3FCDFF"/>
      </dataBar>
      <extLst>
        <ext xmlns:x14="http://schemas.microsoft.com/office/spreadsheetml/2009/9/main" uri="{B025F937-C7B1-47D3-B67F-A62EFF666E3E}">
          <x14:id>{D11272F5-DF2F-4773-94F8-7C2EEEAA96C3}</x14:id>
        </ext>
      </extLst>
    </cfRule>
  </conditionalFormatting>
  <conditionalFormatting sqref="O277:O283">
    <cfRule type="dataBar" priority="219">
      <dataBar>
        <cfvo type="min"/>
        <cfvo type="max"/>
        <color rgb="FF3FCDFF"/>
      </dataBar>
      <extLst>
        <ext xmlns:x14="http://schemas.microsoft.com/office/spreadsheetml/2009/9/main" uri="{B025F937-C7B1-47D3-B67F-A62EFF666E3E}">
          <x14:id>{0AFB4F83-0A52-40D8-AB0C-A5FD58A88EC6}</x14:id>
        </ext>
      </extLst>
    </cfRule>
  </conditionalFormatting>
  <conditionalFormatting sqref="O911:O922">
    <cfRule type="dataBar" priority="128">
      <dataBar>
        <cfvo type="min"/>
        <cfvo type="max"/>
        <color rgb="FF3FCDFF"/>
      </dataBar>
      <extLst>
        <ext xmlns:x14="http://schemas.microsoft.com/office/spreadsheetml/2009/9/main" uri="{B025F937-C7B1-47D3-B67F-A62EFF666E3E}">
          <x14:id>{66C82E18-99EA-4433-AB1D-53FBF20EFA86}</x14:id>
        </ext>
      </extLst>
    </cfRule>
  </conditionalFormatting>
  <conditionalFormatting sqref="P2:P458 P719:P904 P1188:P1192">
    <cfRule type="containsText" dxfId="153" priority="220" operator="containsText" text="Actual TC">
      <formula>NOT(ISERROR(SEARCH("Actual TC",P2)))</formula>
    </cfRule>
  </conditionalFormatting>
  <conditionalFormatting sqref="P52">
    <cfRule type="dataBar" priority="526">
      <dataBar>
        <cfvo type="min"/>
        <cfvo type="max"/>
        <color rgb="FF3FCDFF"/>
      </dataBar>
      <extLst>
        <ext xmlns:x14="http://schemas.microsoft.com/office/spreadsheetml/2009/9/main" uri="{B025F937-C7B1-47D3-B67F-A62EFF666E3E}">
          <x14:id>{390A2160-3F82-4A47-A33A-146EF68B2912}</x14:id>
        </ext>
      </extLst>
    </cfRule>
  </conditionalFormatting>
  <conditionalFormatting sqref="P461:P471">
    <cfRule type="containsText" dxfId="152" priority="246" operator="containsText" text="Actual TC">
      <formula>NOT(ISERROR(SEARCH("Actual TC",P461)))</formula>
    </cfRule>
  </conditionalFormatting>
  <conditionalFormatting sqref="P477">
    <cfRule type="containsText" dxfId="151" priority="475" operator="containsText" text="Actual TC">
      <formula>NOT(ISERROR(SEARCH("Actual TC",P477)))</formula>
    </cfRule>
  </conditionalFormatting>
  <conditionalFormatting sqref="P479:P481">
    <cfRule type="containsText" dxfId="150" priority="474" operator="containsText" text="Actual TC">
      <formula>NOT(ISERROR(SEARCH("Actual TC",P479)))</formula>
    </cfRule>
  </conditionalFormatting>
  <conditionalFormatting sqref="P913:P916">
    <cfRule type="containsText" dxfId="149" priority="121" operator="containsText" text="Actual TC">
      <formula>NOT(ISERROR(SEARCH("Actual TC",P913)))</formula>
    </cfRule>
  </conditionalFormatting>
  <conditionalFormatting sqref="P919:P922">
    <cfRule type="containsText" dxfId="148" priority="113" operator="containsText" text="Actual TC">
      <formula>NOT(ISERROR(SEARCH("Actual TC",P919)))</formula>
    </cfRule>
  </conditionalFormatting>
  <conditionalFormatting sqref="Q71:T71">
    <cfRule type="dataBar" priority="2833">
      <dataBar>
        <cfvo type="min"/>
        <cfvo type="max"/>
        <color rgb="FF3FCDFF"/>
      </dataBar>
      <extLst>
        <ext xmlns:x14="http://schemas.microsoft.com/office/spreadsheetml/2009/9/main" uri="{B025F937-C7B1-47D3-B67F-A62EFF666E3E}">
          <x14:id>{9D887FAC-849C-4DD2-9754-D6AB34DE9384}</x14:id>
        </ext>
      </extLst>
    </cfRule>
  </conditionalFormatting>
  <conditionalFormatting sqref="N923:N1422">
    <cfRule type="dataBar" priority="8097">
      <dataBar>
        <cfvo type="min"/>
        <cfvo type="max"/>
        <color rgb="FF3FCDFF"/>
      </dataBar>
      <extLst>
        <ext xmlns:x14="http://schemas.microsoft.com/office/spreadsheetml/2009/9/main" uri="{B025F937-C7B1-47D3-B67F-A62EFF666E3E}">
          <x14:id>{75FB3F3D-C50D-494B-9F38-66F7DAE5D4A4}</x14:id>
        </ext>
      </extLst>
    </cfRule>
  </conditionalFormatting>
  <conditionalFormatting sqref="O923:O1422">
    <cfRule type="dataBar" priority="8099">
      <dataBar>
        <cfvo type="min"/>
        <cfvo type="max"/>
        <color rgb="FF3FCDFF"/>
      </dataBar>
      <extLst>
        <ext xmlns:x14="http://schemas.microsoft.com/office/spreadsheetml/2009/9/main" uri="{B025F937-C7B1-47D3-B67F-A62EFF666E3E}">
          <x14:id>{FA495B81-A52E-48A7-8207-E9317622B22D}</x14:id>
        </ext>
      </extLst>
    </cfRule>
  </conditionalFormatting>
  <hyperlinks>
    <hyperlink ref="G443:G447" r:id="rId1" display="https://ec.europa.eu/eurostat/databrowser/view/DS-056120__custom_6262207/default/table" xr:uid="{64A4E7E9-E2C9-4784-8D63-9E64E7CFC3FE}"/>
    <hyperlink ref="G439:G442" r:id="rId2" display="https://ec.europa.eu/eurostat/databrowser/view/DS-056120__custom_5851448/default/table" xr:uid="{B595BB2C-99BA-46ED-BB35-C7522A3C7864}"/>
    <hyperlink ref="G351" r:id="rId3" display="https://doi.org/10.1016/j.resconrec.2023.107389" xr:uid="{42973653-FFAC-497A-A977-F79969579536}"/>
    <hyperlink ref="G749" r:id="rId4" display="https://doi.org/10.1016/j.resconrec.2023.107389" xr:uid="{818B2EDA-DBA0-4EF2-83FC-24BC7E843676}"/>
    <hyperlink ref="G886" r:id="rId5" display="https://doi.org/10.1016/j.resconrec.2023.107389" xr:uid="{C93F6439-DC92-4293-99EF-B0A52E4135A9}"/>
    <hyperlink ref="G642" r:id="rId6" display="https://doi.org/10.1016/j.resconrec.2023.107389" xr:uid="{02B72B08-7A21-47ED-A54A-1B09FB599AFA}"/>
    <hyperlink ref="G710" r:id="rId7" display="https://ec.europa.eu/eurostat/databrowser/view/DS-056120__custom_6262207/default/table" xr:uid="{53DE11B1-913B-4F17-931B-7D82CEBADD33}"/>
    <hyperlink ref="G298" r:id="rId8" display="https://ec.europa.eu/eurostat/databrowser/view/DS-056120__custom_5851448/default/table" xr:uid="{15A9B237-05EB-47AB-A211-688F10CC7CEB}"/>
  </hyperlinks>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x14:cfRule type="dataBar" id="{639DB7A4-AB12-4E57-AD97-0D9CFDF09E4F}">
            <x14:dataBar minLength="0" maxLength="100" gradient="0">
              <x14:cfvo type="autoMin"/>
              <x14:cfvo type="num">
                <xm:f>4</xm:f>
              </x14:cfvo>
              <x14:negativeFillColor rgb="FFFF0000"/>
              <x14:axisColor rgb="FF000000"/>
            </x14:dataBar>
          </x14:cfRule>
          <xm:sqref>H278:H279</xm:sqref>
        </x14:conditionalFormatting>
        <x14:conditionalFormatting xmlns:xm="http://schemas.microsoft.com/office/excel/2006/main">
          <x14:cfRule type="dataBar" id="{7F0D3BF5-F7D3-41C9-B5D1-8E4AFD59C17C}">
            <x14:dataBar minLength="0" maxLength="100" gradient="0">
              <x14:cfvo type="autoMin"/>
              <x14:cfvo type="num">
                <xm:f>4</xm:f>
              </x14:cfvo>
              <x14:negativeFillColor rgb="FFFF0000"/>
              <x14:axisColor rgb="FF000000"/>
            </x14:dataBar>
          </x14:cfRule>
          <xm:sqref>H281:H282</xm:sqref>
        </x14:conditionalFormatting>
        <x14:conditionalFormatting xmlns:xm="http://schemas.microsoft.com/office/excel/2006/main">
          <x14:cfRule type="dataBar" id="{417BFCA9-CDE7-4C65-85B5-ADEF903F56D6}">
            <x14:dataBar minLength="0" maxLength="100" gradient="0">
              <x14:cfvo type="autoMin"/>
              <x14:cfvo type="num">
                <xm:f>4</xm:f>
              </x14:cfvo>
              <x14:negativeFillColor rgb="FFFF0000"/>
              <x14:axisColor rgb="FF000000"/>
            </x14:dataBar>
          </x14:cfRule>
          <xm:sqref>H905:H910</xm:sqref>
        </x14:conditionalFormatting>
        <x14:conditionalFormatting xmlns:xm="http://schemas.microsoft.com/office/excel/2006/main">
          <x14:cfRule type="dataBar" id="{7FB5FFFD-BFF5-4607-8266-C61D50D37610}">
            <x14:dataBar minLength="0" maxLength="100" gradient="0">
              <x14:cfvo type="autoMin"/>
              <x14:cfvo type="num">
                <xm:f>4</xm:f>
              </x14:cfvo>
              <x14:negativeFillColor rgb="FFFF0000"/>
              <x14:axisColor rgb="FF000000"/>
            </x14:dataBar>
          </x14:cfRule>
          <xm:sqref>H283:M283 H277:M277 H280:M280</xm:sqref>
        </x14:conditionalFormatting>
        <x14:conditionalFormatting xmlns:xm="http://schemas.microsoft.com/office/excel/2006/main">
          <x14:cfRule type="dataBar" id="{63002CF0-DF8C-4594-826D-C58BB7151C72}">
            <x14:dataBar minLength="0" maxLength="100" gradient="0">
              <x14:cfvo type="autoMin"/>
              <x14:cfvo type="num">
                <xm:f>4</xm:f>
              </x14:cfvo>
              <x14:negativeFillColor rgb="FFFF0000"/>
              <x14:axisColor rgb="FF000000"/>
            </x14:dataBar>
          </x14:cfRule>
          <xm:sqref>H284:M903 H2:M276</xm:sqref>
        </x14:conditionalFormatting>
        <x14:conditionalFormatting xmlns:xm="http://schemas.microsoft.com/office/excel/2006/main">
          <x14:cfRule type="dataBar" id="{8E152E79-9395-4607-AAB9-133D2AEF55CD}">
            <x14:dataBar minLength="0" maxLength="100" gradient="0">
              <x14:cfvo type="autoMin"/>
              <x14:cfvo type="num">
                <xm:f>4</xm:f>
              </x14:cfvo>
              <x14:negativeFillColor rgb="FFFF0000"/>
              <x14:axisColor rgb="FF000000"/>
            </x14:dataBar>
          </x14:cfRule>
          <xm:sqref>H904:M904</xm:sqref>
        </x14:conditionalFormatting>
        <x14:conditionalFormatting xmlns:xm="http://schemas.microsoft.com/office/excel/2006/main">
          <x14:cfRule type="dataBar" id="{B6046930-B12E-4F63-A1A3-82B63FAA2115}">
            <x14:dataBar minLength="0" maxLength="100" gradient="0">
              <x14:cfvo type="autoMin"/>
              <x14:cfvo type="num">
                <xm:f>4</xm:f>
              </x14:cfvo>
              <x14:negativeFillColor rgb="FFFF0000"/>
              <x14:axisColor rgb="FF000000"/>
            </x14:dataBar>
          </x14:cfRule>
          <xm:sqref>H911:M911</xm:sqref>
        </x14:conditionalFormatting>
        <x14:conditionalFormatting xmlns:xm="http://schemas.microsoft.com/office/excel/2006/main">
          <x14:cfRule type="dataBar" id="{313108EF-E70F-470E-8327-337884178851}">
            <x14:dataBar minLength="0" maxLength="100" gradient="0">
              <x14:cfvo type="autoMin"/>
              <x14:cfvo type="num">
                <xm:f>4</xm:f>
              </x14:cfvo>
              <x14:negativeFillColor rgb="FFFF0000"/>
              <x14:axisColor rgb="FF000000"/>
            </x14:dataBar>
          </x14:cfRule>
          <xm:sqref>H911:M912</xm:sqref>
        </x14:conditionalFormatting>
        <x14:conditionalFormatting xmlns:xm="http://schemas.microsoft.com/office/excel/2006/main">
          <x14:cfRule type="dataBar" id="{2A4AEB21-0401-4F6F-BAFE-DCE5BAE1F22E}">
            <x14:dataBar minLength="0" maxLength="100" gradient="0">
              <x14:cfvo type="autoMin"/>
              <x14:cfvo type="num">
                <xm:f>4</xm:f>
              </x14:cfvo>
              <x14:negativeFillColor rgb="FFFF0000"/>
              <x14:axisColor rgb="FF000000"/>
            </x14:dataBar>
          </x14:cfRule>
          <xm:sqref>H912:M912</xm:sqref>
        </x14:conditionalFormatting>
        <x14:conditionalFormatting xmlns:xm="http://schemas.microsoft.com/office/excel/2006/main">
          <x14:cfRule type="dataBar" id="{5D386311-A62A-4DEA-933B-43D27B06F7D1}">
            <x14:dataBar minLength="0" maxLength="100" gradient="0">
              <x14:cfvo type="autoMin"/>
              <x14:cfvo type="num">
                <xm:f>4</xm:f>
              </x14:cfvo>
              <x14:negativeFillColor rgb="FFFF0000"/>
              <x14:axisColor rgb="FF000000"/>
            </x14:dataBar>
          </x14:cfRule>
          <xm:sqref>H913:M913</xm:sqref>
        </x14:conditionalFormatting>
        <x14:conditionalFormatting xmlns:xm="http://schemas.microsoft.com/office/excel/2006/main">
          <x14:cfRule type="dataBar" id="{7BAE4504-4F0E-4DB4-9789-A64DEFBEF436}">
            <x14:dataBar minLength="0" maxLength="100" gradient="0">
              <x14:cfvo type="autoMin"/>
              <x14:cfvo type="num">
                <xm:f>4</xm:f>
              </x14:cfvo>
              <x14:negativeFillColor rgb="FFFF0000"/>
              <x14:axisColor rgb="FF000000"/>
            </x14:dataBar>
          </x14:cfRule>
          <xm:sqref>H914:M914</xm:sqref>
        </x14:conditionalFormatting>
        <x14:conditionalFormatting xmlns:xm="http://schemas.microsoft.com/office/excel/2006/main">
          <x14:cfRule type="dataBar" id="{196AA2B0-1A96-46F6-9570-3964F7E343F8}">
            <x14:dataBar minLength="0" maxLength="100" gradient="0">
              <x14:cfvo type="autoMin"/>
              <x14:cfvo type="num">
                <xm:f>4</xm:f>
              </x14:cfvo>
              <x14:negativeFillColor rgb="FFFF0000"/>
              <x14:axisColor rgb="FF000000"/>
            </x14:dataBar>
          </x14:cfRule>
          <xm:sqref>H915:M918</xm:sqref>
        </x14:conditionalFormatting>
        <x14:conditionalFormatting xmlns:xm="http://schemas.microsoft.com/office/excel/2006/main">
          <x14:cfRule type="dataBar" id="{4FF3944F-F6EB-469A-B3BF-89C2ACEF9A5A}">
            <x14:dataBar minLength="0" maxLength="100" gradient="0">
              <x14:cfvo type="autoMin"/>
              <x14:cfvo type="num">
                <xm:f>4</xm:f>
              </x14:cfvo>
              <x14:negativeFillColor rgb="FFFF0000"/>
              <x14:axisColor rgb="FF000000"/>
            </x14:dataBar>
          </x14:cfRule>
          <xm:sqref>H919:M920</xm:sqref>
        </x14:conditionalFormatting>
        <x14:conditionalFormatting xmlns:xm="http://schemas.microsoft.com/office/excel/2006/main">
          <x14:cfRule type="dataBar" id="{C636A330-3589-4118-9161-5E09435D3530}">
            <x14:dataBar minLength="0" maxLength="100" gradient="0">
              <x14:cfvo type="autoMin"/>
              <x14:cfvo type="num">
                <xm:f>4</xm:f>
              </x14:cfvo>
              <x14:negativeFillColor rgb="FFFF0000"/>
              <x14:axisColor rgb="FF000000"/>
            </x14:dataBar>
          </x14:cfRule>
          <xm:sqref>H921:M922</xm:sqref>
        </x14:conditionalFormatting>
        <x14:conditionalFormatting xmlns:xm="http://schemas.microsoft.com/office/excel/2006/main">
          <x14:cfRule type="dataBar" id="{0ACD0B7B-98AF-45E4-8215-5123E796F153}">
            <x14:dataBar minLength="0" maxLength="100" gradient="0">
              <x14:cfvo type="autoMin"/>
              <x14:cfvo type="num">
                <xm:f>4</xm:f>
              </x14:cfvo>
              <x14:negativeFillColor rgb="FFFF0000"/>
              <x14:axisColor rgb="FF000000"/>
            </x14:dataBar>
          </x14:cfRule>
          <xm:sqref>H923:M936</xm:sqref>
        </x14:conditionalFormatting>
        <x14:conditionalFormatting xmlns:xm="http://schemas.microsoft.com/office/excel/2006/main">
          <x14:cfRule type="dataBar" id="{4A516C74-FCED-47AC-AAE2-98D1F54DE959}">
            <x14:dataBar minLength="0" maxLength="100" gradient="0">
              <x14:cfvo type="autoMin"/>
              <x14:cfvo type="num">
                <xm:f>4</xm:f>
              </x14:cfvo>
              <x14:negativeFillColor rgb="FFFF0000"/>
              <x14:axisColor rgb="FF000000"/>
            </x14:dataBar>
          </x14:cfRule>
          <xm:sqref>H924:M924</xm:sqref>
        </x14:conditionalFormatting>
        <x14:conditionalFormatting xmlns:xm="http://schemas.microsoft.com/office/excel/2006/main">
          <x14:cfRule type="dataBar" id="{BA1F9C6C-AC7E-448E-BA6C-317D0FFF122C}">
            <x14:dataBar minLength="0" maxLength="100" gradient="0">
              <x14:cfvo type="autoMin"/>
              <x14:cfvo type="num">
                <xm:f>4</xm:f>
              </x14:cfvo>
              <x14:negativeFillColor rgb="FFFF0000"/>
              <x14:axisColor rgb="FF000000"/>
            </x14:dataBar>
          </x14:cfRule>
          <xm:sqref>H954:M954</xm:sqref>
        </x14:conditionalFormatting>
        <x14:conditionalFormatting xmlns:xm="http://schemas.microsoft.com/office/excel/2006/main">
          <x14:cfRule type="dataBar" id="{F6EBAD4B-397A-4D41-A011-39216889E484}">
            <x14:dataBar minLength="0" maxLength="100" gradient="0">
              <x14:cfvo type="autoMin"/>
              <x14:cfvo type="num">
                <xm:f>4</xm:f>
              </x14:cfvo>
              <x14:negativeFillColor rgb="FFFF0000"/>
              <x14:axisColor rgb="FF000000"/>
            </x14:dataBar>
          </x14:cfRule>
          <xm:sqref>H955:M960 H1175:M1177 H937:M953 H963:M980 H982:M999 H1001:M1018 H1020:M1037 H1039:M1056 H1058:M1075 H1077:M1094 H1096:M1113 H1115:M1135 H1137:M1154 H1156:M1173</xm:sqref>
        </x14:conditionalFormatting>
        <x14:conditionalFormatting xmlns:xm="http://schemas.microsoft.com/office/excel/2006/main">
          <x14:cfRule type="dataBar" id="{3FE364B5-5DD3-4A5D-838F-4917A68DD0D8}">
            <x14:dataBar minLength="0" maxLength="100" gradient="0">
              <x14:cfvo type="autoMin"/>
              <x14:cfvo type="num">
                <xm:f>4</xm:f>
              </x14:cfvo>
              <x14:negativeFillColor rgb="FFFF0000"/>
              <x14:axisColor rgb="FF000000"/>
            </x14:dataBar>
          </x14:cfRule>
          <xm:sqref>H961:M962</xm:sqref>
        </x14:conditionalFormatting>
        <x14:conditionalFormatting xmlns:xm="http://schemas.microsoft.com/office/excel/2006/main">
          <x14:cfRule type="dataBar" id="{E849F10B-2B10-497E-B79A-0495DC630C98}">
            <x14:dataBar minLength="0" maxLength="100" gradient="0">
              <x14:cfvo type="autoMin"/>
              <x14:cfvo type="num">
                <xm:f>4</xm:f>
              </x14:cfvo>
              <x14:negativeFillColor rgb="FFFF0000"/>
              <x14:axisColor rgb="FF000000"/>
            </x14:dataBar>
          </x14:cfRule>
          <xm:sqref>H981:M981</xm:sqref>
        </x14:conditionalFormatting>
        <x14:conditionalFormatting xmlns:xm="http://schemas.microsoft.com/office/excel/2006/main">
          <x14:cfRule type="dataBar" id="{EA43D244-56CF-446F-AC5E-E8422A84AF22}">
            <x14:dataBar minLength="0" maxLength="100" gradient="0">
              <x14:cfvo type="autoMin"/>
              <x14:cfvo type="num">
                <xm:f>4</xm:f>
              </x14:cfvo>
              <x14:negativeFillColor rgb="FFFF0000"/>
              <x14:axisColor rgb="FF000000"/>
            </x14:dataBar>
          </x14:cfRule>
          <xm:sqref>H1000:M1000</xm:sqref>
        </x14:conditionalFormatting>
        <x14:conditionalFormatting xmlns:xm="http://schemas.microsoft.com/office/excel/2006/main">
          <x14:cfRule type="dataBar" id="{49E73A2C-8A08-4096-9749-FF6D8E8F492F}">
            <x14:dataBar minLength="0" maxLength="100" gradient="0">
              <x14:cfvo type="autoMin"/>
              <x14:cfvo type="num">
                <xm:f>4</xm:f>
              </x14:cfvo>
              <x14:negativeFillColor rgb="FFFF0000"/>
              <x14:axisColor rgb="FF000000"/>
            </x14:dataBar>
          </x14:cfRule>
          <xm:sqref>H1019:M1019</xm:sqref>
        </x14:conditionalFormatting>
        <x14:conditionalFormatting xmlns:xm="http://schemas.microsoft.com/office/excel/2006/main">
          <x14:cfRule type="dataBar" id="{07E15439-BBFA-4CFE-A61F-33485D00BD6F}">
            <x14:dataBar minLength="0" maxLength="100" gradient="0">
              <x14:cfvo type="autoMin"/>
              <x14:cfvo type="num">
                <xm:f>4</xm:f>
              </x14:cfvo>
              <x14:negativeFillColor rgb="FFFF0000"/>
              <x14:axisColor rgb="FF000000"/>
            </x14:dataBar>
          </x14:cfRule>
          <xm:sqref>H1038:M1038</xm:sqref>
        </x14:conditionalFormatting>
        <x14:conditionalFormatting xmlns:xm="http://schemas.microsoft.com/office/excel/2006/main">
          <x14:cfRule type="dataBar" id="{38745E4E-3A56-44D1-B890-7189DCD49A5C}">
            <x14:dataBar minLength="0" maxLength="100" gradient="0">
              <x14:cfvo type="autoMin"/>
              <x14:cfvo type="num">
                <xm:f>4</xm:f>
              </x14:cfvo>
              <x14:negativeFillColor rgb="FFFF0000"/>
              <x14:axisColor rgb="FF000000"/>
            </x14:dataBar>
          </x14:cfRule>
          <xm:sqref>H1057:M1057</xm:sqref>
        </x14:conditionalFormatting>
        <x14:conditionalFormatting xmlns:xm="http://schemas.microsoft.com/office/excel/2006/main">
          <x14:cfRule type="dataBar" id="{5C6A9FF9-D196-42A0-9CDF-7889F935CE1A}">
            <x14:dataBar minLength="0" maxLength="100" gradient="0">
              <x14:cfvo type="autoMin"/>
              <x14:cfvo type="num">
                <xm:f>4</xm:f>
              </x14:cfvo>
              <x14:negativeFillColor rgb="FFFF0000"/>
              <x14:axisColor rgb="FF000000"/>
            </x14:dataBar>
          </x14:cfRule>
          <xm:sqref>H1076:M1076</xm:sqref>
        </x14:conditionalFormatting>
        <x14:conditionalFormatting xmlns:xm="http://schemas.microsoft.com/office/excel/2006/main">
          <x14:cfRule type="dataBar" id="{BA4D3E41-5B69-4BC9-9D03-B27E5624E081}">
            <x14:dataBar minLength="0" maxLength="100" gradient="0">
              <x14:cfvo type="autoMin"/>
              <x14:cfvo type="num">
                <xm:f>4</xm:f>
              </x14:cfvo>
              <x14:negativeFillColor rgb="FFFF0000"/>
              <x14:axisColor rgb="FF000000"/>
            </x14:dataBar>
          </x14:cfRule>
          <xm:sqref>H1095:M1095</xm:sqref>
        </x14:conditionalFormatting>
        <x14:conditionalFormatting xmlns:xm="http://schemas.microsoft.com/office/excel/2006/main">
          <x14:cfRule type="dataBar" id="{F531ED59-95EA-44D1-8C42-6C72F488B85A}">
            <x14:dataBar minLength="0" maxLength="100" gradient="0">
              <x14:cfvo type="autoMin"/>
              <x14:cfvo type="num">
                <xm:f>4</xm:f>
              </x14:cfvo>
              <x14:negativeFillColor rgb="FFFF0000"/>
              <x14:axisColor rgb="FF000000"/>
            </x14:dataBar>
          </x14:cfRule>
          <xm:sqref>H1114:M1114</xm:sqref>
        </x14:conditionalFormatting>
        <x14:conditionalFormatting xmlns:xm="http://schemas.microsoft.com/office/excel/2006/main">
          <x14:cfRule type="dataBar" id="{EB2DD670-BF81-427B-AFC4-FC454331F690}">
            <x14:dataBar minLength="0" maxLength="100" gradient="0">
              <x14:cfvo type="autoMin"/>
              <x14:cfvo type="num">
                <xm:f>4</xm:f>
              </x14:cfvo>
              <x14:negativeFillColor rgb="FFFF0000"/>
              <x14:axisColor rgb="FF000000"/>
            </x14:dataBar>
          </x14:cfRule>
          <xm:sqref>H1136:M1136</xm:sqref>
        </x14:conditionalFormatting>
        <x14:conditionalFormatting xmlns:xm="http://schemas.microsoft.com/office/excel/2006/main">
          <x14:cfRule type="dataBar" id="{F17A6D30-0FA8-445D-A163-EF37F8FAC453}">
            <x14:dataBar minLength="0" maxLength="100" gradient="0">
              <x14:cfvo type="autoMin"/>
              <x14:cfvo type="num">
                <xm:f>4</xm:f>
              </x14:cfvo>
              <x14:negativeFillColor rgb="FFFF0000"/>
              <x14:axisColor rgb="FF000000"/>
            </x14:dataBar>
          </x14:cfRule>
          <xm:sqref>H1155:M1155</xm:sqref>
        </x14:conditionalFormatting>
        <x14:conditionalFormatting xmlns:xm="http://schemas.microsoft.com/office/excel/2006/main">
          <x14:cfRule type="dataBar" id="{04F6C02E-7BF6-4FBC-A993-DC42F0422558}">
            <x14:dataBar minLength="0" maxLength="100" gradient="0">
              <x14:cfvo type="autoMin"/>
              <x14:cfvo type="num">
                <xm:f>4</xm:f>
              </x14:cfvo>
              <x14:negativeFillColor rgb="FFFF0000"/>
              <x14:axisColor rgb="FF000000"/>
            </x14:dataBar>
          </x14:cfRule>
          <xm:sqref>H1174:M1174</xm:sqref>
        </x14:conditionalFormatting>
        <x14:conditionalFormatting xmlns:xm="http://schemas.microsoft.com/office/excel/2006/main">
          <x14:cfRule type="dataBar" id="{E3D3A31F-1B4D-4C1E-B155-12725913D55E}">
            <x14:dataBar minLength="0" maxLength="100" gradient="0">
              <x14:cfvo type="autoMin"/>
              <x14:cfvo type="num">
                <xm:f>4</xm:f>
              </x14:cfvo>
              <x14:negativeFillColor rgb="FFFF0000"/>
              <x14:axisColor rgb="FF000000"/>
            </x14:dataBar>
          </x14:cfRule>
          <xm:sqref>H1188:M1188</xm:sqref>
        </x14:conditionalFormatting>
        <x14:conditionalFormatting xmlns:xm="http://schemas.microsoft.com/office/excel/2006/main">
          <x14:cfRule type="dataBar" id="{477C9796-99D8-42A2-AD03-395B8F54A3A5}">
            <x14:dataBar minLength="0" maxLength="100" gradient="0">
              <x14:cfvo type="autoMin"/>
              <x14:cfvo type="num">
                <xm:f>4</xm:f>
              </x14:cfvo>
              <x14:negativeFillColor rgb="FFFF0000"/>
              <x14:axisColor rgb="FF000000"/>
            </x14:dataBar>
          </x14:cfRule>
          <xm:sqref>H1189:M1246</xm:sqref>
        </x14:conditionalFormatting>
        <x14:conditionalFormatting xmlns:xm="http://schemas.microsoft.com/office/excel/2006/main">
          <x14:cfRule type="dataBar" id="{BB1630BC-20D1-4F08-AC7A-9A21EC3D6B6B}">
            <x14:dataBar minLength="0" maxLength="100" gradient="0">
              <x14:cfvo type="autoMin"/>
              <x14:cfvo type="num">
                <xm:f>4</xm:f>
              </x14:cfvo>
              <x14:negativeFillColor rgb="FFFF0000"/>
              <x14:axisColor rgb="FF000000"/>
            </x14:dataBar>
          </x14:cfRule>
          <xm:sqref>H1247:M1304</xm:sqref>
        </x14:conditionalFormatting>
        <x14:conditionalFormatting xmlns:xm="http://schemas.microsoft.com/office/excel/2006/main">
          <x14:cfRule type="dataBar" id="{FD2D57E6-A4A2-46E5-8307-8ABDE36BA79D}">
            <x14:dataBar minLength="0" maxLength="100" gradient="0">
              <x14:cfvo type="autoMin"/>
              <x14:cfvo type="num">
                <xm:f>4</xm:f>
              </x14:cfvo>
              <x14:negativeFillColor rgb="FFFF0000"/>
              <x14:axisColor rgb="FF000000"/>
            </x14:dataBar>
          </x14:cfRule>
          <xm:sqref>H1305:M1409</xm:sqref>
        </x14:conditionalFormatting>
        <x14:conditionalFormatting xmlns:xm="http://schemas.microsoft.com/office/excel/2006/main">
          <x14:cfRule type="dataBar" id="{0981FE92-40C9-4998-8688-F5E958AF26DF}">
            <x14:dataBar minLength="0" maxLength="100" gradient="0">
              <x14:cfvo type="autoMin"/>
              <x14:cfvo type="num">
                <xm:f>4</xm:f>
              </x14:cfvo>
              <x14:negativeFillColor rgb="FFFF0000"/>
              <x14:axisColor rgb="FF000000"/>
            </x14:dataBar>
          </x14:cfRule>
          <xm:sqref>I278:I279</xm:sqref>
        </x14:conditionalFormatting>
        <x14:conditionalFormatting xmlns:xm="http://schemas.microsoft.com/office/excel/2006/main">
          <x14:cfRule type="dataBar" id="{8C325829-DC4E-4059-85B7-DE2682CB3B57}">
            <x14:dataBar minLength="0" maxLength="100" gradient="0">
              <x14:cfvo type="autoMin"/>
              <x14:cfvo type="num">
                <xm:f>4</xm:f>
              </x14:cfvo>
              <x14:negativeFillColor rgb="FFFF0000"/>
              <x14:axisColor rgb="FF000000"/>
            </x14:dataBar>
          </x14:cfRule>
          <xm:sqref>I281:I282</xm:sqref>
        </x14:conditionalFormatting>
        <x14:conditionalFormatting xmlns:xm="http://schemas.microsoft.com/office/excel/2006/main">
          <x14:cfRule type="dataBar" id="{64BBA177-E9E6-4258-837C-B4E2091A860D}">
            <x14:dataBar minLength="0" maxLength="100" gradient="0">
              <x14:cfvo type="autoMin"/>
              <x14:cfvo type="num">
                <xm:f>4</xm:f>
              </x14:cfvo>
              <x14:negativeFillColor rgb="FFFF0000"/>
              <x14:axisColor rgb="FF000000"/>
            </x14:dataBar>
          </x14:cfRule>
          <xm:sqref>I905:I910</xm:sqref>
        </x14:conditionalFormatting>
        <x14:conditionalFormatting xmlns:xm="http://schemas.microsoft.com/office/excel/2006/main">
          <x14:cfRule type="dataBar" id="{36844039-BEAE-48B6-9E94-15D168E5520E}">
            <x14:dataBar minLength="0" maxLength="100" gradient="0">
              <x14:cfvo type="autoMin"/>
              <x14:cfvo type="num">
                <xm:f>4</xm:f>
              </x14:cfvo>
              <x14:negativeFillColor rgb="FFFF0000"/>
              <x14:axisColor rgb="FF000000"/>
            </x14:dataBar>
          </x14:cfRule>
          <xm:sqref>J278:J279</xm:sqref>
        </x14:conditionalFormatting>
        <x14:conditionalFormatting xmlns:xm="http://schemas.microsoft.com/office/excel/2006/main">
          <x14:cfRule type="dataBar" id="{F934E2D6-1F08-4146-B105-9A045A89AA43}">
            <x14:dataBar minLength="0" maxLength="100" gradient="0">
              <x14:cfvo type="autoMin"/>
              <x14:cfvo type="num">
                <xm:f>4</xm:f>
              </x14:cfvo>
              <x14:negativeFillColor rgb="FFFF0000"/>
              <x14:axisColor rgb="FF000000"/>
            </x14:dataBar>
          </x14:cfRule>
          <xm:sqref>J281:J282</xm:sqref>
        </x14:conditionalFormatting>
        <x14:conditionalFormatting xmlns:xm="http://schemas.microsoft.com/office/excel/2006/main">
          <x14:cfRule type="dataBar" id="{40511D16-FD68-424C-B221-1299B52B9CEF}">
            <x14:dataBar minLength="0" maxLength="100" gradient="0">
              <x14:cfvo type="autoMin"/>
              <x14:cfvo type="num">
                <xm:f>4</xm:f>
              </x14:cfvo>
              <x14:negativeFillColor rgb="FFFF0000"/>
              <x14:axisColor rgb="FF000000"/>
            </x14:dataBar>
          </x14:cfRule>
          <xm:sqref>J905:J910</xm:sqref>
        </x14:conditionalFormatting>
        <x14:conditionalFormatting xmlns:xm="http://schemas.microsoft.com/office/excel/2006/main">
          <x14:cfRule type="dataBar" id="{35655516-FD7D-487A-A136-73E746610FEE}">
            <x14:dataBar minLength="0" maxLength="100" gradient="0">
              <x14:cfvo type="autoMin"/>
              <x14:cfvo type="num">
                <xm:f>4</xm:f>
              </x14:cfvo>
              <x14:negativeFillColor rgb="FFFF0000"/>
              <x14:axisColor rgb="FF000000"/>
            </x14:dataBar>
          </x14:cfRule>
          <xm:sqref>K278:K279</xm:sqref>
        </x14:conditionalFormatting>
        <x14:conditionalFormatting xmlns:xm="http://schemas.microsoft.com/office/excel/2006/main">
          <x14:cfRule type="dataBar" id="{3AC1C6DC-4662-48C3-A299-2758C912D15B}">
            <x14:dataBar minLength="0" maxLength="100" gradient="0">
              <x14:cfvo type="autoMin"/>
              <x14:cfvo type="num">
                <xm:f>4</xm:f>
              </x14:cfvo>
              <x14:negativeFillColor rgb="FFFF0000"/>
              <x14:axisColor rgb="FF000000"/>
            </x14:dataBar>
          </x14:cfRule>
          <xm:sqref>K281:K282</xm:sqref>
        </x14:conditionalFormatting>
        <x14:conditionalFormatting xmlns:xm="http://schemas.microsoft.com/office/excel/2006/main">
          <x14:cfRule type="dataBar" id="{410751F8-359B-48E2-B5D1-B8A6F48ADF33}">
            <x14:dataBar minLength="0" maxLength="100" gradient="0">
              <x14:cfvo type="autoMin"/>
              <x14:cfvo type="num">
                <xm:f>4</xm:f>
              </x14:cfvo>
              <x14:negativeFillColor rgb="FFFF0000"/>
              <x14:axisColor rgb="FF000000"/>
            </x14:dataBar>
          </x14:cfRule>
          <xm:sqref>K905:K910</xm:sqref>
        </x14:conditionalFormatting>
        <x14:conditionalFormatting xmlns:xm="http://schemas.microsoft.com/office/excel/2006/main">
          <x14:cfRule type="dataBar" id="{A0C0C633-887C-4064-B0C9-D8DCFD8A0232}">
            <x14:dataBar minLength="0" maxLength="100" gradient="0">
              <x14:cfvo type="autoMin"/>
              <x14:cfvo type="num">
                <xm:f>4</xm:f>
              </x14:cfvo>
              <x14:negativeFillColor rgb="FFFF0000"/>
              <x14:axisColor rgb="FF000000"/>
            </x14:dataBar>
          </x14:cfRule>
          <xm:sqref>L278:L279</xm:sqref>
        </x14:conditionalFormatting>
        <x14:conditionalFormatting xmlns:xm="http://schemas.microsoft.com/office/excel/2006/main">
          <x14:cfRule type="dataBar" id="{EB0DFE2C-63FE-4D19-8832-2FF6F7765BEF}">
            <x14:dataBar minLength="0" maxLength="100" gradient="0">
              <x14:cfvo type="autoMin"/>
              <x14:cfvo type="num">
                <xm:f>4</xm:f>
              </x14:cfvo>
              <x14:negativeFillColor rgb="FFFF0000"/>
              <x14:axisColor rgb="FF000000"/>
            </x14:dataBar>
          </x14:cfRule>
          <xm:sqref>L281:L282</xm:sqref>
        </x14:conditionalFormatting>
        <x14:conditionalFormatting xmlns:xm="http://schemas.microsoft.com/office/excel/2006/main">
          <x14:cfRule type="dataBar" id="{7F39E170-6BBD-4A71-8987-7FAC5C0FBA51}">
            <x14:dataBar minLength="0" maxLength="100" gradient="0">
              <x14:cfvo type="autoMin"/>
              <x14:cfvo type="num">
                <xm:f>4</xm:f>
              </x14:cfvo>
              <x14:negativeFillColor rgb="FFFF0000"/>
              <x14:axisColor rgb="FF000000"/>
            </x14:dataBar>
          </x14:cfRule>
          <xm:sqref>L905:L910</xm:sqref>
        </x14:conditionalFormatting>
        <x14:conditionalFormatting xmlns:xm="http://schemas.microsoft.com/office/excel/2006/main">
          <x14:cfRule type="dataBar" id="{2FF23883-0495-42DD-8901-6B987EBA4DFE}">
            <x14:dataBar minLength="0" maxLength="100" gradient="0">
              <x14:cfvo type="autoMin"/>
              <x14:cfvo type="num">
                <xm:f>4</xm:f>
              </x14:cfvo>
              <x14:negativeFillColor rgb="FFFF0000"/>
              <x14:axisColor rgb="FF000000"/>
            </x14:dataBar>
          </x14:cfRule>
          <xm:sqref>M278:M279</xm:sqref>
        </x14:conditionalFormatting>
        <x14:conditionalFormatting xmlns:xm="http://schemas.microsoft.com/office/excel/2006/main">
          <x14:cfRule type="dataBar" id="{5AEF6319-80C2-4A0C-B2D1-345E3DD9F043}">
            <x14:dataBar minLength="0" maxLength="100" gradient="0">
              <x14:cfvo type="autoMin"/>
              <x14:cfvo type="num">
                <xm:f>4</xm:f>
              </x14:cfvo>
              <x14:negativeFillColor rgb="FFFF0000"/>
              <x14:axisColor rgb="FF000000"/>
            </x14:dataBar>
          </x14:cfRule>
          <xm:sqref>M281:M282</xm:sqref>
        </x14:conditionalFormatting>
        <x14:conditionalFormatting xmlns:xm="http://schemas.microsoft.com/office/excel/2006/main">
          <x14:cfRule type="dataBar" id="{D8476B79-A7A0-48EE-B819-C78E9304EB16}">
            <x14:dataBar minLength="0" maxLength="100" gradient="0">
              <x14:cfvo type="autoMin"/>
              <x14:cfvo type="num">
                <xm:f>4</xm:f>
              </x14:cfvo>
              <x14:negativeFillColor rgb="FFFF0000"/>
              <x14:axisColor rgb="FF000000"/>
            </x14:dataBar>
          </x14:cfRule>
          <xm:sqref>M905:M910</xm:sqref>
        </x14:conditionalFormatting>
        <x14:conditionalFormatting xmlns:xm="http://schemas.microsoft.com/office/excel/2006/main">
          <x14:cfRule type="dataBar" id="{5FE02AD2-B592-4442-BE93-F1FA8A0DDB6E}">
            <x14:dataBar minLength="0" maxLength="100" gradient="0">
              <x14:cfvo type="autoMin"/>
              <x14:cfvo type="autoMax"/>
              <x14:negativeFillColor rgb="FFFF0000"/>
              <x14:axisColor rgb="FF000000"/>
            </x14:dataBar>
          </x14:cfRule>
          <xm:sqref>N277:N283</xm:sqref>
        </x14:conditionalFormatting>
        <x14:conditionalFormatting xmlns:xm="http://schemas.microsoft.com/office/excel/2006/main">
          <x14:cfRule type="dataBar" id="{653FB42B-DE40-4B04-BFE0-2BFA64BBDF9F}">
            <x14:dataBar minLength="0" maxLength="100" gradient="0">
              <x14:cfvo type="autoMin"/>
              <x14:cfvo type="autoMax"/>
              <x14:negativeFillColor rgb="FFFF0000"/>
              <x14:axisColor rgb="FF000000"/>
            </x14:dataBar>
          </x14:cfRule>
          <xm:sqref>N905:N910</xm:sqref>
        </x14:conditionalFormatting>
        <x14:conditionalFormatting xmlns:xm="http://schemas.microsoft.com/office/excel/2006/main">
          <x14:cfRule type="dataBar" id="{71FBF820-96F4-4292-A09E-2001342C43A2}">
            <x14:dataBar minLength="0" maxLength="100" gradient="0">
              <x14:cfvo type="autoMin"/>
              <x14:cfvo type="autoMax"/>
              <x14:negativeFillColor rgb="FFFF0000"/>
              <x14:axisColor rgb="FF000000"/>
            </x14:dataBar>
          </x14:cfRule>
          <xm:sqref>N911:N922</xm:sqref>
        </x14:conditionalFormatting>
        <x14:conditionalFormatting xmlns:xm="http://schemas.microsoft.com/office/excel/2006/main">
          <x14:cfRule type="dataBar" id="{39683FCE-C635-49D2-A9BA-C7023BF37511}">
            <x14:dataBar minLength="0" maxLength="100" gradient="0">
              <x14:cfvo type="autoMin"/>
              <x14:cfvo type="autoMax"/>
              <x14:negativeFillColor rgb="FFFF0000"/>
              <x14:axisColor rgb="FF000000"/>
            </x14:dataBar>
          </x14:cfRule>
          <xm:sqref>N284:O903 N2:O276</xm:sqref>
        </x14:conditionalFormatting>
        <x14:conditionalFormatting xmlns:xm="http://schemas.microsoft.com/office/excel/2006/main">
          <x14:cfRule type="dataBar" id="{D11272F5-DF2F-4773-94F8-7C2EEEAA96C3}">
            <x14:dataBar minLength="0" maxLength="100" gradient="0">
              <x14:cfvo type="autoMin"/>
              <x14:cfvo type="autoMax"/>
              <x14:negativeFillColor rgb="FFFF0000"/>
              <x14:axisColor rgb="FF000000"/>
            </x14:dataBar>
          </x14:cfRule>
          <xm:sqref>N904:O904</xm:sqref>
        </x14:conditionalFormatting>
        <x14:conditionalFormatting xmlns:xm="http://schemas.microsoft.com/office/excel/2006/main">
          <x14:cfRule type="dataBar" id="{0AFB4F83-0A52-40D8-AB0C-A5FD58A88EC6}">
            <x14:dataBar minLength="0" maxLength="100" gradient="0">
              <x14:cfvo type="autoMin"/>
              <x14:cfvo type="autoMax"/>
              <x14:negativeFillColor rgb="FFFF0000"/>
              <x14:axisColor rgb="FF000000"/>
            </x14:dataBar>
          </x14:cfRule>
          <xm:sqref>O277:O283</xm:sqref>
        </x14:conditionalFormatting>
        <x14:conditionalFormatting xmlns:xm="http://schemas.microsoft.com/office/excel/2006/main">
          <x14:cfRule type="dataBar" id="{66C82E18-99EA-4433-AB1D-53FBF20EFA86}">
            <x14:dataBar minLength="0" maxLength="100" gradient="0">
              <x14:cfvo type="autoMin"/>
              <x14:cfvo type="autoMax"/>
              <x14:negativeFillColor rgb="FFFF0000"/>
              <x14:axisColor rgb="FF000000"/>
            </x14:dataBar>
          </x14:cfRule>
          <xm:sqref>O911:O922</xm:sqref>
        </x14:conditionalFormatting>
        <x14:conditionalFormatting xmlns:xm="http://schemas.microsoft.com/office/excel/2006/main">
          <x14:cfRule type="dataBar" id="{390A2160-3F82-4A47-A33A-146EF68B2912}">
            <x14:dataBar minLength="0" maxLength="100" gradient="0">
              <x14:cfvo type="autoMin"/>
              <x14:cfvo type="autoMax"/>
              <x14:negativeFillColor rgb="FFFF0000"/>
              <x14:axisColor rgb="FF000000"/>
            </x14:dataBar>
          </x14:cfRule>
          <xm:sqref>P52</xm:sqref>
        </x14:conditionalFormatting>
        <x14:conditionalFormatting xmlns:xm="http://schemas.microsoft.com/office/excel/2006/main">
          <x14:cfRule type="dataBar" id="{9D887FAC-849C-4DD2-9754-D6AB34DE9384}">
            <x14:dataBar minLength="0" maxLength="100" gradient="0">
              <x14:cfvo type="autoMin"/>
              <x14:cfvo type="autoMax"/>
              <x14:negativeFillColor rgb="FFFF0000"/>
              <x14:axisColor rgb="FF000000"/>
            </x14:dataBar>
          </x14:cfRule>
          <xm:sqref>Q71:T71</xm:sqref>
        </x14:conditionalFormatting>
        <x14:conditionalFormatting xmlns:xm="http://schemas.microsoft.com/office/excel/2006/main">
          <x14:cfRule type="dataBar" id="{75FB3F3D-C50D-494B-9F38-66F7DAE5D4A4}">
            <x14:dataBar minLength="0" maxLength="100" gradient="0">
              <x14:cfvo type="autoMin"/>
              <x14:cfvo type="autoMax"/>
              <x14:negativeFillColor rgb="FFFF0000"/>
              <x14:axisColor rgb="FF000000"/>
            </x14:dataBar>
          </x14:cfRule>
          <xm:sqref>N923:N1422</xm:sqref>
        </x14:conditionalFormatting>
        <x14:conditionalFormatting xmlns:xm="http://schemas.microsoft.com/office/excel/2006/main">
          <x14:cfRule type="dataBar" id="{FA495B81-A52E-48A7-8207-E9317622B22D}">
            <x14:dataBar minLength="0" maxLength="100" gradient="0">
              <x14:cfvo type="autoMin"/>
              <x14:cfvo type="autoMax"/>
              <x14:negativeFillColor rgb="FFFF0000"/>
              <x14:axisColor rgb="FF000000"/>
            </x14:dataBar>
          </x14:cfRule>
          <xm:sqref>O923:O1422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D856B-552D-430E-8F01-BF884EDA01C0}">
  <sheetPr>
    <tabColor theme="8"/>
  </sheetPr>
  <dimension ref="A1:AGJ589"/>
  <sheetViews>
    <sheetView topLeftCell="A563" zoomScale="70" zoomScaleNormal="70" workbookViewId="0">
      <selection activeCell="A503" sqref="A503:A508"/>
    </sheetView>
  </sheetViews>
  <sheetFormatPr defaultRowHeight="15"/>
  <cols>
    <col min="1" max="1" width="43" customWidth="1"/>
    <col min="2" max="2" width="33.28515625" bestFit="1" customWidth="1"/>
    <col min="3" max="3" width="16" customWidth="1"/>
    <col min="4" max="4" width="17.140625" customWidth="1"/>
    <col min="5" max="5" width="15.7109375" bestFit="1" customWidth="1"/>
    <col min="6" max="6" width="14.7109375" bestFit="1" customWidth="1"/>
    <col min="7" max="7" width="13.42578125" customWidth="1"/>
    <col min="8" max="8" width="15.28515625" customWidth="1"/>
    <col min="9" max="9" width="18.5703125" bestFit="1" customWidth="1"/>
    <col min="10" max="10" width="20.7109375" bestFit="1" customWidth="1"/>
    <col min="11" max="11" width="15" customWidth="1"/>
    <col min="12" max="12" width="13.42578125" customWidth="1"/>
    <col min="13" max="13" width="12" customWidth="1"/>
    <col min="14" max="14" width="14.28515625" customWidth="1"/>
  </cols>
  <sheetData>
    <row r="1" spans="1:7" s="1007" customFormat="1"/>
    <row r="2" spans="1:7" s="1007" customFormat="1"/>
    <row r="3" spans="1:7">
      <c r="A3" s="225" t="s">
        <v>2</v>
      </c>
      <c r="B3" s="225" t="s">
        <v>2017</v>
      </c>
      <c r="C3" s="225" t="s">
        <v>104</v>
      </c>
      <c r="F3" s="225" t="s">
        <v>132</v>
      </c>
      <c r="G3" s="225" t="s">
        <v>104</v>
      </c>
    </row>
    <row r="4" spans="1:7">
      <c r="A4" t="s">
        <v>2049</v>
      </c>
      <c r="B4" s="917">
        <v>1.1000000000000001</v>
      </c>
      <c r="C4" t="s">
        <v>2047</v>
      </c>
      <c r="F4" t="s">
        <v>844</v>
      </c>
      <c r="G4" t="s">
        <v>2042</v>
      </c>
    </row>
    <row r="5" spans="1:7">
      <c r="A5" t="s">
        <v>2050</v>
      </c>
      <c r="B5" s="917">
        <v>0.9</v>
      </c>
      <c r="C5" t="s">
        <v>2047</v>
      </c>
      <c r="F5" t="s">
        <v>845</v>
      </c>
      <c r="G5" t="s">
        <v>2042</v>
      </c>
    </row>
    <row r="6" spans="1:7">
      <c r="A6" t="s">
        <v>2051</v>
      </c>
      <c r="B6" s="917">
        <f>B4+B14+B13+B12+B11+B9</f>
        <v>1.3655000000000002</v>
      </c>
      <c r="C6" t="s">
        <v>2048</v>
      </c>
    </row>
    <row r="7" spans="1:7">
      <c r="A7" t="s">
        <v>2052</v>
      </c>
      <c r="B7" s="917">
        <f>B5+B14+B13+B12+B10+B9</f>
        <v>1.1561000000000001</v>
      </c>
      <c r="C7" t="s">
        <v>2048</v>
      </c>
    </row>
    <row r="8" spans="1:7">
      <c r="B8" s="917"/>
    </row>
    <row r="9" spans="1:7">
      <c r="A9" t="s">
        <v>2031</v>
      </c>
      <c r="B9" s="917">
        <v>0.05</v>
      </c>
      <c r="C9" t="s">
        <v>2037</v>
      </c>
    </row>
    <row r="10" spans="1:7">
      <c r="A10" t="s">
        <v>2032</v>
      </c>
      <c r="B10" s="917">
        <v>5.9999999999999995E-4</v>
      </c>
      <c r="C10" t="s">
        <v>2037</v>
      </c>
    </row>
    <row r="11" spans="1:7">
      <c r="A11" t="s">
        <v>2033</v>
      </c>
      <c r="B11" s="917">
        <v>0.01</v>
      </c>
      <c r="C11" t="s">
        <v>2037</v>
      </c>
    </row>
    <row r="12" spans="1:7">
      <c r="A12" t="s">
        <v>2034</v>
      </c>
      <c r="B12" s="917">
        <v>1.5E-3</v>
      </c>
      <c r="C12" t="s">
        <v>2037</v>
      </c>
    </row>
    <row r="13" spans="1:7">
      <c r="A13" t="s">
        <v>2035</v>
      </c>
      <c r="B13" s="917">
        <v>4.0000000000000001E-3</v>
      </c>
      <c r="C13" t="s">
        <v>2037</v>
      </c>
    </row>
    <row r="14" spans="1:7">
      <c r="A14" t="s">
        <v>2036</v>
      </c>
      <c r="B14" s="917">
        <v>0.2</v>
      </c>
      <c r="C14" t="s">
        <v>2037</v>
      </c>
    </row>
    <row r="16" spans="1:7">
      <c r="A16" t="s">
        <v>2029</v>
      </c>
    </row>
    <row r="17" spans="1:20" s="1009" customFormat="1">
      <c r="A17" s="1008" t="s">
        <v>2022</v>
      </c>
    </row>
    <row r="18" spans="1:20" s="1009" customFormat="1" ht="15.75" thickBot="1"/>
    <row r="19" spans="1:20">
      <c r="A19" s="915" t="s">
        <v>1026</v>
      </c>
      <c r="B19" s="915" t="s">
        <v>101</v>
      </c>
      <c r="C19" s="915" t="s">
        <v>102</v>
      </c>
      <c r="D19" t="s">
        <v>245</v>
      </c>
      <c r="E19" t="s">
        <v>2019</v>
      </c>
      <c r="F19" t="s">
        <v>2018</v>
      </c>
      <c r="G19" t="s">
        <v>2024</v>
      </c>
      <c r="H19" t="s">
        <v>2025</v>
      </c>
      <c r="I19" s="915" t="s">
        <v>2020</v>
      </c>
      <c r="J19" s="915" t="s">
        <v>2021</v>
      </c>
      <c r="K19" s="915" t="s">
        <v>2038</v>
      </c>
      <c r="L19" s="915" t="s">
        <v>2040</v>
      </c>
      <c r="M19" s="915" t="s">
        <v>2041</v>
      </c>
      <c r="N19" s="915" t="s">
        <v>2039</v>
      </c>
      <c r="O19" s="425" t="s">
        <v>105</v>
      </c>
      <c r="P19" s="426" t="s">
        <v>65</v>
      </c>
      <c r="Q19" s="426" t="s">
        <v>67</v>
      </c>
      <c r="R19" s="426" t="s">
        <v>73</v>
      </c>
      <c r="S19" s="427" t="s">
        <v>79</v>
      </c>
      <c r="T19" s="429" t="s">
        <v>107</v>
      </c>
    </row>
    <row r="20" spans="1:20">
      <c r="A20" s="915" t="s">
        <v>180</v>
      </c>
      <c r="B20" s="915">
        <v>2011</v>
      </c>
      <c r="C20" s="915" t="s">
        <v>99</v>
      </c>
      <c r="D20" s="218">
        <v>7.0630766383000001</v>
      </c>
      <c r="E20" s="218">
        <v>2.9838768521284802</v>
      </c>
      <c r="F20" s="218">
        <v>14.8801788318715</v>
      </c>
      <c r="G20" s="218">
        <f>E20/(E20+F20)</f>
        <v>0.16703244240337892</v>
      </c>
      <c r="H20" s="218">
        <f>1-G20</f>
        <v>0.83296755759662111</v>
      </c>
      <c r="I20" s="971">
        <f>E20-(D20*G20)</f>
        <v>1.8041139103509842</v>
      </c>
      <c r="J20" s="971">
        <f>F20-D20*H20</f>
        <v>8.9968651353489975</v>
      </c>
      <c r="K20" s="218">
        <f>I20*$B$5</f>
        <v>1.6237025193158858</v>
      </c>
      <c r="L20" s="218">
        <f>I20*$B$4</f>
        <v>1.9845253013860829</v>
      </c>
      <c r="M20" s="218">
        <f>J20*$B$5</f>
        <v>8.0971786218140984</v>
      </c>
      <c r="N20" s="218">
        <f>J20*$B$4</f>
        <v>9.8965516488838983</v>
      </c>
      <c r="O20">
        <v>1</v>
      </c>
      <c r="P20">
        <v>1</v>
      </c>
      <c r="Q20">
        <v>2</v>
      </c>
      <c r="R20">
        <v>2</v>
      </c>
      <c r="S20">
        <v>2</v>
      </c>
    </row>
    <row r="21" spans="1:20">
      <c r="A21" s="915" t="s">
        <v>180</v>
      </c>
      <c r="B21" s="915">
        <v>2011</v>
      </c>
      <c r="C21" s="915" t="s">
        <v>98</v>
      </c>
      <c r="D21" s="218">
        <v>14.3340022375</v>
      </c>
      <c r="E21" s="218">
        <v>4.6702255953457898</v>
      </c>
      <c r="F21" s="218">
        <v>23.851269135254199</v>
      </c>
      <c r="G21" s="218">
        <f t="shared" ref="G21:G84" si="0">E21/(E21+F21)</f>
        <v>0.1637440687964794</v>
      </c>
      <c r="H21" s="218">
        <f t="shared" ref="H21:H84" si="1">1-G21</f>
        <v>0.8362559312035206</v>
      </c>
      <c r="I21" s="971">
        <f t="shared" ref="I21:I84" si="2">E21-(D21*G21)</f>
        <v>2.3231177468397002</v>
      </c>
      <c r="J21" s="971">
        <f t="shared" ref="J21:J84" si="3">F21-D21*H21</f>
        <v>11.864374746260289</v>
      </c>
      <c r="K21" s="218">
        <f t="shared" ref="K21:K84" si="4">I21*$B$5</f>
        <v>2.0908059721557302</v>
      </c>
      <c r="L21" s="218">
        <f t="shared" ref="L21:L84" si="5">I21*$B$4</f>
        <v>2.5554295215236702</v>
      </c>
      <c r="M21" s="218">
        <f t="shared" ref="M21:M84" si="6">J21*$B$5</f>
        <v>10.67793727163426</v>
      </c>
      <c r="N21" s="218">
        <f t="shared" ref="N21:N84" si="7">J21*$B$4</f>
        <v>13.05081222088632</v>
      </c>
      <c r="O21">
        <v>1</v>
      </c>
      <c r="P21">
        <v>1</v>
      </c>
      <c r="Q21">
        <v>2</v>
      </c>
      <c r="R21">
        <v>2</v>
      </c>
      <c r="S21">
        <v>2</v>
      </c>
    </row>
    <row r="22" spans="1:20">
      <c r="A22" s="915" t="s">
        <v>180</v>
      </c>
      <c r="B22" s="915">
        <v>2011</v>
      </c>
      <c r="C22" s="915" t="s">
        <v>95</v>
      </c>
      <c r="D22" s="218">
        <v>18.619256866000001</v>
      </c>
      <c r="E22" s="218">
        <v>10.3258583173874</v>
      </c>
      <c r="F22" s="218">
        <v>35.543951156312602</v>
      </c>
      <c r="G22" s="218">
        <f t="shared" si="0"/>
        <v>0.22511230013518702</v>
      </c>
      <c r="H22" s="218">
        <f t="shared" si="1"/>
        <v>0.77488769986481298</v>
      </c>
      <c r="I22" s="971">
        <f t="shared" si="2"/>
        <v>6.1344345774742663</v>
      </c>
      <c r="J22" s="971">
        <f t="shared" si="3"/>
        <v>21.116118030225735</v>
      </c>
      <c r="K22" s="218">
        <f t="shared" si="4"/>
        <v>5.5209911197268395</v>
      </c>
      <c r="L22" s="218">
        <f t="shared" si="5"/>
        <v>6.7478780352216932</v>
      </c>
      <c r="M22" s="218">
        <f t="shared" si="6"/>
        <v>19.004506227203162</v>
      </c>
      <c r="N22" s="218">
        <f t="shared" si="7"/>
        <v>23.227729833248311</v>
      </c>
      <c r="O22">
        <v>1</v>
      </c>
      <c r="P22">
        <v>1</v>
      </c>
      <c r="Q22">
        <v>2</v>
      </c>
      <c r="R22">
        <v>2</v>
      </c>
      <c r="S22">
        <v>2</v>
      </c>
    </row>
    <row r="23" spans="1:20">
      <c r="A23" s="915" t="s">
        <v>180</v>
      </c>
      <c r="B23" s="915">
        <v>2011</v>
      </c>
      <c r="C23" s="915" t="s">
        <v>91</v>
      </c>
      <c r="D23" s="218">
        <v>76.861589176739997</v>
      </c>
      <c r="E23" s="218">
        <v>27.695602211611</v>
      </c>
      <c r="F23" s="218">
        <v>162.91352493893899</v>
      </c>
      <c r="G23" s="218">
        <f t="shared" si="0"/>
        <v>0.14530050384070017</v>
      </c>
      <c r="H23" s="218">
        <f t="shared" si="1"/>
        <v>0.85469949615929985</v>
      </c>
      <c r="I23" s="971">
        <f t="shared" si="2"/>
        <v>16.527574578233772</v>
      </c>
      <c r="J23" s="971">
        <f t="shared" si="3"/>
        <v>97.219963395576215</v>
      </c>
      <c r="K23" s="218">
        <f t="shared" si="4"/>
        <v>14.874817120410395</v>
      </c>
      <c r="L23" s="218">
        <f t="shared" si="5"/>
        <v>18.180332036057152</v>
      </c>
      <c r="M23" s="218">
        <f t="shared" si="6"/>
        <v>87.497967056018595</v>
      </c>
      <c r="N23" s="218">
        <f t="shared" si="7"/>
        <v>106.94195973513385</v>
      </c>
      <c r="O23">
        <v>1</v>
      </c>
      <c r="P23">
        <v>1</v>
      </c>
      <c r="Q23">
        <v>2</v>
      </c>
      <c r="R23">
        <v>2</v>
      </c>
      <c r="S23">
        <v>2</v>
      </c>
    </row>
    <row r="24" spans="1:20">
      <c r="A24" s="915" t="s">
        <v>180</v>
      </c>
      <c r="B24" s="915">
        <v>2011</v>
      </c>
      <c r="C24" s="915" t="s">
        <v>93</v>
      </c>
      <c r="D24" s="218">
        <v>16.158205452000001</v>
      </c>
      <c r="E24" s="218">
        <v>7.3596634695651</v>
      </c>
      <c r="F24" s="218">
        <v>18.8550660514349</v>
      </c>
      <c r="G24" s="218">
        <f t="shared" si="0"/>
        <v>0.28074535209945417</v>
      </c>
      <c r="H24" s="218">
        <f t="shared" si="1"/>
        <v>0.71925464790054583</v>
      </c>
      <c r="I24" s="971">
        <f t="shared" si="2"/>
        <v>2.8233223906480394</v>
      </c>
      <c r="J24" s="971">
        <f t="shared" si="3"/>
        <v>7.2332016783519588</v>
      </c>
      <c r="K24" s="218">
        <f t="shared" si="4"/>
        <v>2.5409901515832356</v>
      </c>
      <c r="L24" s="218">
        <f t="shared" si="5"/>
        <v>3.1056546297128436</v>
      </c>
      <c r="M24" s="218">
        <f t="shared" si="6"/>
        <v>6.5098815105167631</v>
      </c>
      <c r="N24" s="218">
        <f t="shared" si="7"/>
        <v>7.9565218461871554</v>
      </c>
      <c r="O24">
        <v>1</v>
      </c>
      <c r="P24">
        <v>1</v>
      </c>
      <c r="Q24">
        <v>2</v>
      </c>
      <c r="R24">
        <v>2</v>
      </c>
      <c r="S24">
        <v>2</v>
      </c>
    </row>
    <row r="25" spans="1:20">
      <c r="A25" s="915" t="s">
        <v>180</v>
      </c>
      <c r="B25" s="915">
        <v>2011</v>
      </c>
      <c r="C25" s="915" t="s">
        <v>90</v>
      </c>
      <c r="D25" s="218">
        <v>10.16148924</v>
      </c>
      <c r="E25" s="218">
        <v>4.4250242219113698</v>
      </c>
      <c r="F25" s="218">
        <v>12.1449342750886</v>
      </c>
      <c r="G25" s="218">
        <f t="shared" si="0"/>
        <v>0.26705101420214966</v>
      </c>
      <c r="H25" s="218">
        <f t="shared" si="1"/>
        <v>0.73294898579785039</v>
      </c>
      <c r="I25" s="971">
        <f t="shared" si="2"/>
        <v>1.7113882145651389</v>
      </c>
      <c r="J25" s="971">
        <f t="shared" si="3"/>
        <v>4.6970810424348306</v>
      </c>
      <c r="K25" s="218">
        <f t="shared" si="4"/>
        <v>1.540249393108625</v>
      </c>
      <c r="L25" s="218">
        <f t="shared" si="5"/>
        <v>1.8825270360216528</v>
      </c>
      <c r="M25" s="218">
        <f t="shared" si="6"/>
        <v>4.2273729381913476</v>
      </c>
      <c r="N25" s="218">
        <f t="shared" si="7"/>
        <v>5.1667891466783145</v>
      </c>
      <c r="O25">
        <v>1</v>
      </c>
      <c r="P25">
        <v>1</v>
      </c>
      <c r="Q25">
        <v>2</v>
      </c>
      <c r="R25">
        <v>2</v>
      </c>
      <c r="S25">
        <v>2</v>
      </c>
    </row>
    <row r="26" spans="1:20">
      <c r="A26" s="915" t="s">
        <v>180</v>
      </c>
      <c r="B26" s="915">
        <v>2011</v>
      </c>
      <c r="C26" s="915" t="s">
        <v>92</v>
      </c>
      <c r="D26" s="218">
        <v>18.036622103999999</v>
      </c>
      <c r="E26" s="218">
        <v>5.3007882208538497</v>
      </c>
      <c r="F26" s="218">
        <v>25.408375244646098</v>
      </c>
      <c r="G26" s="218">
        <f t="shared" si="0"/>
        <v>0.17261258929469026</v>
      </c>
      <c r="H26" s="218">
        <f t="shared" si="1"/>
        <v>0.82738741070530974</v>
      </c>
      <c r="I26" s="971">
        <f t="shared" si="2"/>
        <v>2.187440177352566</v>
      </c>
      <c r="J26" s="971">
        <f t="shared" si="3"/>
        <v>10.485101184147384</v>
      </c>
      <c r="K26" s="218">
        <f t="shared" si="4"/>
        <v>1.9686961596173094</v>
      </c>
      <c r="L26" s="218">
        <f t="shared" si="5"/>
        <v>2.4061841950878229</v>
      </c>
      <c r="M26" s="218">
        <f t="shared" si="6"/>
        <v>9.4365910657326459</v>
      </c>
      <c r="N26" s="218">
        <f t="shared" si="7"/>
        <v>11.533611302562123</v>
      </c>
      <c r="O26">
        <v>1</v>
      </c>
      <c r="P26">
        <v>1</v>
      </c>
      <c r="Q26">
        <v>2</v>
      </c>
      <c r="R26">
        <v>2</v>
      </c>
      <c r="S26">
        <v>2</v>
      </c>
    </row>
    <row r="27" spans="1:20">
      <c r="A27" s="915" t="s">
        <v>180</v>
      </c>
      <c r="B27" s="915">
        <v>2012</v>
      </c>
      <c r="C27" s="915" t="s">
        <v>99</v>
      </c>
      <c r="D27" s="218">
        <v>5.2640174657000003</v>
      </c>
      <c r="E27" s="218">
        <v>2.88142708455681</v>
      </c>
      <c r="F27" s="218">
        <v>11.625426204943199</v>
      </c>
      <c r="G27" s="218">
        <f t="shared" si="0"/>
        <v>0.19862523092050383</v>
      </c>
      <c r="H27" s="218">
        <f t="shared" si="1"/>
        <v>0.80137476907949612</v>
      </c>
      <c r="I27" s="971">
        <f t="shared" si="2"/>
        <v>1.835860399862582</v>
      </c>
      <c r="J27" s="971">
        <f t="shared" si="3"/>
        <v>7.4069754239374275</v>
      </c>
      <c r="K27" s="218">
        <f t="shared" si="4"/>
        <v>1.6522743598763239</v>
      </c>
      <c r="L27" s="218">
        <f t="shared" si="5"/>
        <v>2.0194464398488403</v>
      </c>
      <c r="M27" s="218">
        <f t="shared" si="6"/>
        <v>6.6662778815436852</v>
      </c>
      <c r="N27" s="218">
        <f t="shared" si="7"/>
        <v>8.1476729663311716</v>
      </c>
      <c r="O27">
        <v>1</v>
      </c>
      <c r="P27">
        <v>1</v>
      </c>
      <c r="Q27">
        <v>2</v>
      </c>
      <c r="R27">
        <v>2</v>
      </c>
      <c r="S27">
        <v>2</v>
      </c>
    </row>
    <row r="28" spans="1:20">
      <c r="A28" s="915" t="s">
        <v>180</v>
      </c>
      <c r="B28" s="915">
        <v>2012</v>
      </c>
      <c r="C28" s="915" t="s">
        <v>98</v>
      </c>
      <c r="D28" s="218">
        <v>12.6522568807</v>
      </c>
      <c r="E28" s="218">
        <v>4.0094459584146502</v>
      </c>
      <c r="F28" s="218">
        <v>19.3205172447853</v>
      </c>
      <c r="G28" s="218">
        <f t="shared" si="0"/>
        <v>0.17185822041351151</v>
      </c>
      <c r="H28" s="218">
        <f t="shared" si="1"/>
        <v>0.82814177958648849</v>
      </c>
      <c r="I28" s="971">
        <f t="shared" si="2"/>
        <v>1.8350516066829421</v>
      </c>
      <c r="J28" s="971">
        <f t="shared" si="3"/>
        <v>8.8426547158170088</v>
      </c>
      <c r="K28" s="218">
        <f t="shared" si="4"/>
        <v>1.6515464460146478</v>
      </c>
      <c r="L28" s="218">
        <f t="shared" si="5"/>
        <v>2.0185567673512366</v>
      </c>
      <c r="M28" s="218">
        <f t="shared" si="6"/>
        <v>7.9583892442353079</v>
      </c>
      <c r="N28" s="218">
        <f t="shared" si="7"/>
        <v>9.7269201873987097</v>
      </c>
      <c r="O28">
        <v>1</v>
      </c>
      <c r="P28">
        <v>1</v>
      </c>
      <c r="Q28">
        <v>2</v>
      </c>
      <c r="R28">
        <v>2</v>
      </c>
      <c r="S28">
        <v>2</v>
      </c>
    </row>
    <row r="29" spans="1:20">
      <c r="A29" s="915" t="s">
        <v>180</v>
      </c>
      <c r="B29" s="915">
        <v>2012</v>
      </c>
      <c r="C29" s="915" t="s">
        <v>95</v>
      </c>
      <c r="D29" s="218">
        <v>13.2470930035</v>
      </c>
      <c r="E29" s="218">
        <v>8.7461496994453203</v>
      </c>
      <c r="F29" s="218">
        <v>25.704587830354701</v>
      </c>
      <c r="G29" s="218">
        <f t="shared" si="0"/>
        <v>0.25387409171951303</v>
      </c>
      <c r="H29" s="218">
        <f t="shared" si="1"/>
        <v>0.74612590828048697</v>
      </c>
      <c r="I29" s="971">
        <f t="shared" si="2"/>
        <v>5.3830559952578421</v>
      </c>
      <c r="J29" s="971">
        <f t="shared" si="3"/>
        <v>15.82058853104218</v>
      </c>
      <c r="K29" s="218">
        <f t="shared" si="4"/>
        <v>4.8447503957320581</v>
      </c>
      <c r="L29" s="218">
        <f t="shared" si="5"/>
        <v>5.9213615947836269</v>
      </c>
      <c r="M29" s="218">
        <f t="shared" si="6"/>
        <v>14.238529677937962</v>
      </c>
      <c r="N29" s="218">
        <f t="shared" si="7"/>
        <v>17.402647384146398</v>
      </c>
      <c r="O29">
        <v>1</v>
      </c>
      <c r="P29">
        <v>1</v>
      </c>
      <c r="Q29">
        <v>2</v>
      </c>
      <c r="R29">
        <v>2</v>
      </c>
      <c r="S29">
        <v>2</v>
      </c>
    </row>
    <row r="30" spans="1:20">
      <c r="A30" s="915" t="s">
        <v>180</v>
      </c>
      <c r="B30" s="915">
        <v>2012</v>
      </c>
      <c r="C30" s="915" t="s">
        <v>91</v>
      </c>
      <c r="D30" s="218">
        <v>69.49940018222</v>
      </c>
      <c r="E30" s="218">
        <v>28.355291548623899</v>
      </c>
      <c r="F30" s="218">
        <v>148.47090887031601</v>
      </c>
      <c r="G30" s="218">
        <f t="shared" si="0"/>
        <v>0.16035684463865657</v>
      </c>
      <c r="H30" s="218">
        <f t="shared" si="1"/>
        <v>0.83964315536134349</v>
      </c>
      <c r="I30" s="971">
        <f t="shared" si="2"/>
        <v>17.210587031123829</v>
      </c>
      <c r="J30" s="971">
        <f t="shared" si="3"/>
        <v>90.116213205596068</v>
      </c>
      <c r="K30" s="218">
        <f t="shared" si="4"/>
        <v>15.489528328011447</v>
      </c>
      <c r="L30" s="218">
        <f t="shared" si="5"/>
        <v>18.931645734236213</v>
      </c>
      <c r="M30" s="218">
        <f t="shared" si="6"/>
        <v>81.10459188503647</v>
      </c>
      <c r="N30" s="218">
        <f t="shared" si="7"/>
        <v>99.127834526155681</v>
      </c>
      <c r="O30">
        <v>1</v>
      </c>
      <c r="P30">
        <v>1</v>
      </c>
      <c r="Q30">
        <v>2</v>
      </c>
      <c r="R30">
        <v>2</v>
      </c>
      <c r="S30">
        <v>2</v>
      </c>
    </row>
    <row r="31" spans="1:20">
      <c r="A31" s="915" t="s">
        <v>180</v>
      </c>
      <c r="B31" s="915">
        <v>2012</v>
      </c>
      <c r="C31" s="915" t="s">
        <v>93</v>
      </c>
      <c r="D31" s="218">
        <v>14.538809602000001</v>
      </c>
      <c r="E31" s="218">
        <v>6.9357768958170096</v>
      </c>
      <c r="F31" s="218">
        <v>16.410014790182998</v>
      </c>
      <c r="G31" s="218">
        <f t="shared" si="0"/>
        <v>0.29708895672089169</v>
      </c>
      <c r="H31" s="218">
        <f t="shared" si="1"/>
        <v>0.70291104327910836</v>
      </c>
      <c r="I31" s="971">
        <f t="shared" si="2"/>
        <v>2.6164571191951467</v>
      </c>
      <c r="J31" s="971">
        <f t="shared" si="3"/>
        <v>6.1905249648048599</v>
      </c>
      <c r="K31" s="218">
        <f t="shared" si="4"/>
        <v>2.3548114072756321</v>
      </c>
      <c r="L31" s="218">
        <f t="shared" si="5"/>
        <v>2.8781028311146617</v>
      </c>
      <c r="M31" s="218">
        <f t="shared" si="6"/>
        <v>5.5714724683243739</v>
      </c>
      <c r="N31" s="218">
        <f t="shared" si="7"/>
        <v>6.8095774612853468</v>
      </c>
      <c r="O31">
        <v>1</v>
      </c>
      <c r="P31">
        <v>1</v>
      </c>
      <c r="Q31">
        <v>2</v>
      </c>
      <c r="R31">
        <v>2</v>
      </c>
      <c r="S31">
        <v>2</v>
      </c>
    </row>
    <row r="32" spans="1:20">
      <c r="A32" s="915" t="s">
        <v>180</v>
      </c>
      <c r="B32" s="915">
        <v>2012</v>
      </c>
      <c r="C32" s="915" t="s">
        <v>90</v>
      </c>
      <c r="D32" s="218">
        <v>9.1850493360000005</v>
      </c>
      <c r="E32" s="218">
        <v>4.1764702404714997</v>
      </c>
      <c r="F32" s="218">
        <v>10.5582348725285</v>
      </c>
      <c r="G32" s="218">
        <f t="shared" si="0"/>
        <v>0.28344444007818803</v>
      </c>
      <c r="H32" s="218">
        <f t="shared" si="1"/>
        <v>0.71655555992181197</v>
      </c>
      <c r="I32" s="971">
        <f t="shared" si="2"/>
        <v>1.5730190743384469</v>
      </c>
      <c r="J32" s="971">
        <f t="shared" si="3"/>
        <v>3.9766367026615521</v>
      </c>
      <c r="K32" s="218">
        <f t="shared" si="4"/>
        <v>1.4157171669046023</v>
      </c>
      <c r="L32" s="218">
        <f t="shared" si="5"/>
        <v>1.7303209817722918</v>
      </c>
      <c r="M32" s="218">
        <f t="shared" si="6"/>
        <v>3.578973032395397</v>
      </c>
      <c r="N32" s="218">
        <f t="shared" si="7"/>
        <v>4.3743003729277072</v>
      </c>
      <c r="O32">
        <v>1</v>
      </c>
      <c r="P32">
        <v>1</v>
      </c>
      <c r="Q32">
        <v>2</v>
      </c>
      <c r="R32">
        <v>2</v>
      </c>
      <c r="S32">
        <v>2</v>
      </c>
    </row>
    <row r="33" spans="1:19">
      <c r="A33" s="915" t="s">
        <v>180</v>
      </c>
      <c r="B33" s="915">
        <v>2012</v>
      </c>
      <c r="C33" s="915" t="s">
        <v>92</v>
      </c>
      <c r="D33" s="218">
        <v>16.823204306000001</v>
      </c>
      <c r="E33" s="218">
        <v>5.0060553399371504</v>
      </c>
      <c r="F33" s="218">
        <v>22.085493438562899</v>
      </c>
      <c r="G33" s="218">
        <f t="shared" si="0"/>
        <v>0.18478291443824629</v>
      </c>
      <c r="H33" s="218">
        <f t="shared" si="1"/>
        <v>0.81521708556175376</v>
      </c>
      <c r="I33" s="971">
        <f t="shared" si="2"/>
        <v>1.8974146180844156</v>
      </c>
      <c r="J33" s="971">
        <f t="shared" si="3"/>
        <v>8.3709298544156319</v>
      </c>
      <c r="K33" s="218">
        <f t="shared" si="4"/>
        <v>1.7076731562759742</v>
      </c>
      <c r="L33" s="218">
        <f t="shared" si="5"/>
        <v>2.0871560798928575</v>
      </c>
      <c r="M33" s="218">
        <f t="shared" si="6"/>
        <v>7.5338368689740687</v>
      </c>
      <c r="N33" s="218">
        <f t="shared" si="7"/>
        <v>9.2080228398571951</v>
      </c>
      <c r="O33">
        <v>1</v>
      </c>
      <c r="P33">
        <v>1</v>
      </c>
      <c r="Q33">
        <v>2</v>
      </c>
      <c r="R33">
        <v>2</v>
      </c>
      <c r="S33">
        <v>2</v>
      </c>
    </row>
    <row r="34" spans="1:19">
      <c r="A34" s="915" t="s">
        <v>180</v>
      </c>
      <c r="B34" s="915">
        <v>2013</v>
      </c>
      <c r="C34" s="915" t="s">
        <v>99</v>
      </c>
      <c r="D34" s="218">
        <v>7.0791820757000004</v>
      </c>
      <c r="E34" s="218">
        <v>3.06148669075974</v>
      </c>
      <c r="F34" s="218">
        <v>13.7550504380403</v>
      </c>
      <c r="G34" s="218">
        <f t="shared" si="0"/>
        <v>0.18205214708066331</v>
      </c>
      <c r="H34" s="218">
        <f t="shared" si="1"/>
        <v>0.81794785291933669</v>
      </c>
      <c r="I34" s="971">
        <f t="shared" si="2"/>
        <v>1.7727063943036081</v>
      </c>
      <c r="J34" s="971">
        <f t="shared" si="3"/>
        <v>7.9646486587964311</v>
      </c>
      <c r="K34" s="218">
        <f t="shared" si="4"/>
        <v>1.5954357548732474</v>
      </c>
      <c r="L34" s="218">
        <f t="shared" si="5"/>
        <v>1.949977033733969</v>
      </c>
      <c r="M34" s="218">
        <f t="shared" si="6"/>
        <v>7.1681837929167882</v>
      </c>
      <c r="N34" s="218">
        <f t="shared" si="7"/>
        <v>8.761113524676075</v>
      </c>
      <c r="O34">
        <v>1</v>
      </c>
      <c r="P34">
        <v>1</v>
      </c>
      <c r="Q34">
        <v>2</v>
      </c>
      <c r="R34">
        <v>2</v>
      </c>
      <c r="S34">
        <v>2</v>
      </c>
    </row>
    <row r="35" spans="1:19">
      <c r="A35" s="915" t="s">
        <v>180</v>
      </c>
      <c r="B35" s="915">
        <v>2013</v>
      </c>
      <c r="C35" s="915" t="s">
        <v>98</v>
      </c>
      <c r="D35" s="218">
        <v>14.154660159300001</v>
      </c>
      <c r="E35" s="218">
        <v>4.2768624747036803</v>
      </c>
      <c r="F35" s="218">
        <v>23.156980851996298</v>
      </c>
      <c r="G35" s="218">
        <f t="shared" si="0"/>
        <v>0.15589731353977754</v>
      </c>
      <c r="H35" s="218">
        <f t="shared" si="1"/>
        <v>0.84410268646022246</v>
      </c>
      <c r="I35" s="971">
        <f t="shared" si="2"/>
        <v>2.0701889818002908</v>
      </c>
      <c r="J35" s="971">
        <f t="shared" si="3"/>
        <v>11.208994185599687</v>
      </c>
      <c r="K35" s="218">
        <f t="shared" si="4"/>
        <v>1.8631700836202618</v>
      </c>
      <c r="L35" s="218">
        <f t="shared" si="5"/>
        <v>2.2772078799803199</v>
      </c>
      <c r="M35" s="218">
        <f t="shared" si="6"/>
        <v>10.088094767039719</v>
      </c>
      <c r="N35" s="218">
        <f t="shared" si="7"/>
        <v>12.329893604159658</v>
      </c>
      <c r="O35">
        <v>1</v>
      </c>
      <c r="P35">
        <v>1</v>
      </c>
      <c r="Q35">
        <v>2</v>
      </c>
      <c r="R35">
        <v>2</v>
      </c>
      <c r="S35">
        <v>2</v>
      </c>
    </row>
    <row r="36" spans="1:19">
      <c r="A36" s="915" t="s">
        <v>180</v>
      </c>
      <c r="B36" s="915">
        <v>2013</v>
      </c>
      <c r="C36" s="915" t="s">
        <v>95</v>
      </c>
      <c r="D36" s="218">
        <v>16.0355648894</v>
      </c>
      <c r="E36" s="218">
        <v>9.2648735485593008</v>
      </c>
      <c r="F36" s="218">
        <v>29.860490801140699</v>
      </c>
      <c r="G36" s="218">
        <f t="shared" si="0"/>
        <v>0.23679967464968388</v>
      </c>
      <c r="H36" s="218">
        <f t="shared" si="1"/>
        <v>0.76320032535031612</v>
      </c>
      <c r="I36" s="971">
        <f t="shared" si="2"/>
        <v>5.4676569999254863</v>
      </c>
      <c r="J36" s="971">
        <f t="shared" si="3"/>
        <v>17.622142460374512</v>
      </c>
      <c r="K36" s="218">
        <f t="shared" si="4"/>
        <v>4.9208912999329382</v>
      </c>
      <c r="L36" s="218">
        <f t="shared" si="5"/>
        <v>6.0144226999180352</v>
      </c>
      <c r="M36" s="218">
        <f t="shared" si="6"/>
        <v>15.859928214337062</v>
      </c>
      <c r="N36" s="218">
        <f t="shared" si="7"/>
        <v>19.384356706411964</v>
      </c>
      <c r="O36">
        <v>1</v>
      </c>
      <c r="P36">
        <v>1</v>
      </c>
      <c r="Q36">
        <v>2</v>
      </c>
      <c r="R36">
        <v>2</v>
      </c>
      <c r="S36">
        <v>2</v>
      </c>
    </row>
    <row r="37" spans="1:19">
      <c r="A37" s="915" t="s">
        <v>180</v>
      </c>
      <c r="B37" s="915">
        <v>2013</v>
      </c>
      <c r="C37" s="915" t="s">
        <v>91</v>
      </c>
      <c r="D37" s="218">
        <v>84.701817708429999</v>
      </c>
      <c r="E37" s="218">
        <v>31.312524372819201</v>
      </c>
      <c r="F37" s="218">
        <v>172.81298180344101</v>
      </c>
      <c r="G37" s="218">
        <f t="shared" si="0"/>
        <v>0.15339839180009757</v>
      </c>
      <c r="H37" s="218">
        <f t="shared" si="1"/>
        <v>0.84660160819990238</v>
      </c>
      <c r="I37" s="971">
        <f t="shared" si="2"/>
        <v>18.319401753801014</v>
      </c>
      <c r="J37" s="971">
        <f t="shared" si="3"/>
        <v>101.1042867140292</v>
      </c>
      <c r="K37" s="218">
        <f t="shared" si="4"/>
        <v>16.487461578420913</v>
      </c>
      <c r="L37" s="218">
        <f t="shared" si="5"/>
        <v>20.151341929181118</v>
      </c>
      <c r="M37" s="218">
        <f t="shared" si="6"/>
        <v>90.993858042626286</v>
      </c>
      <c r="N37" s="218">
        <f t="shared" si="7"/>
        <v>111.21471538543213</v>
      </c>
      <c r="O37">
        <v>1</v>
      </c>
      <c r="P37">
        <v>1</v>
      </c>
      <c r="Q37">
        <v>2</v>
      </c>
      <c r="R37">
        <v>2</v>
      </c>
      <c r="S37">
        <v>2</v>
      </c>
    </row>
    <row r="38" spans="1:19">
      <c r="A38" s="915" t="s">
        <v>180</v>
      </c>
      <c r="B38" s="915">
        <v>2013</v>
      </c>
      <c r="C38" s="915" t="s">
        <v>93</v>
      </c>
      <c r="D38" s="218">
        <v>16.060460152000001</v>
      </c>
      <c r="E38" s="218">
        <v>7.3957083452502701</v>
      </c>
      <c r="F38" s="218">
        <v>17.789246278749701</v>
      </c>
      <c r="G38" s="218">
        <f t="shared" si="0"/>
        <v>0.29365581378505001</v>
      </c>
      <c r="H38" s="218">
        <f t="shared" si="1"/>
        <v>0.70634418621494999</v>
      </c>
      <c r="I38" s="971">
        <f t="shared" si="2"/>
        <v>2.679460849552342</v>
      </c>
      <c r="J38" s="971">
        <f t="shared" si="3"/>
        <v>6.4450336224476281</v>
      </c>
      <c r="K38" s="218">
        <f t="shared" si="4"/>
        <v>2.4115147645971078</v>
      </c>
      <c r="L38" s="218">
        <f t="shared" si="5"/>
        <v>2.9474069345075766</v>
      </c>
      <c r="M38" s="218">
        <f t="shared" si="6"/>
        <v>5.8005302602028657</v>
      </c>
      <c r="N38" s="218">
        <f t="shared" si="7"/>
        <v>7.0895369846923915</v>
      </c>
      <c r="O38">
        <v>1</v>
      </c>
      <c r="P38">
        <v>1</v>
      </c>
      <c r="Q38">
        <v>2</v>
      </c>
      <c r="R38">
        <v>2</v>
      </c>
      <c r="S38">
        <v>2</v>
      </c>
    </row>
    <row r="39" spans="1:19">
      <c r="A39" s="915" t="s">
        <v>180</v>
      </c>
      <c r="B39" s="915">
        <v>2013</v>
      </c>
      <c r="C39" s="915" t="s">
        <v>90</v>
      </c>
      <c r="D39" s="218">
        <v>10.157695527</v>
      </c>
      <c r="E39" s="218">
        <v>4.4761625479560196</v>
      </c>
      <c r="F39" s="218">
        <v>11.524375417044</v>
      </c>
      <c r="G39" s="218">
        <f t="shared" si="0"/>
        <v>0.27975075324012794</v>
      </c>
      <c r="H39" s="218">
        <f t="shared" si="1"/>
        <v>0.72024924675987201</v>
      </c>
      <c r="I39" s="971">
        <f t="shared" si="2"/>
        <v>1.6345395730938916</v>
      </c>
      <c r="J39" s="971">
        <f t="shared" si="3"/>
        <v>4.2083028649061296</v>
      </c>
      <c r="K39" s="218">
        <f t="shared" si="4"/>
        <v>1.4710856157845025</v>
      </c>
      <c r="L39" s="218">
        <f t="shared" si="5"/>
        <v>1.797993530403281</v>
      </c>
      <c r="M39" s="218">
        <f t="shared" si="6"/>
        <v>3.7874725784155165</v>
      </c>
      <c r="N39" s="218">
        <f t="shared" si="7"/>
        <v>4.6291331513967426</v>
      </c>
      <c r="O39">
        <v>1</v>
      </c>
      <c r="P39">
        <v>1</v>
      </c>
      <c r="Q39">
        <v>2</v>
      </c>
      <c r="R39">
        <v>2</v>
      </c>
      <c r="S39">
        <v>2</v>
      </c>
    </row>
    <row r="40" spans="1:19">
      <c r="A40" s="915" t="s">
        <v>180</v>
      </c>
      <c r="B40" s="915">
        <v>2013</v>
      </c>
      <c r="C40" s="915" t="s">
        <v>92</v>
      </c>
      <c r="D40" s="218">
        <v>18.870301935499999</v>
      </c>
      <c r="E40" s="218">
        <v>5.55937336696923</v>
      </c>
      <c r="F40" s="218">
        <v>25.210982943530801</v>
      </c>
      <c r="G40" s="218">
        <f t="shared" si="0"/>
        <v>0.18067302539074459</v>
      </c>
      <c r="H40" s="218">
        <f t="shared" si="1"/>
        <v>0.81932697460925541</v>
      </c>
      <c r="I40" s="971">
        <f t="shared" si="2"/>
        <v>2.1500188262456219</v>
      </c>
      <c r="J40" s="971">
        <f t="shared" si="3"/>
        <v>9.7500355487544113</v>
      </c>
      <c r="K40" s="218">
        <f t="shared" si="4"/>
        <v>1.9350169436210598</v>
      </c>
      <c r="L40" s="218">
        <f t="shared" si="5"/>
        <v>2.3650207088701842</v>
      </c>
      <c r="M40" s="218">
        <f t="shared" si="6"/>
        <v>8.7750319938789705</v>
      </c>
      <c r="N40" s="218">
        <f t="shared" si="7"/>
        <v>10.725039103629854</v>
      </c>
      <c r="O40">
        <v>1</v>
      </c>
      <c r="P40">
        <v>1</v>
      </c>
      <c r="Q40">
        <v>2</v>
      </c>
      <c r="R40">
        <v>2</v>
      </c>
      <c r="S40">
        <v>2</v>
      </c>
    </row>
    <row r="41" spans="1:19">
      <c r="A41" s="915" t="s">
        <v>180</v>
      </c>
      <c r="B41" s="915">
        <v>2014</v>
      </c>
      <c r="C41" s="915" t="s">
        <v>99</v>
      </c>
      <c r="D41" s="218">
        <v>10.4366245564</v>
      </c>
      <c r="E41" s="218">
        <v>3.3916552970315199</v>
      </c>
      <c r="F41" s="218">
        <v>17.677083196868502</v>
      </c>
      <c r="G41" s="218">
        <f t="shared" si="0"/>
        <v>0.16098046392352808</v>
      </c>
      <c r="H41" s="218">
        <f t="shared" si="1"/>
        <v>0.83901953607647195</v>
      </c>
      <c r="I41" s="971">
        <f t="shared" si="2"/>
        <v>1.7115626341465624</v>
      </c>
      <c r="J41" s="971">
        <f t="shared" si="3"/>
        <v>8.9205513033534594</v>
      </c>
      <c r="K41" s="218">
        <f t="shared" si="4"/>
        <v>1.5404063707319062</v>
      </c>
      <c r="L41" s="218">
        <f t="shared" si="5"/>
        <v>1.8827188975612188</v>
      </c>
      <c r="M41" s="218">
        <f t="shared" si="6"/>
        <v>8.0284961730181141</v>
      </c>
      <c r="N41" s="218">
        <f t="shared" si="7"/>
        <v>9.8126064336888064</v>
      </c>
      <c r="O41">
        <v>1</v>
      </c>
      <c r="P41">
        <v>1</v>
      </c>
      <c r="Q41">
        <v>2</v>
      </c>
      <c r="R41">
        <v>2</v>
      </c>
      <c r="S41">
        <v>2</v>
      </c>
    </row>
    <row r="42" spans="1:19">
      <c r="A42" s="915" t="s">
        <v>180</v>
      </c>
      <c r="B42" s="915">
        <v>2014</v>
      </c>
      <c r="C42" s="915" t="s">
        <v>98</v>
      </c>
      <c r="D42" s="218">
        <v>16.611146119699999</v>
      </c>
      <c r="E42" s="218">
        <v>4.92719231731947</v>
      </c>
      <c r="F42" s="218">
        <v>27.8264395436805</v>
      </c>
      <c r="G42" s="218">
        <f t="shared" si="0"/>
        <v>0.15043193799788412</v>
      </c>
      <c r="H42" s="218">
        <f t="shared" si="1"/>
        <v>0.84956806200211588</v>
      </c>
      <c r="I42" s="971">
        <f t="shared" si="2"/>
        <v>2.4283454141669663</v>
      </c>
      <c r="J42" s="971">
        <f t="shared" si="3"/>
        <v>13.714140327133006</v>
      </c>
      <c r="K42" s="218">
        <f t="shared" si="4"/>
        <v>2.1855108727502697</v>
      </c>
      <c r="L42" s="218">
        <f t="shared" si="5"/>
        <v>2.6711799555836633</v>
      </c>
      <c r="M42" s="218">
        <f t="shared" si="6"/>
        <v>12.342726294419705</v>
      </c>
      <c r="N42" s="218">
        <f t="shared" si="7"/>
        <v>15.085554359846308</v>
      </c>
      <c r="O42">
        <v>1</v>
      </c>
      <c r="P42">
        <v>1</v>
      </c>
      <c r="Q42">
        <v>2</v>
      </c>
      <c r="R42">
        <v>2</v>
      </c>
      <c r="S42">
        <v>2</v>
      </c>
    </row>
    <row r="43" spans="1:19">
      <c r="A43" s="915" t="s">
        <v>180</v>
      </c>
      <c r="B43" s="915">
        <v>2014</v>
      </c>
      <c r="C43" s="915" t="s">
        <v>95</v>
      </c>
      <c r="D43" s="218">
        <v>21.313565153199999</v>
      </c>
      <c r="E43" s="218">
        <v>10.4674757322424</v>
      </c>
      <c r="F43" s="218">
        <v>37.394253262157598</v>
      </c>
      <c r="G43" s="218">
        <f t="shared" si="0"/>
        <v>0.21870241531531665</v>
      </c>
      <c r="H43" s="218">
        <f t="shared" si="1"/>
        <v>0.78129758468468335</v>
      </c>
      <c r="I43" s="971">
        <f t="shared" si="2"/>
        <v>5.8061475542571941</v>
      </c>
      <c r="J43" s="971">
        <f t="shared" si="3"/>
        <v>20.742016286942807</v>
      </c>
      <c r="K43" s="218">
        <f t="shared" si="4"/>
        <v>5.225532798831475</v>
      </c>
      <c r="L43" s="218">
        <f t="shared" si="5"/>
        <v>6.386762309682914</v>
      </c>
      <c r="M43" s="218">
        <f t="shared" si="6"/>
        <v>18.667814658248528</v>
      </c>
      <c r="N43" s="218">
        <f t="shared" si="7"/>
        <v>22.81621791563709</v>
      </c>
      <c r="O43">
        <v>1</v>
      </c>
      <c r="P43">
        <v>1</v>
      </c>
      <c r="Q43">
        <v>2</v>
      </c>
      <c r="R43">
        <v>2</v>
      </c>
      <c r="S43">
        <v>2</v>
      </c>
    </row>
    <row r="44" spans="1:19">
      <c r="A44" s="915" t="s">
        <v>180</v>
      </c>
      <c r="B44" s="915">
        <v>2014</v>
      </c>
      <c r="C44" s="915" t="s">
        <v>91</v>
      </c>
      <c r="D44" s="218">
        <v>111.38126869379001</v>
      </c>
      <c r="E44" s="218">
        <v>35.148589379467403</v>
      </c>
      <c r="F44" s="218">
        <v>212.348269514663</v>
      </c>
      <c r="G44" s="218">
        <f t="shared" si="0"/>
        <v>0.14201630492006612</v>
      </c>
      <c r="H44" s="218">
        <f t="shared" si="1"/>
        <v>0.85798369507993388</v>
      </c>
      <c r="I44" s="971">
        <f t="shared" si="2"/>
        <v>19.330633162266309</v>
      </c>
      <c r="J44" s="971">
        <f t="shared" si="3"/>
        <v>116.7849570380741</v>
      </c>
      <c r="K44" s="218">
        <f t="shared" si="4"/>
        <v>17.39756984603968</v>
      </c>
      <c r="L44" s="218">
        <f t="shared" si="5"/>
        <v>21.263696478492943</v>
      </c>
      <c r="M44" s="218">
        <f t="shared" si="6"/>
        <v>105.10646133426668</v>
      </c>
      <c r="N44" s="218">
        <f t="shared" si="7"/>
        <v>128.46345274188153</v>
      </c>
      <c r="O44">
        <v>1</v>
      </c>
      <c r="P44">
        <v>1</v>
      </c>
      <c r="Q44">
        <v>2</v>
      </c>
      <c r="R44">
        <v>2</v>
      </c>
      <c r="S44">
        <v>2</v>
      </c>
    </row>
    <row r="45" spans="1:19">
      <c r="A45" s="915" t="s">
        <v>180</v>
      </c>
      <c r="B45" s="915">
        <v>2014</v>
      </c>
      <c r="C45" s="915" t="s">
        <v>93</v>
      </c>
      <c r="D45" s="218">
        <v>16.388617928999999</v>
      </c>
      <c r="E45" s="218">
        <v>8.0330004733841296</v>
      </c>
      <c r="F45" s="218">
        <v>19.173431068615901</v>
      </c>
      <c r="G45" s="218">
        <f t="shared" si="0"/>
        <v>0.29526108416618896</v>
      </c>
      <c r="H45" s="218">
        <f t="shared" si="1"/>
        <v>0.7047389158338111</v>
      </c>
      <c r="I45" s="971">
        <f t="shared" si="2"/>
        <v>3.1940793756821479</v>
      </c>
      <c r="J45" s="971">
        <f t="shared" si="3"/>
        <v>7.6237342373178834</v>
      </c>
      <c r="K45" s="218">
        <f t="shared" si="4"/>
        <v>2.8746714381139333</v>
      </c>
      <c r="L45" s="218">
        <f t="shared" si="5"/>
        <v>3.513487313250363</v>
      </c>
      <c r="M45" s="218">
        <f t="shared" si="6"/>
        <v>6.8613608135860948</v>
      </c>
      <c r="N45" s="218">
        <f t="shared" si="7"/>
        <v>8.3861076610496728</v>
      </c>
      <c r="O45">
        <v>1</v>
      </c>
      <c r="P45">
        <v>1</v>
      </c>
      <c r="Q45">
        <v>2</v>
      </c>
      <c r="R45">
        <v>2</v>
      </c>
      <c r="S45">
        <v>2</v>
      </c>
    </row>
    <row r="46" spans="1:19">
      <c r="A46" s="915" t="s">
        <v>180</v>
      </c>
      <c r="B46" s="915">
        <v>2014</v>
      </c>
      <c r="C46" s="915" t="s">
        <v>90</v>
      </c>
      <c r="D46" s="218">
        <v>10.446142995000001</v>
      </c>
      <c r="E46" s="218">
        <v>4.88334785658044</v>
      </c>
      <c r="F46" s="218">
        <v>12.482892006419601</v>
      </c>
      <c r="G46" s="218">
        <f t="shared" si="0"/>
        <v>0.28119776618914183</v>
      </c>
      <c r="H46" s="218">
        <f t="shared" si="1"/>
        <v>0.71880223381085817</v>
      </c>
      <c r="I46" s="971">
        <f t="shared" si="2"/>
        <v>1.9459157810940879</v>
      </c>
      <c r="J46" s="971">
        <f t="shared" si="3"/>
        <v>4.9741810869059515</v>
      </c>
      <c r="K46" s="218">
        <f t="shared" si="4"/>
        <v>1.7513242029846792</v>
      </c>
      <c r="L46" s="218">
        <f t="shared" si="5"/>
        <v>2.1405073592034967</v>
      </c>
      <c r="M46" s="218">
        <f t="shared" si="6"/>
        <v>4.4767629782153566</v>
      </c>
      <c r="N46" s="218">
        <f t="shared" si="7"/>
        <v>5.4715991955965473</v>
      </c>
      <c r="O46">
        <v>1</v>
      </c>
      <c r="P46">
        <v>1</v>
      </c>
      <c r="Q46">
        <v>2</v>
      </c>
      <c r="R46">
        <v>2</v>
      </c>
      <c r="S46">
        <v>2</v>
      </c>
    </row>
    <row r="47" spans="1:19">
      <c r="A47" s="915" t="s">
        <v>180</v>
      </c>
      <c r="B47" s="915">
        <v>2014</v>
      </c>
      <c r="C47" s="915" t="s">
        <v>92</v>
      </c>
      <c r="D47" s="218">
        <v>20.470950934499999</v>
      </c>
      <c r="E47" s="218">
        <v>6.2244893734195603</v>
      </c>
      <c r="F47" s="218">
        <v>28.0803557440804</v>
      </c>
      <c r="G47" s="218">
        <f t="shared" si="0"/>
        <v>0.18144636281258872</v>
      </c>
      <c r="H47" s="218">
        <f t="shared" si="1"/>
        <v>0.81855363718741125</v>
      </c>
      <c r="I47" s="971">
        <f t="shared" si="2"/>
        <v>2.5101097830395713</v>
      </c>
      <c r="J47" s="971">
        <f t="shared" si="3"/>
        <v>11.323784399960392</v>
      </c>
      <c r="K47" s="218">
        <f t="shared" si="4"/>
        <v>2.2590988047356144</v>
      </c>
      <c r="L47" s="218">
        <f t="shared" si="5"/>
        <v>2.7611207613435287</v>
      </c>
      <c r="M47" s="218">
        <f t="shared" si="6"/>
        <v>10.191405959964353</v>
      </c>
      <c r="N47" s="218">
        <f t="shared" si="7"/>
        <v>12.456162839956432</v>
      </c>
      <c r="O47">
        <v>1</v>
      </c>
      <c r="P47">
        <v>1</v>
      </c>
      <c r="Q47">
        <v>2</v>
      </c>
      <c r="R47">
        <v>2</v>
      </c>
      <c r="S47">
        <v>2</v>
      </c>
    </row>
    <row r="48" spans="1:19">
      <c r="A48" s="915" t="s">
        <v>180</v>
      </c>
      <c r="B48" s="915">
        <v>2015</v>
      </c>
      <c r="C48" s="915" t="s">
        <v>99</v>
      </c>
      <c r="D48" s="218">
        <v>7.6148640638999998</v>
      </c>
      <c r="E48" s="218">
        <v>2.8612299745145702</v>
      </c>
      <c r="F48" s="218">
        <v>15.481102009685401</v>
      </c>
      <c r="G48" s="218">
        <f t="shared" si="0"/>
        <v>0.15599052383193285</v>
      </c>
      <c r="H48" s="218">
        <f t="shared" si="1"/>
        <v>0.84400947616806721</v>
      </c>
      <c r="I48" s="971">
        <f t="shared" si="2"/>
        <v>1.6733833402778482</v>
      </c>
      <c r="J48" s="971">
        <f t="shared" si="3"/>
        <v>9.0540845800221224</v>
      </c>
      <c r="K48" s="218">
        <f t="shared" si="4"/>
        <v>1.5060450062500634</v>
      </c>
      <c r="L48" s="218">
        <f t="shared" si="5"/>
        <v>1.8407216743056332</v>
      </c>
      <c r="M48" s="218">
        <f t="shared" si="6"/>
        <v>8.1486761220199107</v>
      </c>
      <c r="N48" s="218">
        <f t="shared" si="7"/>
        <v>9.9594930380243358</v>
      </c>
      <c r="O48">
        <v>1</v>
      </c>
      <c r="P48">
        <v>1</v>
      </c>
      <c r="Q48">
        <v>2</v>
      </c>
      <c r="R48">
        <v>2</v>
      </c>
      <c r="S48">
        <v>2</v>
      </c>
    </row>
    <row r="49" spans="1:19">
      <c r="A49" s="915" t="s">
        <v>180</v>
      </c>
      <c r="B49" s="915">
        <v>2015</v>
      </c>
      <c r="C49" s="915" t="s">
        <v>98</v>
      </c>
      <c r="D49" s="218">
        <v>14.234603527399999</v>
      </c>
      <c r="E49" s="218">
        <v>4.4930375965829699</v>
      </c>
      <c r="F49" s="218">
        <v>25.374029893816999</v>
      </c>
      <c r="G49" s="218">
        <f t="shared" si="0"/>
        <v>0.15043450777439552</v>
      </c>
      <c r="H49" s="218">
        <f t="shared" si="1"/>
        <v>0.84956549222560451</v>
      </c>
      <c r="I49" s="971">
        <f t="shared" si="2"/>
        <v>2.3516620215748767</v>
      </c>
      <c r="J49" s="971">
        <f t="shared" si="3"/>
        <v>13.280801941425093</v>
      </c>
      <c r="K49" s="218">
        <f t="shared" si="4"/>
        <v>2.1164958194173891</v>
      </c>
      <c r="L49" s="218">
        <f t="shared" si="5"/>
        <v>2.5868282237323648</v>
      </c>
      <c r="M49" s="218">
        <f t="shared" si="6"/>
        <v>11.952721747282585</v>
      </c>
      <c r="N49" s="218">
        <f t="shared" si="7"/>
        <v>14.608882135567603</v>
      </c>
      <c r="O49">
        <v>1</v>
      </c>
      <c r="P49">
        <v>1</v>
      </c>
      <c r="Q49">
        <v>2</v>
      </c>
      <c r="R49">
        <v>2</v>
      </c>
      <c r="S49">
        <v>2</v>
      </c>
    </row>
    <row r="50" spans="1:19">
      <c r="A50" s="915" t="s">
        <v>180</v>
      </c>
      <c r="B50" s="915">
        <v>2015</v>
      </c>
      <c r="C50" s="915" t="s">
        <v>95</v>
      </c>
      <c r="D50" s="218">
        <v>18.325043384800001</v>
      </c>
      <c r="E50" s="218">
        <v>9.3032460304583395</v>
      </c>
      <c r="F50" s="218">
        <v>34.434036741141703</v>
      </c>
      <c r="G50" s="218">
        <f t="shared" si="0"/>
        <v>0.21270745325082752</v>
      </c>
      <c r="H50" s="218">
        <f t="shared" si="1"/>
        <v>0.78729254674917248</v>
      </c>
      <c r="I50" s="971">
        <f t="shared" si="2"/>
        <v>5.4053727213666072</v>
      </c>
      <c r="J50" s="971">
        <f t="shared" si="3"/>
        <v>20.006866665433435</v>
      </c>
      <c r="K50" s="218">
        <f t="shared" si="4"/>
        <v>4.8648354492299468</v>
      </c>
      <c r="L50" s="218">
        <f t="shared" si="5"/>
        <v>5.9459099935032684</v>
      </c>
      <c r="M50" s="218">
        <f t="shared" si="6"/>
        <v>18.006179998890094</v>
      </c>
      <c r="N50" s="218">
        <f t="shared" si="7"/>
        <v>22.00755333197678</v>
      </c>
      <c r="O50">
        <v>1</v>
      </c>
      <c r="P50">
        <v>1</v>
      </c>
      <c r="Q50">
        <v>2</v>
      </c>
      <c r="R50">
        <v>2</v>
      </c>
      <c r="S50">
        <v>2</v>
      </c>
    </row>
    <row r="51" spans="1:19">
      <c r="A51" s="915" t="s">
        <v>180</v>
      </c>
      <c r="B51" s="915">
        <v>2015</v>
      </c>
      <c r="C51" s="915" t="s">
        <v>91</v>
      </c>
      <c r="D51" s="218">
        <v>92.926025435650004</v>
      </c>
      <c r="E51" s="218">
        <v>30.5543662248595</v>
      </c>
      <c r="F51" s="218">
        <v>194.630004709031</v>
      </c>
      <c r="G51" s="218">
        <f t="shared" si="0"/>
        <v>0.13568599853597135</v>
      </c>
      <c r="H51" s="218">
        <f t="shared" si="1"/>
        <v>0.8643140014640287</v>
      </c>
      <c r="I51" s="971">
        <f t="shared" si="2"/>
        <v>17.945605673644259</v>
      </c>
      <c r="J51" s="971">
        <f t="shared" si="3"/>
        <v>114.31273982459624</v>
      </c>
      <c r="K51" s="218">
        <f t="shared" si="4"/>
        <v>16.151045106279835</v>
      </c>
      <c r="L51" s="218">
        <f t="shared" si="5"/>
        <v>19.740166241008687</v>
      </c>
      <c r="M51" s="218">
        <f t="shared" si="6"/>
        <v>102.88146584213662</v>
      </c>
      <c r="N51" s="218">
        <f t="shared" si="7"/>
        <v>125.74401380705586</v>
      </c>
      <c r="O51">
        <v>1</v>
      </c>
      <c r="P51">
        <v>1</v>
      </c>
      <c r="Q51">
        <v>2</v>
      </c>
      <c r="R51">
        <v>2</v>
      </c>
      <c r="S51">
        <v>2</v>
      </c>
    </row>
    <row r="52" spans="1:19">
      <c r="A52" s="915" t="s">
        <v>180</v>
      </c>
      <c r="B52" s="915">
        <v>2015</v>
      </c>
      <c r="C52" s="915" t="s">
        <v>93</v>
      </c>
      <c r="D52" s="218">
        <v>14.501953571</v>
      </c>
      <c r="E52" s="218">
        <v>7.79086366639077</v>
      </c>
      <c r="F52" s="218">
        <v>18.440981303609199</v>
      </c>
      <c r="G52" s="218">
        <f t="shared" si="0"/>
        <v>0.29700021768582369</v>
      </c>
      <c r="H52" s="218">
        <f t="shared" si="1"/>
        <v>0.70299978231417626</v>
      </c>
      <c r="I52" s="971">
        <f t="shared" si="2"/>
        <v>3.4837802989340618</v>
      </c>
      <c r="J52" s="971">
        <f t="shared" si="3"/>
        <v>8.2461111000659084</v>
      </c>
      <c r="K52" s="218">
        <f t="shared" si="4"/>
        <v>3.1354022690406556</v>
      </c>
      <c r="L52" s="218">
        <f t="shared" si="5"/>
        <v>3.8321583288274681</v>
      </c>
      <c r="M52" s="218">
        <f t="shared" si="6"/>
        <v>7.4214999900593179</v>
      </c>
      <c r="N52" s="218">
        <f t="shared" si="7"/>
        <v>9.0707222100724998</v>
      </c>
      <c r="O52">
        <v>1</v>
      </c>
      <c r="P52">
        <v>1</v>
      </c>
      <c r="Q52">
        <v>2</v>
      </c>
      <c r="R52">
        <v>2</v>
      </c>
      <c r="S52">
        <v>2</v>
      </c>
    </row>
    <row r="53" spans="1:19">
      <c r="A53" s="915" t="s">
        <v>180</v>
      </c>
      <c r="B53" s="915">
        <v>2015</v>
      </c>
      <c r="C53" s="915" t="s">
        <v>90</v>
      </c>
      <c r="D53" s="218">
        <v>9.1773205440000005</v>
      </c>
      <c r="E53" s="218">
        <v>4.7322028644061804</v>
      </c>
      <c r="F53" s="218">
        <v>11.9501231675938</v>
      </c>
      <c r="G53" s="218">
        <f t="shared" si="0"/>
        <v>0.28366565042122333</v>
      </c>
      <c r="H53" s="218">
        <f t="shared" si="1"/>
        <v>0.71633434957877662</v>
      </c>
      <c r="I53" s="971">
        <f t="shared" si="2"/>
        <v>2.128912263168365</v>
      </c>
      <c r="J53" s="971">
        <f t="shared" si="3"/>
        <v>5.3760932248316147</v>
      </c>
      <c r="K53" s="218">
        <f t="shared" si="4"/>
        <v>1.9160210368515285</v>
      </c>
      <c r="L53" s="218">
        <f t="shared" si="5"/>
        <v>2.3418034894852018</v>
      </c>
      <c r="M53" s="218">
        <f t="shared" si="6"/>
        <v>4.8384839023484529</v>
      </c>
      <c r="N53" s="218">
        <f t="shared" si="7"/>
        <v>5.9137025473147764</v>
      </c>
      <c r="O53">
        <v>1</v>
      </c>
      <c r="P53">
        <v>1</v>
      </c>
      <c r="Q53">
        <v>2</v>
      </c>
      <c r="R53">
        <v>2</v>
      </c>
      <c r="S53">
        <v>2</v>
      </c>
    </row>
    <row r="54" spans="1:19">
      <c r="A54" s="915" t="s">
        <v>180</v>
      </c>
      <c r="B54" s="915">
        <v>2015</v>
      </c>
      <c r="C54" s="915" t="s">
        <v>92</v>
      </c>
      <c r="D54" s="218">
        <v>17.112173683000002</v>
      </c>
      <c r="E54" s="218">
        <v>6.0161579134949896</v>
      </c>
      <c r="F54" s="218">
        <v>26.298167476505</v>
      </c>
      <c r="G54" s="218">
        <f t="shared" si="0"/>
        <v>0.18617618783268033</v>
      </c>
      <c r="H54" s="218">
        <f t="shared" si="1"/>
        <v>0.81382381216731969</v>
      </c>
      <c r="I54" s="971">
        <f t="shared" si="2"/>
        <v>2.830278651663332</v>
      </c>
      <c r="J54" s="971">
        <f t="shared" si="3"/>
        <v>12.371873055336655</v>
      </c>
      <c r="K54" s="218">
        <f t="shared" si="4"/>
        <v>2.5472507864969991</v>
      </c>
      <c r="L54" s="218">
        <f t="shared" si="5"/>
        <v>3.1133065168296654</v>
      </c>
      <c r="M54" s="218">
        <f t="shared" si="6"/>
        <v>11.134685749802991</v>
      </c>
      <c r="N54" s="218">
        <f t="shared" si="7"/>
        <v>13.609060360870322</v>
      </c>
      <c r="O54">
        <v>1</v>
      </c>
      <c r="P54">
        <v>1</v>
      </c>
      <c r="Q54">
        <v>2</v>
      </c>
      <c r="R54">
        <v>2</v>
      </c>
      <c r="S54">
        <v>2</v>
      </c>
    </row>
    <row r="55" spans="1:19">
      <c r="A55" s="915" t="s">
        <v>180</v>
      </c>
      <c r="B55" s="915">
        <v>2016</v>
      </c>
      <c r="C55" s="915" t="s">
        <v>99</v>
      </c>
      <c r="D55" s="218">
        <v>8.6037087323999994</v>
      </c>
      <c r="E55" s="218">
        <v>3.33248424016293</v>
      </c>
      <c r="F55" s="218">
        <v>16.501961649937101</v>
      </c>
      <c r="G55" s="218">
        <f t="shared" si="0"/>
        <v>0.16801499061923747</v>
      </c>
      <c r="H55" s="218">
        <f t="shared" si="1"/>
        <v>0.83198500938076259</v>
      </c>
      <c r="I55" s="971">
        <f t="shared" si="2"/>
        <v>1.8869321981980927</v>
      </c>
      <c r="J55" s="971">
        <f t="shared" si="3"/>
        <v>9.3438049595019379</v>
      </c>
      <c r="K55" s="218">
        <f t="shared" si="4"/>
        <v>1.6982389783782834</v>
      </c>
      <c r="L55" s="218">
        <f t="shared" si="5"/>
        <v>2.0756254180179021</v>
      </c>
      <c r="M55" s="218">
        <f t="shared" si="6"/>
        <v>8.4094244635517441</v>
      </c>
      <c r="N55" s="218">
        <f t="shared" si="7"/>
        <v>10.278185455452132</v>
      </c>
      <c r="O55">
        <v>1</v>
      </c>
      <c r="P55">
        <v>1</v>
      </c>
      <c r="Q55">
        <v>2</v>
      </c>
      <c r="R55">
        <v>2</v>
      </c>
      <c r="S55">
        <v>2</v>
      </c>
    </row>
    <row r="56" spans="1:19">
      <c r="A56" s="915" t="s">
        <v>180</v>
      </c>
      <c r="B56" s="915">
        <v>2016</v>
      </c>
      <c r="C56" s="915" t="s">
        <v>98</v>
      </c>
      <c r="D56" s="218">
        <v>16.7650600385</v>
      </c>
      <c r="E56" s="218">
        <v>4.8596989455364596</v>
      </c>
      <c r="F56" s="218">
        <v>28.171670334563501</v>
      </c>
      <c r="G56" s="218">
        <f t="shared" si="0"/>
        <v>0.14712375089046728</v>
      </c>
      <c r="H56" s="218">
        <f t="shared" si="1"/>
        <v>0.85287624910953275</v>
      </c>
      <c r="I56" s="971">
        <f t="shared" si="2"/>
        <v>2.393160428768458</v>
      </c>
      <c r="J56" s="971">
        <f t="shared" si="3"/>
        <v>13.873148812831502</v>
      </c>
      <c r="K56" s="218">
        <f t="shared" si="4"/>
        <v>2.1538443858916123</v>
      </c>
      <c r="L56" s="218">
        <f t="shared" si="5"/>
        <v>2.6324764716453042</v>
      </c>
      <c r="M56" s="218">
        <f t="shared" si="6"/>
        <v>12.485833931548353</v>
      </c>
      <c r="N56" s="218">
        <f t="shared" si="7"/>
        <v>15.260463694114653</v>
      </c>
      <c r="O56">
        <v>1</v>
      </c>
      <c r="P56">
        <v>1</v>
      </c>
      <c r="Q56">
        <v>2</v>
      </c>
      <c r="R56">
        <v>2</v>
      </c>
      <c r="S56">
        <v>2</v>
      </c>
    </row>
    <row r="57" spans="1:19">
      <c r="A57" s="915" t="s">
        <v>180</v>
      </c>
      <c r="B57" s="915">
        <v>2016</v>
      </c>
      <c r="C57" s="915" t="s">
        <v>95</v>
      </c>
      <c r="D57" s="218">
        <v>21.639784132500001</v>
      </c>
      <c r="E57" s="218">
        <v>10.0725217530818</v>
      </c>
      <c r="F57" s="218">
        <v>39.275965265018201</v>
      </c>
      <c r="G57" s="218">
        <f t="shared" si="0"/>
        <v>0.20411004190234663</v>
      </c>
      <c r="H57" s="218">
        <f t="shared" si="1"/>
        <v>0.79588995809765339</v>
      </c>
      <c r="I57" s="971">
        <f t="shared" si="2"/>
        <v>5.655624507039489</v>
      </c>
      <c r="J57" s="971">
        <f t="shared" si="3"/>
        <v>22.05307837856051</v>
      </c>
      <c r="K57" s="218">
        <f t="shared" si="4"/>
        <v>5.0900620563355403</v>
      </c>
      <c r="L57" s="218">
        <f t="shared" si="5"/>
        <v>6.2211869577434387</v>
      </c>
      <c r="M57" s="218">
        <f t="shared" si="6"/>
        <v>19.84777054070446</v>
      </c>
      <c r="N57" s="218">
        <f t="shared" si="7"/>
        <v>24.258386216416564</v>
      </c>
      <c r="O57">
        <v>1</v>
      </c>
      <c r="P57">
        <v>1</v>
      </c>
      <c r="Q57">
        <v>2</v>
      </c>
      <c r="R57">
        <v>2</v>
      </c>
      <c r="S57">
        <v>2</v>
      </c>
    </row>
    <row r="58" spans="1:19">
      <c r="A58" s="915" t="s">
        <v>180</v>
      </c>
      <c r="B58" s="915">
        <v>2016</v>
      </c>
      <c r="C58" s="915" t="s">
        <v>91</v>
      </c>
      <c r="D58" s="218">
        <v>110.30048233719999</v>
      </c>
      <c r="E58" s="218">
        <v>34.5156119202585</v>
      </c>
      <c r="F58" s="218">
        <v>217.60483039074199</v>
      </c>
      <c r="G58" s="218">
        <f t="shared" si="0"/>
        <v>0.13690128259287335</v>
      </c>
      <c r="H58" s="218">
        <f t="shared" si="1"/>
        <v>0.86309871740712663</v>
      </c>
      <c r="I58" s="971">
        <f t="shared" si="2"/>
        <v>19.415334417683248</v>
      </c>
      <c r="J58" s="971">
        <f t="shared" si="3"/>
        <v>122.40462555611725</v>
      </c>
      <c r="K58" s="218">
        <f t="shared" si="4"/>
        <v>17.473800975914923</v>
      </c>
      <c r="L58" s="218">
        <f t="shared" si="5"/>
        <v>21.356867859451572</v>
      </c>
      <c r="M58" s="218">
        <f t="shared" si="6"/>
        <v>110.16416300050552</v>
      </c>
      <c r="N58" s="218">
        <f t="shared" si="7"/>
        <v>134.645088111729</v>
      </c>
      <c r="O58">
        <v>1</v>
      </c>
      <c r="P58">
        <v>1</v>
      </c>
      <c r="Q58">
        <v>2</v>
      </c>
      <c r="R58">
        <v>2</v>
      </c>
      <c r="S58">
        <v>2</v>
      </c>
    </row>
    <row r="59" spans="1:19">
      <c r="A59" s="915" t="s">
        <v>180</v>
      </c>
      <c r="B59" s="915">
        <v>2016</v>
      </c>
      <c r="C59" s="915" t="s">
        <v>93</v>
      </c>
      <c r="D59" s="218">
        <v>16.889088151999999</v>
      </c>
      <c r="E59" s="218">
        <v>8.6108498444349593</v>
      </c>
      <c r="F59" s="218">
        <v>20.214756594564999</v>
      </c>
      <c r="G59" s="218">
        <f t="shared" si="0"/>
        <v>0.29872224414972948</v>
      </c>
      <c r="H59" s="218">
        <f t="shared" si="1"/>
        <v>0.70127775585027052</v>
      </c>
      <c r="I59" s="971">
        <f t="shared" si="2"/>
        <v>3.5657035300269122</v>
      </c>
      <c r="J59" s="971">
        <f t="shared" si="3"/>
        <v>8.3708147569730471</v>
      </c>
      <c r="K59" s="218">
        <f t="shared" si="4"/>
        <v>3.2091331770242211</v>
      </c>
      <c r="L59" s="218">
        <f t="shared" si="5"/>
        <v>3.9222738830296038</v>
      </c>
      <c r="M59" s="218">
        <f t="shared" si="6"/>
        <v>7.5337332812757429</v>
      </c>
      <c r="N59" s="218">
        <f t="shared" si="7"/>
        <v>9.2078962326703522</v>
      </c>
      <c r="O59">
        <v>1</v>
      </c>
      <c r="P59">
        <v>1</v>
      </c>
      <c r="Q59">
        <v>2</v>
      </c>
      <c r="R59">
        <v>2</v>
      </c>
      <c r="S59">
        <v>2</v>
      </c>
    </row>
    <row r="60" spans="1:19">
      <c r="A60" s="915" t="s">
        <v>180</v>
      </c>
      <c r="B60" s="915">
        <v>2016</v>
      </c>
      <c r="C60" s="915" t="s">
        <v>90</v>
      </c>
      <c r="D60" s="218">
        <v>10.712392188000001</v>
      </c>
      <c r="E60" s="218">
        <v>5.2132951452520304</v>
      </c>
      <c r="F60" s="218">
        <v>13.063414063748001</v>
      </c>
      <c r="G60" s="218">
        <f t="shared" si="0"/>
        <v>0.28524255026637063</v>
      </c>
      <c r="H60" s="218">
        <f t="shared" si="1"/>
        <v>0.71475744973362931</v>
      </c>
      <c r="I60" s="971">
        <f t="shared" si="2"/>
        <v>2.1576650780933639</v>
      </c>
      <c r="J60" s="971">
        <f t="shared" si="3"/>
        <v>5.4066519429066666</v>
      </c>
      <c r="K60" s="218">
        <f t="shared" si="4"/>
        <v>1.9418985702840277</v>
      </c>
      <c r="L60" s="218">
        <f t="shared" si="5"/>
        <v>2.3734315859027006</v>
      </c>
      <c r="M60" s="218">
        <f t="shared" si="6"/>
        <v>4.8659867486159998</v>
      </c>
      <c r="N60" s="218">
        <f t="shared" si="7"/>
        <v>5.9473171371973335</v>
      </c>
      <c r="O60">
        <v>1</v>
      </c>
      <c r="P60">
        <v>1</v>
      </c>
      <c r="Q60">
        <v>2</v>
      </c>
      <c r="R60">
        <v>2</v>
      </c>
      <c r="S60">
        <v>2</v>
      </c>
    </row>
    <row r="61" spans="1:19">
      <c r="A61" s="915" t="s">
        <v>180</v>
      </c>
      <c r="B61" s="915">
        <v>2016</v>
      </c>
      <c r="C61" s="915" t="s">
        <v>92</v>
      </c>
      <c r="D61" s="218">
        <v>20.378832478</v>
      </c>
      <c r="E61" s="218">
        <v>6.44808467515176</v>
      </c>
      <c r="F61" s="218">
        <v>28.1643669523482</v>
      </c>
      <c r="G61" s="218">
        <f t="shared" si="0"/>
        <v>0.18629378654093051</v>
      </c>
      <c r="H61" s="218">
        <f t="shared" si="1"/>
        <v>0.81370621345906946</v>
      </c>
      <c r="I61" s="971">
        <f t="shared" si="2"/>
        <v>2.6516348075418459</v>
      </c>
      <c r="J61" s="971">
        <f t="shared" si="3"/>
        <v>11.581984341958115</v>
      </c>
      <c r="K61" s="218">
        <f t="shared" si="4"/>
        <v>2.3864713267876612</v>
      </c>
      <c r="L61" s="218">
        <f t="shared" si="5"/>
        <v>2.9167982882960306</v>
      </c>
      <c r="M61" s="218">
        <f t="shared" si="6"/>
        <v>10.423785907762305</v>
      </c>
      <c r="N61" s="218">
        <f t="shared" si="7"/>
        <v>12.740182776153928</v>
      </c>
      <c r="O61">
        <v>1</v>
      </c>
      <c r="P61">
        <v>1</v>
      </c>
      <c r="Q61">
        <v>2</v>
      </c>
      <c r="R61">
        <v>2</v>
      </c>
      <c r="S61">
        <v>2</v>
      </c>
    </row>
    <row r="62" spans="1:19">
      <c r="A62" s="915" t="s">
        <v>180</v>
      </c>
      <c r="B62" s="915">
        <v>2017</v>
      </c>
      <c r="C62" s="915" t="s">
        <v>99</v>
      </c>
      <c r="D62" s="218">
        <v>8.8705314049999995</v>
      </c>
      <c r="E62" s="218">
        <v>2.7178807889862102</v>
      </c>
      <c r="F62" s="218">
        <v>17.034923070113798</v>
      </c>
      <c r="G62" s="218">
        <f t="shared" si="0"/>
        <v>0.13759468318388113</v>
      </c>
      <c r="H62" s="218">
        <f t="shared" si="1"/>
        <v>0.86240531681611887</v>
      </c>
      <c r="I62" s="971">
        <f t="shared" si="2"/>
        <v>1.4973428306425673</v>
      </c>
      <c r="J62" s="971">
        <f t="shared" si="3"/>
        <v>9.3849296234574417</v>
      </c>
      <c r="K62" s="218">
        <f t="shared" si="4"/>
        <v>1.3476085475783106</v>
      </c>
      <c r="L62" s="218">
        <f t="shared" si="5"/>
        <v>1.6470771137068243</v>
      </c>
      <c r="M62" s="218">
        <f t="shared" si="6"/>
        <v>8.4464366611116972</v>
      </c>
      <c r="N62" s="218">
        <f t="shared" si="7"/>
        <v>10.323422585803186</v>
      </c>
      <c r="O62">
        <v>1</v>
      </c>
      <c r="P62">
        <v>1</v>
      </c>
      <c r="Q62">
        <v>2</v>
      </c>
      <c r="R62">
        <v>2</v>
      </c>
      <c r="S62">
        <v>2</v>
      </c>
    </row>
    <row r="63" spans="1:19">
      <c r="A63" s="915" t="s">
        <v>180</v>
      </c>
      <c r="B63" s="915">
        <v>2017</v>
      </c>
      <c r="C63" s="915" t="s">
        <v>98</v>
      </c>
      <c r="D63" s="218">
        <v>18.213439018999999</v>
      </c>
      <c r="E63" s="218">
        <v>4.4825118309821503</v>
      </c>
      <c r="F63" s="218">
        <v>28.3359051149178</v>
      </c>
      <c r="G63" s="218">
        <f t="shared" si="0"/>
        <v>0.13658525450424436</v>
      </c>
      <c r="H63" s="218">
        <f t="shared" si="1"/>
        <v>0.8634147454957557</v>
      </c>
      <c r="I63" s="971">
        <f t="shared" si="2"/>
        <v>1.9948246271745007</v>
      </c>
      <c r="J63" s="971">
        <f t="shared" si="3"/>
        <v>12.61015329972545</v>
      </c>
      <c r="K63" s="218">
        <f t="shared" si="4"/>
        <v>1.7953421644570506</v>
      </c>
      <c r="L63" s="218">
        <f t="shared" si="5"/>
        <v>2.194307089891951</v>
      </c>
      <c r="M63" s="218">
        <f t="shared" si="6"/>
        <v>11.349137969752906</v>
      </c>
      <c r="N63" s="218">
        <f t="shared" si="7"/>
        <v>13.871168629697996</v>
      </c>
      <c r="O63">
        <v>1</v>
      </c>
      <c r="P63">
        <v>1</v>
      </c>
      <c r="Q63">
        <v>2</v>
      </c>
      <c r="R63">
        <v>2</v>
      </c>
      <c r="S63">
        <v>2</v>
      </c>
    </row>
    <row r="64" spans="1:19">
      <c r="A64" s="915" t="s">
        <v>180</v>
      </c>
      <c r="B64" s="915">
        <v>2017</v>
      </c>
      <c r="C64" s="915" t="s">
        <v>95</v>
      </c>
      <c r="D64" s="218">
        <v>23.019471899199999</v>
      </c>
      <c r="E64" s="218">
        <v>8.9314289821303792</v>
      </c>
      <c r="F64" s="218">
        <v>39.039347985469597</v>
      </c>
      <c r="G64" s="218">
        <f t="shared" si="0"/>
        <v>0.18618478888017118</v>
      </c>
      <c r="H64" s="218">
        <f t="shared" si="1"/>
        <v>0.8138152111198288</v>
      </c>
      <c r="I64" s="971">
        <f t="shared" si="2"/>
        <v>4.6455534664447944</v>
      </c>
      <c r="J64" s="971">
        <f t="shared" si="3"/>
        <v>20.305751601955183</v>
      </c>
      <c r="K64" s="218">
        <f t="shared" si="4"/>
        <v>4.1809981198003152</v>
      </c>
      <c r="L64" s="218">
        <f t="shared" si="5"/>
        <v>5.1101088130892744</v>
      </c>
      <c r="M64" s="218">
        <f t="shared" si="6"/>
        <v>18.275176441759665</v>
      </c>
      <c r="N64" s="218">
        <f t="shared" si="7"/>
        <v>22.336326762150705</v>
      </c>
      <c r="O64">
        <v>1</v>
      </c>
      <c r="P64">
        <v>1</v>
      </c>
      <c r="Q64">
        <v>2</v>
      </c>
      <c r="R64">
        <v>2</v>
      </c>
      <c r="S64">
        <v>2</v>
      </c>
    </row>
    <row r="65" spans="1:19">
      <c r="A65" s="915" t="s">
        <v>180</v>
      </c>
      <c r="B65" s="915">
        <v>2017</v>
      </c>
      <c r="C65" s="915" t="s">
        <v>91</v>
      </c>
      <c r="D65" s="218">
        <v>116.65476798582</v>
      </c>
      <c r="E65" s="218">
        <v>30.4537635870157</v>
      </c>
      <c r="F65" s="218">
        <v>208.10389072913401</v>
      </c>
      <c r="G65" s="218">
        <f t="shared" si="0"/>
        <v>0.12765787655950331</v>
      </c>
      <c r="H65" s="218">
        <f t="shared" si="1"/>
        <v>0.87234212344049666</v>
      </c>
      <c r="I65" s="971">
        <f t="shared" si="2"/>
        <v>15.561863615404393</v>
      </c>
      <c r="J65" s="971">
        <f t="shared" si="3"/>
        <v>106.34102271492532</v>
      </c>
      <c r="K65" s="218">
        <f t="shared" si="4"/>
        <v>14.005677253863954</v>
      </c>
      <c r="L65" s="218">
        <f t="shared" si="5"/>
        <v>17.118049976944835</v>
      </c>
      <c r="M65" s="218">
        <f t="shared" si="6"/>
        <v>95.706920443432793</v>
      </c>
      <c r="N65" s="218">
        <f t="shared" si="7"/>
        <v>116.97512498641785</v>
      </c>
      <c r="O65">
        <v>1</v>
      </c>
      <c r="P65">
        <v>1</v>
      </c>
      <c r="Q65">
        <v>2</v>
      </c>
      <c r="R65">
        <v>2</v>
      </c>
      <c r="S65">
        <v>2</v>
      </c>
    </row>
    <row r="66" spans="1:19">
      <c r="A66" s="915" t="s">
        <v>180</v>
      </c>
      <c r="B66" s="915">
        <v>2017</v>
      </c>
      <c r="C66" s="915" t="s">
        <v>93</v>
      </c>
      <c r="D66" s="218">
        <v>18.539099319000002</v>
      </c>
      <c r="E66" s="218">
        <v>8.4864438229593695</v>
      </c>
      <c r="F66" s="218">
        <v>20.151662381040602</v>
      </c>
      <c r="G66" s="218">
        <f t="shared" si="0"/>
        <v>0.2963339741289891</v>
      </c>
      <c r="H66" s="218">
        <f t="shared" si="1"/>
        <v>0.7036660258710109</v>
      </c>
      <c r="I66" s="971">
        <f t="shared" si="2"/>
        <v>2.9926788449880632</v>
      </c>
      <c r="J66" s="971">
        <f t="shared" si="3"/>
        <v>7.1063280400119062</v>
      </c>
      <c r="K66" s="218">
        <f t="shared" si="4"/>
        <v>2.6934109604892571</v>
      </c>
      <c r="L66" s="218">
        <f t="shared" si="5"/>
        <v>3.2919467294868698</v>
      </c>
      <c r="M66" s="218">
        <f t="shared" si="6"/>
        <v>6.3956952360107158</v>
      </c>
      <c r="N66" s="218">
        <f t="shared" si="7"/>
        <v>7.8169608440130975</v>
      </c>
      <c r="O66">
        <v>1</v>
      </c>
      <c r="P66">
        <v>1</v>
      </c>
      <c r="Q66">
        <v>2</v>
      </c>
      <c r="R66">
        <v>2</v>
      </c>
      <c r="S66">
        <v>2</v>
      </c>
    </row>
    <row r="67" spans="1:19">
      <c r="A67" s="915" t="s">
        <v>180</v>
      </c>
      <c r="B67" s="915">
        <v>2017</v>
      </c>
      <c r="C67" s="915" t="s">
        <v>90</v>
      </c>
      <c r="D67" s="218">
        <v>11.718102123</v>
      </c>
      <c r="E67" s="218">
        <v>5.1317544799836003</v>
      </c>
      <c r="F67" s="218">
        <v>13.021409575016399</v>
      </c>
      <c r="G67" s="218">
        <f t="shared" si="0"/>
        <v>0.28269201250181736</v>
      </c>
      <c r="H67" s="218">
        <f t="shared" si="1"/>
        <v>0.7173079874981827</v>
      </c>
      <c r="I67" s="971">
        <f t="shared" si="2"/>
        <v>1.8191406081309118</v>
      </c>
      <c r="J67" s="971">
        <f t="shared" si="3"/>
        <v>4.6159213238690882</v>
      </c>
      <c r="K67" s="218">
        <f t="shared" si="4"/>
        <v>1.6372265473178207</v>
      </c>
      <c r="L67" s="218">
        <f t="shared" si="5"/>
        <v>2.0010546689440032</v>
      </c>
      <c r="M67" s="218">
        <f t="shared" si="6"/>
        <v>4.1543291914821792</v>
      </c>
      <c r="N67" s="218">
        <f t="shared" si="7"/>
        <v>5.0775134562559971</v>
      </c>
      <c r="O67">
        <v>1</v>
      </c>
      <c r="P67">
        <v>1</v>
      </c>
      <c r="Q67">
        <v>2</v>
      </c>
      <c r="R67">
        <v>2</v>
      </c>
      <c r="S67">
        <v>2</v>
      </c>
    </row>
    <row r="68" spans="1:19">
      <c r="A68" s="915" t="s">
        <v>180</v>
      </c>
      <c r="B68" s="915">
        <v>2017</v>
      </c>
      <c r="C68" s="915" t="s">
        <v>92</v>
      </c>
      <c r="D68" s="218">
        <v>21.613362400500002</v>
      </c>
      <c r="E68" s="218">
        <v>6.2817467644420999</v>
      </c>
      <c r="F68" s="218">
        <v>27.853160043057901</v>
      </c>
      <c r="G68" s="218">
        <f t="shared" si="0"/>
        <v>0.18402706648262759</v>
      </c>
      <c r="H68" s="218">
        <f t="shared" si="1"/>
        <v>0.81597293351737243</v>
      </c>
      <c r="I68" s="971">
        <f t="shared" si="2"/>
        <v>2.3043030850521626</v>
      </c>
      <c r="J68" s="971">
        <f t="shared" si="3"/>
        <v>10.217241321947835</v>
      </c>
      <c r="K68" s="218">
        <f t="shared" si="4"/>
        <v>2.0738727765469465</v>
      </c>
      <c r="L68" s="218">
        <f t="shared" si="5"/>
        <v>2.5347333935573793</v>
      </c>
      <c r="M68" s="218">
        <f t="shared" si="6"/>
        <v>9.1955171897530512</v>
      </c>
      <c r="N68" s="218">
        <f t="shared" si="7"/>
        <v>11.238965454142619</v>
      </c>
      <c r="O68">
        <v>1</v>
      </c>
      <c r="P68">
        <v>1</v>
      </c>
      <c r="Q68">
        <v>2</v>
      </c>
      <c r="R68">
        <v>2</v>
      </c>
      <c r="S68">
        <v>2</v>
      </c>
    </row>
    <row r="69" spans="1:19">
      <c r="A69" s="915" t="s">
        <v>180</v>
      </c>
      <c r="B69" s="915">
        <v>2018</v>
      </c>
      <c r="C69" s="915" t="s">
        <v>99</v>
      </c>
      <c r="D69" s="218">
        <v>10.01495948</v>
      </c>
      <c r="E69" s="218">
        <v>3.09438205478282</v>
      </c>
      <c r="F69" s="218">
        <v>18.794389385617201</v>
      </c>
      <c r="G69" s="218">
        <f t="shared" si="0"/>
        <v>0.14136846662264155</v>
      </c>
      <c r="H69" s="218">
        <f t="shared" si="1"/>
        <v>0.85863153337735842</v>
      </c>
      <c r="I69" s="971">
        <f t="shared" si="2"/>
        <v>1.6785825898073325</v>
      </c>
      <c r="J69" s="971">
        <f t="shared" si="3"/>
        <v>10.195229370592688</v>
      </c>
      <c r="K69" s="218">
        <f t="shared" si="4"/>
        <v>1.5107243308265994</v>
      </c>
      <c r="L69" s="218">
        <f t="shared" si="5"/>
        <v>1.8464408487880659</v>
      </c>
      <c r="M69" s="218">
        <f t="shared" si="6"/>
        <v>9.1757064335334206</v>
      </c>
      <c r="N69" s="218">
        <f t="shared" si="7"/>
        <v>11.214752307651958</v>
      </c>
      <c r="O69">
        <v>1</v>
      </c>
      <c r="P69">
        <v>1</v>
      </c>
      <c r="Q69">
        <v>2</v>
      </c>
      <c r="R69">
        <v>2</v>
      </c>
      <c r="S69">
        <v>2</v>
      </c>
    </row>
    <row r="70" spans="1:19">
      <c r="A70" s="915" t="s">
        <v>180</v>
      </c>
      <c r="B70" s="915">
        <v>2018</v>
      </c>
      <c r="C70" s="915" t="s">
        <v>98</v>
      </c>
      <c r="D70" s="218">
        <v>19.549108049899999</v>
      </c>
      <c r="E70" s="218">
        <v>5.8008226209240696</v>
      </c>
      <c r="F70" s="218">
        <v>30.629017057775901</v>
      </c>
      <c r="G70" s="218">
        <f t="shared" si="0"/>
        <v>0.15923272438433847</v>
      </c>
      <c r="H70" s="218">
        <f t="shared" si="1"/>
        <v>0.84076727561566156</v>
      </c>
      <c r="I70" s="971">
        <f t="shared" si="2"/>
        <v>2.6879648868546906</v>
      </c>
      <c r="J70" s="971">
        <f t="shared" si="3"/>
        <v>14.192766741945281</v>
      </c>
      <c r="K70" s="218">
        <f t="shared" si="4"/>
        <v>2.4191683981692216</v>
      </c>
      <c r="L70" s="218">
        <f t="shared" si="5"/>
        <v>2.9567613755401601</v>
      </c>
      <c r="M70" s="218">
        <f t="shared" si="6"/>
        <v>12.773490067750753</v>
      </c>
      <c r="N70" s="218">
        <f t="shared" si="7"/>
        <v>15.612043416139811</v>
      </c>
      <c r="O70">
        <v>1</v>
      </c>
      <c r="P70">
        <v>1</v>
      </c>
      <c r="Q70">
        <v>2</v>
      </c>
      <c r="R70">
        <v>2</v>
      </c>
      <c r="S70">
        <v>2</v>
      </c>
    </row>
    <row r="71" spans="1:19">
      <c r="A71" s="915" t="s">
        <v>180</v>
      </c>
      <c r="B71" s="915">
        <v>2018</v>
      </c>
      <c r="C71" s="915" t="s">
        <v>95</v>
      </c>
      <c r="D71" s="218">
        <v>25.0729939241</v>
      </c>
      <c r="E71" s="218">
        <v>10.0414327235114</v>
      </c>
      <c r="F71" s="218">
        <v>43.979649269488597</v>
      </c>
      <c r="G71" s="218">
        <f t="shared" si="0"/>
        <v>0.18587988898135288</v>
      </c>
      <c r="H71" s="218">
        <f t="shared" si="1"/>
        <v>0.81412011101864712</v>
      </c>
      <c r="I71" s="971">
        <f t="shared" si="2"/>
        <v>5.380867396469557</v>
      </c>
      <c r="J71" s="971">
        <f t="shared" si="3"/>
        <v>23.567220672430441</v>
      </c>
      <c r="K71" s="218">
        <f t="shared" si="4"/>
        <v>4.8427806568226011</v>
      </c>
      <c r="L71" s="218">
        <f t="shared" si="5"/>
        <v>5.918954136116513</v>
      </c>
      <c r="M71" s="218">
        <f t="shared" si="6"/>
        <v>21.210498605187396</v>
      </c>
      <c r="N71" s="218">
        <f t="shared" si="7"/>
        <v>25.923942739673485</v>
      </c>
      <c r="O71">
        <v>1</v>
      </c>
      <c r="P71">
        <v>1</v>
      </c>
      <c r="Q71">
        <v>2</v>
      </c>
      <c r="R71">
        <v>2</v>
      </c>
      <c r="S71">
        <v>2</v>
      </c>
    </row>
    <row r="72" spans="1:19">
      <c r="A72" s="915" t="s">
        <v>180</v>
      </c>
      <c r="B72" s="915">
        <v>2018</v>
      </c>
      <c r="C72" s="915" t="s">
        <v>91</v>
      </c>
      <c r="D72" s="218">
        <v>126.51916299478</v>
      </c>
      <c r="E72" s="218">
        <v>36.5812226523812</v>
      </c>
      <c r="F72" s="218">
        <v>231.43261374930901</v>
      </c>
      <c r="G72" s="218">
        <f t="shared" si="0"/>
        <v>0.13649005269099046</v>
      </c>
      <c r="H72" s="218">
        <f t="shared" si="1"/>
        <v>0.86350994730900954</v>
      </c>
      <c r="I72" s="971">
        <f t="shared" si="2"/>
        <v>19.312615428803667</v>
      </c>
      <c r="J72" s="971">
        <f t="shared" si="3"/>
        <v>122.18205797810654</v>
      </c>
      <c r="K72" s="218">
        <f t="shared" si="4"/>
        <v>17.3813538859233</v>
      </c>
      <c r="L72" s="218">
        <f t="shared" si="5"/>
        <v>21.243876971684035</v>
      </c>
      <c r="M72" s="218">
        <f t="shared" si="6"/>
        <v>109.96385218029589</v>
      </c>
      <c r="N72" s="218">
        <f t="shared" si="7"/>
        <v>134.40026377591721</v>
      </c>
      <c r="O72">
        <v>1</v>
      </c>
      <c r="P72">
        <v>1</v>
      </c>
      <c r="Q72">
        <v>2</v>
      </c>
      <c r="R72">
        <v>2</v>
      </c>
      <c r="S72">
        <v>2</v>
      </c>
    </row>
    <row r="73" spans="1:19">
      <c r="A73" s="915" t="s">
        <v>180</v>
      </c>
      <c r="B73" s="915">
        <v>2018</v>
      </c>
      <c r="C73" s="915" t="s">
        <v>93</v>
      </c>
      <c r="D73" s="218">
        <v>18.712387209999999</v>
      </c>
      <c r="E73" s="218">
        <v>8.3623091552026896</v>
      </c>
      <c r="F73" s="218">
        <v>21.463345414797299</v>
      </c>
      <c r="G73" s="218">
        <f t="shared" si="0"/>
        <v>0.28037303039155703</v>
      </c>
      <c r="H73" s="218">
        <f t="shared" si="1"/>
        <v>0.71962696960844297</v>
      </c>
      <c r="I73" s="971">
        <f t="shared" si="2"/>
        <v>3.1158604472747768</v>
      </c>
      <c r="J73" s="971">
        <f t="shared" si="3"/>
        <v>7.9974069127252125</v>
      </c>
      <c r="K73" s="218">
        <f t="shared" si="4"/>
        <v>2.8042744025472994</v>
      </c>
      <c r="L73" s="218">
        <f t="shared" si="5"/>
        <v>3.4274464920022547</v>
      </c>
      <c r="M73" s="218">
        <f t="shared" si="6"/>
        <v>7.1976662214526916</v>
      </c>
      <c r="N73" s="218">
        <f t="shared" si="7"/>
        <v>8.7971476039977343</v>
      </c>
      <c r="O73">
        <v>1</v>
      </c>
      <c r="P73">
        <v>1</v>
      </c>
      <c r="Q73">
        <v>2</v>
      </c>
      <c r="R73">
        <v>2</v>
      </c>
      <c r="S73">
        <v>2</v>
      </c>
    </row>
    <row r="74" spans="1:19">
      <c r="A74" s="915" t="s">
        <v>180</v>
      </c>
      <c r="B74" s="915">
        <v>2018</v>
      </c>
      <c r="C74" s="915" t="s">
        <v>90</v>
      </c>
      <c r="D74" s="218">
        <v>11.878221567000001</v>
      </c>
      <c r="E74" s="218">
        <v>5.1216061603965004</v>
      </c>
      <c r="F74" s="218">
        <v>13.8619566586035</v>
      </c>
      <c r="G74" s="218">
        <f t="shared" si="0"/>
        <v>0.26979161968850546</v>
      </c>
      <c r="H74" s="218">
        <f t="shared" si="1"/>
        <v>0.73020838031149449</v>
      </c>
      <c r="I74" s="971">
        <f t="shared" si="2"/>
        <v>1.916961524816633</v>
      </c>
      <c r="J74" s="971">
        <f t="shared" si="3"/>
        <v>5.1883797271833672</v>
      </c>
      <c r="K74" s="218">
        <f t="shared" si="4"/>
        <v>1.7252653723349698</v>
      </c>
      <c r="L74" s="218">
        <f t="shared" si="5"/>
        <v>2.1086576772982966</v>
      </c>
      <c r="M74" s="218">
        <f t="shared" si="6"/>
        <v>4.6695417544650306</v>
      </c>
      <c r="N74" s="218">
        <f t="shared" si="7"/>
        <v>5.7072176999017046</v>
      </c>
      <c r="O74">
        <v>1</v>
      </c>
      <c r="P74">
        <v>1</v>
      </c>
      <c r="Q74">
        <v>2</v>
      </c>
      <c r="R74">
        <v>2</v>
      </c>
      <c r="S74">
        <v>2</v>
      </c>
    </row>
    <row r="75" spans="1:19">
      <c r="A75" s="915" t="s">
        <v>180</v>
      </c>
      <c r="B75" s="915">
        <v>2018</v>
      </c>
      <c r="C75" s="915" t="s">
        <v>92</v>
      </c>
      <c r="D75" s="218">
        <v>22.5402549935</v>
      </c>
      <c r="E75" s="218">
        <v>7.2968744228814399</v>
      </c>
      <c r="F75" s="218">
        <v>29.433377644618599</v>
      </c>
      <c r="G75" s="218">
        <f t="shared" si="0"/>
        <v>0.19866115836808862</v>
      </c>
      <c r="H75" s="218">
        <f t="shared" si="1"/>
        <v>0.80133884163191138</v>
      </c>
      <c r="I75" s="971">
        <f t="shared" si="2"/>
        <v>2.8190012559606359</v>
      </c>
      <c r="J75" s="971">
        <f t="shared" si="3"/>
        <v>11.370995818039404</v>
      </c>
      <c r="K75" s="218">
        <f t="shared" si="4"/>
        <v>2.5371011303645723</v>
      </c>
      <c r="L75" s="218">
        <f t="shared" si="5"/>
        <v>3.1009013815566999</v>
      </c>
      <c r="M75" s="218">
        <f t="shared" si="6"/>
        <v>10.233896236235465</v>
      </c>
      <c r="N75" s="218">
        <f t="shared" si="7"/>
        <v>12.508095399843345</v>
      </c>
      <c r="O75">
        <v>1</v>
      </c>
      <c r="P75">
        <v>1</v>
      </c>
      <c r="Q75">
        <v>2</v>
      </c>
      <c r="R75">
        <v>2</v>
      </c>
      <c r="S75">
        <v>2</v>
      </c>
    </row>
    <row r="76" spans="1:19">
      <c r="A76" s="915" t="s">
        <v>180</v>
      </c>
      <c r="B76" s="915">
        <v>2019</v>
      </c>
      <c r="C76" s="915" t="s">
        <v>99</v>
      </c>
      <c r="D76" s="218">
        <v>10.035812916999999</v>
      </c>
      <c r="E76" s="218">
        <v>2.9301375142839801</v>
      </c>
      <c r="F76" s="218">
        <v>17.548546315115999</v>
      </c>
      <c r="G76" s="218">
        <f t="shared" si="0"/>
        <v>0.14308231616317854</v>
      </c>
      <c r="H76" s="218">
        <f t="shared" si="1"/>
        <v>0.85691768383682143</v>
      </c>
      <c r="I76" s="971">
        <f t="shared" si="2"/>
        <v>1.4941901575392751</v>
      </c>
      <c r="J76" s="971">
        <f t="shared" si="3"/>
        <v>8.948680754860705</v>
      </c>
      <c r="K76" s="218">
        <f t="shared" si="4"/>
        <v>1.3447711417853476</v>
      </c>
      <c r="L76" s="218">
        <f t="shared" si="5"/>
        <v>1.6436091732932028</v>
      </c>
      <c r="M76" s="218">
        <f t="shared" si="6"/>
        <v>8.0538126793746354</v>
      </c>
      <c r="N76" s="218">
        <f t="shared" si="7"/>
        <v>9.8435488303467764</v>
      </c>
      <c r="O76">
        <v>1</v>
      </c>
      <c r="P76">
        <v>1</v>
      </c>
      <c r="Q76">
        <v>2</v>
      </c>
      <c r="R76">
        <v>2</v>
      </c>
      <c r="S76">
        <v>2</v>
      </c>
    </row>
    <row r="77" spans="1:19">
      <c r="A77" s="915" t="s">
        <v>180</v>
      </c>
      <c r="B77" s="915">
        <v>2019</v>
      </c>
      <c r="C77" s="915" t="s">
        <v>98</v>
      </c>
      <c r="D77" s="218">
        <v>19.410142635900002</v>
      </c>
      <c r="E77" s="218">
        <v>5.06356029847315</v>
      </c>
      <c r="F77" s="218">
        <v>29.5260500174269</v>
      </c>
      <c r="G77" s="218">
        <f t="shared" si="0"/>
        <v>0.14638963122824045</v>
      </c>
      <c r="H77" s="218">
        <f t="shared" si="1"/>
        <v>0.85361036877175955</v>
      </c>
      <c r="I77" s="971">
        <f t="shared" si="2"/>
        <v>2.2221166759162019</v>
      </c>
      <c r="J77" s="971">
        <f t="shared" si="3"/>
        <v>12.957351004083847</v>
      </c>
      <c r="K77" s="218">
        <f t="shared" si="4"/>
        <v>1.9999050083245817</v>
      </c>
      <c r="L77" s="218">
        <f t="shared" si="5"/>
        <v>2.4443283435078222</v>
      </c>
      <c r="M77" s="218">
        <f t="shared" si="6"/>
        <v>11.661615903675463</v>
      </c>
      <c r="N77" s="218">
        <f t="shared" si="7"/>
        <v>14.253086104492233</v>
      </c>
      <c r="O77">
        <v>1</v>
      </c>
      <c r="P77">
        <v>1</v>
      </c>
      <c r="Q77">
        <v>2</v>
      </c>
      <c r="R77">
        <v>2</v>
      </c>
      <c r="S77">
        <v>2</v>
      </c>
    </row>
    <row r="78" spans="1:19">
      <c r="A78" s="915" t="s">
        <v>180</v>
      </c>
      <c r="B78" s="915">
        <v>2019</v>
      </c>
      <c r="C78" s="915" t="s">
        <v>95</v>
      </c>
      <c r="D78" s="218">
        <v>25.6266245612</v>
      </c>
      <c r="E78" s="218">
        <v>8.8998138360777403</v>
      </c>
      <c r="F78" s="218">
        <v>42.516774695422299</v>
      </c>
      <c r="G78" s="218">
        <f t="shared" si="0"/>
        <v>0.17309226633395422</v>
      </c>
      <c r="H78" s="218">
        <f t="shared" si="1"/>
        <v>0.82690773366604575</v>
      </c>
      <c r="I78" s="971">
        <f t="shared" si="2"/>
        <v>4.464043312290257</v>
      </c>
      <c r="J78" s="971">
        <f t="shared" si="3"/>
        <v>21.325920658009782</v>
      </c>
      <c r="K78" s="218">
        <f t="shared" si="4"/>
        <v>4.0176389810612312</v>
      </c>
      <c r="L78" s="218">
        <f t="shared" si="5"/>
        <v>4.9104476435192828</v>
      </c>
      <c r="M78" s="218">
        <f t="shared" si="6"/>
        <v>19.193328592208804</v>
      </c>
      <c r="N78" s="218">
        <f t="shared" si="7"/>
        <v>23.458512723810763</v>
      </c>
      <c r="O78">
        <v>1</v>
      </c>
      <c r="P78">
        <v>1</v>
      </c>
      <c r="Q78">
        <v>2</v>
      </c>
      <c r="R78">
        <v>2</v>
      </c>
      <c r="S78">
        <v>2</v>
      </c>
    </row>
    <row r="79" spans="1:19">
      <c r="A79" s="915" t="s">
        <v>180</v>
      </c>
      <c r="B79" s="915">
        <v>2019</v>
      </c>
      <c r="C79" s="915" t="s">
        <v>91</v>
      </c>
      <c r="D79" s="218">
        <v>125.96647827635</v>
      </c>
      <c r="E79" s="218">
        <v>30.8689127575627</v>
      </c>
      <c r="F79" s="218">
        <v>222.749108674057</v>
      </c>
      <c r="G79" s="218">
        <f t="shared" si="0"/>
        <v>0.12171419279794971</v>
      </c>
      <c r="H79" s="218">
        <f t="shared" si="1"/>
        <v>0.87828580720205029</v>
      </c>
      <c r="I79" s="971">
        <f t="shared" si="2"/>
        <v>15.537004534556292</v>
      </c>
      <c r="J79" s="971">
        <f t="shared" si="3"/>
        <v>112.1145386207134</v>
      </c>
      <c r="K79" s="218">
        <f t="shared" si="4"/>
        <v>13.983304081100663</v>
      </c>
      <c r="L79" s="218">
        <f t="shared" si="5"/>
        <v>17.090704988011922</v>
      </c>
      <c r="M79" s="218">
        <f t="shared" si="6"/>
        <v>100.90308475864207</v>
      </c>
      <c r="N79" s="218">
        <f t="shared" si="7"/>
        <v>123.32599248278476</v>
      </c>
      <c r="O79">
        <v>1</v>
      </c>
      <c r="P79">
        <v>1</v>
      </c>
      <c r="Q79">
        <v>2</v>
      </c>
      <c r="R79">
        <v>2</v>
      </c>
      <c r="S79">
        <v>2</v>
      </c>
    </row>
    <row r="80" spans="1:19">
      <c r="A80" s="915" t="s">
        <v>180</v>
      </c>
      <c r="B80" s="915">
        <v>2019</v>
      </c>
      <c r="C80" s="915" t="s">
        <v>93</v>
      </c>
      <c r="D80" s="218">
        <v>17.814076269000001</v>
      </c>
      <c r="E80" s="218">
        <v>7.3827467759862397</v>
      </c>
      <c r="F80" s="218">
        <v>21.224926079013802</v>
      </c>
      <c r="G80" s="218">
        <f t="shared" si="0"/>
        <v>0.25806876404823981</v>
      </c>
      <c r="H80" s="218">
        <f t="shared" si="1"/>
        <v>0.74193123595176025</v>
      </c>
      <c r="I80" s="971">
        <f t="shared" si="2"/>
        <v>2.7854901305843303</v>
      </c>
      <c r="J80" s="971">
        <f t="shared" si="3"/>
        <v>8.0081064554157084</v>
      </c>
      <c r="K80" s="218">
        <f t="shared" si="4"/>
        <v>2.5069411175258973</v>
      </c>
      <c r="L80" s="218">
        <f t="shared" si="5"/>
        <v>3.0640391436427636</v>
      </c>
      <c r="M80" s="218">
        <f t="shared" si="6"/>
        <v>7.2072958098741378</v>
      </c>
      <c r="N80" s="218">
        <f t="shared" si="7"/>
        <v>8.8089171009572809</v>
      </c>
      <c r="O80">
        <v>1</v>
      </c>
      <c r="P80">
        <v>1</v>
      </c>
      <c r="Q80">
        <v>2</v>
      </c>
      <c r="R80">
        <v>2</v>
      </c>
      <c r="S80">
        <v>2</v>
      </c>
    </row>
    <row r="81" spans="1:19">
      <c r="A81" s="915" t="s">
        <v>180</v>
      </c>
      <c r="B81" s="915">
        <v>2019</v>
      </c>
      <c r="C81" s="915" t="s">
        <v>90</v>
      </c>
      <c r="D81" s="218">
        <v>11.317652388000001</v>
      </c>
      <c r="E81" s="218">
        <v>4.4926394129295399</v>
      </c>
      <c r="F81" s="218">
        <v>13.663754943070501</v>
      </c>
      <c r="G81" s="218">
        <f t="shared" si="0"/>
        <v>0.24744116727365983</v>
      </c>
      <c r="H81" s="218">
        <f t="shared" si="1"/>
        <v>0.75255883272634017</v>
      </c>
      <c r="I81" s="971">
        <f t="shared" si="2"/>
        <v>1.6921862952452962</v>
      </c>
      <c r="J81" s="971">
        <f t="shared" si="3"/>
        <v>5.1465556727547437</v>
      </c>
      <c r="K81" s="218">
        <f t="shared" si="4"/>
        <v>1.5229676657207667</v>
      </c>
      <c r="L81" s="218">
        <f t="shared" si="5"/>
        <v>1.8614049247698259</v>
      </c>
      <c r="M81" s="218">
        <f t="shared" si="6"/>
        <v>4.6319001054792697</v>
      </c>
      <c r="N81" s="218">
        <f t="shared" si="7"/>
        <v>5.6612112400302186</v>
      </c>
      <c r="O81">
        <v>1</v>
      </c>
      <c r="P81">
        <v>1</v>
      </c>
      <c r="Q81">
        <v>2</v>
      </c>
      <c r="R81">
        <v>2</v>
      </c>
      <c r="S81">
        <v>2</v>
      </c>
    </row>
    <row r="82" spans="1:19">
      <c r="A82" s="915" t="s">
        <v>180</v>
      </c>
      <c r="B82" s="915">
        <v>2019</v>
      </c>
      <c r="C82" s="915" t="s">
        <v>92</v>
      </c>
      <c r="D82" s="218">
        <v>21.589822731000002</v>
      </c>
      <c r="E82" s="218">
        <v>5.9459532917211302</v>
      </c>
      <c r="F82" s="218">
        <v>28.3987451692789</v>
      </c>
      <c r="G82" s="218">
        <f t="shared" si="0"/>
        <v>0.17312579693989835</v>
      </c>
      <c r="H82" s="218">
        <f t="shared" si="1"/>
        <v>0.82687420306010162</v>
      </c>
      <c r="I82" s="971">
        <f t="shared" si="2"/>
        <v>2.2081980256256224</v>
      </c>
      <c r="J82" s="971">
        <f t="shared" si="3"/>
        <v>10.546677704374407</v>
      </c>
      <c r="K82" s="218">
        <f t="shared" si="4"/>
        <v>1.9873782230630601</v>
      </c>
      <c r="L82" s="218">
        <f t="shared" si="5"/>
        <v>2.4290178281881847</v>
      </c>
      <c r="M82" s="218">
        <f t="shared" si="6"/>
        <v>9.4920099339369663</v>
      </c>
      <c r="N82" s="218">
        <f t="shared" si="7"/>
        <v>11.601345474811849</v>
      </c>
      <c r="O82">
        <v>1</v>
      </c>
      <c r="P82">
        <v>1</v>
      </c>
      <c r="Q82">
        <v>2</v>
      </c>
      <c r="R82">
        <v>2</v>
      </c>
      <c r="S82">
        <v>2</v>
      </c>
    </row>
    <row r="83" spans="1:19">
      <c r="A83" s="915" t="s">
        <v>180</v>
      </c>
      <c r="B83" s="915">
        <v>2020</v>
      </c>
      <c r="C83" s="915" t="s">
        <v>99</v>
      </c>
      <c r="D83" s="218">
        <v>9.1922539200000006</v>
      </c>
      <c r="E83" s="218">
        <v>1.87095304617939</v>
      </c>
      <c r="F83" s="218">
        <v>12.133247722920601</v>
      </c>
      <c r="G83" s="218">
        <f t="shared" si="0"/>
        <v>0.13359941613430831</v>
      </c>
      <c r="H83" s="218">
        <f t="shared" si="1"/>
        <v>0.86640058386569163</v>
      </c>
      <c r="I83" s="971">
        <f t="shared" si="2"/>
        <v>0.64287328950908296</v>
      </c>
      <c r="J83" s="971">
        <f t="shared" si="3"/>
        <v>4.169073559590907</v>
      </c>
      <c r="K83" s="218">
        <f t="shared" si="4"/>
        <v>0.57858596055817468</v>
      </c>
      <c r="L83" s="218">
        <f t="shared" si="5"/>
        <v>0.70716061845999134</v>
      </c>
      <c r="M83" s="218">
        <f t="shared" si="6"/>
        <v>3.7521662036318162</v>
      </c>
      <c r="N83" s="218">
        <f t="shared" si="7"/>
        <v>4.5859809155499978</v>
      </c>
      <c r="O83">
        <v>1</v>
      </c>
      <c r="P83">
        <v>1</v>
      </c>
      <c r="Q83">
        <v>2</v>
      </c>
      <c r="R83">
        <v>2</v>
      </c>
      <c r="S83">
        <v>2</v>
      </c>
    </row>
    <row r="84" spans="1:19">
      <c r="A84" s="915" t="s">
        <v>180</v>
      </c>
      <c r="B84" s="915">
        <v>2020</v>
      </c>
      <c r="C84" s="915" t="s">
        <v>98</v>
      </c>
      <c r="D84" s="218">
        <v>17.564268622699998</v>
      </c>
      <c r="E84" s="218">
        <v>3.3796470406082899</v>
      </c>
      <c r="F84" s="218">
        <v>20.1686001252917</v>
      </c>
      <c r="G84" s="218">
        <f t="shared" si="0"/>
        <v>0.1435201107240936</v>
      </c>
      <c r="H84" s="218">
        <f t="shared" si="1"/>
        <v>0.85647988927590646</v>
      </c>
      <c r="I84" s="971">
        <f t="shared" si="2"/>
        <v>0.85882126309066331</v>
      </c>
      <c r="J84" s="971">
        <f t="shared" si="3"/>
        <v>5.1251572801093275</v>
      </c>
      <c r="K84" s="218">
        <f t="shared" si="4"/>
        <v>0.77293913678159698</v>
      </c>
      <c r="L84" s="218">
        <f t="shared" si="5"/>
        <v>0.94470338939972975</v>
      </c>
      <c r="M84" s="218">
        <f t="shared" si="6"/>
        <v>4.6126415520983945</v>
      </c>
      <c r="N84" s="218">
        <f t="shared" si="7"/>
        <v>5.6376730081202604</v>
      </c>
      <c r="O84">
        <v>1</v>
      </c>
      <c r="P84">
        <v>1</v>
      </c>
      <c r="Q84">
        <v>2</v>
      </c>
      <c r="R84">
        <v>2</v>
      </c>
      <c r="S84">
        <v>2</v>
      </c>
    </row>
    <row r="85" spans="1:19">
      <c r="A85" s="915" t="s">
        <v>180</v>
      </c>
      <c r="B85" s="915">
        <v>2020</v>
      </c>
      <c r="C85" s="915" t="s">
        <v>95</v>
      </c>
      <c r="D85" s="218">
        <v>23.382186284500001</v>
      </c>
      <c r="E85" s="218">
        <v>5.9489918608376096</v>
      </c>
      <c r="F85" s="218">
        <v>27.473770125662401</v>
      </c>
      <c r="G85" s="218">
        <f t="shared" ref="G85:G103" si="8">E85/(E85+F85)</f>
        <v>0.17799222766929024</v>
      </c>
      <c r="H85" s="218">
        <f t="shared" ref="H85:H103" si="9">1-G85</f>
        <v>0.82200777233070976</v>
      </c>
      <c r="I85" s="971">
        <f t="shared" ref="I85:I103" si="10">E85-(D85*G85)</f>
        <v>1.78714443628113</v>
      </c>
      <c r="J85" s="971">
        <f t="shared" ref="J85:J103" si="11">F85-D85*H85</f>
        <v>8.2534312657188806</v>
      </c>
      <c r="K85" s="218">
        <f t="shared" ref="K85:K103" si="12">I85*$B$5</f>
        <v>1.608429992653017</v>
      </c>
      <c r="L85" s="218">
        <f t="shared" ref="L85:L103" si="13">I85*$B$4</f>
        <v>1.9658588799092431</v>
      </c>
      <c r="M85" s="218">
        <f t="shared" ref="M85:M103" si="14">J85*$B$5</f>
        <v>7.4280881391469924</v>
      </c>
      <c r="N85" s="218">
        <f t="shared" ref="N85:N103" si="15">J85*$B$4</f>
        <v>9.0787743922907698</v>
      </c>
      <c r="O85">
        <v>1</v>
      </c>
      <c r="P85">
        <v>1</v>
      </c>
      <c r="Q85">
        <v>2</v>
      </c>
      <c r="R85">
        <v>2</v>
      </c>
      <c r="S85">
        <v>2</v>
      </c>
    </row>
    <row r="86" spans="1:19">
      <c r="A86" s="915" t="s">
        <v>180</v>
      </c>
      <c r="B86" s="915">
        <v>2020</v>
      </c>
      <c r="C86" s="915" t="s">
        <v>91</v>
      </c>
      <c r="D86" s="218">
        <v>114.33510408165</v>
      </c>
      <c r="E86" s="218">
        <v>19.040808464052699</v>
      </c>
      <c r="F86" s="218">
        <v>143.989004993847</v>
      </c>
      <c r="G86" s="218">
        <f t="shared" si="8"/>
        <v>0.11679341379464767</v>
      </c>
      <c r="H86" s="218">
        <f t="shared" si="9"/>
        <v>0.88320658620535231</v>
      </c>
      <c r="I86" s="971">
        <f t="shared" si="10"/>
        <v>5.6872213417904405</v>
      </c>
      <c r="J86" s="971">
        <f t="shared" si="11"/>
        <v>43.007488034459257</v>
      </c>
      <c r="K86" s="218">
        <f t="shared" si="12"/>
        <v>5.1184992076113964</v>
      </c>
      <c r="L86" s="218">
        <f t="shared" si="13"/>
        <v>6.2559434759694854</v>
      </c>
      <c r="M86" s="218">
        <f t="shared" si="14"/>
        <v>38.70673923101333</v>
      </c>
      <c r="N86" s="218">
        <f t="shared" si="15"/>
        <v>47.308236837905184</v>
      </c>
      <c r="O86">
        <v>1</v>
      </c>
      <c r="P86">
        <v>1</v>
      </c>
      <c r="Q86">
        <v>2</v>
      </c>
      <c r="R86">
        <v>2</v>
      </c>
      <c r="S86">
        <v>2</v>
      </c>
    </row>
    <row r="87" spans="1:19">
      <c r="A87" s="915" t="s">
        <v>180</v>
      </c>
      <c r="B87" s="915">
        <v>2020</v>
      </c>
      <c r="C87" s="915" t="s">
        <v>93</v>
      </c>
      <c r="D87" s="218">
        <v>15.756675371</v>
      </c>
      <c r="E87" s="218">
        <v>5.92365786706723</v>
      </c>
      <c r="F87" s="218">
        <v>17.326536179932798</v>
      </c>
      <c r="G87" s="218">
        <f t="shared" si="8"/>
        <v>0.25477885711803594</v>
      </c>
      <c r="H87" s="218">
        <f t="shared" si="9"/>
        <v>0.74522114288196406</v>
      </c>
      <c r="I87" s="971">
        <f t="shared" si="10"/>
        <v>1.9091901240639446</v>
      </c>
      <c r="J87" s="971">
        <f t="shared" si="11"/>
        <v>5.5843285519360837</v>
      </c>
      <c r="K87" s="218">
        <f t="shared" si="12"/>
        <v>1.7182711116575502</v>
      </c>
      <c r="L87" s="218">
        <f t="shared" si="13"/>
        <v>2.1001091364703393</v>
      </c>
      <c r="M87" s="218">
        <f t="shared" si="14"/>
        <v>5.0258956967424755</v>
      </c>
      <c r="N87" s="218">
        <f t="shared" si="15"/>
        <v>6.1427614071296928</v>
      </c>
      <c r="O87">
        <v>1</v>
      </c>
      <c r="P87">
        <v>1</v>
      </c>
      <c r="Q87">
        <v>2</v>
      </c>
      <c r="R87">
        <v>2</v>
      </c>
      <c r="S87">
        <v>2</v>
      </c>
    </row>
    <row r="88" spans="1:19">
      <c r="A88" s="915" t="s">
        <v>180</v>
      </c>
      <c r="B88" s="915">
        <v>2020</v>
      </c>
      <c r="C88" s="915" t="s">
        <v>90</v>
      </c>
      <c r="D88" s="218">
        <v>10.010206473</v>
      </c>
      <c r="E88" s="218">
        <v>3.5814853497877799</v>
      </c>
      <c r="F88" s="218">
        <v>11.0681982872122</v>
      </c>
      <c r="G88" s="218">
        <f t="shared" si="8"/>
        <v>0.24447526912746428</v>
      </c>
      <c r="H88" s="218">
        <f t="shared" si="9"/>
        <v>0.75552473087253569</v>
      </c>
      <c r="I88" s="971">
        <f t="shared" si="10"/>
        <v>1.1342374282796199</v>
      </c>
      <c r="J88" s="971">
        <f t="shared" si="11"/>
        <v>3.5052397357203597</v>
      </c>
      <c r="K88" s="218">
        <f t="shared" si="12"/>
        <v>1.0208136854516581</v>
      </c>
      <c r="L88" s="218">
        <f t="shared" si="13"/>
        <v>1.247661171107582</v>
      </c>
      <c r="M88" s="218">
        <f t="shared" si="14"/>
        <v>3.1547157621483239</v>
      </c>
      <c r="N88" s="218">
        <f t="shared" si="15"/>
        <v>3.855763709292396</v>
      </c>
      <c r="O88">
        <v>1</v>
      </c>
      <c r="P88">
        <v>1</v>
      </c>
      <c r="Q88">
        <v>2</v>
      </c>
      <c r="R88">
        <v>2</v>
      </c>
      <c r="S88">
        <v>2</v>
      </c>
    </row>
    <row r="89" spans="1:19">
      <c r="A89" s="915" t="s">
        <v>180</v>
      </c>
      <c r="B89" s="915">
        <v>2020</v>
      </c>
      <c r="C89" s="915" t="s">
        <v>92</v>
      </c>
      <c r="D89" s="218">
        <v>19.051081547500001</v>
      </c>
      <c r="E89" s="218">
        <v>4.5528234466324502</v>
      </c>
      <c r="F89" s="218">
        <v>21.841717486867498</v>
      </c>
      <c r="G89" s="218">
        <f t="shared" si="8"/>
        <v>0.17249110178135388</v>
      </c>
      <c r="H89" s="218">
        <f t="shared" si="9"/>
        <v>0.82750889821864615</v>
      </c>
      <c r="I89" s="971">
        <f t="shared" si="10"/>
        <v>1.2666814003777547</v>
      </c>
      <c r="J89" s="971">
        <f t="shared" si="11"/>
        <v>6.0767779856221917</v>
      </c>
      <c r="K89" s="218">
        <f t="shared" si="12"/>
        <v>1.1400132603399793</v>
      </c>
      <c r="L89" s="218">
        <f t="shared" si="13"/>
        <v>1.3933495404155303</v>
      </c>
      <c r="M89" s="218">
        <f t="shared" si="14"/>
        <v>5.4691001870599729</v>
      </c>
      <c r="N89" s="218">
        <f t="shared" si="15"/>
        <v>6.6844557841844114</v>
      </c>
      <c r="O89">
        <v>1</v>
      </c>
      <c r="P89">
        <v>1</v>
      </c>
      <c r="Q89">
        <v>2</v>
      </c>
      <c r="R89">
        <v>2</v>
      </c>
      <c r="S89">
        <v>2</v>
      </c>
    </row>
    <row r="90" spans="1:19">
      <c r="A90" s="915" t="s">
        <v>180</v>
      </c>
      <c r="B90" s="915">
        <v>2021</v>
      </c>
      <c r="C90" s="915" t="s">
        <v>99</v>
      </c>
      <c r="D90" s="218">
        <v>10.636048544499999</v>
      </c>
      <c r="E90" s="218">
        <v>2.05528480173784</v>
      </c>
      <c r="F90" s="218">
        <v>14.4143000217622</v>
      </c>
      <c r="G90" s="218">
        <f t="shared" si="8"/>
        <v>0.12479275122984311</v>
      </c>
      <c r="H90" s="218">
        <f t="shared" si="9"/>
        <v>0.87520724877015688</v>
      </c>
      <c r="I90" s="971">
        <f t="shared" si="10"/>
        <v>0.72798304165551664</v>
      </c>
      <c r="J90" s="971">
        <f t="shared" si="11"/>
        <v>5.1055532373445232</v>
      </c>
      <c r="K90" s="218">
        <f t="shared" si="12"/>
        <v>0.65518473748996497</v>
      </c>
      <c r="L90" s="218">
        <f t="shared" si="13"/>
        <v>0.80078134582106841</v>
      </c>
      <c r="M90" s="218">
        <f t="shared" si="14"/>
        <v>4.5949979136100714</v>
      </c>
      <c r="N90" s="218">
        <f t="shared" si="15"/>
        <v>5.6161085610789758</v>
      </c>
      <c r="O90">
        <v>1</v>
      </c>
      <c r="P90">
        <v>1</v>
      </c>
      <c r="Q90">
        <v>2</v>
      </c>
      <c r="R90">
        <v>2</v>
      </c>
      <c r="S90">
        <v>2</v>
      </c>
    </row>
    <row r="91" spans="1:19">
      <c r="A91" s="915" t="s">
        <v>180</v>
      </c>
      <c r="B91" s="915">
        <v>2021</v>
      </c>
      <c r="C91" s="915" t="s">
        <v>98</v>
      </c>
      <c r="D91" s="218">
        <v>20.329976089599999</v>
      </c>
      <c r="E91" s="218">
        <v>3.8180221961958298</v>
      </c>
      <c r="F91" s="218">
        <v>22.4567839392042</v>
      </c>
      <c r="G91" s="218">
        <f t="shared" si="8"/>
        <v>0.14531114621819458</v>
      </c>
      <c r="H91" s="218">
        <f t="shared" si="9"/>
        <v>0.85468885378180537</v>
      </c>
      <c r="I91" s="971">
        <f t="shared" si="10"/>
        <v>0.8638500680275647</v>
      </c>
      <c r="J91" s="971">
        <f t="shared" si="11"/>
        <v>5.0809799777724685</v>
      </c>
      <c r="K91" s="218">
        <f t="shared" si="12"/>
        <v>0.7774650612248083</v>
      </c>
      <c r="L91" s="218">
        <f t="shared" si="13"/>
        <v>0.95023507483032121</v>
      </c>
      <c r="M91" s="218">
        <f t="shared" si="14"/>
        <v>4.5728819799952216</v>
      </c>
      <c r="N91" s="218">
        <f t="shared" si="15"/>
        <v>5.5890779755497162</v>
      </c>
      <c r="O91">
        <v>1</v>
      </c>
      <c r="P91">
        <v>1</v>
      </c>
      <c r="Q91">
        <v>2</v>
      </c>
      <c r="R91">
        <v>2</v>
      </c>
      <c r="S91">
        <v>2</v>
      </c>
    </row>
    <row r="92" spans="1:19">
      <c r="A92" s="915" t="s">
        <v>180</v>
      </c>
      <c r="B92" s="915">
        <v>2021</v>
      </c>
      <c r="C92" s="915" t="s">
        <v>95</v>
      </c>
      <c r="D92" s="218">
        <v>28.759489510200002</v>
      </c>
      <c r="E92" s="218">
        <v>6.4446616388502802</v>
      </c>
      <c r="F92" s="218">
        <v>32.316900891449698</v>
      </c>
      <c r="G92" s="218">
        <f t="shared" si="8"/>
        <v>0.16626423751138716</v>
      </c>
      <c r="H92" s="218">
        <f t="shared" si="9"/>
        <v>0.83373576248861281</v>
      </c>
      <c r="I92" s="971">
        <f t="shared" si="10"/>
        <v>1.6629870442201398</v>
      </c>
      <c r="J92" s="971">
        <f t="shared" si="11"/>
        <v>8.3390859758798399</v>
      </c>
      <c r="K92" s="218">
        <f t="shared" si="12"/>
        <v>1.4966883397981259</v>
      </c>
      <c r="L92" s="218">
        <f t="shared" si="13"/>
        <v>1.8292857486421539</v>
      </c>
      <c r="M92" s="218">
        <f t="shared" si="14"/>
        <v>7.5051773782918563</v>
      </c>
      <c r="N92" s="218">
        <f t="shared" si="15"/>
        <v>9.1729945734678253</v>
      </c>
      <c r="O92">
        <v>1</v>
      </c>
      <c r="P92">
        <v>1</v>
      </c>
      <c r="Q92">
        <v>2</v>
      </c>
      <c r="R92">
        <v>2</v>
      </c>
      <c r="S92">
        <v>2</v>
      </c>
    </row>
    <row r="93" spans="1:19">
      <c r="A93" s="915" t="s">
        <v>180</v>
      </c>
      <c r="B93" s="915">
        <v>2021</v>
      </c>
      <c r="C93" s="915" t="s">
        <v>91</v>
      </c>
      <c r="D93" s="218">
        <v>136.05926291</v>
      </c>
      <c r="E93" s="218">
        <v>22.701560495277</v>
      </c>
      <c r="F93" s="218">
        <v>164.946937963653</v>
      </c>
      <c r="G93" s="218">
        <f t="shared" si="8"/>
        <v>0.12097917479603822</v>
      </c>
      <c r="H93" s="218">
        <f t="shared" si="9"/>
        <v>0.87902082520396174</v>
      </c>
      <c r="I93" s="971">
        <f t="shared" si="10"/>
        <v>6.2412231450679911</v>
      </c>
      <c r="J93" s="971">
        <f t="shared" si="11"/>
        <v>45.348012403862015</v>
      </c>
      <c r="K93" s="218">
        <f t="shared" si="12"/>
        <v>5.617100830561192</v>
      </c>
      <c r="L93" s="218">
        <f t="shared" si="13"/>
        <v>6.8653454595747911</v>
      </c>
      <c r="M93" s="218">
        <f t="shared" si="14"/>
        <v>40.813211163475813</v>
      </c>
      <c r="N93" s="218">
        <f t="shared" si="15"/>
        <v>49.882813644248223</v>
      </c>
      <c r="O93">
        <v>1</v>
      </c>
      <c r="P93">
        <v>1</v>
      </c>
      <c r="Q93">
        <v>2</v>
      </c>
      <c r="R93">
        <v>2</v>
      </c>
      <c r="S93">
        <v>2</v>
      </c>
    </row>
    <row r="94" spans="1:19">
      <c r="A94" s="915" t="s">
        <v>180</v>
      </c>
      <c r="B94" s="915">
        <v>2021</v>
      </c>
      <c r="C94" s="915" t="s">
        <v>93</v>
      </c>
      <c r="D94" s="218">
        <v>17.910293412000001</v>
      </c>
      <c r="E94" s="218">
        <v>7.9345653520384598</v>
      </c>
      <c r="F94" s="218">
        <v>17.791036659961499</v>
      </c>
      <c r="G94" s="218">
        <f t="shared" si="8"/>
        <v>0.30843069671750745</v>
      </c>
      <c r="H94" s="218">
        <f t="shared" si="9"/>
        <v>0.69156930328249255</v>
      </c>
      <c r="I94" s="971">
        <f t="shared" si="10"/>
        <v>2.4104810765603153</v>
      </c>
      <c r="J94" s="971">
        <f t="shared" si="11"/>
        <v>5.404827523439641</v>
      </c>
      <c r="K94" s="218">
        <f t="shared" si="12"/>
        <v>2.1694329689042839</v>
      </c>
      <c r="L94" s="218">
        <f t="shared" si="13"/>
        <v>2.6515291842163471</v>
      </c>
      <c r="M94" s="218">
        <f t="shared" si="14"/>
        <v>4.8643447710956771</v>
      </c>
      <c r="N94" s="218">
        <f t="shared" si="15"/>
        <v>5.9453102757836058</v>
      </c>
      <c r="O94">
        <v>1</v>
      </c>
      <c r="P94">
        <v>1</v>
      </c>
      <c r="Q94">
        <v>2</v>
      </c>
      <c r="R94">
        <v>2</v>
      </c>
      <c r="S94">
        <v>2</v>
      </c>
    </row>
    <row r="95" spans="1:19">
      <c r="A95" s="915" t="s">
        <v>180</v>
      </c>
      <c r="B95" s="915">
        <v>2021</v>
      </c>
      <c r="C95" s="915" t="s">
        <v>90</v>
      </c>
      <c r="D95" s="218">
        <v>11.319748389000001</v>
      </c>
      <c r="E95" s="218">
        <v>4.7744769639362197</v>
      </c>
      <c r="F95" s="218">
        <v>11.4147234290638</v>
      </c>
      <c r="G95" s="218">
        <f t="shared" si="8"/>
        <v>0.29491740469162608</v>
      </c>
      <c r="H95" s="218">
        <f t="shared" si="9"/>
        <v>0.70508259530837392</v>
      </c>
      <c r="I95" s="971">
        <f t="shared" si="10"/>
        <v>1.4360861472901241</v>
      </c>
      <c r="J95" s="971">
        <f t="shared" si="11"/>
        <v>3.4333658567098952</v>
      </c>
      <c r="K95" s="218">
        <f t="shared" si="12"/>
        <v>1.2924775325611118</v>
      </c>
      <c r="L95" s="218">
        <f t="shared" si="13"/>
        <v>1.5796947620191366</v>
      </c>
      <c r="M95" s="218">
        <f t="shared" si="14"/>
        <v>3.0900292710389059</v>
      </c>
      <c r="N95" s="218">
        <f t="shared" si="15"/>
        <v>3.776702442380885</v>
      </c>
      <c r="O95">
        <v>1</v>
      </c>
      <c r="P95">
        <v>1</v>
      </c>
      <c r="Q95">
        <v>2</v>
      </c>
      <c r="R95">
        <v>2</v>
      </c>
      <c r="S95">
        <v>2</v>
      </c>
    </row>
    <row r="96" spans="1:19">
      <c r="A96" s="915" t="s">
        <v>180</v>
      </c>
      <c r="B96" s="915">
        <v>2021</v>
      </c>
      <c r="C96" s="915" t="s">
        <v>92</v>
      </c>
      <c r="D96" s="218">
        <v>20.844253018500002</v>
      </c>
      <c r="E96" s="218">
        <v>5.7810060999918296</v>
      </c>
      <c r="F96" s="218">
        <v>23.2568550885082</v>
      </c>
      <c r="G96" s="218">
        <f t="shared" si="8"/>
        <v>0.19908512071410076</v>
      </c>
      <c r="H96" s="218">
        <f t="shared" si="9"/>
        <v>0.80091487928589922</v>
      </c>
      <c r="I96" s="971">
        <f t="shared" si="10"/>
        <v>1.6312254716084977</v>
      </c>
      <c r="J96" s="971">
        <f t="shared" si="11"/>
        <v>6.5623826983915308</v>
      </c>
      <c r="K96" s="218">
        <f t="shared" si="12"/>
        <v>1.468102924447648</v>
      </c>
      <c r="L96" s="218">
        <f t="shared" si="13"/>
        <v>1.7943480187693477</v>
      </c>
      <c r="M96" s="218">
        <f t="shared" si="14"/>
        <v>5.9061444285523779</v>
      </c>
      <c r="N96" s="218">
        <f t="shared" si="15"/>
        <v>7.2186209682306846</v>
      </c>
      <c r="O96">
        <v>1</v>
      </c>
      <c r="P96">
        <v>1</v>
      </c>
      <c r="Q96">
        <v>2</v>
      </c>
      <c r="R96">
        <v>2</v>
      </c>
      <c r="S96">
        <v>2</v>
      </c>
    </row>
    <row r="97" spans="1:19">
      <c r="A97" s="915" t="s">
        <v>180</v>
      </c>
      <c r="B97" s="915">
        <v>2022</v>
      </c>
      <c r="C97" s="915" t="s">
        <v>99</v>
      </c>
      <c r="D97" s="218">
        <v>13.0806856805</v>
      </c>
      <c r="E97" s="218">
        <v>2.5444195930933602</v>
      </c>
      <c r="F97" s="218">
        <v>20.511336788906601</v>
      </c>
      <c r="G97" s="218">
        <f t="shared" si="8"/>
        <v>0.11035940660267533</v>
      </c>
      <c r="H97" s="218">
        <f t="shared" si="9"/>
        <v>0.88964059339732471</v>
      </c>
      <c r="I97" s="971">
        <f t="shared" si="10"/>
        <v>1.1008428834372679</v>
      </c>
      <c r="J97" s="971">
        <f t="shared" si="11"/>
        <v>8.8742278180626926</v>
      </c>
      <c r="K97" s="218">
        <f t="shared" si="12"/>
        <v>0.99075859509354114</v>
      </c>
      <c r="L97" s="218">
        <f t="shared" si="13"/>
        <v>1.2109271717809948</v>
      </c>
      <c r="M97" s="218">
        <f t="shared" si="14"/>
        <v>7.9868050362564231</v>
      </c>
      <c r="N97" s="218">
        <f t="shared" si="15"/>
        <v>9.7616505998689629</v>
      </c>
      <c r="O97">
        <v>1</v>
      </c>
      <c r="P97">
        <v>1</v>
      </c>
      <c r="Q97">
        <v>2</v>
      </c>
      <c r="R97">
        <v>2</v>
      </c>
      <c r="S97">
        <v>2</v>
      </c>
    </row>
    <row r="98" spans="1:19">
      <c r="A98" s="915" t="s">
        <v>180</v>
      </c>
      <c r="B98" s="915">
        <v>2022</v>
      </c>
      <c r="C98" s="915" t="s">
        <v>98</v>
      </c>
      <c r="D98" s="218">
        <v>22.262128409799999</v>
      </c>
      <c r="E98" s="218">
        <v>4.6327809457557301</v>
      </c>
      <c r="F98" s="218">
        <v>31.583377896244301</v>
      </c>
      <c r="G98" s="218">
        <f t="shared" si="8"/>
        <v>0.12792027354328575</v>
      </c>
      <c r="H98" s="218">
        <f t="shared" si="9"/>
        <v>0.87207972645671428</v>
      </c>
      <c r="I98" s="971">
        <f t="shared" si="10"/>
        <v>1.7850033899183613</v>
      </c>
      <c r="J98" s="971">
        <f t="shared" si="11"/>
        <v>12.16902704228167</v>
      </c>
      <c r="K98" s="218">
        <f t="shared" si="12"/>
        <v>1.6065030509265252</v>
      </c>
      <c r="L98" s="218">
        <f t="shared" si="13"/>
        <v>1.9635037289101975</v>
      </c>
      <c r="M98" s="218">
        <f t="shared" si="14"/>
        <v>10.952124338053503</v>
      </c>
      <c r="N98" s="218">
        <f t="shared" si="15"/>
        <v>13.385929746509838</v>
      </c>
      <c r="O98">
        <v>1</v>
      </c>
      <c r="P98">
        <v>1</v>
      </c>
      <c r="Q98">
        <v>2</v>
      </c>
      <c r="R98">
        <v>2</v>
      </c>
      <c r="S98">
        <v>2</v>
      </c>
    </row>
    <row r="99" spans="1:19">
      <c r="A99" s="915" t="s">
        <v>180</v>
      </c>
      <c r="B99" s="915">
        <v>2022</v>
      </c>
      <c r="C99" s="915" t="s">
        <v>95</v>
      </c>
      <c r="D99" s="218">
        <v>32.628676583699999</v>
      </c>
      <c r="E99" s="218">
        <v>7.3373571250562497</v>
      </c>
      <c r="F99" s="218">
        <v>46.393903377643802</v>
      </c>
      <c r="G99" s="218">
        <f t="shared" si="8"/>
        <v>0.13655657910142532</v>
      </c>
      <c r="H99" s="218">
        <f t="shared" si="9"/>
        <v>0.86344342089857462</v>
      </c>
      <c r="I99" s="971">
        <f t="shared" si="10"/>
        <v>2.8816966701793962</v>
      </c>
      <c r="J99" s="971">
        <f t="shared" si="11"/>
        <v>18.220887248820659</v>
      </c>
      <c r="K99" s="218">
        <f t="shared" si="12"/>
        <v>2.5935270031614568</v>
      </c>
      <c r="L99" s="218">
        <f t="shared" si="13"/>
        <v>3.1698663371973361</v>
      </c>
      <c r="M99" s="218">
        <f t="shared" si="14"/>
        <v>16.398798523938595</v>
      </c>
      <c r="N99" s="218">
        <f t="shared" si="15"/>
        <v>20.042975973702728</v>
      </c>
      <c r="O99">
        <v>1</v>
      </c>
      <c r="P99">
        <v>1</v>
      </c>
      <c r="Q99">
        <v>2</v>
      </c>
      <c r="R99">
        <v>2</v>
      </c>
      <c r="S99">
        <v>2</v>
      </c>
    </row>
    <row r="100" spans="1:19">
      <c r="A100" s="915" t="s">
        <v>180</v>
      </c>
      <c r="B100" s="915">
        <v>2022</v>
      </c>
      <c r="C100" s="915" t="s">
        <v>91</v>
      </c>
      <c r="D100" s="218">
        <v>150.56898782939001</v>
      </c>
      <c r="E100" s="218">
        <v>25.069735891438999</v>
      </c>
      <c r="F100" s="218">
        <v>228.069816277661</v>
      </c>
      <c r="G100" s="218">
        <f t="shared" si="8"/>
        <v>9.9035238375914242E-2</v>
      </c>
      <c r="H100" s="218">
        <f t="shared" si="9"/>
        <v>0.90096476162408579</v>
      </c>
      <c r="I100" s="971">
        <f t="shared" si="10"/>
        <v>10.158100289735229</v>
      </c>
      <c r="J100" s="971">
        <f t="shared" si="11"/>
        <v>92.412464049974773</v>
      </c>
      <c r="K100" s="218">
        <f t="shared" si="12"/>
        <v>9.1422902607617065</v>
      </c>
      <c r="L100" s="218">
        <f t="shared" si="13"/>
        <v>11.173910318708753</v>
      </c>
      <c r="M100" s="218">
        <f t="shared" si="14"/>
        <v>83.171217644977304</v>
      </c>
      <c r="N100" s="218">
        <f t="shared" si="15"/>
        <v>101.65371045497226</v>
      </c>
      <c r="O100">
        <v>1</v>
      </c>
      <c r="P100">
        <v>1</v>
      </c>
      <c r="Q100">
        <v>2</v>
      </c>
      <c r="R100">
        <v>2</v>
      </c>
      <c r="S100">
        <v>2</v>
      </c>
    </row>
    <row r="101" spans="1:19">
      <c r="A101" s="915" t="s">
        <v>180</v>
      </c>
      <c r="B101" s="915">
        <v>2022</v>
      </c>
      <c r="C101" s="915" t="s">
        <v>93</v>
      </c>
      <c r="D101" s="218">
        <v>20.634706928</v>
      </c>
      <c r="E101" s="218">
        <v>7.2385863777352402</v>
      </c>
      <c r="F101" s="218">
        <v>24.1177245992648</v>
      </c>
      <c r="G101" s="218">
        <f t="shared" si="8"/>
        <v>0.23084942559233984</v>
      </c>
      <c r="H101" s="218">
        <f t="shared" si="9"/>
        <v>0.7691505744076601</v>
      </c>
      <c r="I101" s="971">
        <f t="shared" si="10"/>
        <v>2.4750761361401645</v>
      </c>
      <c r="J101" s="971">
        <f t="shared" si="11"/>
        <v>8.246527912859877</v>
      </c>
      <c r="K101" s="218">
        <f t="shared" si="12"/>
        <v>2.2275685225261483</v>
      </c>
      <c r="L101" s="218">
        <f t="shared" si="13"/>
        <v>2.7225837497541812</v>
      </c>
      <c r="M101" s="218">
        <f t="shared" si="14"/>
        <v>7.4218751215738896</v>
      </c>
      <c r="N101" s="218">
        <f t="shared" si="15"/>
        <v>9.0711807041458652</v>
      </c>
      <c r="O101">
        <v>1</v>
      </c>
      <c r="P101">
        <v>1</v>
      </c>
      <c r="Q101">
        <v>2</v>
      </c>
      <c r="R101">
        <v>2</v>
      </c>
      <c r="S101">
        <v>2</v>
      </c>
    </row>
    <row r="102" spans="1:19">
      <c r="A102" s="915" t="s">
        <v>180</v>
      </c>
      <c r="B102" s="915">
        <v>2022</v>
      </c>
      <c r="C102" s="915" t="s">
        <v>90</v>
      </c>
      <c r="D102" s="218">
        <v>13.020417069000001</v>
      </c>
      <c r="E102" s="218">
        <v>4.3934125734512799</v>
      </c>
      <c r="F102" s="218">
        <v>15.464860752548701</v>
      </c>
      <c r="G102" s="218">
        <f t="shared" si="8"/>
        <v>0.22123839778653293</v>
      </c>
      <c r="H102" s="218">
        <f t="shared" si="9"/>
        <v>0.77876160221346713</v>
      </c>
      <c r="I102" s="971">
        <f t="shared" si="10"/>
        <v>1.5127963625932948</v>
      </c>
      <c r="J102" s="971">
        <f t="shared" si="11"/>
        <v>5.3250598944066851</v>
      </c>
      <c r="K102" s="218">
        <f t="shared" si="12"/>
        <v>1.3615167263339654</v>
      </c>
      <c r="L102" s="218">
        <f t="shared" si="13"/>
        <v>1.6640759988526244</v>
      </c>
      <c r="M102" s="218">
        <f t="shared" si="14"/>
        <v>4.7925539049660166</v>
      </c>
      <c r="N102" s="218">
        <f t="shared" si="15"/>
        <v>5.8575658838473545</v>
      </c>
      <c r="O102">
        <v>1</v>
      </c>
      <c r="P102">
        <v>1</v>
      </c>
      <c r="Q102">
        <v>2</v>
      </c>
      <c r="R102">
        <v>2</v>
      </c>
      <c r="S102">
        <v>2</v>
      </c>
    </row>
    <row r="103" spans="1:19">
      <c r="A103" s="915" t="s">
        <v>180</v>
      </c>
      <c r="B103" s="915">
        <v>2022</v>
      </c>
      <c r="C103" s="915" t="s">
        <v>92</v>
      </c>
      <c r="D103" s="218">
        <v>23.736616922500001</v>
      </c>
      <c r="E103" s="218">
        <v>5.7096488638723102</v>
      </c>
      <c r="F103" s="218">
        <v>31.2542334961277</v>
      </c>
      <c r="G103" s="218">
        <f t="shared" si="8"/>
        <v>0.15446561614563878</v>
      </c>
      <c r="H103" s="218">
        <f t="shared" si="9"/>
        <v>0.84553438385436119</v>
      </c>
      <c r="I103" s="971">
        <f t="shared" si="10"/>
        <v>2.0431577057253514</v>
      </c>
      <c r="J103" s="971">
        <f t="shared" si="11"/>
        <v>11.18410773177466</v>
      </c>
      <c r="K103" s="218">
        <f t="shared" si="12"/>
        <v>1.8388419351528162</v>
      </c>
      <c r="L103" s="218">
        <f t="shared" si="13"/>
        <v>2.2474734762978867</v>
      </c>
      <c r="M103" s="218">
        <f t="shared" si="14"/>
        <v>10.065696958597194</v>
      </c>
      <c r="N103" s="218">
        <f t="shared" si="15"/>
        <v>12.302518504952127</v>
      </c>
      <c r="O103">
        <v>1</v>
      </c>
      <c r="P103">
        <v>1</v>
      </c>
      <c r="Q103">
        <v>2</v>
      </c>
      <c r="R103">
        <v>2</v>
      </c>
      <c r="S103">
        <v>2</v>
      </c>
    </row>
    <row r="105" spans="1:19">
      <c r="A105" t="s">
        <v>2030</v>
      </c>
    </row>
    <row r="106" spans="1:19" s="1010" customFormat="1">
      <c r="A106" s="1008" t="s">
        <v>2023</v>
      </c>
    </row>
    <row r="107" spans="1:19" s="1010" customFormat="1" ht="15.75" thickBot="1"/>
    <row r="108" spans="1:19">
      <c r="A108" s="915" t="s">
        <v>1026</v>
      </c>
      <c r="B108" s="915" t="s">
        <v>101</v>
      </c>
      <c r="C108" s="915" t="s">
        <v>102</v>
      </c>
      <c r="D108" t="s">
        <v>245</v>
      </c>
      <c r="E108" t="s">
        <v>2018</v>
      </c>
      <c r="F108" t="s">
        <v>527</v>
      </c>
      <c r="G108" t="s">
        <v>2026</v>
      </c>
      <c r="H108" t="s">
        <v>2027</v>
      </c>
      <c r="I108" s="915" t="s">
        <v>2021</v>
      </c>
      <c r="J108" s="915" t="s">
        <v>2028</v>
      </c>
      <c r="K108" s="915" t="s">
        <v>2041</v>
      </c>
      <c r="L108" s="915" t="s">
        <v>2039</v>
      </c>
      <c r="M108" s="915" t="s">
        <v>2176</v>
      </c>
      <c r="N108" s="915" t="s">
        <v>2177</v>
      </c>
      <c r="O108" s="425" t="s">
        <v>105</v>
      </c>
      <c r="P108" s="426" t="s">
        <v>65</v>
      </c>
      <c r="Q108" s="426" t="s">
        <v>67</v>
      </c>
      <c r="R108" s="426" t="s">
        <v>73</v>
      </c>
      <c r="S108" s="427" t="s">
        <v>79</v>
      </c>
    </row>
    <row r="109" spans="1:19">
      <c r="A109" s="915" t="s">
        <v>182</v>
      </c>
      <c r="B109" s="915">
        <v>2011</v>
      </c>
      <c r="C109" s="915" t="s">
        <v>99</v>
      </c>
      <c r="D109" s="218">
        <v>15.0874263785</v>
      </c>
      <c r="E109" s="218">
        <v>154.79480139040001</v>
      </c>
      <c r="F109" s="218">
        <v>31.040529144000001</v>
      </c>
      <c r="G109" s="218">
        <f>E109/(E109+F109)</f>
        <v>0.83296755759662133</v>
      </c>
      <c r="H109" s="218">
        <f>1-G109</f>
        <v>0.16703244240337867</v>
      </c>
      <c r="I109" s="971">
        <f>E109-(D109*G109)</f>
        <v>142.22746468948202</v>
      </c>
      <c r="J109" s="971">
        <f>F109-(D109*H109)</f>
        <v>28.520439466417983</v>
      </c>
      <c r="K109" s="218">
        <f>I109*$B$5</f>
        <v>128.00471822053382</v>
      </c>
      <c r="L109" s="218">
        <f>I109*$B$4</f>
        <v>156.45021115843022</v>
      </c>
      <c r="M109" s="218">
        <f>J109*$B$7</f>
        <v>32.972480067125836</v>
      </c>
      <c r="N109" s="218">
        <f>J109*$B$6</f>
        <v>38.944660091393757</v>
      </c>
      <c r="O109">
        <v>1</v>
      </c>
      <c r="P109">
        <v>1</v>
      </c>
      <c r="Q109">
        <v>2</v>
      </c>
      <c r="R109">
        <v>2</v>
      </c>
      <c r="S109">
        <v>2</v>
      </c>
    </row>
    <row r="110" spans="1:19">
      <c r="A110" s="915" t="s">
        <v>182</v>
      </c>
      <c r="B110" s="915">
        <v>2011</v>
      </c>
      <c r="C110" s="915" t="s">
        <v>98</v>
      </c>
      <c r="D110" s="218">
        <v>26.3462807224</v>
      </c>
      <c r="E110" s="218">
        <v>255.1626041351</v>
      </c>
      <c r="F110" s="218">
        <v>49.962411561800003</v>
      </c>
      <c r="G110" s="218">
        <f t="shared" ref="G110:G173" si="16">E110/(E110+F110)</f>
        <v>0.83625593120352082</v>
      </c>
      <c r="H110" s="218">
        <f t="shared" ref="H110:H173" si="17">1-G110</f>
        <v>0.16374406879647918</v>
      </c>
      <c r="I110" s="971">
        <f t="shared" ref="I110:I173" si="18">E110-(D110*G110)</f>
        <v>233.13037061584001</v>
      </c>
      <c r="J110" s="971">
        <f t="shared" ref="J110:J173" si="19">F110-(D110*H110)</f>
        <v>45.648364358659983</v>
      </c>
      <c r="K110" s="218">
        <f t="shared" ref="K110:K173" si="20">I110*$B$5</f>
        <v>209.81733355425601</v>
      </c>
      <c r="L110" s="218">
        <f t="shared" ref="L110:L173" si="21">I110*$B$4</f>
        <v>256.44340767742403</v>
      </c>
      <c r="M110" s="218">
        <f t="shared" ref="M110:M173" si="22">J110*$B$7</f>
        <v>52.774074035046809</v>
      </c>
      <c r="N110" s="218">
        <f t="shared" ref="N110:N173" si="23">J110*$B$6</f>
        <v>62.332841531750212</v>
      </c>
      <c r="O110">
        <v>1</v>
      </c>
      <c r="P110">
        <v>1</v>
      </c>
      <c r="Q110">
        <v>2</v>
      </c>
      <c r="R110">
        <v>2</v>
      </c>
      <c r="S110">
        <v>2</v>
      </c>
    </row>
    <row r="111" spans="1:19">
      <c r="A111" s="915" t="s">
        <v>182</v>
      </c>
      <c r="B111" s="915">
        <v>2011</v>
      </c>
      <c r="C111" s="915" t="s">
        <v>95</v>
      </c>
      <c r="D111" s="218">
        <v>42.148068650799999</v>
      </c>
      <c r="E111" s="218">
        <v>344.29726214639999</v>
      </c>
      <c r="F111" s="218">
        <v>100.021652977</v>
      </c>
      <c r="G111" s="218">
        <f t="shared" si="16"/>
        <v>0.77488769986481187</v>
      </c>
      <c r="H111" s="218">
        <f t="shared" si="17"/>
        <v>0.22511230013518813</v>
      </c>
      <c r="I111" s="971">
        <f t="shared" si="18"/>
        <v>311.6372421758374</v>
      </c>
      <c r="J111" s="971">
        <f t="shared" si="19"/>
        <v>90.533604296762604</v>
      </c>
      <c r="K111" s="218">
        <f t="shared" si="20"/>
        <v>280.47351795825369</v>
      </c>
      <c r="L111" s="218">
        <f t="shared" si="21"/>
        <v>342.80096639342116</v>
      </c>
      <c r="M111" s="218">
        <f t="shared" si="22"/>
        <v>104.66589992748726</v>
      </c>
      <c r="N111" s="218">
        <f t="shared" si="23"/>
        <v>123.62363666722935</v>
      </c>
      <c r="O111">
        <v>1</v>
      </c>
      <c r="P111">
        <v>1</v>
      </c>
      <c r="Q111">
        <v>2</v>
      </c>
      <c r="R111">
        <v>2</v>
      </c>
      <c r="S111">
        <v>2</v>
      </c>
    </row>
    <row r="112" spans="1:19">
      <c r="A112" s="915" t="s">
        <v>182</v>
      </c>
      <c r="B112" s="915">
        <v>2011</v>
      </c>
      <c r="C112" s="915" t="s">
        <v>91</v>
      </c>
      <c r="D112" s="218">
        <v>155.01462406869001</v>
      </c>
      <c r="E112" s="218">
        <v>1527.61309157287</v>
      </c>
      <c r="F112" s="218">
        <v>259.69706648547998</v>
      </c>
      <c r="G112" s="218">
        <f t="shared" si="16"/>
        <v>0.85469949615929963</v>
      </c>
      <c r="H112" s="218">
        <f t="shared" si="17"/>
        <v>0.14530050384070037</v>
      </c>
      <c r="I112" s="971">
        <f t="shared" si="18"/>
        <v>1395.1221704840373</v>
      </c>
      <c r="J112" s="971">
        <f t="shared" si="19"/>
        <v>237.17336350562255</v>
      </c>
      <c r="K112" s="218">
        <f t="shared" si="20"/>
        <v>1255.6099534356335</v>
      </c>
      <c r="L112" s="218">
        <f t="shared" si="21"/>
        <v>1534.6343875324412</v>
      </c>
      <c r="M112" s="218">
        <f t="shared" si="22"/>
        <v>274.19612554885026</v>
      </c>
      <c r="N112" s="218">
        <f t="shared" si="23"/>
        <v>323.86022786692763</v>
      </c>
      <c r="O112">
        <v>1</v>
      </c>
      <c r="P112">
        <v>1</v>
      </c>
      <c r="Q112">
        <v>2</v>
      </c>
      <c r="R112">
        <v>2</v>
      </c>
      <c r="S112">
        <v>2</v>
      </c>
    </row>
    <row r="113" spans="1:19">
      <c r="A113" s="915" t="s">
        <v>182</v>
      </c>
      <c r="B113" s="915">
        <v>2011</v>
      </c>
      <c r="C113" s="915" t="s">
        <v>93</v>
      </c>
      <c r="D113" s="218">
        <v>33.500468339999998</v>
      </c>
      <c r="E113" s="218">
        <v>193.656643272</v>
      </c>
      <c r="F113" s="218">
        <v>75.589643613000007</v>
      </c>
      <c r="G113" s="218">
        <f t="shared" si="16"/>
        <v>0.71925464790054572</v>
      </c>
      <c r="H113" s="218">
        <f t="shared" si="17"/>
        <v>0.28074535209945428</v>
      </c>
      <c r="I113" s="971">
        <f t="shared" si="18"/>
        <v>169.56127571160991</v>
      </c>
      <c r="J113" s="971">
        <f t="shared" si="19"/>
        <v>66.184542833390083</v>
      </c>
      <c r="K113" s="218">
        <f t="shared" si="20"/>
        <v>152.60514814044893</v>
      </c>
      <c r="L113" s="218">
        <f t="shared" si="21"/>
        <v>186.51740328277091</v>
      </c>
      <c r="M113" s="218">
        <f t="shared" si="22"/>
        <v>76.515949969682282</v>
      </c>
      <c r="N113" s="218">
        <f t="shared" si="23"/>
        <v>90.374993238994165</v>
      </c>
      <c r="O113">
        <v>1</v>
      </c>
      <c r="P113">
        <v>1</v>
      </c>
      <c r="Q113">
        <v>2</v>
      </c>
      <c r="R113">
        <v>2</v>
      </c>
      <c r="S113">
        <v>2</v>
      </c>
    </row>
    <row r="114" spans="1:19">
      <c r="A114" s="915" t="s">
        <v>182</v>
      </c>
      <c r="B114" s="915">
        <v>2011</v>
      </c>
      <c r="C114" s="915" t="s">
        <v>90</v>
      </c>
      <c r="D114" s="218">
        <v>20.625658731000001</v>
      </c>
      <c r="E114" s="218">
        <v>125.237414997</v>
      </c>
      <c r="F114" s="218">
        <v>45.630431774999998</v>
      </c>
      <c r="G114" s="218">
        <f t="shared" si="16"/>
        <v>0.73294898579785095</v>
      </c>
      <c r="H114" s="218">
        <f t="shared" si="17"/>
        <v>0.26705101420214905</v>
      </c>
      <c r="I114" s="971">
        <f t="shared" si="18"/>
        <v>110.11985934870096</v>
      </c>
      <c r="J114" s="971">
        <f t="shared" si="19"/>
        <v>40.122328692299035</v>
      </c>
      <c r="K114" s="218">
        <f t="shared" si="20"/>
        <v>99.107873413830859</v>
      </c>
      <c r="L114" s="218">
        <f t="shared" si="21"/>
        <v>121.13184528357107</v>
      </c>
      <c r="M114" s="218">
        <f t="shared" si="22"/>
        <v>46.38542420116692</v>
      </c>
      <c r="N114" s="218">
        <f t="shared" si="23"/>
        <v>54.78703982933434</v>
      </c>
      <c r="O114">
        <v>1</v>
      </c>
      <c r="P114">
        <v>1</v>
      </c>
      <c r="Q114">
        <v>2</v>
      </c>
      <c r="R114">
        <v>2</v>
      </c>
      <c r="S114">
        <v>2</v>
      </c>
    </row>
    <row r="115" spans="1:19">
      <c r="A115" s="915" t="s">
        <v>182</v>
      </c>
      <c r="B115" s="915">
        <v>2011</v>
      </c>
      <c r="C115" s="915" t="s">
        <v>92</v>
      </c>
      <c r="D115" s="218">
        <v>30.545550841499999</v>
      </c>
      <c r="E115" s="218">
        <v>265.05502425449998</v>
      </c>
      <c r="F115" s="218">
        <v>55.2967490805</v>
      </c>
      <c r="G115" s="218">
        <f t="shared" si="16"/>
        <v>0.82738741070530997</v>
      </c>
      <c r="H115" s="218">
        <f t="shared" si="17"/>
        <v>0.17261258929469003</v>
      </c>
      <c r="I115" s="971">
        <f t="shared" si="18"/>
        <v>239.7820200351839</v>
      </c>
      <c r="J115" s="971">
        <f t="shared" si="19"/>
        <v>50.02420245831609</v>
      </c>
      <c r="K115" s="218">
        <f t="shared" si="20"/>
        <v>215.80381803166551</v>
      </c>
      <c r="L115" s="218">
        <f t="shared" si="21"/>
        <v>263.7602220387023</v>
      </c>
      <c r="M115" s="218">
        <f t="shared" si="22"/>
        <v>57.83298046205924</v>
      </c>
      <c r="N115" s="218">
        <f t="shared" si="23"/>
        <v>68.308048456830633</v>
      </c>
      <c r="O115">
        <v>1</v>
      </c>
      <c r="P115">
        <v>1</v>
      </c>
      <c r="Q115">
        <v>2</v>
      </c>
      <c r="R115">
        <v>2</v>
      </c>
      <c r="S115">
        <v>2</v>
      </c>
    </row>
    <row r="116" spans="1:19">
      <c r="A116" s="915" t="s">
        <v>182</v>
      </c>
      <c r="B116" s="915">
        <v>2012</v>
      </c>
      <c r="C116" s="915" t="s">
        <v>99</v>
      </c>
      <c r="D116" s="218">
        <v>14.6639428569</v>
      </c>
      <c r="E116" s="218">
        <v>118.0618426827</v>
      </c>
      <c r="F116" s="218">
        <v>29.2622898431</v>
      </c>
      <c r="G116" s="218">
        <f t="shared" si="16"/>
        <v>0.80137476907949579</v>
      </c>
      <c r="H116" s="218">
        <f t="shared" si="17"/>
        <v>0.19862523092050421</v>
      </c>
      <c r="I116" s="971">
        <f t="shared" si="18"/>
        <v>106.31052886195684</v>
      </c>
      <c r="J116" s="971">
        <f t="shared" si="19"/>
        <v>26.349660806943159</v>
      </c>
      <c r="K116" s="218">
        <f t="shared" si="20"/>
        <v>95.679475975761164</v>
      </c>
      <c r="L116" s="218">
        <f t="shared" si="21"/>
        <v>116.94158174815253</v>
      </c>
      <c r="M116" s="218">
        <f t="shared" si="22"/>
        <v>30.462842858906988</v>
      </c>
      <c r="N116" s="218">
        <f t="shared" si="23"/>
        <v>35.980461831880888</v>
      </c>
      <c r="O116">
        <v>1</v>
      </c>
      <c r="P116">
        <v>1</v>
      </c>
      <c r="Q116">
        <v>2</v>
      </c>
      <c r="R116">
        <v>2</v>
      </c>
      <c r="S116">
        <v>2</v>
      </c>
    </row>
    <row r="117" spans="1:19">
      <c r="A117" s="915" t="s">
        <v>182</v>
      </c>
      <c r="B117" s="915">
        <v>2012</v>
      </c>
      <c r="C117" s="915" t="s">
        <v>98</v>
      </c>
      <c r="D117" s="218">
        <v>25.8430181654</v>
      </c>
      <c r="E117" s="218">
        <v>205.70747125209999</v>
      </c>
      <c r="F117" s="218">
        <v>42.688970423400001</v>
      </c>
      <c r="G117" s="218">
        <f t="shared" si="16"/>
        <v>0.8281417795864886</v>
      </c>
      <c r="H117" s="218">
        <f t="shared" si="17"/>
        <v>0.1718582204135114</v>
      </c>
      <c r="I117" s="971">
        <f t="shared" si="18"/>
        <v>184.30578819871968</v>
      </c>
      <c r="J117" s="971">
        <f t="shared" si="19"/>
        <v>38.247635311380307</v>
      </c>
      <c r="K117" s="218">
        <f t="shared" si="20"/>
        <v>165.87520937884773</v>
      </c>
      <c r="L117" s="218">
        <f t="shared" si="21"/>
        <v>202.73636701859166</v>
      </c>
      <c r="M117" s="218">
        <f t="shared" si="22"/>
        <v>44.218091183486777</v>
      </c>
      <c r="N117" s="218">
        <f t="shared" si="23"/>
        <v>52.227146017689819</v>
      </c>
      <c r="O117">
        <v>1</v>
      </c>
      <c r="P117">
        <v>1</v>
      </c>
      <c r="Q117">
        <v>2</v>
      </c>
      <c r="R117">
        <v>2</v>
      </c>
      <c r="S117">
        <v>2</v>
      </c>
    </row>
    <row r="118" spans="1:19">
      <c r="A118" s="915" t="s">
        <v>182</v>
      </c>
      <c r="B118" s="915">
        <v>2012</v>
      </c>
      <c r="C118" s="915" t="s">
        <v>95</v>
      </c>
      <c r="D118" s="218">
        <v>38.307417483599998</v>
      </c>
      <c r="E118" s="218">
        <v>255.030635276</v>
      </c>
      <c r="F118" s="218">
        <v>86.775797721000004</v>
      </c>
      <c r="G118" s="218">
        <f t="shared" si="16"/>
        <v>0.74612590828048686</v>
      </c>
      <c r="H118" s="218">
        <f t="shared" si="17"/>
        <v>0.25387409171951314</v>
      </c>
      <c r="I118" s="971">
        <f t="shared" si="18"/>
        <v>226.44847861216914</v>
      </c>
      <c r="J118" s="971">
        <f t="shared" si="19"/>
        <v>77.050536901230856</v>
      </c>
      <c r="K118" s="218">
        <f t="shared" si="20"/>
        <v>203.80363075095224</v>
      </c>
      <c r="L118" s="218">
        <f t="shared" si="21"/>
        <v>249.09332647338607</v>
      </c>
      <c r="M118" s="218">
        <f t="shared" si="22"/>
        <v>89.078125711512996</v>
      </c>
      <c r="N118" s="218">
        <f t="shared" si="23"/>
        <v>105.21250813863075</v>
      </c>
      <c r="O118">
        <v>1</v>
      </c>
      <c r="P118">
        <v>1</v>
      </c>
      <c r="Q118">
        <v>2</v>
      </c>
      <c r="R118">
        <v>2</v>
      </c>
      <c r="S118">
        <v>2</v>
      </c>
    </row>
    <row r="119" spans="1:19">
      <c r="A119" s="915" t="s">
        <v>182</v>
      </c>
      <c r="B119" s="915">
        <v>2012</v>
      </c>
      <c r="C119" s="915" t="s">
        <v>91</v>
      </c>
      <c r="D119" s="218">
        <v>162.49925292803999</v>
      </c>
      <c r="E119" s="218">
        <v>1330.4608714067499</v>
      </c>
      <c r="F119" s="218">
        <v>254.09426122478001</v>
      </c>
      <c r="G119" s="218">
        <f t="shared" si="16"/>
        <v>0.83964315536134349</v>
      </c>
      <c r="H119" s="218">
        <f t="shared" si="17"/>
        <v>0.16035684463865651</v>
      </c>
      <c r="I119" s="971">
        <f t="shared" si="18"/>
        <v>1194.0194859343894</v>
      </c>
      <c r="J119" s="971">
        <f t="shared" si="19"/>
        <v>228.03639376910056</v>
      </c>
      <c r="K119" s="218">
        <f t="shared" si="20"/>
        <v>1074.6175373409505</v>
      </c>
      <c r="L119" s="218">
        <f t="shared" si="21"/>
        <v>1313.4214345278285</v>
      </c>
      <c r="M119" s="218">
        <f t="shared" si="22"/>
        <v>263.63287483645718</v>
      </c>
      <c r="N119" s="218">
        <f t="shared" si="23"/>
        <v>311.38369569170686</v>
      </c>
      <c r="O119">
        <v>1</v>
      </c>
      <c r="P119">
        <v>1</v>
      </c>
      <c r="Q119">
        <v>2</v>
      </c>
      <c r="R119">
        <v>2</v>
      </c>
      <c r="S119">
        <v>2</v>
      </c>
    </row>
    <row r="120" spans="1:19">
      <c r="A120" s="915" t="s">
        <v>182</v>
      </c>
      <c r="B120" s="915">
        <v>2012</v>
      </c>
      <c r="C120" s="915" t="s">
        <v>93</v>
      </c>
      <c r="D120" s="218">
        <v>36.246891734999998</v>
      </c>
      <c r="E120" s="218">
        <v>176.595578993</v>
      </c>
      <c r="F120" s="218">
        <v>74.639026981000001</v>
      </c>
      <c r="G120" s="218">
        <f t="shared" si="16"/>
        <v>0.70291104327910814</v>
      </c>
      <c r="H120" s="218">
        <f t="shared" si="17"/>
        <v>0.29708895672089186</v>
      </c>
      <c r="I120" s="971">
        <f t="shared" si="18"/>
        <v>151.11723850792629</v>
      </c>
      <c r="J120" s="971">
        <f t="shared" si="19"/>
        <v>63.870475731073732</v>
      </c>
      <c r="K120" s="218">
        <f t="shared" si="20"/>
        <v>136.00551465713366</v>
      </c>
      <c r="L120" s="218">
        <f t="shared" si="21"/>
        <v>166.22896235871892</v>
      </c>
      <c r="M120" s="218">
        <f t="shared" si="22"/>
        <v>73.840656992694349</v>
      </c>
      <c r="N120" s="218">
        <f t="shared" si="23"/>
        <v>87.215134610781192</v>
      </c>
      <c r="O120">
        <v>1</v>
      </c>
      <c r="P120">
        <v>1</v>
      </c>
      <c r="Q120">
        <v>2</v>
      </c>
      <c r="R120">
        <v>2</v>
      </c>
      <c r="S120">
        <v>2</v>
      </c>
    </row>
    <row r="121" spans="1:19">
      <c r="A121" s="915" t="s">
        <v>182</v>
      </c>
      <c r="B121" s="915">
        <v>2012</v>
      </c>
      <c r="C121" s="915" t="s">
        <v>90</v>
      </c>
      <c r="D121" s="218">
        <v>22.328881479</v>
      </c>
      <c r="E121" s="218">
        <v>113.572964328</v>
      </c>
      <c r="F121" s="218">
        <v>44.925511827000001</v>
      </c>
      <c r="G121" s="218">
        <f t="shared" si="16"/>
        <v>0.71655555992181208</v>
      </c>
      <c r="H121" s="218">
        <f t="shared" si="17"/>
        <v>0.28344444007818792</v>
      </c>
      <c r="I121" s="971">
        <f t="shared" si="18"/>
        <v>97.57308015738738</v>
      </c>
      <c r="J121" s="971">
        <f t="shared" si="19"/>
        <v>38.596514518612622</v>
      </c>
      <c r="K121" s="218">
        <f t="shared" si="20"/>
        <v>87.815772141648651</v>
      </c>
      <c r="L121" s="218">
        <f t="shared" si="21"/>
        <v>107.33038817312612</v>
      </c>
      <c r="M121" s="218">
        <f t="shared" si="22"/>
        <v>44.621430434968055</v>
      </c>
      <c r="N121" s="218">
        <f t="shared" si="23"/>
        <v>52.70354057516554</v>
      </c>
      <c r="O121">
        <v>1</v>
      </c>
      <c r="P121">
        <v>1</v>
      </c>
      <c r="Q121">
        <v>2</v>
      </c>
      <c r="R121">
        <v>2</v>
      </c>
      <c r="S121">
        <v>2</v>
      </c>
    </row>
    <row r="122" spans="1:19">
      <c r="A122" s="915" t="s">
        <v>182</v>
      </c>
      <c r="B122" s="915">
        <v>2012</v>
      </c>
      <c r="C122" s="915" t="s">
        <v>92</v>
      </c>
      <c r="D122" s="218">
        <v>33.428037046500002</v>
      </c>
      <c r="E122" s="218">
        <v>233.94698833300001</v>
      </c>
      <c r="F122" s="218">
        <v>53.028091650500002</v>
      </c>
      <c r="G122" s="218">
        <f t="shared" si="16"/>
        <v>0.81521708556175365</v>
      </c>
      <c r="H122" s="218">
        <f t="shared" si="17"/>
        <v>0.18478291443824635</v>
      </c>
      <c r="I122" s="971">
        <f t="shared" si="18"/>
        <v>206.69588139590195</v>
      </c>
      <c r="J122" s="971">
        <f t="shared" si="19"/>
        <v>46.851161541098065</v>
      </c>
      <c r="K122" s="218">
        <f t="shared" si="20"/>
        <v>186.02629325631176</v>
      </c>
      <c r="L122" s="218">
        <f t="shared" si="21"/>
        <v>227.36546953549217</v>
      </c>
      <c r="M122" s="218">
        <f t="shared" si="22"/>
        <v>54.164627857663483</v>
      </c>
      <c r="N122" s="218">
        <f t="shared" si="23"/>
        <v>63.975261084369414</v>
      </c>
      <c r="O122">
        <v>1</v>
      </c>
      <c r="P122">
        <v>1</v>
      </c>
      <c r="Q122">
        <v>2</v>
      </c>
      <c r="R122">
        <v>2</v>
      </c>
      <c r="S122">
        <v>2</v>
      </c>
    </row>
    <row r="123" spans="1:19">
      <c r="A123" s="915" t="s">
        <v>182</v>
      </c>
      <c r="B123" s="915">
        <v>2013</v>
      </c>
      <c r="C123" s="915" t="s">
        <v>99</v>
      </c>
      <c r="D123" s="218">
        <v>14.457800194200001</v>
      </c>
      <c r="E123" s="218">
        <v>124.4614760927</v>
      </c>
      <c r="F123" s="218">
        <v>27.7016179829</v>
      </c>
      <c r="G123" s="218">
        <f t="shared" si="16"/>
        <v>0.81794785291933636</v>
      </c>
      <c r="H123" s="218">
        <f t="shared" si="17"/>
        <v>0.18205214708066364</v>
      </c>
      <c r="I123" s="971">
        <f t="shared" si="18"/>
        <v>112.63574946591734</v>
      </c>
      <c r="J123" s="971">
        <f t="shared" si="19"/>
        <v>25.069544415482653</v>
      </c>
      <c r="K123" s="218">
        <f t="shared" si="20"/>
        <v>101.37217451932561</v>
      </c>
      <c r="L123" s="218">
        <f t="shared" si="21"/>
        <v>123.89932441250909</v>
      </c>
      <c r="M123" s="218">
        <f t="shared" si="22"/>
        <v>28.982900298739498</v>
      </c>
      <c r="N123" s="218">
        <f t="shared" si="23"/>
        <v>34.23246289934157</v>
      </c>
      <c r="O123">
        <v>1</v>
      </c>
      <c r="P123">
        <v>1</v>
      </c>
      <c r="Q123">
        <v>2</v>
      </c>
      <c r="R123">
        <v>2</v>
      </c>
      <c r="S123">
        <v>2</v>
      </c>
    </row>
    <row r="124" spans="1:19">
      <c r="A124" s="915" t="s">
        <v>182</v>
      </c>
      <c r="B124" s="915">
        <v>2013</v>
      </c>
      <c r="C124" s="915" t="s">
        <v>98</v>
      </c>
      <c r="D124" s="218">
        <v>26.5450682956</v>
      </c>
      <c r="E124" s="218">
        <v>214.31800184240001</v>
      </c>
      <c r="F124" s="218">
        <v>39.582388809299999</v>
      </c>
      <c r="G124" s="218">
        <f t="shared" si="16"/>
        <v>0.8441026864602228</v>
      </c>
      <c r="H124" s="218">
        <f t="shared" si="17"/>
        <v>0.1558973135397772</v>
      </c>
      <c r="I124" s="971">
        <f t="shared" si="18"/>
        <v>191.91123838181397</v>
      </c>
      <c r="J124" s="971">
        <f t="shared" si="19"/>
        <v>35.444083974286045</v>
      </c>
      <c r="K124" s="218">
        <f t="shared" si="20"/>
        <v>172.72011454363258</v>
      </c>
      <c r="L124" s="218">
        <f t="shared" si="21"/>
        <v>211.1023622199954</v>
      </c>
      <c r="M124" s="218">
        <f t="shared" si="22"/>
        <v>40.976905482672102</v>
      </c>
      <c r="N124" s="218">
        <f t="shared" si="23"/>
        <v>48.398896666887602</v>
      </c>
      <c r="O124">
        <v>1</v>
      </c>
      <c r="P124">
        <v>1</v>
      </c>
      <c r="Q124">
        <v>2</v>
      </c>
      <c r="R124">
        <v>2</v>
      </c>
      <c r="S124">
        <v>2</v>
      </c>
    </row>
    <row r="125" spans="1:19">
      <c r="A125" s="915" t="s">
        <v>182</v>
      </c>
      <c r="B125" s="915">
        <v>2013</v>
      </c>
      <c r="C125" s="915" t="s">
        <v>95</v>
      </c>
      <c r="D125" s="218">
        <v>38.561227846199998</v>
      </c>
      <c r="E125" s="218">
        <v>266.12033419490001</v>
      </c>
      <c r="F125" s="218">
        <v>82.569682509100005</v>
      </c>
      <c r="G125" s="218">
        <f t="shared" si="16"/>
        <v>0.76320032535031623</v>
      </c>
      <c r="H125" s="218">
        <f t="shared" si="17"/>
        <v>0.23679967464968377</v>
      </c>
      <c r="I125" s="971">
        <f t="shared" si="18"/>
        <v>236.69039255677251</v>
      </c>
      <c r="J125" s="971">
        <f t="shared" si="19"/>
        <v>73.438396301027524</v>
      </c>
      <c r="K125" s="218">
        <f t="shared" si="20"/>
        <v>213.02135330109527</v>
      </c>
      <c r="L125" s="218">
        <f t="shared" si="21"/>
        <v>260.35943181244977</v>
      </c>
      <c r="M125" s="218">
        <f t="shared" si="22"/>
        <v>84.902129963617924</v>
      </c>
      <c r="N125" s="218">
        <f t="shared" si="23"/>
        <v>100.28013014905309</v>
      </c>
      <c r="O125">
        <v>1</v>
      </c>
      <c r="P125">
        <v>1</v>
      </c>
      <c r="Q125">
        <v>2</v>
      </c>
      <c r="R125">
        <v>2</v>
      </c>
      <c r="S125">
        <v>2</v>
      </c>
    </row>
    <row r="126" spans="1:19">
      <c r="A126" s="915" t="s">
        <v>182</v>
      </c>
      <c r="B126" s="915">
        <v>2013</v>
      </c>
      <c r="C126" s="915" t="s">
        <v>91</v>
      </c>
      <c r="D126" s="218">
        <v>170.99273311952999</v>
      </c>
      <c r="E126" s="218">
        <v>1399.78778448765</v>
      </c>
      <c r="F126" s="218">
        <v>253.63192429835999</v>
      </c>
      <c r="G126" s="218">
        <f t="shared" si="16"/>
        <v>0.84660160819990216</v>
      </c>
      <c r="H126" s="218">
        <f t="shared" si="17"/>
        <v>0.15339839180009784</v>
      </c>
      <c r="I126" s="971">
        <f t="shared" si="18"/>
        <v>1255.0250616381593</v>
      </c>
      <c r="J126" s="971">
        <f t="shared" si="19"/>
        <v>227.40191402832076</v>
      </c>
      <c r="K126" s="218">
        <f t="shared" si="20"/>
        <v>1129.5225554743433</v>
      </c>
      <c r="L126" s="218">
        <f t="shared" si="21"/>
        <v>1380.5275678019752</v>
      </c>
      <c r="M126" s="218">
        <f t="shared" si="22"/>
        <v>262.89935280814166</v>
      </c>
      <c r="N126" s="218">
        <f t="shared" si="23"/>
        <v>310.51731360567203</v>
      </c>
      <c r="O126">
        <v>1</v>
      </c>
      <c r="P126">
        <v>1</v>
      </c>
      <c r="Q126">
        <v>2</v>
      </c>
      <c r="R126">
        <v>2</v>
      </c>
      <c r="S126">
        <v>2</v>
      </c>
    </row>
    <row r="127" spans="1:19">
      <c r="A127" s="915" t="s">
        <v>182</v>
      </c>
      <c r="B127" s="915">
        <v>2013</v>
      </c>
      <c r="C127" s="915" t="s">
        <v>93</v>
      </c>
      <c r="D127" s="218">
        <v>38.966978734999998</v>
      </c>
      <c r="E127" s="218">
        <v>182.33374791899999</v>
      </c>
      <c r="F127" s="218">
        <v>75.803505104999999</v>
      </c>
      <c r="G127" s="218">
        <f t="shared" si="16"/>
        <v>0.70634418621495032</v>
      </c>
      <c r="H127" s="218">
        <f t="shared" si="17"/>
        <v>0.29365581378504968</v>
      </c>
      <c r="I127" s="971">
        <f t="shared" si="18"/>
        <v>154.80964903517113</v>
      </c>
      <c r="J127" s="971">
        <f t="shared" si="19"/>
        <v>64.360625253828843</v>
      </c>
      <c r="K127" s="218">
        <f t="shared" si="20"/>
        <v>139.32868413165403</v>
      </c>
      <c r="L127" s="218">
        <f t="shared" si="21"/>
        <v>170.29061393868827</v>
      </c>
      <c r="M127" s="218">
        <f t="shared" si="22"/>
        <v>74.40731885595153</v>
      </c>
      <c r="N127" s="218">
        <f t="shared" si="23"/>
        <v>87.884433784103294</v>
      </c>
      <c r="O127">
        <v>1</v>
      </c>
      <c r="P127">
        <v>1</v>
      </c>
      <c r="Q127">
        <v>2</v>
      </c>
      <c r="R127">
        <v>2</v>
      </c>
      <c r="S127">
        <v>2</v>
      </c>
    </row>
    <row r="128" spans="1:19">
      <c r="A128" s="915" t="s">
        <v>182</v>
      </c>
      <c r="B128" s="915">
        <v>2013</v>
      </c>
      <c r="C128" s="915" t="s">
        <v>90</v>
      </c>
      <c r="D128" s="218">
        <v>23.959647096000001</v>
      </c>
      <c r="E128" s="218">
        <v>117.311127615</v>
      </c>
      <c r="F128" s="218">
        <v>45.564610391999999</v>
      </c>
      <c r="G128" s="218">
        <f t="shared" si="16"/>
        <v>0.72024924675987201</v>
      </c>
      <c r="H128" s="218">
        <f t="shared" si="17"/>
        <v>0.27975075324012799</v>
      </c>
      <c r="I128" s="971">
        <f t="shared" si="18"/>
        <v>100.05420984147365</v>
      </c>
      <c r="J128" s="971">
        <f t="shared" si="19"/>
        <v>38.861881069526355</v>
      </c>
      <c r="K128" s="218">
        <f t="shared" si="20"/>
        <v>90.048788857326286</v>
      </c>
      <c r="L128" s="218">
        <f t="shared" si="21"/>
        <v>110.05963082562103</v>
      </c>
      <c r="M128" s="218">
        <f t="shared" si="22"/>
        <v>44.928220704479422</v>
      </c>
      <c r="N128" s="218">
        <f t="shared" si="23"/>
        <v>53.065898600438246</v>
      </c>
      <c r="O128">
        <v>1</v>
      </c>
      <c r="P128">
        <v>1</v>
      </c>
      <c r="Q128">
        <v>2</v>
      </c>
      <c r="R128">
        <v>2</v>
      </c>
      <c r="S128">
        <v>2</v>
      </c>
    </row>
    <row r="129" spans="1:19">
      <c r="A129" s="915" t="s">
        <v>182</v>
      </c>
      <c r="B129" s="915">
        <v>2013</v>
      </c>
      <c r="C129" s="915" t="s">
        <v>92</v>
      </c>
      <c r="D129" s="218">
        <v>35.318847654999999</v>
      </c>
      <c r="E129" s="218">
        <v>242.25254767050001</v>
      </c>
      <c r="F129" s="218">
        <v>53.420065557000001</v>
      </c>
      <c r="G129" s="218">
        <f t="shared" si="16"/>
        <v>0.81932697460925519</v>
      </c>
      <c r="H129" s="218">
        <f t="shared" si="17"/>
        <v>0.18067302539074481</v>
      </c>
      <c r="I129" s="971">
        <f t="shared" si="18"/>
        <v>213.31486307464368</v>
      </c>
      <c r="J129" s="971">
        <f t="shared" si="19"/>
        <v>47.038902497856341</v>
      </c>
      <c r="K129" s="218">
        <f t="shared" si="20"/>
        <v>191.98337676717932</v>
      </c>
      <c r="L129" s="218">
        <f t="shared" si="21"/>
        <v>234.64634938210807</v>
      </c>
      <c r="M129" s="218">
        <f t="shared" si="22"/>
        <v>54.381675177771719</v>
      </c>
      <c r="N129" s="218">
        <f t="shared" si="23"/>
        <v>64.231621360822842</v>
      </c>
      <c r="O129">
        <v>1</v>
      </c>
      <c r="P129">
        <v>1</v>
      </c>
      <c r="Q129">
        <v>2</v>
      </c>
      <c r="R129">
        <v>2</v>
      </c>
      <c r="S129">
        <v>2</v>
      </c>
    </row>
    <row r="130" spans="1:19">
      <c r="A130" s="915" t="s">
        <v>182</v>
      </c>
      <c r="B130" s="915">
        <v>2014</v>
      </c>
      <c r="C130" s="915" t="s">
        <v>99</v>
      </c>
      <c r="D130" s="218">
        <v>15.166981333800001</v>
      </c>
      <c r="E130" s="218">
        <v>140.0694470263</v>
      </c>
      <c r="F130" s="218">
        <v>26.874755109100001</v>
      </c>
      <c r="G130" s="218">
        <f t="shared" si="16"/>
        <v>0.83901953607647162</v>
      </c>
      <c r="H130" s="218">
        <f t="shared" si="17"/>
        <v>0.16098046392352838</v>
      </c>
      <c r="I130" s="971">
        <f t="shared" si="18"/>
        <v>127.34405338393462</v>
      </c>
      <c r="J130" s="971">
        <f t="shared" si="19"/>
        <v>24.433167417665381</v>
      </c>
      <c r="K130" s="218">
        <f t="shared" si="20"/>
        <v>114.60964804554116</v>
      </c>
      <c r="L130" s="218">
        <f t="shared" si="21"/>
        <v>140.07845872232809</v>
      </c>
      <c r="M130" s="218">
        <f t="shared" si="22"/>
        <v>28.247184851562949</v>
      </c>
      <c r="N130" s="218">
        <f t="shared" si="23"/>
        <v>33.363490108822084</v>
      </c>
      <c r="O130">
        <v>1</v>
      </c>
      <c r="P130">
        <v>1</v>
      </c>
      <c r="Q130">
        <v>2</v>
      </c>
      <c r="R130">
        <v>2</v>
      </c>
      <c r="S130">
        <v>2</v>
      </c>
    </row>
    <row r="131" spans="1:19">
      <c r="A131" s="915" t="s">
        <v>182</v>
      </c>
      <c r="B131" s="915">
        <v>2014</v>
      </c>
      <c r="C131" s="915" t="s">
        <v>98</v>
      </c>
      <c r="D131" s="218">
        <v>27.741821870199999</v>
      </c>
      <c r="E131" s="218">
        <v>235.51658726989999</v>
      </c>
      <c r="F131" s="218">
        <v>41.702623060199997</v>
      </c>
      <c r="G131" s="218">
        <f t="shared" si="16"/>
        <v>0.84956806200211588</v>
      </c>
      <c r="H131" s="218">
        <f t="shared" si="17"/>
        <v>0.15043193799788412</v>
      </c>
      <c r="I131" s="971">
        <f t="shared" si="18"/>
        <v>211.94802142722625</v>
      </c>
      <c r="J131" s="971">
        <f t="shared" si="19"/>
        <v>37.529367032673726</v>
      </c>
      <c r="K131" s="218">
        <f t="shared" si="20"/>
        <v>190.75321928450364</v>
      </c>
      <c r="L131" s="218">
        <f t="shared" si="21"/>
        <v>233.14282356994889</v>
      </c>
      <c r="M131" s="218">
        <f t="shared" si="22"/>
        <v>43.3877012264741</v>
      </c>
      <c r="N131" s="218">
        <f t="shared" si="23"/>
        <v>51.246350683115978</v>
      </c>
      <c r="O131">
        <v>1</v>
      </c>
      <c r="P131">
        <v>1</v>
      </c>
      <c r="Q131">
        <v>2</v>
      </c>
      <c r="R131">
        <v>2</v>
      </c>
      <c r="S131">
        <v>2</v>
      </c>
    </row>
    <row r="132" spans="1:19">
      <c r="A132" s="915" t="s">
        <v>182</v>
      </c>
      <c r="B132" s="915">
        <v>2014</v>
      </c>
      <c r="C132" s="915" t="s">
        <v>95</v>
      </c>
      <c r="D132" s="218">
        <v>39.9049263749</v>
      </c>
      <c r="E132" s="218">
        <v>292.05010803020002</v>
      </c>
      <c r="F132" s="218">
        <v>81.751262606400005</v>
      </c>
      <c r="G132" s="218">
        <f t="shared" si="16"/>
        <v>0.78129758468468413</v>
      </c>
      <c r="H132" s="218">
        <f t="shared" si="17"/>
        <v>0.21870241531531587</v>
      </c>
      <c r="I132" s="971">
        <f t="shared" si="18"/>
        <v>260.87248543647053</v>
      </c>
      <c r="J132" s="971">
        <f t="shared" si="19"/>
        <v>73.023958825229528</v>
      </c>
      <c r="K132" s="218">
        <f t="shared" si="20"/>
        <v>234.78523689282349</v>
      </c>
      <c r="L132" s="218">
        <f t="shared" si="21"/>
        <v>286.95973398011762</v>
      </c>
      <c r="M132" s="218">
        <f t="shared" si="22"/>
        <v>84.422998797847868</v>
      </c>
      <c r="N132" s="218">
        <f t="shared" si="23"/>
        <v>99.714215775850931</v>
      </c>
      <c r="O132">
        <v>1</v>
      </c>
      <c r="P132">
        <v>1</v>
      </c>
      <c r="Q132">
        <v>2</v>
      </c>
      <c r="R132">
        <v>2</v>
      </c>
      <c r="S132">
        <v>2</v>
      </c>
    </row>
    <row r="133" spans="1:19">
      <c r="A133" s="915" t="s">
        <v>182</v>
      </c>
      <c r="B133" s="915">
        <v>2014</v>
      </c>
      <c r="C133" s="915" t="s">
        <v>91</v>
      </c>
      <c r="D133" s="218">
        <v>182.49548583584999</v>
      </c>
      <c r="E133" s="218">
        <v>1531.91367594435</v>
      </c>
      <c r="F133" s="218">
        <v>253.56742903355999</v>
      </c>
      <c r="G133" s="218">
        <f t="shared" si="16"/>
        <v>0.85798369507993355</v>
      </c>
      <c r="H133" s="218">
        <f t="shared" si="17"/>
        <v>0.14201630492006645</v>
      </c>
      <c r="I133" s="971">
        <f t="shared" si="18"/>
        <v>1375.3355246714998</v>
      </c>
      <c r="J133" s="971">
        <f t="shared" si="19"/>
        <v>227.65009447056025</v>
      </c>
      <c r="K133" s="218">
        <f t="shared" si="20"/>
        <v>1237.8019722043498</v>
      </c>
      <c r="L133" s="218">
        <f t="shared" si="21"/>
        <v>1512.8690771386498</v>
      </c>
      <c r="M133" s="218">
        <f t="shared" si="22"/>
        <v>263.18627421741473</v>
      </c>
      <c r="N133" s="218">
        <f t="shared" si="23"/>
        <v>310.85620399955008</v>
      </c>
      <c r="O133">
        <v>1</v>
      </c>
      <c r="P133">
        <v>1</v>
      </c>
      <c r="Q133">
        <v>2</v>
      </c>
      <c r="R133">
        <v>2</v>
      </c>
      <c r="S133">
        <v>2</v>
      </c>
    </row>
    <row r="134" spans="1:19">
      <c r="A134" s="915" t="s">
        <v>182</v>
      </c>
      <c r="B134" s="915">
        <v>2014</v>
      </c>
      <c r="C134" s="915" t="s">
        <v>93</v>
      </c>
      <c r="D134" s="218">
        <v>39.652465651</v>
      </c>
      <c r="E134" s="218">
        <v>196.34233849200001</v>
      </c>
      <c r="F134" s="218">
        <v>82.260608047000005</v>
      </c>
      <c r="G134" s="218">
        <f t="shared" si="16"/>
        <v>0.70473891583381076</v>
      </c>
      <c r="H134" s="218">
        <f t="shared" si="17"/>
        <v>0.29526108416618924</v>
      </c>
      <c r="I134" s="971">
        <f t="shared" si="18"/>
        <v>168.39770283897684</v>
      </c>
      <c r="J134" s="971">
        <f t="shared" si="19"/>
        <v>70.552778049023161</v>
      </c>
      <c r="K134" s="218">
        <f t="shared" si="20"/>
        <v>151.55793255507916</v>
      </c>
      <c r="L134" s="218">
        <f t="shared" si="21"/>
        <v>185.23747312287455</v>
      </c>
      <c r="M134" s="218">
        <f t="shared" si="22"/>
        <v>81.56606670247568</v>
      </c>
      <c r="N134" s="218">
        <f t="shared" si="23"/>
        <v>96.339818425941132</v>
      </c>
      <c r="O134">
        <v>1</v>
      </c>
      <c r="P134">
        <v>1</v>
      </c>
      <c r="Q134">
        <v>2</v>
      </c>
      <c r="R134">
        <v>2</v>
      </c>
      <c r="S134">
        <v>2</v>
      </c>
    </row>
    <row r="135" spans="1:19">
      <c r="A135" s="915" t="s">
        <v>182</v>
      </c>
      <c r="B135" s="915">
        <v>2014</v>
      </c>
      <c r="C135" s="915" t="s">
        <v>90</v>
      </c>
      <c r="D135" s="218">
        <v>24.427419284999999</v>
      </c>
      <c r="E135" s="218">
        <v>126.433927422</v>
      </c>
      <c r="F135" s="218">
        <v>49.461362651999998</v>
      </c>
      <c r="G135" s="218">
        <f t="shared" si="16"/>
        <v>0.71880223381085773</v>
      </c>
      <c r="H135" s="218">
        <f t="shared" si="17"/>
        <v>0.28119776618914227</v>
      </c>
      <c r="I135" s="971">
        <f t="shared" si="18"/>
        <v>108.87544387370757</v>
      </c>
      <c r="J135" s="971">
        <f t="shared" si="19"/>
        <v>42.592426915292421</v>
      </c>
      <c r="K135" s="218">
        <f t="shared" si="20"/>
        <v>97.987899486336815</v>
      </c>
      <c r="L135" s="218">
        <f t="shared" si="21"/>
        <v>119.76298826107833</v>
      </c>
      <c r="M135" s="218">
        <f t="shared" si="22"/>
        <v>49.241104756769573</v>
      </c>
      <c r="N135" s="218">
        <f t="shared" si="23"/>
        <v>58.159958952831808</v>
      </c>
      <c r="O135">
        <v>1</v>
      </c>
      <c r="P135">
        <v>1</v>
      </c>
      <c r="Q135">
        <v>2</v>
      </c>
      <c r="R135">
        <v>2</v>
      </c>
      <c r="S135">
        <v>2</v>
      </c>
    </row>
    <row r="136" spans="1:19">
      <c r="A136" s="915" t="s">
        <v>182</v>
      </c>
      <c r="B136" s="915">
        <v>2014</v>
      </c>
      <c r="C136" s="915" t="s">
        <v>92</v>
      </c>
      <c r="D136" s="218">
        <v>36.6431888495</v>
      </c>
      <c r="E136" s="218">
        <v>261.371151387</v>
      </c>
      <c r="F136" s="218">
        <v>57.937369781000001</v>
      </c>
      <c r="G136" s="218">
        <f t="shared" si="16"/>
        <v>0.81855363718741159</v>
      </c>
      <c r="H136" s="218">
        <f t="shared" si="17"/>
        <v>0.18144636281258841</v>
      </c>
      <c r="I136" s="971">
        <f t="shared" si="18"/>
        <v>231.37673587609657</v>
      </c>
      <c r="J136" s="971">
        <f t="shared" si="19"/>
        <v>51.288596442403431</v>
      </c>
      <c r="K136" s="218">
        <f t="shared" si="20"/>
        <v>208.23906228848693</v>
      </c>
      <c r="L136" s="218">
        <f t="shared" si="21"/>
        <v>254.51440946370624</v>
      </c>
      <c r="M136" s="218">
        <f t="shared" si="22"/>
        <v>59.294746347062613</v>
      </c>
      <c r="N136" s="218">
        <f t="shared" si="23"/>
        <v>70.034578442101889</v>
      </c>
      <c r="O136">
        <v>1</v>
      </c>
      <c r="P136">
        <v>1</v>
      </c>
      <c r="Q136">
        <v>2</v>
      </c>
      <c r="R136">
        <v>2</v>
      </c>
      <c r="S136">
        <v>2</v>
      </c>
    </row>
    <row r="137" spans="1:19">
      <c r="A137" s="915" t="s">
        <v>182</v>
      </c>
      <c r="B137" s="915">
        <v>2015</v>
      </c>
      <c r="C137" s="915" t="s">
        <v>99</v>
      </c>
      <c r="D137" s="218">
        <v>15.266342312100001</v>
      </c>
      <c r="E137" s="218">
        <v>131.80811861710001</v>
      </c>
      <c r="F137" s="218">
        <v>24.360884621499999</v>
      </c>
      <c r="G137" s="218">
        <f t="shared" si="16"/>
        <v>0.84400947616806743</v>
      </c>
      <c r="H137" s="218">
        <f t="shared" si="17"/>
        <v>0.15599052383193257</v>
      </c>
      <c r="I137" s="971">
        <f t="shared" si="18"/>
        <v>118.92318103926208</v>
      </c>
      <c r="J137" s="971">
        <f t="shared" si="19"/>
        <v>21.979479887237922</v>
      </c>
      <c r="K137" s="218">
        <f t="shared" si="20"/>
        <v>107.03086293533588</v>
      </c>
      <c r="L137" s="218">
        <f t="shared" si="21"/>
        <v>130.8154991431883</v>
      </c>
      <c r="M137" s="218">
        <f t="shared" si="22"/>
        <v>25.410476697635765</v>
      </c>
      <c r="N137" s="218">
        <f t="shared" si="23"/>
        <v>30.012979786023386</v>
      </c>
      <c r="O137">
        <v>1</v>
      </c>
      <c r="P137">
        <v>1</v>
      </c>
      <c r="Q137">
        <v>2</v>
      </c>
      <c r="R137">
        <v>2</v>
      </c>
      <c r="S137">
        <v>2</v>
      </c>
    </row>
    <row r="138" spans="1:19">
      <c r="A138" s="915" t="s">
        <v>182</v>
      </c>
      <c r="B138" s="915">
        <v>2015</v>
      </c>
      <c r="C138" s="915" t="s">
        <v>98</v>
      </c>
      <c r="D138" s="218">
        <v>28.143792913399999</v>
      </c>
      <c r="E138" s="218">
        <v>215.6857742048</v>
      </c>
      <c r="F138" s="218">
        <v>38.191974101299998</v>
      </c>
      <c r="G138" s="218">
        <f t="shared" si="16"/>
        <v>0.84956549222560462</v>
      </c>
      <c r="H138" s="218">
        <f t="shared" si="17"/>
        <v>0.15043450777439538</v>
      </c>
      <c r="I138" s="971">
        <f t="shared" si="18"/>
        <v>191.77577892523183</v>
      </c>
      <c r="J138" s="971">
        <f t="shared" si="19"/>
        <v>33.958176467468149</v>
      </c>
      <c r="K138" s="218">
        <f t="shared" si="20"/>
        <v>172.59820103270866</v>
      </c>
      <c r="L138" s="218">
        <f t="shared" si="21"/>
        <v>210.95335681775504</v>
      </c>
      <c r="M138" s="218">
        <f t="shared" si="22"/>
        <v>39.259047814039931</v>
      </c>
      <c r="N138" s="218">
        <f t="shared" si="23"/>
        <v>46.369889966327761</v>
      </c>
      <c r="O138">
        <v>1</v>
      </c>
      <c r="P138">
        <v>1</v>
      </c>
      <c r="Q138">
        <v>2</v>
      </c>
      <c r="R138">
        <v>2</v>
      </c>
      <c r="S138">
        <v>2</v>
      </c>
    </row>
    <row r="139" spans="1:19">
      <c r="A139" s="915" t="s">
        <v>182</v>
      </c>
      <c r="B139" s="915">
        <v>2015</v>
      </c>
      <c r="C139" s="915" t="s">
        <v>95</v>
      </c>
      <c r="D139" s="218">
        <v>40.495547237899999</v>
      </c>
      <c r="E139" s="218">
        <v>277.7586190669</v>
      </c>
      <c r="F139" s="218">
        <v>75.043678139899995</v>
      </c>
      <c r="G139" s="218">
        <f t="shared" si="16"/>
        <v>0.78729254674917237</v>
      </c>
      <c r="H139" s="218">
        <f t="shared" si="17"/>
        <v>0.21270745325082763</v>
      </c>
      <c r="I139" s="971">
        <f t="shared" si="18"/>
        <v>245.87677654997231</v>
      </c>
      <c r="J139" s="971">
        <f t="shared" si="19"/>
        <v>66.429973418927702</v>
      </c>
      <c r="K139" s="218">
        <f t="shared" si="20"/>
        <v>221.28909889497507</v>
      </c>
      <c r="L139" s="218">
        <f t="shared" si="21"/>
        <v>270.46445420496957</v>
      </c>
      <c r="M139" s="218">
        <f t="shared" si="22"/>
        <v>76.799692269622327</v>
      </c>
      <c r="N139" s="218">
        <f t="shared" si="23"/>
        <v>90.710128703545791</v>
      </c>
      <c r="O139">
        <v>1</v>
      </c>
      <c r="P139">
        <v>1</v>
      </c>
      <c r="Q139">
        <v>2</v>
      </c>
      <c r="R139">
        <v>2</v>
      </c>
      <c r="S139">
        <v>2</v>
      </c>
    </row>
    <row r="140" spans="1:19">
      <c r="A140" s="915" t="s">
        <v>182</v>
      </c>
      <c r="B140" s="915">
        <v>2015</v>
      </c>
      <c r="C140" s="915" t="s">
        <v>91</v>
      </c>
      <c r="D140" s="218">
        <v>185.97395447142</v>
      </c>
      <c r="E140" s="218">
        <v>1466.51177983406</v>
      </c>
      <c r="F140" s="218">
        <v>230.22317684833999</v>
      </c>
      <c r="G140" s="218">
        <f t="shared" si="16"/>
        <v>0.86431400146402837</v>
      </c>
      <c r="H140" s="218">
        <f t="shared" si="17"/>
        <v>0.13568599853597163</v>
      </c>
      <c r="I140" s="971">
        <f t="shared" si="18"/>
        <v>1305.7718870767781</v>
      </c>
      <c r="J140" s="971">
        <f t="shared" si="19"/>
        <v>204.98911513420205</v>
      </c>
      <c r="K140" s="218">
        <f t="shared" si="20"/>
        <v>1175.1946983691003</v>
      </c>
      <c r="L140" s="218">
        <f t="shared" si="21"/>
        <v>1436.3490757844561</v>
      </c>
      <c r="M140" s="218">
        <f t="shared" si="22"/>
        <v>236.98791600665101</v>
      </c>
      <c r="N140" s="218">
        <f t="shared" si="23"/>
        <v>279.91263671575291</v>
      </c>
      <c r="O140">
        <v>1</v>
      </c>
      <c r="P140">
        <v>1</v>
      </c>
      <c r="Q140">
        <v>2</v>
      </c>
      <c r="R140">
        <v>2</v>
      </c>
      <c r="S140">
        <v>2</v>
      </c>
    </row>
    <row r="141" spans="1:19">
      <c r="A141" s="915" t="s">
        <v>182</v>
      </c>
      <c r="B141" s="915">
        <v>2015</v>
      </c>
      <c r="C141" s="915" t="s">
        <v>93</v>
      </c>
      <c r="D141" s="218">
        <v>38.770970308999999</v>
      </c>
      <c r="E141" s="218">
        <v>186.75439187800001</v>
      </c>
      <c r="F141" s="218">
        <v>78.899163892999994</v>
      </c>
      <c r="G141" s="218">
        <f t="shared" si="16"/>
        <v>0.7029997823141767</v>
      </c>
      <c r="H141" s="218">
        <f t="shared" si="17"/>
        <v>0.2970002176858233</v>
      </c>
      <c r="I141" s="971">
        <f t="shared" si="18"/>
        <v>159.49840819066361</v>
      </c>
      <c r="J141" s="971">
        <f t="shared" si="19"/>
        <v>67.384177271336398</v>
      </c>
      <c r="K141" s="218">
        <f t="shared" si="20"/>
        <v>143.54856737159724</v>
      </c>
      <c r="L141" s="218">
        <f t="shared" si="21"/>
        <v>175.44824900972998</v>
      </c>
      <c r="M141" s="218">
        <f t="shared" si="22"/>
        <v>77.902847343392011</v>
      </c>
      <c r="N141" s="218">
        <f t="shared" si="23"/>
        <v>92.013094064009863</v>
      </c>
      <c r="O141">
        <v>1</v>
      </c>
      <c r="P141">
        <v>1</v>
      </c>
      <c r="Q141">
        <v>2</v>
      </c>
      <c r="R141">
        <v>2</v>
      </c>
      <c r="S141">
        <v>2</v>
      </c>
    </row>
    <row r="142" spans="1:19">
      <c r="A142" s="915" t="s">
        <v>182</v>
      </c>
      <c r="B142" s="915">
        <v>2015</v>
      </c>
      <c r="C142" s="915" t="s">
        <v>90</v>
      </c>
      <c r="D142" s="218">
        <v>23.924247855000001</v>
      </c>
      <c r="E142" s="218">
        <v>119.73085285800001</v>
      </c>
      <c r="F142" s="218">
        <v>47.412957749999997</v>
      </c>
      <c r="G142" s="218">
        <f t="shared" si="16"/>
        <v>0.71633434957877729</v>
      </c>
      <c r="H142" s="218">
        <f t="shared" si="17"/>
        <v>0.28366565042122271</v>
      </c>
      <c r="I142" s="971">
        <f t="shared" si="18"/>
        <v>102.59309233162712</v>
      </c>
      <c r="J142" s="971">
        <f t="shared" si="19"/>
        <v>40.626470421372879</v>
      </c>
      <c r="K142" s="218">
        <f t="shared" si="20"/>
        <v>92.333783098464409</v>
      </c>
      <c r="L142" s="218">
        <f t="shared" si="21"/>
        <v>112.85240156478984</v>
      </c>
      <c r="M142" s="218">
        <f t="shared" si="22"/>
        <v>46.96826245414919</v>
      </c>
      <c r="N142" s="218">
        <f t="shared" si="23"/>
        <v>55.475445360384676</v>
      </c>
      <c r="O142">
        <v>1</v>
      </c>
      <c r="P142">
        <v>1</v>
      </c>
      <c r="Q142">
        <v>2</v>
      </c>
      <c r="R142">
        <v>2</v>
      </c>
      <c r="S142">
        <v>2</v>
      </c>
    </row>
    <row r="143" spans="1:19">
      <c r="A143" s="915" t="s">
        <v>182</v>
      </c>
      <c r="B143" s="915">
        <v>2015</v>
      </c>
      <c r="C143" s="915" t="s">
        <v>92</v>
      </c>
      <c r="D143" s="218">
        <v>36.435097796500003</v>
      </c>
      <c r="E143" s="218">
        <v>241.73989508299999</v>
      </c>
      <c r="F143" s="218">
        <v>55.302156856000003</v>
      </c>
      <c r="G143" s="218">
        <f t="shared" si="16"/>
        <v>0.81382381216731992</v>
      </c>
      <c r="H143" s="218">
        <f t="shared" si="17"/>
        <v>0.18617618783268008</v>
      </c>
      <c r="I143" s="971">
        <f t="shared" si="18"/>
        <v>212.08814489756324</v>
      </c>
      <c r="J143" s="971">
        <f t="shared" si="19"/>
        <v>48.518809244936747</v>
      </c>
      <c r="K143" s="218">
        <f t="shared" si="20"/>
        <v>190.87933040780692</v>
      </c>
      <c r="L143" s="218">
        <f t="shared" si="21"/>
        <v>233.29695938731959</v>
      </c>
      <c r="M143" s="218">
        <f t="shared" si="22"/>
        <v>56.092595368071379</v>
      </c>
      <c r="N143" s="218">
        <f t="shared" si="23"/>
        <v>66.252434023961143</v>
      </c>
      <c r="O143">
        <v>1</v>
      </c>
      <c r="P143">
        <v>1</v>
      </c>
      <c r="Q143">
        <v>2</v>
      </c>
      <c r="R143">
        <v>2</v>
      </c>
      <c r="S143">
        <v>2</v>
      </c>
    </row>
    <row r="144" spans="1:19">
      <c r="A144" s="915" t="s">
        <v>182</v>
      </c>
      <c r="B144" s="915">
        <v>2016</v>
      </c>
      <c r="C144" s="915" t="s">
        <v>99</v>
      </c>
      <c r="D144" s="218">
        <v>16.234604388099999</v>
      </c>
      <c r="E144" s="218">
        <v>137.58729524930001</v>
      </c>
      <c r="F144" s="218">
        <v>27.7850296099</v>
      </c>
      <c r="G144" s="218">
        <f t="shared" si="16"/>
        <v>0.83198500938076247</v>
      </c>
      <c r="H144" s="218">
        <f t="shared" si="17"/>
        <v>0.16801499061923753</v>
      </c>
      <c r="I144" s="971">
        <f t="shared" si="18"/>
        <v>124.08034776517367</v>
      </c>
      <c r="J144" s="971">
        <f t="shared" si="19"/>
        <v>25.057372705926348</v>
      </c>
      <c r="K144" s="218">
        <f t="shared" si="20"/>
        <v>111.6723129886563</v>
      </c>
      <c r="L144" s="218">
        <f t="shared" si="21"/>
        <v>136.48838254169104</v>
      </c>
      <c r="M144" s="218">
        <f t="shared" si="22"/>
        <v>28.968828585321454</v>
      </c>
      <c r="N144" s="218">
        <f t="shared" si="23"/>
        <v>34.215842429942434</v>
      </c>
      <c r="O144">
        <v>1</v>
      </c>
      <c r="P144">
        <v>1</v>
      </c>
      <c r="Q144">
        <v>2</v>
      </c>
      <c r="R144">
        <v>2</v>
      </c>
      <c r="S144">
        <v>2</v>
      </c>
    </row>
    <row r="145" spans="1:19">
      <c r="A145" s="915" t="s">
        <v>182</v>
      </c>
      <c r="B145" s="915">
        <v>2016</v>
      </c>
      <c r="C145" s="915" t="s">
        <v>98</v>
      </c>
      <c r="D145" s="218">
        <v>29.630118045700002</v>
      </c>
      <c r="E145" s="218">
        <v>217.37747615489999</v>
      </c>
      <c r="F145" s="218">
        <v>37.4982767833</v>
      </c>
      <c r="G145" s="218">
        <f t="shared" si="16"/>
        <v>0.85287624910953286</v>
      </c>
      <c r="H145" s="218">
        <f t="shared" si="17"/>
        <v>0.14712375089046714</v>
      </c>
      <c r="I145" s="971">
        <f t="shared" si="18"/>
        <v>192.10665221541069</v>
      </c>
      <c r="J145" s="971">
        <f t="shared" si="19"/>
        <v>33.138982677089295</v>
      </c>
      <c r="K145" s="218">
        <f t="shared" si="20"/>
        <v>172.89598699386963</v>
      </c>
      <c r="L145" s="218">
        <f t="shared" si="21"/>
        <v>211.31731743695178</v>
      </c>
      <c r="M145" s="218">
        <f t="shared" si="22"/>
        <v>38.311977872982936</v>
      </c>
      <c r="N145" s="218">
        <f t="shared" si="23"/>
        <v>45.251280845565439</v>
      </c>
      <c r="O145">
        <v>1</v>
      </c>
      <c r="P145">
        <v>1</v>
      </c>
      <c r="Q145">
        <v>2</v>
      </c>
      <c r="R145">
        <v>2</v>
      </c>
      <c r="S145">
        <v>2</v>
      </c>
    </row>
    <row r="146" spans="1:19">
      <c r="A146" s="915" t="s">
        <v>182</v>
      </c>
      <c r="B146" s="915">
        <v>2016</v>
      </c>
      <c r="C146" s="915" t="s">
        <v>95</v>
      </c>
      <c r="D146" s="218">
        <v>42.122840641099998</v>
      </c>
      <c r="E146" s="218">
        <v>289.55312184339999</v>
      </c>
      <c r="F146" s="218">
        <v>74.257375948900005</v>
      </c>
      <c r="G146" s="218">
        <f t="shared" si="16"/>
        <v>0.79588995809765317</v>
      </c>
      <c r="H146" s="218">
        <f t="shared" si="17"/>
        <v>0.20411004190234683</v>
      </c>
      <c r="I146" s="971">
        <f t="shared" si="18"/>
        <v>256.02797597060078</v>
      </c>
      <c r="J146" s="971">
        <f t="shared" si="19"/>
        <v>65.659681180599208</v>
      </c>
      <c r="K146" s="218">
        <f t="shared" si="20"/>
        <v>230.42517837354072</v>
      </c>
      <c r="L146" s="218">
        <f t="shared" si="21"/>
        <v>281.63077356766087</v>
      </c>
      <c r="M146" s="218">
        <f t="shared" si="22"/>
        <v>75.90915741289075</v>
      </c>
      <c r="N146" s="218">
        <f t="shared" si="23"/>
        <v>89.658294652108225</v>
      </c>
      <c r="O146">
        <v>1</v>
      </c>
      <c r="P146">
        <v>1</v>
      </c>
      <c r="Q146">
        <v>2</v>
      </c>
      <c r="R146">
        <v>2</v>
      </c>
      <c r="S146">
        <v>2</v>
      </c>
    </row>
    <row r="147" spans="1:19">
      <c r="A147" s="915" t="s">
        <v>182</v>
      </c>
      <c r="B147" s="915">
        <v>2016</v>
      </c>
      <c r="C147" s="915" t="s">
        <v>91</v>
      </c>
      <c r="D147" s="218">
        <v>196.34086768533001</v>
      </c>
      <c r="E147" s="218">
        <v>1520.3302555887601</v>
      </c>
      <c r="F147" s="218">
        <v>241.14873276618999</v>
      </c>
      <c r="G147" s="218">
        <f t="shared" si="16"/>
        <v>0.8630987174071264</v>
      </c>
      <c r="H147" s="218">
        <f t="shared" si="17"/>
        <v>0.1369012825928736</v>
      </c>
      <c r="I147" s="971">
        <f t="shared" si="18"/>
        <v>1350.8687045149495</v>
      </c>
      <c r="J147" s="971">
        <f t="shared" si="19"/>
        <v>214.26941615467064</v>
      </c>
      <c r="K147" s="218">
        <f t="shared" si="20"/>
        <v>1215.7818340634547</v>
      </c>
      <c r="L147" s="218">
        <f t="shared" si="21"/>
        <v>1485.9555749664446</v>
      </c>
      <c r="M147" s="218">
        <f t="shared" si="22"/>
        <v>247.71687201641475</v>
      </c>
      <c r="N147" s="218">
        <f t="shared" si="23"/>
        <v>292.58488775920279</v>
      </c>
      <c r="O147">
        <v>1</v>
      </c>
      <c r="P147">
        <v>1</v>
      </c>
      <c r="Q147">
        <v>2</v>
      </c>
      <c r="R147">
        <v>2</v>
      </c>
      <c r="S147">
        <v>2</v>
      </c>
    </row>
    <row r="148" spans="1:19">
      <c r="A148" s="915" t="s">
        <v>182</v>
      </c>
      <c r="B148" s="915">
        <v>2016</v>
      </c>
      <c r="C148" s="915" t="s">
        <v>93</v>
      </c>
      <c r="D148" s="218">
        <v>38.525073327000001</v>
      </c>
      <c r="E148" s="218">
        <v>184.22361180499999</v>
      </c>
      <c r="F148" s="218">
        <v>78.473458319000002</v>
      </c>
      <c r="G148" s="218">
        <f t="shared" si="16"/>
        <v>0.70127775585027097</v>
      </c>
      <c r="H148" s="218">
        <f t="shared" si="17"/>
        <v>0.29872224414972903</v>
      </c>
      <c r="I148" s="971">
        <f t="shared" si="18"/>
        <v>157.20683483827429</v>
      </c>
      <c r="J148" s="971">
        <f t="shared" si="19"/>
        <v>66.965161958725702</v>
      </c>
      <c r="K148" s="218">
        <f t="shared" si="20"/>
        <v>141.48615135444686</v>
      </c>
      <c r="L148" s="218">
        <f t="shared" si="21"/>
        <v>172.92751832210172</v>
      </c>
      <c r="M148" s="218">
        <f t="shared" si="22"/>
        <v>77.418423740482794</v>
      </c>
      <c r="N148" s="218">
        <f t="shared" si="23"/>
        <v>91.440928654639961</v>
      </c>
      <c r="O148">
        <v>1</v>
      </c>
      <c r="P148">
        <v>1</v>
      </c>
      <c r="Q148">
        <v>2</v>
      </c>
      <c r="R148">
        <v>2</v>
      </c>
      <c r="S148">
        <v>2</v>
      </c>
    </row>
    <row r="149" spans="1:19">
      <c r="A149" s="915" t="s">
        <v>182</v>
      </c>
      <c r="B149" s="915">
        <v>2016</v>
      </c>
      <c r="C149" s="915" t="s">
        <v>90</v>
      </c>
      <c r="D149" s="218">
        <v>23.876596611</v>
      </c>
      <c r="E149" s="218">
        <v>118.13123661900001</v>
      </c>
      <c r="F149" s="218">
        <v>47.143342419</v>
      </c>
      <c r="G149" s="218">
        <f t="shared" si="16"/>
        <v>0.71475744973362909</v>
      </c>
      <c r="H149" s="218">
        <f t="shared" si="17"/>
        <v>0.28524255026637091</v>
      </c>
      <c r="I149" s="971">
        <f t="shared" si="18"/>
        <v>101.06526131700303</v>
      </c>
      <c r="J149" s="971">
        <f t="shared" si="19"/>
        <v>40.332721109996967</v>
      </c>
      <c r="K149" s="218">
        <f t="shared" si="20"/>
        <v>90.958735185302729</v>
      </c>
      <c r="L149" s="218">
        <f t="shared" si="21"/>
        <v>111.17178744870334</v>
      </c>
      <c r="M149" s="218">
        <f t="shared" si="22"/>
        <v>46.628658875267497</v>
      </c>
      <c r="N149" s="218">
        <f t="shared" si="23"/>
        <v>55.074330675700864</v>
      </c>
      <c r="O149">
        <v>1</v>
      </c>
      <c r="P149">
        <v>1</v>
      </c>
      <c r="Q149">
        <v>2</v>
      </c>
      <c r="R149">
        <v>2</v>
      </c>
      <c r="S149">
        <v>2</v>
      </c>
    </row>
    <row r="150" spans="1:19">
      <c r="A150" s="915" t="s">
        <v>182</v>
      </c>
      <c r="B150" s="915">
        <v>2016</v>
      </c>
      <c r="C150" s="915" t="s">
        <v>92</v>
      </c>
      <c r="D150" s="218">
        <v>37.766649496500001</v>
      </c>
      <c r="E150" s="218">
        <v>239.04981456249999</v>
      </c>
      <c r="F150" s="218">
        <v>54.7292061805</v>
      </c>
      <c r="G150" s="218">
        <f t="shared" si="16"/>
        <v>0.81370621345906957</v>
      </c>
      <c r="H150" s="218">
        <f t="shared" si="17"/>
        <v>0.18629378654093043</v>
      </c>
      <c r="I150" s="971">
        <f t="shared" si="18"/>
        <v>208.31885720566709</v>
      </c>
      <c r="J150" s="971">
        <f t="shared" si="19"/>
        <v>47.693514040832895</v>
      </c>
      <c r="K150" s="218">
        <f t="shared" si="20"/>
        <v>187.48697148510038</v>
      </c>
      <c r="L150" s="218">
        <f t="shared" si="21"/>
        <v>229.15074292623382</v>
      </c>
      <c r="M150" s="218">
        <f t="shared" si="22"/>
        <v>55.138471582606918</v>
      </c>
      <c r="N150" s="218">
        <f t="shared" si="23"/>
        <v>65.12549342275733</v>
      </c>
      <c r="O150">
        <v>1</v>
      </c>
      <c r="P150">
        <v>1</v>
      </c>
      <c r="Q150">
        <v>2</v>
      </c>
      <c r="R150">
        <v>2</v>
      </c>
      <c r="S150">
        <v>2</v>
      </c>
    </row>
    <row r="151" spans="1:19">
      <c r="A151" s="915" t="s">
        <v>182</v>
      </c>
      <c r="B151" s="915">
        <v>2017</v>
      </c>
      <c r="C151" s="915" t="s">
        <v>99</v>
      </c>
      <c r="D151" s="218">
        <v>18.9060324943</v>
      </c>
      <c r="E151" s="218">
        <v>146.5451619385</v>
      </c>
      <c r="F151" s="218">
        <v>23.380926272</v>
      </c>
      <c r="G151" s="218">
        <f t="shared" si="16"/>
        <v>0.86240531681611876</v>
      </c>
      <c r="H151" s="218">
        <f t="shared" si="17"/>
        <v>0.13759468318388124</v>
      </c>
      <c r="I151" s="971">
        <f t="shared" si="18"/>
        <v>130.24049899551738</v>
      </c>
      <c r="J151" s="971">
        <f t="shared" si="19"/>
        <v>20.779556720682628</v>
      </c>
      <c r="K151" s="218">
        <f t="shared" si="20"/>
        <v>117.21644909596564</v>
      </c>
      <c r="L151" s="218">
        <f t="shared" si="21"/>
        <v>143.26454889506914</v>
      </c>
      <c r="M151" s="218">
        <f t="shared" si="22"/>
        <v>24.023245524781188</v>
      </c>
      <c r="N151" s="218">
        <f t="shared" si="23"/>
        <v>28.374484702092133</v>
      </c>
      <c r="O151">
        <v>1</v>
      </c>
      <c r="P151">
        <v>1</v>
      </c>
      <c r="Q151">
        <v>2</v>
      </c>
      <c r="R151">
        <v>2</v>
      </c>
      <c r="S151">
        <v>2</v>
      </c>
    </row>
    <row r="152" spans="1:19">
      <c r="A152" s="915" t="s">
        <v>182</v>
      </c>
      <c r="B152" s="915">
        <v>2017</v>
      </c>
      <c r="C152" s="915" t="s">
        <v>98</v>
      </c>
      <c r="D152" s="218">
        <v>32.654663215799999</v>
      </c>
      <c r="E152" s="218">
        <v>229.93263607790001</v>
      </c>
      <c r="F152" s="218">
        <v>36.373490007400001</v>
      </c>
      <c r="G152" s="218">
        <f t="shared" si="16"/>
        <v>0.86341474549575592</v>
      </c>
      <c r="H152" s="218">
        <f t="shared" si="17"/>
        <v>0.13658525450424408</v>
      </c>
      <c r="I152" s="971">
        <f t="shared" si="18"/>
        <v>201.73811834818042</v>
      </c>
      <c r="J152" s="971">
        <f t="shared" si="19"/>
        <v>31.91334452131958</v>
      </c>
      <c r="K152" s="218">
        <f t="shared" si="20"/>
        <v>181.5643065133624</v>
      </c>
      <c r="L152" s="218">
        <f t="shared" si="21"/>
        <v>221.91193018299847</v>
      </c>
      <c r="M152" s="218">
        <f t="shared" si="22"/>
        <v>36.895017601097571</v>
      </c>
      <c r="N152" s="218">
        <f t="shared" si="23"/>
        <v>43.577671943861894</v>
      </c>
      <c r="O152">
        <v>1</v>
      </c>
      <c r="P152">
        <v>1</v>
      </c>
      <c r="Q152">
        <v>2</v>
      </c>
      <c r="R152">
        <v>2</v>
      </c>
      <c r="S152">
        <v>2</v>
      </c>
    </row>
    <row r="153" spans="1:19">
      <c r="A153" s="915" t="s">
        <v>182</v>
      </c>
      <c r="B153" s="915">
        <v>2017</v>
      </c>
      <c r="C153" s="915" t="s">
        <v>95</v>
      </c>
      <c r="D153" s="218">
        <v>46.8114980163</v>
      </c>
      <c r="E153" s="218">
        <v>306.63556069949999</v>
      </c>
      <c r="F153" s="218">
        <v>70.152138165899999</v>
      </c>
      <c r="G153" s="218">
        <f t="shared" si="16"/>
        <v>0.81381521111982891</v>
      </c>
      <c r="H153" s="218">
        <f t="shared" si="17"/>
        <v>0.18618478888017109</v>
      </c>
      <c r="I153" s="971">
        <f t="shared" si="18"/>
        <v>268.53965155852939</v>
      </c>
      <c r="J153" s="971">
        <f t="shared" si="19"/>
        <v>61.436549290570639</v>
      </c>
      <c r="K153" s="218">
        <f t="shared" si="20"/>
        <v>241.68568640267645</v>
      </c>
      <c r="L153" s="218">
        <f t="shared" si="21"/>
        <v>295.39361671438235</v>
      </c>
      <c r="M153" s="218">
        <f t="shared" si="22"/>
        <v>71.026794634828718</v>
      </c>
      <c r="N153" s="218">
        <f t="shared" si="23"/>
        <v>83.891608056274222</v>
      </c>
      <c r="O153">
        <v>1</v>
      </c>
      <c r="P153">
        <v>1</v>
      </c>
      <c r="Q153">
        <v>2</v>
      </c>
      <c r="R153">
        <v>2</v>
      </c>
      <c r="S153">
        <v>2</v>
      </c>
    </row>
    <row r="154" spans="1:19">
      <c r="A154" s="915" t="s">
        <v>182</v>
      </c>
      <c r="B154" s="915">
        <v>2017</v>
      </c>
      <c r="C154" s="915" t="s">
        <v>91</v>
      </c>
      <c r="D154" s="218">
        <v>219.54778047849001</v>
      </c>
      <c r="E154" s="218">
        <v>1591.9410377804099</v>
      </c>
      <c r="F154" s="218">
        <v>232.96342917555</v>
      </c>
      <c r="G154" s="218">
        <f t="shared" si="16"/>
        <v>0.87234212344049678</v>
      </c>
      <c r="H154" s="218">
        <f t="shared" si="17"/>
        <v>0.12765787655950322</v>
      </c>
      <c r="I154" s="971">
        <f t="shared" si="18"/>
        <v>1400.420260761156</v>
      </c>
      <c r="J154" s="971">
        <f t="shared" si="19"/>
        <v>204.93642571631401</v>
      </c>
      <c r="K154" s="218">
        <f t="shared" si="20"/>
        <v>1260.3782346850405</v>
      </c>
      <c r="L154" s="218">
        <f t="shared" si="21"/>
        <v>1540.4622868372717</v>
      </c>
      <c r="M154" s="218">
        <f t="shared" si="22"/>
        <v>236.92700177063065</v>
      </c>
      <c r="N154" s="218">
        <f t="shared" si="23"/>
        <v>279.84068931562683</v>
      </c>
      <c r="O154">
        <v>1</v>
      </c>
      <c r="P154">
        <v>1</v>
      </c>
      <c r="Q154">
        <v>2</v>
      </c>
      <c r="R154">
        <v>2</v>
      </c>
      <c r="S154">
        <v>2</v>
      </c>
    </row>
    <row r="155" spans="1:19">
      <c r="A155" s="915" t="s">
        <v>182</v>
      </c>
      <c r="B155" s="915">
        <v>2017</v>
      </c>
      <c r="C155" s="915" t="s">
        <v>93</v>
      </c>
      <c r="D155" s="218">
        <v>41.290299718</v>
      </c>
      <c r="E155" s="218">
        <v>192.924562872</v>
      </c>
      <c r="F155" s="218">
        <v>81.246074587999999</v>
      </c>
      <c r="G155" s="218">
        <f t="shared" si="16"/>
        <v>0.70366602587101135</v>
      </c>
      <c r="H155" s="218">
        <f t="shared" si="17"/>
        <v>0.29633397412898865</v>
      </c>
      <c r="I155" s="971">
        <f t="shared" si="18"/>
        <v>163.86998176241201</v>
      </c>
      <c r="J155" s="971">
        <f t="shared" si="19"/>
        <v>69.010355979587999</v>
      </c>
      <c r="K155" s="218">
        <f t="shared" si="20"/>
        <v>147.4829835861708</v>
      </c>
      <c r="L155" s="218">
        <f t="shared" si="21"/>
        <v>180.25697993865322</v>
      </c>
      <c r="M155" s="218">
        <f t="shared" si="22"/>
        <v>79.782872548001691</v>
      </c>
      <c r="N155" s="218">
        <f t="shared" si="23"/>
        <v>94.233641090127421</v>
      </c>
      <c r="O155">
        <v>1</v>
      </c>
      <c r="P155">
        <v>1</v>
      </c>
      <c r="Q155">
        <v>2</v>
      </c>
      <c r="R155">
        <v>2</v>
      </c>
      <c r="S155">
        <v>2</v>
      </c>
    </row>
    <row r="156" spans="1:19">
      <c r="A156" s="915" t="s">
        <v>182</v>
      </c>
      <c r="B156" s="915">
        <v>2017</v>
      </c>
      <c r="C156" s="915" t="s">
        <v>90</v>
      </c>
      <c r="D156" s="218">
        <v>25.616429408999998</v>
      </c>
      <c r="E156" s="218">
        <v>123.819789411</v>
      </c>
      <c r="F156" s="218">
        <v>48.797540339999998</v>
      </c>
      <c r="G156" s="218">
        <f t="shared" si="16"/>
        <v>0.71730798749818281</v>
      </c>
      <c r="H156" s="218">
        <f t="shared" si="17"/>
        <v>0.28269201250181719</v>
      </c>
      <c r="I156" s="971">
        <f t="shared" si="18"/>
        <v>105.44491998474095</v>
      </c>
      <c r="J156" s="971">
        <f t="shared" si="19"/>
        <v>41.555980357259052</v>
      </c>
      <c r="K156" s="218">
        <f t="shared" si="20"/>
        <v>94.900427986266862</v>
      </c>
      <c r="L156" s="218">
        <f t="shared" si="21"/>
        <v>115.98941198321505</v>
      </c>
      <c r="M156" s="218">
        <f t="shared" si="22"/>
        <v>48.042868891027197</v>
      </c>
      <c r="N156" s="218">
        <f t="shared" si="23"/>
        <v>56.74469117783724</v>
      </c>
      <c r="O156">
        <v>1</v>
      </c>
      <c r="P156">
        <v>1</v>
      </c>
      <c r="Q156">
        <v>2</v>
      </c>
      <c r="R156">
        <v>2</v>
      </c>
      <c r="S156">
        <v>2</v>
      </c>
    </row>
    <row r="157" spans="1:19">
      <c r="A157" s="915" t="s">
        <v>182</v>
      </c>
      <c r="B157" s="915">
        <v>2017</v>
      </c>
      <c r="C157" s="915" t="s">
        <v>92</v>
      </c>
      <c r="D157" s="218">
        <v>40.789824594499997</v>
      </c>
      <c r="E157" s="218">
        <v>251.82953262149999</v>
      </c>
      <c r="F157" s="218">
        <v>56.795327686</v>
      </c>
      <c r="G157" s="218">
        <f t="shared" si="16"/>
        <v>0.81597293351737221</v>
      </c>
      <c r="H157" s="218">
        <f t="shared" si="17"/>
        <v>0.18402706648262779</v>
      </c>
      <c r="I157" s="971">
        <f t="shared" si="18"/>
        <v>218.54613978946676</v>
      </c>
      <c r="J157" s="971">
        <f t="shared" si="19"/>
        <v>49.288895923533225</v>
      </c>
      <c r="K157" s="218">
        <f t="shared" si="20"/>
        <v>196.69152581052009</v>
      </c>
      <c r="L157" s="218">
        <f t="shared" si="21"/>
        <v>240.40075376841347</v>
      </c>
      <c r="M157" s="218">
        <f t="shared" si="22"/>
        <v>56.982892577196765</v>
      </c>
      <c r="N157" s="218">
        <f t="shared" si="23"/>
        <v>67.303987383584627</v>
      </c>
      <c r="O157">
        <v>1</v>
      </c>
      <c r="P157">
        <v>1</v>
      </c>
      <c r="Q157">
        <v>2</v>
      </c>
      <c r="R157">
        <v>2</v>
      </c>
      <c r="S157">
        <v>2</v>
      </c>
    </row>
    <row r="158" spans="1:19">
      <c r="A158" s="915" t="s">
        <v>182</v>
      </c>
      <c r="B158" s="915">
        <v>2018</v>
      </c>
      <c r="C158" s="915" t="s">
        <v>99</v>
      </c>
      <c r="D158" s="218">
        <v>20.347416963099999</v>
      </c>
      <c r="E158" s="218">
        <v>161.02471470130001</v>
      </c>
      <c r="F158" s="218">
        <v>26.511741207699998</v>
      </c>
      <c r="G158" s="218">
        <f t="shared" si="16"/>
        <v>0.8586315333773582</v>
      </c>
      <c r="H158" s="218">
        <f t="shared" si="17"/>
        <v>0.1413684666226418</v>
      </c>
      <c r="I158" s="971">
        <f t="shared" si="18"/>
        <v>143.55378087400499</v>
      </c>
      <c r="J158" s="971">
        <f t="shared" si="19"/>
        <v>23.63525807189502</v>
      </c>
      <c r="K158" s="218">
        <f t="shared" si="20"/>
        <v>129.1984027866045</v>
      </c>
      <c r="L158" s="218">
        <f t="shared" si="21"/>
        <v>157.9091589614055</v>
      </c>
      <c r="M158" s="218">
        <f t="shared" si="22"/>
        <v>27.324721856917837</v>
      </c>
      <c r="N158" s="218">
        <f t="shared" si="23"/>
        <v>32.273944897172655</v>
      </c>
      <c r="O158">
        <v>1</v>
      </c>
      <c r="P158">
        <v>1</v>
      </c>
      <c r="Q158">
        <v>2</v>
      </c>
      <c r="R158">
        <v>2</v>
      </c>
      <c r="S158">
        <v>2</v>
      </c>
    </row>
    <row r="159" spans="1:19">
      <c r="A159" s="915" t="s">
        <v>182</v>
      </c>
      <c r="B159" s="915">
        <v>2018</v>
      </c>
      <c r="C159" s="915" t="s">
        <v>98</v>
      </c>
      <c r="D159" s="218">
        <v>34.208242668499999</v>
      </c>
      <c r="E159" s="218">
        <v>260.32851968009999</v>
      </c>
      <c r="F159" s="218">
        <v>49.303559529300003</v>
      </c>
      <c r="G159" s="218">
        <f t="shared" si="16"/>
        <v>0.84076727561566167</v>
      </c>
      <c r="H159" s="218">
        <f t="shared" si="17"/>
        <v>0.15923272438433833</v>
      </c>
      <c r="I159" s="971">
        <f t="shared" si="18"/>
        <v>231.56734868810582</v>
      </c>
      <c r="J159" s="971">
        <f t="shared" si="19"/>
        <v>43.856487852794181</v>
      </c>
      <c r="K159" s="218">
        <f t="shared" si="20"/>
        <v>208.41061381929524</v>
      </c>
      <c r="L159" s="218">
        <f t="shared" si="21"/>
        <v>254.72408355691644</v>
      </c>
      <c r="M159" s="218">
        <f t="shared" si="22"/>
        <v>50.702485606615362</v>
      </c>
      <c r="N159" s="218">
        <f t="shared" si="23"/>
        <v>59.886034162990462</v>
      </c>
      <c r="O159">
        <v>1</v>
      </c>
      <c r="P159">
        <v>1</v>
      </c>
      <c r="Q159">
        <v>2</v>
      </c>
      <c r="R159">
        <v>2</v>
      </c>
      <c r="S159">
        <v>2</v>
      </c>
    </row>
    <row r="160" spans="1:19">
      <c r="A160" s="915" t="s">
        <v>182</v>
      </c>
      <c r="B160" s="915">
        <v>2018</v>
      </c>
      <c r="C160" s="915" t="s">
        <v>95</v>
      </c>
      <c r="D160" s="218">
        <v>49.497955679</v>
      </c>
      <c r="E160" s="218">
        <v>342.97569972870002</v>
      </c>
      <c r="F160" s="218">
        <v>78.308205541199996</v>
      </c>
      <c r="G160" s="218">
        <f t="shared" si="16"/>
        <v>0.81412011101864667</v>
      </c>
      <c r="H160" s="218">
        <f t="shared" si="17"/>
        <v>0.18587988898135333</v>
      </c>
      <c r="I160" s="971">
        <f t="shared" si="18"/>
        <v>302.67841855611647</v>
      </c>
      <c r="J160" s="971">
        <f t="shared" si="19"/>
        <v>69.107531034783534</v>
      </c>
      <c r="K160" s="218">
        <f t="shared" si="20"/>
        <v>272.41057670050481</v>
      </c>
      <c r="L160" s="218">
        <f t="shared" si="21"/>
        <v>332.94626041172813</v>
      </c>
      <c r="M160" s="218">
        <f t="shared" si="22"/>
        <v>79.895216629313254</v>
      </c>
      <c r="N160" s="218">
        <f t="shared" si="23"/>
        <v>94.366333627996923</v>
      </c>
      <c r="O160">
        <v>1</v>
      </c>
      <c r="P160">
        <v>1</v>
      </c>
      <c r="Q160">
        <v>2</v>
      </c>
      <c r="R160">
        <v>2</v>
      </c>
      <c r="S160">
        <v>2</v>
      </c>
    </row>
    <row r="161" spans="1:19">
      <c r="A161" s="915" t="s">
        <v>182</v>
      </c>
      <c r="B161" s="915">
        <v>2018</v>
      </c>
      <c r="C161" s="915" t="s">
        <v>91</v>
      </c>
      <c r="D161" s="218">
        <v>229.35419723166001</v>
      </c>
      <c r="E161" s="218">
        <v>1749.8740507436501</v>
      </c>
      <c r="F161" s="218">
        <v>276.59253044265</v>
      </c>
      <c r="G161" s="218">
        <f t="shared" si="16"/>
        <v>0.86350994730900921</v>
      </c>
      <c r="H161" s="218">
        <f t="shared" si="17"/>
        <v>0.13649005269099079</v>
      </c>
      <c r="I161" s="971">
        <f t="shared" si="18"/>
        <v>1551.8244199770393</v>
      </c>
      <c r="J161" s="971">
        <f t="shared" si="19"/>
        <v>245.28796397760084</v>
      </c>
      <c r="K161" s="218">
        <f t="shared" si="20"/>
        <v>1396.6419779793355</v>
      </c>
      <c r="L161" s="218">
        <f t="shared" si="21"/>
        <v>1707.0068619747433</v>
      </c>
      <c r="M161" s="218">
        <f t="shared" si="22"/>
        <v>283.57741515450437</v>
      </c>
      <c r="N161" s="218">
        <f t="shared" si="23"/>
        <v>334.94071481141401</v>
      </c>
      <c r="O161">
        <v>1</v>
      </c>
      <c r="P161">
        <v>1</v>
      </c>
      <c r="Q161">
        <v>2</v>
      </c>
      <c r="R161">
        <v>2</v>
      </c>
      <c r="S161">
        <v>2</v>
      </c>
    </row>
    <row r="162" spans="1:19">
      <c r="A162" s="915" t="s">
        <v>182</v>
      </c>
      <c r="B162" s="915">
        <v>2018</v>
      </c>
      <c r="C162" s="915" t="s">
        <v>93</v>
      </c>
      <c r="D162" s="218">
        <v>41.859534504999999</v>
      </c>
      <c r="E162" s="218">
        <v>203.49220633300001</v>
      </c>
      <c r="F162" s="218">
        <v>79.282362891000005</v>
      </c>
      <c r="G162" s="218">
        <f t="shared" si="16"/>
        <v>0.71962696960844297</v>
      </c>
      <c r="H162" s="218">
        <f t="shared" si="17"/>
        <v>0.28037303039155703</v>
      </c>
      <c r="I162" s="971">
        <f t="shared" si="18"/>
        <v>173.36895636794679</v>
      </c>
      <c r="J162" s="971">
        <f t="shared" si="19"/>
        <v>67.546078351053211</v>
      </c>
      <c r="K162" s="218">
        <f t="shared" si="20"/>
        <v>156.03206073115211</v>
      </c>
      <c r="L162" s="218">
        <f t="shared" si="21"/>
        <v>190.7058520047415</v>
      </c>
      <c r="M162" s="218">
        <f t="shared" si="22"/>
        <v>78.090021181652631</v>
      </c>
      <c r="N162" s="218">
        <f t="shared" si="23"/>
        <v>92.234169988363163</v>
      </c>
      <c r="O162">
        <v>1</v>
      </c>
      <c r="P162">
        <v>1</v>
      </c>
      <c r="Q162">
        <v>2</v>
      </c>
      <c r="R162">
        <v>2</v>
      </c>
      <c r="S162">
        <v>2</v>
      </c>
    </row>
    <row r="163" spans="1:19">
      <c r="A163" s="915" t="s">
        <v>182</v>
      </c>
      <c r="B163" s="915">
        <v>2018</v>
      </c>
      <c r="C163" s="915" t="s">
        <v>90</v>
      </c>
      <c r="D163" s="218">
        <v>26.012163423000001</v>
      </c>
      <c r="E163" s="218">
        <v>131.25836409600001</v>
      </c>
      <c r="F163" s="218">
        <v>48.496302702000001</v>
      </c>
      <c r="G163" s="218">
        <f t="shared" si="16"/>
        <v>0.73020838031149471</v>
      </c>
      <c r="H163" s="218">
        <f t="shared" si="17"/>
        <v>0.26979161968850529</v>
      </c>
      <c r="I163" s="971">
        <f t="shared" si="18"/>
        <v>112.26406437449327</v>
      </c>
      <c r="J163" s="971">
        <f t="shared" si="19"/>
        <v>41.478439000506739</v>
      </c>
      <c r="K163" s="218">
        <f t="shared" si="20"/>
        <v>101.03765793704395</v>
      </c>
      <c r="L163" s="218">
        <f t="shared" si="21"/>
        <v>123.49047081194261</v>
      </c>
      <c r="M163" s="218">
        <f t="shared" si="22"/>
        <v>47.953223328485848</v>
      </c>
      <c r="N163" s="218">
        <f t="shared" si="23"/>
        <v>56.638808455191956</v>
      </c>
      <c r="O163">
        <v>1</v>
      </c>
      <c r="P163">
        <v>1</v>
      </c>
      <c r="Q163">
        <v>2</v>
      </c>
      <c r="R163">
        <v>2</v>
      </c>
      <c r="S163">
        <v>2</v>
      </c>
    </row>
    <row r="164" spans="1:19">
      <c r="A164" s="915" t="s">
        <v>182</v>
      </c>
      <c r="B164" s="915">
        <v>2018</v>
      </c>
      <c r="C164" s="915" t="s">
        <v>92</v>
      </c>
      <c r="D164" s="218">
        <v>41.947802208500001</v>
      </c>
      <c r="E164" s="218">
        <v>274.23873448099999</v>
      </c>
      <c r="F164" s="218">
        <v>67.986951125999994</v>
      </c>
      <c r="G164" s="218">
        <f t="shared" si="16"/>
        <v>0.80133884163191116</v>
      </c>
      <c r="H164" s="218">
        <f t="shared" si="17"/>
        <v>0.19866115836808884</v>
      </c>
      <c r="I164" s="971">
        <f t="shared" si="18"/>
        <v>240.62433125023608</v>
      </c>
      <c r="J164" s="971">
        <f t="shared" si="19"/>
        <v>59.653552148263913</v>
      </c>
      <c r="K164" s="218">
        <f t="shared" si="20"/>
        <v>216.56189812521248</v>
      </c>
      <c r="L164" s="218">
        <f t="shared" si="21"/>
        <v>264.68676437525971</v>
      </c>
      <c r="M164" s="218">
        <f t="shared" si="22"/>
        <v>68.965471638607923</v>
      </c>
      <c r="N164" s="218">
        <f t="shared" si="23"/>
        <v>81.456925458454378</v>
      </c>
      <c r="O164">
        <v>1</v>
      </c>
      <c r="P164">
        <v>1</v>
      </c>
      <c r="Q164">
        <v>2</v>
      </c>
      <c r="R164">
        <v>2</v>
      </c>
      <c r="S164">
        <v>2</v>
      </c>
    </row>
    <row r="165" spans="1:19">
      <c r="A165" s="915" t="s">
        <v>182</v>
      </c>
      <c r="B165" s="915">
        <v>2019</v>
      </c>
      <c r="C165" s="915" t="s">
        <v>99</v>
      </c>
      <c r="D165" s="218">
        <v>20.141551740499999</v>
      </c>
      <c r="E165" s="218">
        <v>155.87614213469999</v>
      </c>
      <c r="F165" s="218">
        <v>26.027143414000001</v>
      </c>
      <c r="G165" s="218">
        <f t="shared" si="16"/>
        <v>0.85691768383682165</v>
      </c>
      <c r="H165" s="218">
        <f t="shared" si="17"/>
        <v>0.14308231616317835</v>
      </c>
      <c r="I165" s="971">
        <f t="shared" si="18"/>
        <v>138.61649026835124</v>
      </c>
      <c r="J165" s="971">
        <f t="shared" si="19"/>
        <v>23.145243539848764</v>
      </c>
      <c r="K165" s="218">
        <f t="shared" si="20"/>
        <v>124.75484124151612</v>
      </c>
      <c r="L165" s="218">
        <f t="shared" si="21"/>
        <v>152.47813929518637</v>
      </c>
      <c r="M165" s="218">
        <f t="shared" si="22"/>
        <v>26.758216056419158</v>
      </c>
      <c r="N165" s="218">
        <f t="shared" si="23"/>
        <v>31.604830053663491</v>
      </c>
      <c r="O165">
        <v>1</v>
      </c>
      <c r="P165">
        <v>1</v>
      </c>
      <c r="Q165">
        <v>2</v>
      </c>
      <c r="R165">
        <v>2</v>
      </c>
      <c r="S165">
        <v>2</v>
      </c>
    </row>
    <row r="166" spans="1:19">
      <c r="A166" s="915" t="s">
        <v>182</v>
      </c>
      <c r="B166" s="915">
        <v>2019</v>
      </c>
      <c r="C166" s="915" t="s">
        <v>98</v>
      </c>
      <c r="D166" s="218">
        <v>33.966450432400002</v>
      </c>
      <c r="E166" s="218">
        <v>256.42796207750001</v>
      </c>
      <c r="F166" s="218">
        <v>43.976029554500002</v>
      </c>
      <c r="G166" s="218">
        <f t="shared" si="16"/>
        <v>0.85361036877175922</v>
      </c>
      <c r="H166" s="218">
        <f t="shared" si="17"/>
        <v>0.14638963122824078</v>
      </c>
      <c r="I166" s="971">
        <f t="shared" si="18"/>
        <v>227.43384779803137</v>
      </c>
      <c r="J166" s="971">
        <f t="shared" si="19"/>
        <v>39.003693401568647</v>
      </c>
      <c r="K166" s="218">
        <f t="shared" si="20"/>
        <v>204.69046301822823</v>
      </c>
      <c r="L166" s="218">
        <f t="shared" si="21"/>
        <v>250.17723257783453</v>
      </c>
      <c r="M166" s="218">
        <f t="shared" si="22"/>
        <v>45.092169941553514</v>
      </c>
      <c r="N166" s="218">
        <f t="shared" si="23"/>
        <v>53.259543339841997</v>
      </c>
      <c r="O166">
        <v>1</v>
      </c>
      <c r="P166">
        <v>1</v>
      </c>
      <c r="Q166">
        <v>2</v>
      </c>
      <c r="R166">
        <v>2</v>
      </c>
      <c r="S166">
        <v>2</v>
      </c>
    </row>
    <row r="167" spans="1:19">
      <c r="A167" s="915" t="s">
        <v>182</v>
      </c>
      <c r="B167" s="915">
        <v>2019</v>
      </c>
      <c r="C167" s="915" t="s">
        <v>95</v>
      </c>
      <c r="D167" s="218">
        <v>50.368933994199999</v>
      </c>
      <c r="E167" s="218">
        <v>335.67807054489998</v>
      </c>
      <c r="F167" s="218">
        <v>70.265732951399997</v>
      </c>
      <c r="G167" s="218">
        <f t="shared" si="16"/>
        <v>0.82690773366604553</v>
      </c>
      <c r="H167" s="218">
        <f t="shared" si="17"/>
        <v>0.17309226633395447</v>
      </c>
      <c r="I167" s="971">
        <f t="shared" si="18"/>
        <v>294.02760948858145</v>
      </c>
      <c r="J167" s="971">
        <f t="shared" si="19"/>
        <v>61.54726001351856</v>
      </c>
      <c r="K167" s="218">
        <f t="shared" si="20"/>
        <v>264.6248485397233</v>
      </c>
      <c r="L167" s="218">
        <f t="shared" si="21"/>
        <v>323.43037043743959</v>
      </c>
      <c r="M167" s="218">
        <f t="shared" si="22"/>
        <v>71.154787301628815</v>
      </c>
      <c r="N167" s="218">
        <f t="shared" si="23"/>
        <v>84.04278354845961</v>
      </c>
      <c r="O167">
        <v>1</v>
      </c>
      <c r="P167">
        <v>1</v>
      </c>
      <c r="Q167">
        <v>2</v>
      </c>
      <c r="R167">
        <v>2</v>
      </c>
      <c r="S167">
        <v>2</v>
      </c>
    </row>
    <row r="168" spans="1:19">
      <c r="A168" s="915" t="s">
        <v>182</v>
      </c>
      <c r="B168" s="915">
        <v>2019</v>
      </c>
      <c r="C168" s="915" t="s">
        <v>91</v>
      </c>
      <c r="D168" s="218">
        <v>235.25872145336001</v>
      </c>
      <c r="E168" s="218">
        <v>1716.2072204301601</v>
      </c>
      <c r="F168" s="218">
        <v>237.83462603605</v>
      </c>
      <c r="G168" s="218">
        <f t="shared" si="16"/>
        <v>0.87828580720205029</v>
      </c>
      <c r="H168" s="218">
        <f t="shared" si="17"/>
        <v>0.12171419279794971</v>
      </c>
      <c r="I168" s="971">
        <f t="shared" si="18"/>
        <v>1509.5828243571734</v>
      </c>
      <c r="J168" s="971">
        <f t="shared" si="19"/>
        <v>209.20030065567659</v>
      </c>
      <c r="K168" s="218">
        <f t="shared" si="20"/>
        <v>1358.6245419214561</v>
      </c>
      <c r="L168" s="218">
        <f t="shared" si="21"/>
        <v>1660.5411067928908</v>
      </c>
      <c r="M168" s="218">
        <f t="shared" si="22"/>
        <v>241.85646758802773</v>
      </c>
      <c r="N168" s="218">
        <f t="shared" si="23"/>
        <v>285.66301054532642</v>
      </c>
      <c r="O168">
        <v>1</v>
      </c>
      <c r="P168">
        <v>1</v>
      </c>
      <c r="Q168">
        <v>2</v>
      </c>
      <c r="R168">
        <v>2</v>
      </c>
      <c r="S168">
        <v>2</v>
      </c>
    </row>
    <row r="169" spans="1:19">
      <c r="A169" s="915" t="s">
        <v>182</v>
      </c>
      <c r="B169" s="915">
        <v>2019</v>
      </c>
      <c r="C169" s="915" t="s">
        <v>93</v>
      </c>
      <c r="D169" s="218">
        <v>40.804138594000001</v>
      </c>
      <c r="E169" s="218">
        <v>201.410971448</v>
      </c>
      <c r="F169" s="218">
        <v>70.057544350000001</v>
      </c>
      <c r="G169" s="218">
        <f t="shared" si="16"/>
        <v>0.74193123595175992</v>
      </c>
      <c r="H169" s="218">
        <f t="shared" si="17"/>
        <v>0.25806876404824008</v>
      </c>
      <c r="I169" s="971">
        <f t="shared" si="18"/>
        <v>171.13710646900668</v>
      </c>
      <c r="J169" s="971">
        <f t="shared" si="19"/>
        <v>59.52727073499333</v>
      </c>
      <c r="K169" s="218">
        <f t="shared" si="20"/>
        <v>154.02339582210601</v>
      </c>
      <c r="L169" s="218">
        <f t="shared" si="21"/>
        <v>188.25081711590735</v>
      </c>
      <c r="M169" s="218">
        <f t="shared" si="22"/>
        <v>68.819477696725798</v>
      </c>
      <c r="N169" s="218">
        <f t="shared" si="23"/>
        <v>81.284488188633404</v>
      </c>
      <c r="O169">
        <v>1</v>
      </c>
      <c r="P169">
        <v>1</v>
      </c>
      <c r="Q169">
        <v>2</v>
      </c>
      <c r="R169">
        <v>2</v>
      </c>
      <c r="S169">
        <v>2</v>
      </c>
    </row>
    <row r="170" spans="1:19">
      <c r="A170" s="915" t="s">
        <v>182</v>
      </c>
      <c r="B170" s="915">
        <v>2019</v>
      </c>
      <c r="C170" s="915" t="s">
        <v>90</v>
      </c>
      <c r="D170" s="218">
        <v>25.378519358999998</v>
      </c>
      <c r="E170" s="218">
        <v>129.74280759600001</v>
      </c>
      <c r="F170" s="218">
        <v>42.659404635000001</v>
      </c>
      <c r="G170" s="218">
        <f t="shared" si="16"/>
        <v>0.75255883272633939</v>
      </c>
      <c r="H170" s="218">
        <f t="shared" si="17"/>
        <v>0.24744116727366061</v>
      </c>
      <c r="I170" s="971">
        <f t="shared" si="18"/>
        <v>110.64397869086815</v>
      </c>
      <c r="J170" s="971">
        <f t="shared" si="19"/>
        <v>36.379714181131845</v>
      </c>
      <c r="K170" s="218">
        <f t="shared" si="20"/>
        <v>99.579580821781335</v>
      </c>
      <c r="L170" s="218">
        <f t="shared" si="21"/>
        <v>121.70837655995497</v>
      </c>
      <c r="M170" s="218">
        <f t="shared" si="22"/>
        <v>42.05858756480653</v>
      </c>
      <c r="N170" s="218">
        <f t="shared" si="23"/>
        <v>49.676499714335542</v>
      </c>
      <c r="O170">
        <v>1</v>
      </c>
      <c r="P170">
        <v>1</v>
      </c>
      <c r="Q170">
        <v>2</v>
      </c>
      <c r="R170">
        <v>2</v>
      </c>
      <c r="S170">
        <v>2</v>
      </c>
    </row>
    <row r="171" spans="1:19">
      <c r="A171" s="915" t="s">
        <v>182</v>
      </c>
      <c r="B171" s="915">
        <v>2019</v>
      </c>
      <c r="C171" s="915" t="s">
        <v>92</v>
      </c>
      <c r="D171" s="218">
        <v>41.308844241499997</v>
      </c>
      <c r="E171" s="218">
        <v>268.35933926199999</v>
      </c>
      <c r="F171" s="218">
        <v>56.187415575499998</v>
      </c>
      <c r="G171" s="218">
        <f t="shared" si="16"/>
        <v>0.82687420306010173</v>
      </c>
      <c r="H171" s="218">
        <f t="shared" si="17"/>
        <v>0.17312579693989827</v>
      </c>
      <c r="I171" s="971">
        <f t="shared" si="18"/>
        <v>234.20212160047581</v>
      </c>
      <c r="J171" s="971">
        <f t="shared" si="19"/>
        <v>49.035788995524186</v>
      </c>
      <c r="K171" s="218">
        <f t="shared" si="20"/>
        <v>210.78190944042822</v>
      </c>
      <c r="L171" s="218">
        <f t="shared" si="21"/>
        <v>257.62233376052342</v>
      </c>
      <c r="M171" s="218">
        <f t="shared" si="22"/>
        <v>56.690275657725515</v>
      </c>
      <c r="N171" s="218">
        <f t="shared" si="23"/>
        <v>66.958369873388278</v>
      </c>
      <c r="O171">
        <v>1</v>
      </c>
      <c r="P171">
        <v>1</v>
      </c>
      <c r="Q171">
        <v>2</v>
      </c>
      <c r="R171">
        <v>2</v>
      </c>
      <c r="S171">
        <v>2</v>
      </c>
    </row>
    <row r="172" spans="1:19">
      <c r="A172" s="915" t="s">
        <v>182</v>
      </c>
      <c r="B172" s="915">
        <v>2020</v>
      </c>
      <c r="C172" s="915" t="s">
        <v>99</v>
      </c>
      <c r="D172" s="218">
        <v>17.842395375500001</v>
      </c>
      <c r="E172" s="218">
        <v>129.21013377310001</v>
      </c>
      <c r="F172" s="218">
        <v>19.924269157000001</v>
      </c>
      <c r="G172" s="218">
        <f t="shared" si="16"/>
        <v>0.86640058386569196</v>
      </c>
      <c r="H172" s="218">
        <f t="shared" si="17"/>
        <v>0.13359941613430804</v>
      </c>
      <c r="I172" s="971">
        <f t="shared" si="18"/>
        <v>113.75147200220428</v>
      </c>
      <c r="J172" s="971">
        <f t="shared" si="19"/>
        <v>17.540535552395724</v>
      </c>
      <c r="K172" s="218">
        <f t="shared" si="20"/>
        <v>102.37632480198386</v>
      </c>
      <c r="L172" s="218">
        <f t="shared" si="21"/>
        <v>125.12661920242472</v>
      </c>
      <c r="M172" s="218">
        <f t="shared" si="22"/>
        <v>20.278613152124699</v>
      </c>
      <c r="N172" s="218">
        <f t="shared" si="23"/>
        <v>23.951601296796365</v>
      </c>
      <c r="O172">
        <v>1</v>
      </c>
      <c r="P172">
        <v>1</v>
      </c>
      <c r="Q172">
        <v>2</v>
      </c>
      <c r="R172">
        <v>2</v>
      </c>
      <c r="S172">
        <v>2</v>
      </c>
    </row>
    <row r="173" spans="1:19">
      <c r="A173" s="915" t="s">
        <v>182</v>
      </c>
      <c r="B173" s="915">
        <v>2020</v>
      </c>
      <c r="C173" s="915" t="s">
        <v>98</v>
      </c>
      <c r="D173" s="218">
        <v>28.350823223999999</v>
      </c>
      <c r="E173" s="218">
        <v>203.5408195755</v>
      </c>
      <c r="F173" s="218">
        <v>34.107281826600001</v>
      </c>
      <c r="G173" s="218">
        <f t="shared" si="16"/>
        <v>0.85647988927590646</v>
      </c>
      <c r="H173" s="218">
        <f t="shared" si="17"/>
        <v>0.14352011072409354</v>
      </c>
      <c r="I173" s="971">
        <f t="shared" si="18"/>
        <v>179.25890963972768</v>
      </c>
      <c r="J173" s="971">
        <f t="shared" si="19"/>
        <v>30.038368538372318</v>
      </c>
      <c r="K173" s="218">
        <f t="shared" si="20"/>
        <v>161.33301867575491</v>
      </c>
      <c r="L173" s="218">
        <f t="shared" si="21"/>
        <v>197.18480060370047</v>
      </c>
      <c r="M173" s="218">
        <f t="shared" si="22"/>
        <v>34.727357867212241</v>
      </c>
      <c r="N173" s="218">
        <f t="shared" si="23"/>
        <v>41.017392239147405</v>
      </c>
      <c r="O173">
        <v>1</v>
      </c>
      <c r="P173">
        <v>1</v>
      </c>
      <c r="Q173">
        <v>2</v>
      </c>
      <c r="R173">
        <v>2</v>
      </c>
      <c r="S173">
        <v>2</v>
      </c>
    </row>
    <row r="174" spans="1:19">
      <c r="A174" s="915" t="s">
        <v>182</v>
      </c>
      <c r="B174" s="915">
        <v>2020</v>
      </c>
      <c r="C174" s="915" t="s">
        <v>95</v>
      </c>
      <c r="D174" s="218">
        <v>42.461037430799998</v>
      </c>
      <c r="E174" s="218">
        <v>272.27944342699999</v>
      </c>
      <c r="F174" s="218">
        <v>58.957623413599997</v>
      </c>
      <c r="G174" s="218">
        <f t="shared" ref="G174:G192" si="24">E174/(E174+F174)</f>
        <v>0.82200777233070965</v>
      </c>
      <c r="H174" s="218">
        <f t="shared" ref="H174:H192" si="25">1-G174</f>
        <v>0.17799222766929035</v>
      </c>
      <c r="I174" s="971">
        <f t="shared" ref="I174:I192" si="26">E174-(D174*G174)</f>
        <v>237.37614063765722</v>
      </c>
      <c r="J174" s="971">
        <f t="shared" ref="J174:J192" si="27">F174-(D174*H174)</f>
        <v>51.399888772142788</v>
      </c>
      <c r="K174" s="218">
        <f t="shared" ref="K174:K192" si="28">I174*$B$5</f>
        <v>213.63852657389151</v>
      </c>
      <c r="L174" s="218">
        <f t="shared" ref="L174:L192" si="29">I174*$B$4</f>
        <v>261.11375470142298</v>
      </c>
      <c r="M174" s="218">
        <f t="shared" ref="M174:M192" si="30">J174*$B$7</f>
        <v>59.423411409474284</v>
      </c>
      <c r="N174" s="218">
        <f t="shared" ref="N174:N192" si="31">J174*$B$6</f>
        <v>70.186548118360989</v>
      </c>
      <c r="O174">
        <v>1</v>
      </c>
      <c r="P174">
        <v>1</v>
      </c>
      <c r="Q174">
        <v>2</v>
      </c>
      <c r="R174">
        <v>2</v>
      </c>
      <c r="S174">
        <v>2</v>
      </c>
    </row>
    <row r="175" spans="1:19">
      <c r="A175" s="915" t="s">
        <v>182</v>
      </c>
      <c r="B175" s="915">
        <v>2020</v>
      </c>
      <c r="C175" s="915" t="s">
        <v>91</v>
      </c>
      <c r="D175" s="218">
        <v>198.22156959789001</v>
      </c>
      <c r="E175" s="218">
        <v>1370.09465270438</v>
      </c>
      <c r="F175" s="218">
        <v>181.17848554395999</v>
      </c>
      <c r="G175" s="218">
        <f t="shared" si="24"/>
        <v>0.88320658620535231</v>
      </c>
      <c r="H175" s="218">
        <f t="shared" si="25"/>
        <v>0.11679341379464769</v>
      </c>
      <c r="I175" s="971">
        <f t="shared" si="26"/>
        <v>1195.0240569075609</v>
      </c>
      <c r="J175" s="971">
        <f t="shared" si="27"/>
        <v>158.02751174288906</v>
      </c>
      <c r="K175" s="218">
        <f t="shared" si="28"/>
        <v>1075.5216512168049</v>
      </c>
      <c r="L175" s="218">
        <f t="shared" si="29"/>
        <v>1314.526462598317</v>
      </c>
      <c r="M175" s="218">
        <f t="shared" si="30"/>
        <v>182.69560632595406</v>
      </c>
      <c r="N175" s="218">
        <f t="shared" si="31"/>
        <v>215.78656728491504</v>
      </c>
      <c r="O175">
        <v>1</v>
      </c>
      <c r="P175">
        <v>1</v>
      </c>
      <c r="Q175">
        <v>2</v>
      </c>
      <c r="R175">
        <v>2</v>
      </c>
      <c r="S175">
        <v>2</v>
      </c>
    </row>
    <row r="176" spans="1:19">
      <c r="A176" s="915" t="s">
        <v>182</v>
      </c>
      <c r="B176" s="915">
        <v>2020</v>
      </c>
      <c r="C176" s="915" t="s">
        <v>93</v>
      </c>
      <c r="D176" s="218">
        <v>33.571129028000001</v>
      </c>
      <c r="E176" s="218">
        <v>162.02162819700001</v>
      </c>
      <c r="F176" s="218">
        <v>55.392531001999998</v>
      </c>
      <c r="G176" s="218">
        <f t="shared" si="24"/>
        <v>0.74522114288196384</v>
      </c>
      <c r="H176" s="218">
        <f t="shared" si="25"/>
        <v>0.25477885711803616</v>
      </c>
      <c r="I176" s="971">
        <f t="shared" si="26"/>
        <v>137.00371305491598</v>
      </c>
      <c r="J176" s="971">
        <f t="shared" si="27"/>
        <v>46.839317116084032</v>
      </c>
      <c r="K176" s="218">
        <f t="shared" si="28"/>
        <v>123.30334174942438</v>
      </c>
      <c r="L176" s="218">
        <f t="shared" si="29"/>
        <v>150.70408436040759</v>
      </c>
      <c r="M176" s="218">
        <f t="shared" si="30"/>
        <v>54.150934517904759</v>
      </c>
      <c r="N176" s="218">
        <f t="shared" si="31"/>
        <v>63.959087522012751</v>
      </c>
      <c r="O176">
        <v>1</v>
      </c>
      <c r="P176">
        <v>1</v>
      </c>
      <c r="Q176">
        <v>2</v>
      </c>
      <c r="R176">
        <v>2</v>
      </c>
      <c r="S176">
        <v>2</v>
      </c>
    </row>
    <row r="177" spans="1:19">
      <c r="A177" s="915" t="s">
        <v>182</v>
      </c>
      <c r="B177" s="915">
        <v>2020</v>
      </c>
      <c r="C177" s="915" t="s">
        <v>90</v>
      </c>
      <c r="D177" s="218">
        <v>20.907747887999999</v>
      </c>
      <c r="E177" s="218">
        <v>104.026860171</v>
      </c>
      <c r="F177" s="218">
        <v>33.661366197</v>
      </c>
      <c r="G177" s="218">
        <f t="shared" si="24"/>
        <v>0.75552473087253591</v>
      </c>
      <c r="H177" s="218">
        <f t="shared" si="25"/>
        <v>0.24447526912746409</v>
      </c>
      <c r="I177" s="971">
        <f t="shared" si="26"/>
        <v>88.23053957476796</v>
      </c>
      <c r="J177" s="971">
        <f t="shared" si="27"/>
        <v>28.549938905232032</v>
      </c>
      <c r="K177" s="218">
        <f t="shared" si="28"/>
        <v>79.407485617291172</v>
      </c>
      <c r="L177" s="218">
        <f t="shared" si="29"/>
        <v>97.053593532244761</v>
      </c>
      <c r="M177" s="218">
        <f t="shared" si="30"/>
        <v>33.006584368338757</v>
      </c>
      <c r="N177" s="218">
        <f t="shared" si="31"/>
        <v>38.984941575094346</v>
      </c>
      <c r="O177">
        <v>1</v>
      </c>
      <c r="P177">
        <v>1</v>
      </c>
      <c r="Q177">
        <v>2</v>
      </c>
      <c r="R177">
        <v>2</v>
      </c>
      <c r="S177">
        <v>2</v>
      </c>
    </row>
    <row r="178" spans="1:19" ht="15.75" thickBot="1">
      <c r="A178" s="915" t="s">
        <v>182</v>
      </c>
      <c r="B178" s="915">
        <v>2020</v>
      </c>
      <c r="C178" s="915" t="s">
        <v>92</v>
      </c>
      <c r="D178" s="218">
        <v>34.482912952</v>
      </c>
      <c r="E178" s="218">
        <v>210.72664741049999</v>
      </c>
      <c r="F178" s="218">
        <v>43.925173088500003</v>
      </c>
      <c r="G178" s="218">
        <f t="shared" si="24"/>
        <v>0.82750889821864637</v>
      </c>
      <c r="H178" s="218">
        <f t="shared" si="25"/>
        <v>0.17249110178135363</v>
      </c>
      <c r="I178" s="971">
        <f t="shared" si="26"/>
        <v>182.19173010622097</v>
      </c>
      <c r="J178" s="971">
        <f t="shared" si="27"/>
        <v>37.977177440779016</v>
      </c>
      <c r="K178" s="218">
        <f t="shared" si="28"/>
        <v>163.97255709559889</v>
      </c>
      <c r="L178" s="218">
        <f t="shared" si="29"/>
        <v>200.41090311684309</v>
      </c>
      <c r="M178" s="218">
        <f t="shared" si="30"/>
        <v>43.905414839284624</v>
      </c>
      <c r="N178" s="218">
        <f t="shared" si="31"/>
        <v>51.85783579538375</v>
      </c>
      <c r="O178">
        <v>1</v>
      </c>
      <c r="P178">
        <v>1</v>
      </c>
      <c r="Q178">
        <v>2</v>
      </c>
      <c r="R178">
        <v>2</v>
      </c>
      <c r="S178">
        <v>2</v>
      </c>
    </row>
    <row r="179" spans="1:19">
      <c r="A179" s="963" t="s">
        <v>182</v>
      </c>
      <c r="B179" s="964">
        <v>2021</v>
      </c>
      <c r="C179" s="964" t="s">
        <v>99</v>
      </c>
      <c r="D179" s="972">
        <v>17.954012751699999</v>
      </c>
      <c r="E179" s="972">
        <v>141.63028156839999</v>
      </c>
      <c r="F179" s="972">
        <v>20.194568222800001</v>
      </c>
      <c r="G179" s="972">
        <f t="shared" si="24"/>
        <v>0.87520724877015654</v>
      </c>
      <c r="H179" s="972">
        <f t="shared" si="25"/>
        <v>0.12479275122984346</v>
      </c>
      <c r="I179" s="973">
        <f t="shared" si="26"/>
        <v>125.91679946360033</v>
      </c>
      <c r="J179" s="973">
        <f t="shared" si="27"/>
        <v>17.954037575899665</v>
      </c>
      <c r="K179" s="972">
        <f t="shared" si="28"/>
        <v>113.3251195172403</v>
      </c>
      <c r="L179" s="972">
        <f t="shared" si="29"/>
        <v>138.50847940996036</v>
      </c>
      <c r="M179" s="972">
        <f t="shared" si="30"/>
        <v>20.756662841497604</v>
      </c>
      <c r="N179" s="972">
        <f t="shared" si="31"/>
        <v>24.516238309890994</v>
      </c>
      <c r="O179" s="965">
        <v>1</v>
      </c>
      <c r="P179" s="965">
        <v>1</v>
      </c>
      <c r="Q179" s="965">
        <v>2</v>
      </c>
      <c r="R179" s="965">
        <v>2</v>
      </c>
      <c r="S179" s="966">
        <v>2</v>
      </c>
    </row>
    <row r="180" spans="1:19">
      <c r="A180" s="447" t="s">
        <v>182</v>
      </c>
      <c r="B180" s="915">
        <v>2021</v>
      </c>
      <c r="C180" s="915" t="s">
        <v>98</v>
      </c>
      <c r="D180" s="218">
        <v>29.811038270000001</v>
      </c>
      <c r="E180" s="218">
        <v>214.1537183181</v>
      </c>
      <c r="F180" s="218">
        <v>36.409650293200002</v>
      </c>
      <c r="G180" s="218">
        <f t="shared" si="24"/>
        <v>0.85468885378180537</v>
      </c>
      <c r="H180" s="218">
        <f t="shared" si="25"/>
        <v>0.14531114621819463</v>
      </c>
      <c r="I180" s="971">
        <f t="shared" si="26"/>
        <v>188.67455618906817</v>
      </c>
      <c r="J180" s="971">
        <f t="shared" si="27"/>
        <v>32.077774152231839</v>
      </c>
      <c r="K180" s="218">
        <f t="shared" si="28"/>
        <v>169.80710057016137</v>
      </c>
      <c r="L180" s="218">
        <f t="shared" si="29"/>
        <v>207.542011807975</v>
      </c>
      <c r="M180" s="218">
        <f t="shared" si="30"/>
        <v>37.085114697395234</v>
      </c>
      <c r="N180" s="218">
        <f t="shared" si="31"/>
        <v>43.802200604872581</v>
      </c>
      <c r="O180">
        <v>1</v>
      </c>
      <c r="P180">
        <v>1</v>
      </c>
      <c r="Q180">
        <v>2</v>
      </c>
      <c r="R180">
        <v>2</v>
      </c>
      <c r="S180" s="967">
        <v>2</v>
      </c>
    </row>
    <row r="181" spans="1:19">
      <c r="A181" s="447" t="s">
        <v>182</v>
      </c>
      <c r="B181" s="915">
        <v>2021</v>
      </c>
      <c r="C181" s="915" t="s">
        <v>95</v>
      </c>
      <c r="D181" s="218">
        <v>43.140427268700002</v>
      </c>
      <c r="E181" s="218">
        <v>297.5329268795</v>
      </c>
      <c r="F181" s="218">
        <v>59.3342488686</v>
      </c>
      <c r="G181" s="218">
        <f t="shared" si="24"/>
        <v>0.83373576248861292</v>
      </c>
      <c r="H181" s="218">
        <f t="shared" si="25"/>
        <v>0.16626423751138708</v>
      </c>
      <c r="I181" s="971">
        <f t="shared" si="26"/>
        <v>261.56520985654583</v>
      </c>
      <c r="J181" s="971">
        <f t="shared" si="27"/>
        <v>52.161538622854145</v>
      </c>
      <c r="K181" s="218">
        <f t="shared" si="28"/>
        <v>235.40868887089127</v>
      </c>
      <c r="L181" s="218">
        <f t="shared" si="29"/>
        <v>287.72173084220043</v>
      </c>
      <c r="M181" s="218">
        <f t="shared" si="30"/>
        <v>60.303954801881687</v>
      </c>
      <c r="N181" s="218">
        <f t="shared" si="31"/>
        <v>71.22658098950734</v>
      </c>
      <c r="O181">
        <v>1</v>
      </c>
      <c r="P181">
        <v>1</v>
      </c>
      <c r="Q181">
        <v>2</v>
      </c>
      <c r="R181">
        <v>2</v>
      </c>
      <c r="S181" s="967">
        <v>2</v>
      </c>
    </row>
    <row r="182" spans="1:19">
      <c r="A182" s="447" t="s">
        <v>182</v>
      </c>
      <c r="B182" s="915">
        <v>2021</v>
      </c>
      <c r="C182" s="915" t="s">
        <v>91</v>
      </c>
      <c r="D182" s="218">
        <v>197.27204129565999</v>
      </c>
      <c r="E182" s="218">
        <v>1467.9581238478199</v>
      </c>
      <c r="F182" s="218">
        <v>202.03430608944001</v>
      </c>
      <c r="G182" s="218">
        <f t="shared" si="24"/>
        <v>0.87902082520396208</v>
      </c>
      <c r="H182" s="218">
        <f t="shared" si="25"/>
        <v>0.12097917479603792</v>
      </c>
      <c r="I182" s="971">
        <f t="shared" si="26"/>
        <v>1294.5518913184387</v>
      </c>
      <c r="J182" s="971">
        <f t="shared" si="27"/>
        <v>178.16849732316115</v>
      </c>
      <c r="K182" s="218">
        <f t="shared" si="28"/>
        <v>1165.0967021865949</v>
      </c>
      <c r="L182" s="218">
        <f t="shared" si="29"/>
        <v>1424.0070804502827</v>
      </c>
      <c r="M182" s="218">
        <f t="shared" si="30"/>
        <v>205.98059975530663</v>
      </c>
      <c r="N182" s="218">
        <f t="shared" si="31"/>
        <v>243.28908309477657</v>
      </c>
      <c r="O182">
        <v>1</v>
      </c>
      <c r="P182">
        <v>1</v>
      </c>
      <c r="Q182">
        <v>2</v>
      </c>
      <c r="R182">
        <v>2</v>
      </c>
      <c r="S182" s="967">
        <v>2</v>
      </c>
    </row>
    <row r="183" spans="1:19">
      <c r="A183" s="447" t="s">
        <v>182</v>
      </c>
      <c r="B183" s="915">
        <v>2021</v>
      </c>
      <c r="C183" s="915" t="s">
        <v>93</v>
      </c>
      <c r="D183" s="218">
        <v>29.856437889999999</v>
      </c>
      <c r="E183" s="218">
        <v>155.636891265</v>
      </c>
      <c r="F183" s="218">
        <v>69.411980231000001</v>
      </c>
      <c r="G183" s="218">
        <f t="shared" si="24"/>
        <v>0.69156930328249289</v>
      </c>
      <c r="H183" s="218">
        <f t="shared" si="25"/>
        <v>0.30843069671750711</v>
      </c>
      <c r="I183" s="971">
        <f t="shared" si="26"/>
        <v>134.98909531491569</v>
      </c>
      <c r="J183" s="971">
        <f t="shared" si="27"/>
        <v>60.203338291084322</v>
      </c>
      <c r="K183" s="218">
        <f t="shared" si="28"/>
        <v>121.49018578342412</v>
      </c>
      <c r="L183" s="218">
        <f t="shared" si="29"/>
        <v>148.48800484640728</v>
      </c>
      <c r="M183" s="218">
        <f t="shared" si="30"/>
        <v>69.601079398322597</v>
      </c>
      <c r="N183" s="218">
        <f t="shared" si="31"/>
        <v>82.207658436475654</v>
      </c>
      <c r="O183">
        <v>1</v>
      </c>
      <c r="P183">
        <v>1</v>
      </c>
      <c r="Q183">
        <v>2</v>
      </c>
      <c r="R183">
        <v>2</v>
      </c>
      <c r="S183" s="967">
        <v>2</v>
      </c>
    </row>
    <row r="184" spans="1:19">
      <c r="A184" s="447" t="s">
        <v>182</v>
      </c>
      <c r="B184" s="915">
        <v>2021</v>
      </c>
      <c r="C184" s="915" t="s">
        <v>90</v>
      </c>
      <c r="D184" s="218">
        <v>18.687069516000001</v>
      </c>
      <c r="E184" s="218">
        <v>100.281630681</v>
      </c>
      <c r="F184" s="218">
        <v>41.945154305999999</v>
      </c>
      <c r="G184" s="218">
        <f t="shared" si="24"/>
        <v>0.70508259530837369</v>
      </c>
      <c r="H184" s="218">
        <f t="shared" si="25"/>
        <v>0.29491740469162631</v>
      </c>
      <c r="I184" s="971">
        <f t="shared" si="26"/>
        <v>87.105703207950725</v>
      </c>
      <c r="J184" s="971">
        <f t="shared" si="27"/>
        <v>36.434012263049276</v>
      </c>
      <c r="K184" s="218">
        <f t="shared" si="28"/>
        <v>78.395132887155654</v>
      </c>
      <c r="L184" s="218">
        <f t="shared" si="29"/>
        <v>95.81627352874581</v>
      </c>
      <c r="M184" s="218">
        <f t="shared" si="30"/>
        <v>42.121361577311269</v>
      </c>
      <c r="N184" s="218">
        <f t="shared" si="31"/>
        <v>49.750643745193791</v>
      </c>
      <c r="O184">
        <v>1</v>
      </c>
      <c r="P184">
        <v>1</v>
      </c>
      <c r="Q184">
        <v>2</v>
      </c>
      <c r="R184">
        <v>2</v>
      </c>
      <c r="S184" s="967">
        <v>2</v>
      </c>
    </row>
    <row r="185" spans="1:19" ht="15.75" thickBot="1">
      <c r="A185" s="968" t="s">
        <v>182</v>
      </c>
      <c r="B185" s="969">
        <v>2021</v>
      </c>
      <c r="C185" s="969" t="s">
        <v>92</v>
      </c>
      <c r="D185" s="974">
        <v>31.522666628</v>
      </c>
      <c r="E185" s="974">
        <v>207.0208849695</v>
      </c>
      <c r="F185" s="974">
        <v>51.459623164</v>
      </c>
      <c r="G185" s="974">
        <f t="shared" si="24"/>
        <v>0.80091487928589911</v>
      </c>
      <c r="H185" s="974">
        <f t="shared" si="25"/>
        <v>0.19908512071410089</v>
      </c>
      <c r="I185" s="975">
        <f t="shared" si="26"/>
        <v>181.77391223236575</v>
      </c>
      <c r="J185" s="975">
        <f t="shared" si="27"/>
        <v>45.183929273134261</v>
      </c>
      <c r="K185" s="974">
        <f t="shared" si="28"/>
        <v>163.59652100912916</v>
      </c>
      <c r="L185" s="974">
        <f t="shared" si="29"/>
        <v>199.95130345560233</v>
      </c>
      <c r="M185" s="974">
        <f t="shared" si="30"/>
        <v>52.237140632670524</v>
      </c>
      <c r="N185" s="974">
        <f t="shared" si="31"/>
        <v>61.698655422464839</v>
      </c>
      <c r="O185" s="511">
        <v>1</v>
      </c>
      <c r="P185" s="511">
        <v>1</v>
      </c>
      <c r="Q185" s="511">
        <v>2</v>
      </c>
      <c r="R185" s="511">
        <v>2</v>
      </c>
      <c r="S185" s="970">
        <v>2</v>
      </c>
    </row>
    <row r="186" spans="1:19">
      <c r="A186" s="915" t="s">
        <v>182</v>
      </c>
      <c r="B186" s="915">
        <v>2022</v>
      </c>
      <c r="C186" s="915" t="s">
        <v>99</v>
      </c>
      <c r="D186" s="218">
        <v>19.947690544499999</v>
      </c>
      <c r="E186" s="218">
        <v>174.44249693149999</v>
      </c>
      <c r="F186" s="218">
        <v>21.639491936999999</v>
      </c>
      <c r="G186" s="218">
        <f t="shared" si="24"/>
        <v>0.88964059339732493</v>
      </c>
      <c r="H186" s="218">
        <f t="shared" si="25"/>
        <v>0.11035940660267507</v>
      </c>
      <c r="I186" s="971">
        <f t="shared" si="26"/>
        <v>156.69622167858481</v>
      </c>
      <c r="J186" s="971">
        <f t="shared" si="27"/>
        <v>19.438076645415187</v>
      </c>
      <c r="K186" s="218">
        <f t="shared" si="28"/>
        <v>141.02659951072633</v>
      </c>
      <c r="L186" s="218">
        <f t="shared" si="29"/>
        <v>172.36584384644331</v>
      </c>
      <c r="M186" s="218">
        <f t="shared" si="30"/>
        <v>22.472360409764502</v>
      </c>
      <c r="N186" s="218">
        <f t="shared" si="31"/>
        <v>26.542693659314441</v>
      </c>
      <c r="O186">
        <v>1</v>
      </c>
      <c r="P186">
        <v>1</v>
      </c>
      <c r="Q186">
        <v>2</v>
      </c>
      <c r="R186">
        <v>2</v>
      </c>
      <c r="S186">
        <v>2</v>
      </c>
    </row>
    <row r="187" spans="1:19">
      <c r="A187" s="915" t="s">
        <v>182</v>
      </c>
      <c r="B187" s="915">
        <v>2022</v>
      </c>
      <c r="C187" s="915" t="s">
        <v>98</v>
      </c>
      <c r="D187" s="218">
        <v>31.7606004873</v>
      </c>
      <c r="E187" s="218">
        <v>268.01597520849998</v>
      </c>
      <c r="F187" s="218">
        <v>39.313695551599999</v>
      </c>
      <c r="G187" s="218">
        <f t="shared" si="24"/>
        <v>0.87207972645671405</v>
      </c>
      <c r="H187" s="218">
        <f t="shared" si="25"/>
        <v>0.12792027354328595</v>
      </c>
      <c r="I187" s="971">
        <f t="shared" si="26"/>
        <v>240.31819942343441</v>
      </c>
      <c r="J187" s="971">
        <f t="shared" si="27"/>
        <v>35.250870849365562</v>
      </c>
      <c r="K187" s="218">
        <f t="shared" si="28"/>
        <v>216.28637948109096</v>
      </c>
      <c r="L187" s="218">
        <f t="shared" si="29"/>
        <v>264.35001936577788</v>
      </c>
      <c r="M187" s="218">
        <f t="shared" si="30"/>
        <v>40.753531788951534</v>
      </c>
      <c r="N187" s="218">
        <f t="shared" si="31"/>
        <v>48.13506414480868</v>
      </c>
      <c r="O187">
        <v>1</v>
      </c>
      <c r="P187">
        <v>1</v>
      </c>
      <c r="Q187">
        <v>2</v>
      </c>
      <c r="R187">
        <v>2</v>
      </c>
      <c r="S187">
        <v>2</v>
      </c>
    </row>
    <row r="188" spans="1:19">
      <c r="A188" s="915" t="s">
        <v>182</v>
      </c>
      <c r="B188" s="915">
        <v>2022</v>
      </c>
      <c r="C188" s="915" t="s">
        <v>95</v>
      </c>
      <c r="D188" s="218">
        <v>47.725220769499998</v>
      </c>
      <c r="E188" s="218">
        <v>365.93415845999999</v>
      </c>
      <c r="F188" s="218">
        <v>57.873759468400003</v>
      </c>
      <c r="G188" s="218">
        <f t="shared" si="24"/>
        <v>0.86344342089857451</v>
      </c>
      <c r="H188" s="218">
        <f t="shared" si="25"/>
        <v>0.13655657910142549</v>
      </c>
      <c r="I188" s="971">
        <f t="shared" si="26"/>
        <v>324.7261305756432</v>
      </c>
      <c r="J188" s="971">
        <f t="shared" si="27"/>
        <v>51.356566583256779</v>
      </c>
      <c r="K188" s="218">
        <f t="shared" si="28"/>
        <v>292.25351751807887</v>
      </c>
      <c r="L188" s="218">
        <f t="shared" si="29"/>
        <v>357.19874363320753</v>
      </c>
      <c r="M188" s="218">
        <f t="shared" si="30"/>
        <v>59.373326626903172</v>
      </c>
      <c r="N188" s="218">
        <f t="shared" si="31"/>
        <v>70.127391669437145</v>
      </c>
      <c r="O188">
        <v>1</v>
      </c>
      <c r="P188">
        <v>1</v>
      </c>
      <c r="Q188">
        <v>2</v>
      </c>
      <c r="R188">
        <v>2</v>
      </c>
      <c r="S188">
        <v>2</v>
      </c>
    </row>
    <row r="189" spans="1:19">
      <c r="A189" s="915" t="s">
        <v>182</v>
      </c>
      <c r="B189" s="915">
        <v>2022</v>
      </c>
      <c r="C189" s="915" t="s">
        <v>91</v>
      </c>
      <c r="D189" s="218">
        <v>207.69363117934</v>
      </c>
      <c r="E189" s="218">
        <v>1801.6032657410601</v>
      </c>
      <c r="F189" s="218">
        <v>198.03461409508</v>
      </c>
      <c r="G189" s="218">
        <f t="shared" si="24"/>
        <v>0.90096476162408567</v>
      </c>
      <c r="H189" s="218">
        <f t="shared" si="25"/>
        <v>9.9035238375914325E-2</v>
      </c>
      <c r="I189" s="971">
        <f t="shared" si="26"/>
        <v>1614.4786228347252</v>
      </c>
      <c r="J189" s="971">
        <f t="shared" si="27"/>
        <v>177.46562582207483</v>
      </c>
      <c r="K189" s="218">
        <f t="shared" si="28"/>
        <v>1453.0307605512528</v>
      </c>
      <c r="L189" s="218">
        <f t="shared" si="29"/>
        <v>1775.9264851181979</v>
      </c>
      <c r="M189" s="218">
        <f t="shared" si="30"/>
        <v>205.16801001290074</v>
      </c>
      <c r="N189" s="218">
        <f t="shared" si="31"/>
        <v>242.32931206004321</v>
      </c>
      <c r="O189">
        <v>1</v>
      </c>
      <c r="P189">
        <v>1</v>
      </c>
      <c r="Q189">
        <v>2</v>
      </c>
      <c r="R189">
        <v>2</v>
      </c>
      <c r="S189">
        <v>2</v>
      </c>
    </row>
    <row r="190" spans="1:19">
      <c r="A190" s="915" t="s">
        <v>182</v>
      </c>
      <c r="B190" s="915">
        <v>2022</v>
      </c>
      <c r="C190" s="915" t="s">
        <v>93</v>
      </c>
      <c r="D190" s="218">
        <v>32.360505861999997</v>
      </c>
      <c r="E190" s="218">
        <v>201.54410579099999</v>
      </c>
      <c r="F190" s="218">
        <v>60.490549707</v>
      </c>
      <c r="G190" s="218">
        <f t="shared" si="24"/>
        <v>0.76915057440765999</v>
      </c>
      <c r="H190" s="218">
        <f t="shared" si="25"/>
        <v>0.23084942559234001</v>
      </c>
      <c r="I190" s="971">
        <f t="shared" si="26"/>
        <v>176.65400411912026</v>
      </c>
      <c r="J190" s="971">
        <f t="shared" si="27"/>
        <v>53.020145516879751</v>
      </c>
      <c r="K190" s="218">
        <f t="shared" si="28"/>
        <v>158.98860370720823</v>
      </c>
      <c r="L190" s="218">
        <f t="shared" si="29"/>
        <v>194.31940453103229</v>
      </c>
      <c r="M190" s="218">
        <f t="shared" si="30"/>
        <v>61.296590232064688</v>
      </c>
      <c r="N190" s="218">
        <f t="shared" si="31"/>
        <v>72.399008703299302</v>
      </c>
      <c r="O190">
        <v>1</v>
      </c>
      <c r="P190">
        <v>1</v>
      </c>
      <c r="Q190">
        <v>2</v>
      </c>
      <c r="R190">
        <v>2</v>
      </c>
      <c r="S190">
        <v>2</v>
      </c>
    </row>
    <row r="191" spans="1:19">
      <c r="A191" s="915" t="s">
        <v>182</v>
      </c>
      <c r="B191" s="915">
        <v>2022</v>
      </c>
      <c r="C191" s="915" t="s">
        <v>90</v>
      </c>
      <c r="D191" s="218">
        <v>20.240468355000001</v>
      </c>
      <c r="E191" s="218">
        <v>129.88248109200001</v>
      </c>
      <c r="F191" s="218">
        <v>36.898316424000001</v>
      </c>
      <c r="G191" s="218">
        <f t="shared" si="24"/>
        <v>0.77876160221346713</v>
      </c>
      <c r="H191" s="218">
        <f t="shared" si="25"/>
        <v>0.22123839778653287</v>
      </c>
      <c r="I191" s="971">
        <f t="shared" si="26"/>
        <v>114.11998152630923</v>
      </c>
      <c r="J191" s="971">
        <f t="shared" si="27"/>
        <v>32.420347634690778</v>
      </c>
      <c r="K191" s="218">
        <f t="shared" si="28"/>
        <v>102.70798337367832</v>
      </c>
      <c r="L191" s="218">
        <f t="shared" si="29"/>
        <v>125.53197967894016</v>
      </c>
      <c r="M191" s="218">
        <f t="shared" si="30"/>
        <v>37.481163900466015</v>
      </c>
      <c r="N191" s="218">
        <f t="shared" si="31"/>
        <v>44.269984695170265</v>
      </c>
      <c r="O191">
        <v>1</v>
      </c>
      <c r="P191">
        <v>1</v>
      </c>
      <c r="Q191">
        <v>2</v>
      </c>
      <c r="R191">
        <v>2</v>
      </c>
      <c r="S191">
        <v>2</v>
      </c>
    </row>
    <row r="192" spans="1:19">
      <c r="A192" s="915" t="s">
        <v>182</v>
      </c>
      <c r="B192" s="915">
        <v>2022</v>
      </c>
      <c r="C192" s="915" t="s">
        <v>92</v>
      </c>
      <c r="D192" s="218">
        <v>33.983690787500002</v>
      </c>
      <c r="E192" s="218">
        <v>268.60700696100002</v>
      </c>
      <c r="F192" s="218">
        <v>49.070206515000002</v>
      </c>
      <c r="G192" s="218">
        <f t="shared" si="24"/>
        <v>0.84553438385436108</v>
      </c>
      <c r="H192" s="218">
        <f t="shared" si="25"/>
        <v>0.15446561614563892</v>
      </c>
      <c r="I192" s="971">
        <f t="shared" si="26"/>
        <v>239.87262790989408</v>
      </c>
      <c r="J192" s="971">
        <f t="shared" si="27"/>
        <v>43.82089477860594</v>
      </c>
      <c r="K192" s="218">
        <f t="shared" si="28"/>
        <v>215.88536511890467</v>
      </c>
      <c r="L192" s="218">
        <f t="shared" si="29"/>
        <v>263.85989070088351</v>
      </c>
      <c r="M192" s="218">
        <f t="shared" si="30"/>
        <v>50.661336453546333</v>
      </c>
      <c r="N192" s="218">
        <f t="shared" si="31"/>
        <v>59.837431820186417</v>
      </c>
      <c r="O192">
        <v>1</v>
      </c>
      <c r="P192">
        <v>1</v>
      </c>
      <c r="Q192">
        <v>2</v>
      </c>
      <c r="R192">
        <v>2</v>
      </c>
      <c r="S192">
        <v>2</v>
      </c>
    </row>
    <row r="194" spans="1:11" s="1014" customFormat="1">
      <c r="A194" s="1011" t="s">
        <v>2180</v>
      </c>
    </row>
    <row r="195" spans="1:11" s="1014" customFormat="1" ht="15.75" thickBot="1"/>
    <row r="196" spans="1:11">
      <c r="A196" s="65" t="s">
        <v>100</v>
      </c>
      <c r="B196" s="65" t="s">
        <v>101</v>
      </c>
      <c r="C196" s="108" t="s">
        <v>102</v>
      </c>
      <c r="D196" s="828" t="s">
        <v>103</v>
      </c>
      <c r="E196" s="108" t="s">
        <v>104</v>
      </c>
      <c r="F196" s="111" t="s">
        <v>105</v>
      </c>
      <c r="G196" s="112" t="s">
        <v>65</v>
      </c>
      <c r="H196" s="112" t="s">
        <v>67</v>
      </c>
      <c r="I196" s="112" t="s">
        <v>73</v>
      </c>
      <c r="J196" s="113" t="s">
        <v>79</v>
      </c>
      <c r="K196" s="428" t="s">
        <v>106</v>
      </c>
    </row>
    <row r="197" spans="1:11">
      <c r="A197" t="s">
        <v>2179</v>
      </c>
      <c r="B197">
        <v>2011</v>
      </c>
      <c r="C197" t="s">
        <v>92</v>
      </c>
      <c r="D197" s="218">
        <f>M115*(1-$B$9)</f>
        <v>54.941331438956276</v>
      </c>
      <c r="E197" s="7" t="s">
        <v>2044</v>
      </c>
      <c r="F197">
        <f>O109</f>
        <v>1</v>
      </c>
      <c r="G197">
        <f t="shared" ref="G197:J197" si="32">P109</f>
        <v>1</v>
      </c>
      <c r="H197">
        <f t="shared" si="32"/>
        <v>2</v>
      </c>
      <c r="I197">
        <f t="shared" si="32"/>
        <v>2</v>
      </c>
      <c r="J197">
        <f t="shared" si="32"/>
        <v>2</v>
      </c>
    </row>
    <row r="198" spans="1:11">
      <c r="A198" t="s">
        <v>2179</v>
      </c>
      <c r="B198">
        <v>2012</v>
      </c>
      <c r="C198" t="s">
        <v>92</v>
      </c>
      <c r="D198" s="218">
        <f>M122*(1-$B$9)</f>
        <v>51.456396464780305</v>
      </c>
      <c r="E198" s="7" t="s">
        <v>2044</v>
      </c>
      <c r="F198">
        <f t="shared" ref="F198:F220" si="33">O110</f>
        <v>1</v>
      </c>
      <c r="G198">
        <f t="shared" ref="G198:G220" si="34">P110</f>
        <v>1</v>
      </c>
      <c r="H198">
        <f t="shared" ref="H198:H220" si="35">Q110</f>
        <v>2</v>
      </c>
      <c r="I198">
        <f t="shared" ref="I198:I220" si="36">R110</f>
        <v>2</v>
      </c>
      <c r="J198">
        <f t="shared" ref="J198:J220" si="37">S110</f>
        <v>2</v>
      </c>
    </row>
    <row r="199" spans="1:11">
      <c r="A199" t="s">
        <v>2179</v>
      </c>
      <c r="B199">
        <v>2013</v>
      </c>
      <c r="C199" t="s">
        <v>92</v>
      </c>
      <c r="D199" s="218">
        <f>M129*(1-$B$9)</f>
        <v>51.662591418883132</v>
      </c>
      <c r="E199" s="7" t="s">
        <v>2044</v>
      </c>
      <c r="F199">
        <f t="shared" si="33"/>
        <v>1</v>
      </c>
      <c r="G199">
        <f t="shared" si="34"/>
        <v>1</v>
      </c>
      <c r="H199">
        <f t="shared" si="35"/>
        <v>2</v>
      </c>
      <c r="I199">
        <f t="shared" si="36"/>
        <v>2</v>
      </c>
      <c r="J199">
        <f t="shared" si="37"/>
        <v>2</v>
      </c>
    </row>
    <row r="200" spans="1:11">
      <c r="A200" t="s">
        <v>2179</v>
      </c>
      <c r="B200">
        <v>2014</v>
      </c>
      <c r="C200" t="s">
        <v>92</v>
      </c>
      <c r="D200" s="218">
        <f>M136*(1-$B$9)</f>
        <v>56.33000902970948</v>
      </c>
      <c r="E200" s="7" t="s">
        <v>2044</v>
      </c>
      <c r="F200">
        <f t="shared" si="33"/>
        <v>1</v>
      </c>
      <c r="G200">
        <f t="shared" si="34"/>
        <v>1</v>
      </c>
      <c r="H200">
        <f t="shared" si="35"/>
        <v>2</v>
      </c>
      <c r="I200">
        <f t="shared" si="36"/>
        <v>2</v>
      </c>
      <c r="J200">
        <f t="shared" si="37"/>
        <v>2</v>
      </c>
    </row>
    <row r="201" spans="1:11">
      <c r="A201" t="s">
        <v>2179</v>
      </c>
      <c r="B201">
        <v>2015</v>
      </c>
      <c r="C201" t="s">
        <v>92</v>
      </c>
      <c r="D201" s="218">
        <f>M143*(1-$B$9)</f>
        <v>53.287965599667807</v>
      </c>
      <c r="E201" s="7" t="s">
        <v>2044</v>
      </c>
      <c r="F201">
        <f t="shared" si="33"/>
        <v>1</v>
      </c>
      <c r="G201">
        <f t="shared" si="34"/>
        <v>1</v>
      </c>
      <c r="H201">
        <f t="shared" si="35"/>
        <v>2</v>
      </c>
      <c r="I201">
        <f t="shared" si="36"/>
        <v>2</v>
      </c>
      <c r="J201">
        <f t="shared" si="37"/>
        <v>2</v>
      </c>
    </row>
    <row r="202" spans="1:11">
      <c r="A202" t="s">
        <v>2179</v>
      </c>
      <c r="B202">
        <v>2016</v>
      </c>
      <c r="C202" t="s">
        <v>92</v>
      </c>
      <c r="D202" s="218">
        <f>M150*(1-$B$9)</f>
        <v>52.381548003476567</v>
      </c>
      <c r="E202" s="7" t="s">
        <v>2044</v>
      </c>
      <c r="F202">
        <f t="shared" si="33"/>
        <v>1</v>
      </c>
      <c r="G202">
        <f t="shared" si="34"/>
        <v>1</v>
      </c>
      <c r="H202">
        <f t="shared" si="35"/>
        <v>2</v>
      </c>
      <c r="I202">
        <f t="shared" si="36"/>
        <v>2</v>
      </c>
      <c r="J202">
        <f t="shared" si="37"/>
        <v>2</v>
      </c>
    </row>
    <row r="203" spans="1:11">
      <c r="A203" t="s">
        <v>2179</v>
      </c>
      <c r="B203">
        <v>2017</v>
      </c>
      <c r="C203" t="s">
        <v>92</v>
      </c>
      <c r="D203" s="218">
        <f>M157*(1-$B$9)</f>
        <v>54.133747948336925</v>
      </c>
      <c r="E203" s="7" t="s">
        <v>2044</v>
      </c>
      <c r="F203">
        <f t="shared" si="33"/>
        <v>1</v>
      </c>
      <c r="G203">
        <f t="shared" si="34"/>
        <v>1</v>
      </c>
      <c r="H203">
        <f t="shared" si="35"/>
        <v>2</v>
      </c>
      <c r="I203">
        <f t="shared" si="36"/>
        <v>2</v>
      </c>
      <c r="J203">
        <f t="shared" si="37"/>
        <v>2</v>
      </c>
    </row>
    <row r="204" spans="1:11">
      <c r="A204" t="s">
        <v>2179</v>
      </c>
      <c r="B204">
        <v>2018</v>
      </c>
      <c r="C204" t="s">
        <v>92</v>
      </c>
      <c r="D204" s="218">
        <f>M164*(1-$B$9)</f>
        <v>65.517198056677529</v>
      </c>
      <c r="E204" s="7" t="s">
        <v>2044</v>
      </c>
      <c r="F204">
        <f t="shared" si="33"/>
        <v>1</v>
      </c>
      <c r="G204">
        <f t="shared" si="34"/>
        <v>1</v>
      </c>
      <c r="H204">
        <f t="shared" si="35"/>
        <v>2</v>
      </c>
      <c r="I204">
        <f t="shared" si="36"/>
        <v>2</v>
      </c>
      <c r="J204">
        <f t="shared" si="37"/>
        <v>2</v>
      </c>
    </row>
    <row r="205" spans="1:11">
      <c r="A205" t="s">
        <v>2179</v>
      </c>
      <c r="B205">
        <v>2019</v>
      </c>
      <c r="C205" t="s">
        <v>92</v>
      </c>
      <c r="D205" s="218">
        <f>M171*(1-$B$9)</f>
        <v>53.855761874839239</v>
      </c>
      <c r="E205" s="7" t="s">
        <v>2044</v>
      </c>
      <c r="F205">
        <f t="shared" si="33"/>
        <v>1</v>
      </c>
      <c r="G205">
        <f t="shared" si="34"/>
        <v>1</v>
      </c>
      <c r="H205">
        <f t="shared" si="35"/>
        <v>2</v>
      </c>
      <c r="I205">
        <f t="shared" si="36"/>
        <v>2</v>
      </c>
      <c r="J205">
        <f t="shared" si="37"/>
        <v>2</v>
      </c>
    </row>
    <row r="206" spans="1:11">
      <c r="A206" t="s">
        <v>2179</v>
      </c>
      <c r="B206">
        <v>2020</v>
      </c>
      <c r="C206" t="s">
        <v>92</v>
      </c>
      <c r="D206" s="218">
        <f>M178*(1-$B$9)</f>
        <v>41.710144097320388</v>
      </c>
      <c r="E206" s="7" t="s">
        <v>2044</v>
      </c>
      <c r="F206">
        <f t="shared" si="33"/>
        <v>1</v>
      </c>
      <c r="G206">
        <f t="shared" si="34"/>
        <v>1</v>
      </c>
      <c r="H206">
        <f t="shared" si="35"/>
        <v>2</v>
      </c>
      <c r="I206">
        <f t="shared" si="36"/>
        <v>2</v>
      </c>
      <c r="J206">
        <f t="shared" si="37"/>
        <v>2</v>
      </c>
    </row>
    <row r="207" spans="1:11">
      <c r="A207" t="s">
        <v>2179</v>
      </c>
      <c r="B207">
        <v>2021</v>
      </c>
      <c r="C207" t="s">
        <v>92</v>
      </c>
      <c r="D207" s="218">
        <f>M185*(1-$B$9)</f>
        <v>49.625283601036998</v>
      </c>
      <c r="E207" s="7" t="s">
        <v>2044</v>
      </c>
      <c r="F207">
        <f t="shared" si="33"/>
        <v>1</v>
      </c>
      <c r="G207">
        <f t="shared" si="34"/>
        <v>1</v>
      </c>
      <c r="H207">
        <f t="shared" si="35"/>
        <v>2</v>
      </c>
      <c r="I207">
        <f t="shared" si="36"/>
        <v>2</v>
      </c>
      <c r="J207">
        <f t="shared" si="37"/>
        <v>2</v>
      </c>
    </row>
    <row r="208" spans="1:11">
      <c r="A208" t="s">
        <v>2179</v>
      </c>
      <c r="B208">
        <v>2022</v>
      </c>
      <c r="C208" t="s">
        <v>92</v>
      </c>
      <c r="D208" s="218">
        <f>M192*(1-$B$9)</f>
        <v>48.128269630869013</v>
      </c>
      <c r="E208" s="7" t="s">
        <v>2044</v>
      </c>
      <c r="F208">
        <f t="shared" si="33"/>
        <v>1</v>
      </c>
      <c r="G208">
        <f t="shared" si="34"/>
        <v>1</v>
      </c>
      <c r="H208">
        <f t="shared" si="35"/>
        <v>2</v>
      </c>
      <c r="I208">
        <f t="shared" si="36"/>
        <v>2</v>
      </c>
      <c r="J208">
        <f t="shared" si="37"/>
        <v>2</v>
      </c>
    </row>
    <row r="209" spans="1:10">
      <c r="A209" t="s">
        <v>2179</v>
      </c>
      <c r="B209">
        <v>2011</v>
      </c>
      <c r="C209" t="s">
        <v>92</v>
      </c>
      <c r="D209" s="218">
        <f>N115*(1-$B$9)</f>
        <v>64.892646033989095</v>
      </c>
      <c r="E209" t="s">
        <v>2045</v>
      </c>
      <c r="F209">
        <f t="shared" si="33"/>
        <v>1</v>
      </c>
      <c r="G209">
        <f t="shared" si="34"/>
        <v>1</v>
      </c>
      <c r="H209">
        <f t="shared" si="35"/>
        <v>2</v>
      </c>
      <c r="I209">
        <f t="shared" si="36"/>
        <v>2</v>
      </c>
      <c r="J209">
        <f t="shared" si="37"/>
        <v>2</v>
      </c>
    </row>
    <row r="210" spans="1:10">
      <c r="A210" t="s">
        <v>2179</v>
      </c>
      <c r="B210">
        <v>2012</v>
      </c>
      <c r="C210" t="s">
        <v>92</v>
      </c>
      <c r="D210" s="218">
        <f>N122*(1-$B$9)</f>
        <v>60.77649803015094</v>
      </c>
      <c r="E210" t="s">
        <v>2045</v>
      </c>
      <c r="F210">
        <f t="shared" si="33"/>
        <v>1</v>
      </c>
      <c r="G210">
        <f t="shared" si="34"/>
        <v>1</v>
      </c>
      <c r="H210">
        <f t="shared" si="35"/>
        <v>2</v>
      </c>
      <c r="I210">
        <f t="shared" si="36"/>
        <v>2</v>
      </c>
      <c r="J210">
        <f t="shared" si="37"/>
        <v>2</v>
      </c>
    </row>
    <row r="211" spans="1:10">
      <c r="A211" t="s">
        <v>2179</v>
      </c>
      <c r="B211">
        <v>2013</v>
      </c>
      <c r="C211" t="s">
        <v>92</v>
      </c>
      <c r="D211" s="218">
        <f>N129*(1-$B$9)</f>
        <v>61.020040292781694</v>
      </c>
      <c r="E211" t="s">
        <v>2045</v>
      </c>
      <c r="F211">
        <f t="shared" si="33"/>
        <v>1</v>
      </c>
      <c r="G211">
        <f t="shared" si="34"/>
        <v>1</v>
      </c>
      <c r="H211">
        <f t="shared" si="35"/>
        <v>2</v>
      </c>
      <c r="I211">
        <f t="shared" si="36"/>
        <v>2</v>
      </c>
      <c r="J211">
        <f t="shared" si="37"/>
        <v>2</v>
      </c>
    </row>
    <row r="212" spans="1:10">
      <c r="A212" t="s">
        <v>2179</v>
      </c>
      <c r="B212">
        <v>2014</v>
      </c>
      <c r="C212" t="s">
        <v>92</v>
      </c>
      <c r="D212" s="218">
        <f>N136*(1-$B$9)</f>
        <v>66.532849519996788</v>
      </c>
      <c r="E212" t="s">
        <v>2045</v>
      </c>
      <c r="F212">
        <f t="shared" si="33"/>
        <v>1</v>
      </c>
      <c r="G212">
        <f t="shared" si="34"/>
        <v>1</v>
      </c>
      <c r="H212">
        <f t="shared" si="35"/>
        <v>2</v>
      </c>
      <c r="I212">
        <f t="shared" si="36"/>
        <v>2</v>
      </c>
      <c r="J212">
        <f t="shared" si="37"/>
        <v>2</v>
      </c>
    </row>
    <row r="213" spans="1:10">
      <c r="A213" t="s">
        <v>2179</v>
      </c>
      <c r="B213">
        <v>2015</v>
      </c>
      <c r="C213" t="s">
        <v>92</v>
      </c>
      <c r="D213" s="218">
        <f>N143*(1-$B$9)</f>
        <v>62.939812322763082</v>
      </c>
      <c r="E213" t="s">
        <v>2045</v>
      </c>
      <c r="F213">
        <f t="shared" si="33"/>
        <v>1</v>
      </c>
      <c r="G213">
        <f t="shared" si="34"/>
        <v>1</v>
      </c>
      <c r="H213">
        <f t="shared" si="35"/>
        <v>2</v>
      </c>
      <c r="I213">
        <f t="shared" si="36"/>
        <v>2</v>
      </c>
      <c r="J213">
        <f t="shared" si="37"/>
        <v>2</v>
      </c>
    </row>
    <row r="214" spans="1:10">
      <c r="A214" t="s">
        <v>2179</v>
      </c>
      <c r="B214">
        <v>2016</v>
      </c>
      <c r="C214" t="s">
        <v>92</v>
      </c>
      <c r="D214" s="218">
        <f>N150*(1-$B$9)</f>
        <v>61.869218751619464</v>
      </c>
      <c r="E214" t="s">
        <v>2045</v>
      </c>
      <c r="F214">
        <f t="shared" si="33"/>
        <v>1</v>
      </c>
      <c r="G214">
        <f t="shared" si="34"/>
        <v>1</v>
      </c>
      <c r="H214">
        <f t="shared" si="35"/>
        <v>2</v>
      </c>
      <c r="I214">
        <f t="shared" si="36"/>
        <v>2</v>
      </c>
      <c r="J214">
        <f t="shared" si="37"/>
        <v>2</v>
      </c>
    </row>
    <row r="215" spans="1:10">
      <c r="A215" t="s">
        <v>2179</v>
      </c>
      <c r="B215">
        <v>2017</v>
      </c>
      <c r="C215" t="s">
        <v>92</v>
      </c>
      <c r="D215" s="218">
        <f>N157*(1-$B$9)</f>
        <v>63.93878801440539</v>
      </c>
      <c r="E215" t="s">
        <v>2045</v>
      </c>
      <c r="F215">
        <f t="shared" si="33"/>
        <v>1</v>
      </c>
      <c r="G215">
        <f t="shared" si="34"/>
        <v>1</v>
      </c>
      <c r="H215">
        <f t="shared" si="35"/>
        <v>2</v>
      </c>
      <c r="I215">
        <f t="shared" si="36"/>
        <v>2</v>
      </c>
      <c r="J215">
        <f t="shared" si="37"/>
        <v>2</v>
      </c>
    </row>
    <row r="216" spans="1:10">
      <c r="A216" t="s">
        <v>2179</v>
      </c>
      <c r="B216">
        <v>2018</v>
      </c>
      <c r="C216" t="s">
        <v>92</v>
      </c>
      <c r="D216" s="218">
        <f>N164*(1-$B$9)</f>
        <v>77.384079185531661</v>
      </c>
      <c r="E216" t="s">
        <v>2045</v>
      </c>
      <c r="F216">
        <f t="shared" si="33"/>
        <v>1</v>
      </c>
      <c r="G216">
        <f t="shared" si="34"/>
        <v>1</v>
      </c>
      <c r="H216">
        <f t="shared" si="35"/>
        <v>2</v>
      </c>
      <c r="I216">
        <f t="shared" si="36"/>
        <v>2</v>
      </c>
      <c r="J216">
        <f t="shared" si="37"/>
        <v>2</v>
      </c>
    </row>
    <row r="217" spans="1:10">
      <c r="A217" t="s">
        <v>2179</v>
      </c>
      <c r="B217">
        <v>2019</v>
      </c>
      <c r="C217" t="s">
        <v>92</v>
      </c>
      <c r="D217" s="218">
        <f>N171*(1-$B$9)</f>
        <v>63.61045137971886</v>
      </c>
      <c r="E217" t="s">
        <v>2045</v>
      </c>
      <c r="F217">
        <f t="shared" si="33"/>
        <v>1</v>
      </c>
      <c r="G217">
        <f t="shared" si="34"/>
        <v>1</v>
      </c>
      <c r="H217">
        <f t="shared" si="35"/>
        <v>2</v>
      </c>
      <c r="I217">
        <f t="shared" si="36"/>
        <v>2</v>
      </c>
      <c r="J217">
        <f t="shared" si="37"/>
        <v>2</v>
      </c>
    </row>
    <row r="218" spans="1:10">
      <c r="A218" t="s">
        <v>2179</v>
      </c>
      <c r="B218">
        <v>2020</v>
      </c>
      <c r="C218" t="s">
        <v>92</v>
      </c>
      <c r="D218" s="218">
        <f>N178*(1-$B$9)</f>
        <v>49.264944005614559</v>
      </c>
      <c r="E218" t="s">
        <v>2045</v>
      </c>
      <c r="F218">
        <f t="shared" si="33"/>
        <v>1</v>
      </c>
      <c r="G218">
        <f t="shared" si="34"/>
        <v>1</v>
      </c>
      <c r="H218">
        <f t="shared" si="35"/>
        <v>2</v>
      </c>
      <c r="I218">
        <f t="shared" si="36"/>
        <v>2</v>
      </c>
      <c r="J218">
        <f t="shared" si="37"/>
        <v>2</v>
      </c>
    </row>
    <row r="219" spans="1:10">
      <c r="A219" t="s">
        <v>2179</v>
      </c>
      <c r="B219">
        <v>2021</v>
      </c>
      <c r="C219" t="s">
        <v>92</v>
      </c>
      <c r="D219" s="218">
        <f>N185*(1-$B$9)</f>
        <v>58.613722651341597</v>
      </c>
      <c r="E219" t="s">
        <v>2045</v>
      </c>
      <c r="F219">
        <f t="shared" si="33"/>
        <v>1</v>
      </c>
      <c r="G219">
        <f t="shared" si="34"/>
        <v>1</v>
      </c>
      <c r="H219">
        <f t="shared" si="35"/>
        <v>2</v>
      </c>
      <c r="I219">
        <f t="shared" si="36"/>
        <v>2</v>
      </c>
      <c r="J219">
        <f t="shared" si="37"/>
        <v>2</v>
      </c>
    </row>
    <row r="220" spans="1:10">
      <c r="A220" t="s">
        <v>2179</v>
      </c>
      <c r="B220">
        <v>2022</v>
      </c>
      <c r="C220" t="s">
        <v>92</v>
      </c>
      <c r="D220" s="218">
        <f>N192*(1-$B$9)</f>
        <v>56.845560229177096</v>
      </c>
      <c r="E220" t="s">
        <v>2045</v>
      </c>
      <c r="F220">
        <f t="shared" si="33"/>
        <v>1</v>
      </c>
      <c r="G220">
        <f t="shared" si="34"/>
        <v>1</v>
      </c>
      <c r="H220">
        <f t="shared" si="35"/>
        <v>2</v>
      </c>
      <c r="I220">
        <f t="shared" si="36"/>
        <v>2</v>
      </c>
      <c r="J220">
        <f t="shared" si="37"/>
        <v>2</v>
      </c>
    </row>
    <row r="221" spans="1:10">
      <c r="A221" t="s">
        <v>2178</v>
      </c>
      <c r="B221">
        <v>2011</v>
      </c>
      <c r="C221" t="s">
        <v>99</v>
      </c>
      <c r="D221" s="218">
        <f>M109*(1-$B$9)</f>
        <v>31.323856063769544</v>
      </c>
      <c r="E221" s="7" t="s">
        <v>2044</v>
      </c>
      <c r="F221">
        <f>O109</f>
        <v>1</v>
      </c>
      <c r="G221">
        <f>P109</f>
        <v>1</v>
      </c>
      <c r="H221">
        <f>Q109</f>
        <v>2</v>
      </c>
      <c r="I221">
        <f>R109</f>
        <v>2</v>
      </c>
      <c r="J221">
        <f>S109</f>
        <v>2</v>
      </c>
    </row>
    <row r="222" spans="1:10">
      <c r="A222" t="s">
        <v>2178</v>
      </c>
      <c r="B222">
        <v>2012</v>
      </c>
      <c r="C222" t="s">
        <v>99</v>
      </c>
      <c r="D222">
        <f>M116*(1-$B$9)</f>
        <v>28.939700715961639</v>
      </c>
      <c r="E222" s="7" t="s">
        <v>2044</v>
      </c>
      <c r="F222">
        <f t="shared" ref="F222:F244" si="38">O110</f>
        <v>1</v>
      </c>
      <c r="G222">
        <f t="shared" ref="G222:G244" si="39">P110</f>
        <v>1</v>
      </c>
      <c r="H222">
        <f t="shared" ref="H222:H244" si="40">Q110</f>
        <v>2</v>
      </c>
      <c r="I222">
        <f t="shared" ref="I222:I244" si="41">R110</f>
        <v>2</v>
      </c>
      <c r="J222">
        <f t="shared" ref="J222:J244" si="42">S110</f>
        <v>2</v>
      </c>
    </row>
    <row r="223" spans="1:10">
      <c r="A223" t="s">
        <v>2178</v>
      </c>
      <c r="B223">
        <v>2013</v>
      </c>
      <c r="C223" t="s">
        <v>99</v>
      </c>
      <c r="D223">
        <f>M123*(1-$B$9)</f>
        <v>27.53375528380252</v>
      </c>
      <c r="E223" s="7" t="s">
        <v>2044</v>
      </c>
      <c r="F223">
        <f t="shared" si="38"/>
        <v>1</v>
      </c>
      <c r="G223">
        <f t="shared" si="39"/>
        <v>1</v>
      </c>
      <c r="H223">
        <f t="shared" si="40"/>
        <v>2</v>
      </c>
      <c r="I223">
        <f t="shared" si="41"/>
        <v>2</v>
      </c>
      <c r="J223">
        <f t="shared" si="42"/>
        <v>2</v>
      </c>
    </row>
    <row r="224" spans="1:10">
      <c r="A224" t="s">
        <v>2178</v>
      </c>
      <c r="B224">
        <v>2014</v>
      </c>
      <c r="C224" t="s">
        <v>99</v>
      </c>
      <c r="D224">
        <f>M130*(1-$B$9)</f>
        <v>26.834825608984801</v>
      </c>
      <c r="E224" s="7" t="s">
        <v>2044</v>
      </c>
      <c r="F224">
        <f t="shared" si="38"/>
        <v>1</v>
      </c>
      <c r="G224">
        <f t="shared" si="39"/>
        <v>1</v>
      </c>
      <c r="H224">
        <f t="shared" si="40"/>
        <v>2</v>
      </c>
      <c r="I224">
        <f t="shared" si="41"/>
        <v>2</v>
      </c>
      <c r="J224">
        <f t="shared" si="42"/>
        <v>2</v>
      </c>
    </row>
    <row r="225" spans="1:10">
      <c r="A225" t="s">
        <v>2178</v>
      </c>
      <c r="B225">
        <v>2015</v>
      </c>
      <c r="C225" t="s">
        <v>99</v>
      </c>
      <c r="D225">
        <f>M137*(1-$B$9)</f>
        <v>24.139952862753976</v>
      </c>
      <c r="E225" s="7" t="s">
        <v>2044</v>
      </c>
      <c r="F225">
        <f t="shared" si="38"/>
        <v>1</v>
      </c>
      <c r="G225">
        <f t="shared" si="39"/>
        <v>1</v>
      </c>
      <c r="H225">
        <f t="shared" si="40"/>
        <v>2</v>
      </c>
      <c r="I225">
        <f t="shared" si="41"/>
        <v>2</v>
      </c>
      <c r="J225">
        <f t="shared" si="42"/>
        <v>2</v>
      </c>
    </row>
    <row r="226" spans="1:10">
      <c r="A226" t="s">
        <v>2178</v>
      </c>
      <c r="B226">
        <v>2016</v>
      </c>
      <c r="C226" t="s">
        <v>99</v>
      </c>
      <c r="D226">
        <f>M144*(1-$B$9)</f>
        <v>27.520387156055381</v>
      </c>
      <c r="E226" s="7" t="s">
        <v>2044</v>
      </c>
      <c r="F226">
        <f t="shared" si="38"/>
        <v>1</v>
      </c>
      <c r="G226">
        <f t="shared" si="39"/>
        <v>1</v>
      </c>
      <c r="H226">
        <f t="shared" si="40"/>
        <v>2</v>
      </c>
      <c r="I226">
        <f t="shared" si="41"/>
        <v>2</v>
      </c>
      <c r="J226">
        <f t="shared" si="42"/>
        <v>2</v>
      </c>
    </row>
    <row r="227" spans="1:10">
      <c r="A227" t="s">
        <v>2178</v>
      </c>
      <c r="B227">
        <v>2017</v>
      </c>
      <c r="C227" t="s">
        <v>99</v>
      </c>
      <c r="D227">
        <f>M151*(1-$B$9)</f>
        <v>22.822083248542128</v>
      </c>
      <c r="E227" s="7" t="s">
        <v>2044</v>
      </c>
      <c r="F227">
        <f t="shared" si="38"/>
        <v>1</v>
      </c>
      <c r="G227">
        <f t="shared" si="39"/>
        <v>1</v>
      </c>
      <c r="H227">
        <f t="shared" si="40"/>
        <v>2</v>
      </c>
      <c r="I227">
        <f t="shared" si="41"/>
        <v>2</v>
      </c>
      <c r="J227">
        <f t="shared" si="42"/>
        <v>2</v>
      </c>
    </row>
    <row r="228" spans="1:10">
      <c r="A228" t="s">
        <v>2178</v>
      </c>
      <c r="B228">
        <v>2018</v>
      </c>
      <c r="C228" t="s">
        <v>99</v>
      </c>
      <c r="D228">
        <f>M158*(1-$B$9)</f>
        <v>25.958485764071945</v>
      </c>
      <c r="E228" s="7" t="s">
        <v>2044</v>
      </c>
      <c r="F228">
        <f t="shared" si="38"/>
        <v>1</v>
      </c>
      <c r="G228">
        <f t="shared" si="39"/>
        <v>1</v>
      </c>
      <c r="H228">
        <f t="shared" si="40"/>
        <v>2</v>
      </c>
      <c r="I228">
        <f t="shared" si="41"/>
        <v>2</v>
      </c>
      <c r="J228">
        <f t="shared" si="42"/>
        <v>2</v>
      </c>
    </row>
    <row r="229" spans="1:10">
      <c r="A229" t="s">
        <v>2178</v>
      </c>
      <c r="B229">
        <v>2019</v>
      </c>
      <c r="C229" t="s">
        <v>99</v>
      </c>
      <c r="D229">
        <f>M165*(1-$B$9)</f>
        <v>25.420305253598197</v>
      </c>
      <c r="E229" s="7" t="s">
        <v>2044</v>
      </c>
      <c r="F229">
        <f t="shared" si="38"/>
        <v>1</v>
      </c>
      <c r="G229">
        <f t="shared" si="39"/>
        <v>1</v>
      </c>
      <c r="H229">
        <f t="shared" si="40"/>
        <v>2</v>
      </c>
      <c r="I229">
        <f t="shared" si="41"/>
        <v>2</v>
      </c>
      <c r="J229">
        <f t="shared" si="42"/>
        <v>2</v>
      </c>
    </row>
    <row r="230" spans="1:10">
      <c r="A230" t="s">
        <v>2178</v>
      </c>
      <c r="B230">
        <v>2020</v>
      </c>
      <c r="C230" t="s">
        <v>99</v>
      </c>
      <c r="D230">
        <f>M172*(1-$B$9)</f>
        <v>19.264682494518464</v>
      </c>
      <c r="E230" s="7" t="s">
        <v>2044</v>
      </c>
      <c r="F230">
        <f t="shared" si="38"/>
        <v>1</v>
      </c>
      <c r="G230">
        <f t="shared" si="39"/>
        <v>1</v>
      </c>
      <c r="H230">
        <f t="shared" si="40"/>
        <v>2</v>
      </c>
      <c r="I230">
        <f t="shared" si="41"/>
        <v>2</v>
      </c>
      <c r="J230">
        <f t="shared" si="42"/>
        <v>2</v>
      </c>
    </row>
    <row r="231" spans="1:10">
      <c r="A231" t="s">
        <v>2178</v>
      </c>
      <c r="B231">
        <v>2021</v>
      </c>
      <c r="C231" t="s">
        <v>99</v>
      </c>
      <c r="D231">
        <f>M179*(1-$B$9)</f>
        <v>19.718829699422724</v>
      </c>
      <c r="E231" s="7" t="s">
        <v>2044</v>
      </c>
      <c r="F231">
        <f t="shared" si="38"/>
        <v>1</v>
      </c>
      <c r="G231">
        <f t="shared" si="39"/>
        <v>1</v>
      </c>
      <c r="H231">
        <f t="shared" si="40"/>
        <v>2</v>
      </c>
      <c r="I231">
        <f t="shared" si="41"/>
        <v>2</v>
      </c>
      <c r="J231">
        <f t="shared" si="42"/>
        <v>2</v>
      </c>
    </row>
    <row r="232" spans="1:10">
      <c r="A232" t="s">
        <v>2178</v>
      </c>
      <c r="B232">
        <v>2022</v>
      </c>
      <c r="C232" t="s">
        <v>99</v>
      </c>
      <c r="D232">
        <f>M186*(1-$B$9)</f>
        <v>21.348742389276275</v>
      </c>
      <c r="E232" s="7" t="s">
        <v>2044</v>
      </c>
      <c r="F232">
        <f t="shared" si="38"/>
        <v>1</v>
      </c>
      <c r="G232">
        <f t="shared" si="39"/>
        <v>1</v>
      </c>
      <c r="H232">
        <f t="shared" si="40"/>
        <v>2</v>
      </c>
      <c r="I232">
        <f t="shared" si="41"/>
        <v>2</v>
      </c>
      <c r="J232">
        <f t="shared" si="42"/>
        <v>2</v>
      </c>
    </row>
    <row r="233" spans="1:10">
      <c r="A233" t="s">
        <v>2178</v>
      </c>
      <c r="B233">
        <v>2011</v>
      </c>
      <c r="C233" t="s">
        <v>99</v>
      </c>
      <c r="D233">
        <f>N109*(1-$B$9)</f>
        <v>36.997427086824068</v>
      </c>
      <c r="E233" t="s">
        <v>2045</v>
      </c>
      <c r="F233">
        <f t="shared" si="38"/>
        <v>1</v>
      </c>
      <c r="G233">
        <f t="shared" si="39"/>
        <v>1</v>
      </c>
      <c r="H233">
        <f t="shared" si="40"/>
        <v>2</v>
      </c>
      <c r="I233">
        <f t="shared" si="41"/>
        <v>2</v>
      </c>
      <c r="J233">
        <f t="shared" si="42"/>
        <v>2</v>
      </c>
    </row>
    <row r="234" spans="1:10">
      <c r="A234" t="s">
        <v>2178</v>
      </c>
      <c r="B234">
        <v>2012</v>
      </c>
      <c r="C234" t="s">
        <v>99</v>
      </c>
      <c r="D234">
        <f>N116*(1-$B$9)</f>
        <v>34.181438740286843</v>
      </c>
      <c r="E234" t="s">
        <v>2045</v>
      </c>
      <c r="F234">
        <f t="shared" si="38"/>
        <v>1</v>
      </c>
      <c r="G234">
        <f t="shared" si="39"/>
        <v>1</v>
      </c>
      <c r="H234">
        <f t="shared" si="40"/>
        <v>2</v>
      </c>
      <c r="I234">
        <f t="shared" si="41"/>
        <v>2</v>
      </c>
      <c r="J234">
        <f t="shared" si="42"/>
        <v>2</v>
      </c>
    </row>
    <row r="235" spans="1:10">
      <c r="A235" t="s">
        <v>2178</v>
      </c>
      <c r="B235">
        <v>2013</v>
      </c>
      <c r="C235" t="s">
        <v>99</v>
      </c>
      <c r="D235">
        <f>N123*(1-$B$9)</f>
        <v>32.520839754374492</v>
      </c>
      <c r="E235" t="s">
        <v>2045</v>
      </c>
      <c r="F235">
        <f t="shared" si="38"/>
        <v>1</v>
      </c>
      <c r="G235">
        <f t="shared" si="39"/>
        <v>1</v>
      </c>
      <c r="H235">
        <f t="shared" si="40"/>
        <v>2</v>
      </c>
      <c r="I235">
        <f t="shared" si="41"/>
        <v>2</v>
      </c>
      <c r="J235">
        <f t="shared" si="42"/>
        <v>2</v>
      </c>
    </row>
    <row r="236" spans="1:10">
      <c r="A236" t="s">
        <v>2178</v>
      </c>
      <c r="B236">
        <v>2014</v>
      </c>
      <c r="C236" t="s">
        <v>99</v>
      </c>
      <c r="D236">
        <f>N130*(1-$B$9)</f>
        <v>31.69531560338098</v>
      </c>
      <c r="E236" t="s">
        <v>2045</v>
      </c>
      <c r="F236">
        <f t="shared" si="38"/>
        <v>1</v>
      </c>
      <c r="G236">
        <f t="shared" si="39"/>
        <v>1</v>
      </c>
      <c r="H236">
        <f t="shared" si="40"/>
        <v>2</v>
      </c>
      <c r="I236">
        <f t="shared" si="41"/>
        <v>2</v>
      </c>
      <c r="J236">
        <f t="shared" si="42"/>
        <v>2</v>
      </c>
    </row>
    <row r="237" spans="1:10">
      <c r="A237" t="s">
        <v>2178</v>
      </c>
      <c r="B237">
        <v>2015</v>
      </c>
      <c r="C237" t="s">
        <v>99</v>
      </c>
      <c r="D237">
        <f>N137*(1-$B$9)</f>
        <v>28.512330796722217</v>
      </c>
      <c r="E237" t="s">
        <v>2045</v>
      </c>
      <c r="F237">
        <f t="shared" si="38"/>
        <v>1</v>
      </c>
      <c r="G237">
        <f t="shared" si="39"/>
        <v>1</v>
      </c>
      <c r="H237">
        <f t="shared" si="40"/>
        <v>2</v>
      </c>
      <c r="I237">
        <f t="shared" si="41"/>
        <v>2</v>
      </c>
      <c r="J237">
        <f t="shared" si="42"/>
        <v>2</v>
      </c>
    </row>
    <row r="238" spans="1:10">
      <c r="A238" t="s">
        <v>2178</v>
      </c>
      <c r="B238">
        <v>2016</v>
      </c>
      <c r="C238" t="s">
        <v>99</v>
      </c>
      <c r="D238">
        <f>N144*(1-$B$9)</f>
        <v>32.505050308445313</v>
      </c>
      <c r="E238" t="s">
        <v>2045</v>
      </c>
      <c r="F238">
        <f t="shared" si="38"/>
        <v>1</v>
      </c>
      <c r="G238">
        <f t="shared" si="39"/>
        <v>1</v>
      </c>
      <c r="H238">
        <f t="shared" si="40"/>
        <v>2</v>
      </c>
      <c r="I238">
        <f t="shared" si="41"/>
        <v>2</v>
      </c>
      <c r="J238">
        <f t="shared" si="42"/>
        <v>2</v>
      </c>
    </row>
    <row r="239" spans="1:10">
      <c r="A239" t="s">
        <v>2178</v>
      </c>
      <c r="B239">
        <v>2017</v>
      </c>
      <c r="C239" t="s">
        <v>99</v>
      </c>
      <c r="D239">
        <f>N151*(1-$B$9)</f>
        <v>26.955760466987524</v>
      </c>
      <c r="E239" t="s">
        <v>2045</v>
      </c>
      <c r="F239">
        <f t="shared" si="38"/>
        <v>1</v>
      </c>
      <c r="G239">
        <f t="shared" si="39"/>
        <v>1</v>
      </c>
      <c r="H239">
        <f t="shared" si="40"/>
        <v>2</v>
      </c>
      <c r="I239">
        <f t="shared" si="41"/>
        <v>2</v>
      </c>
      <c r="J239">
        <f t="shared" si="42"/>
        <v>2</v>
      </c>
    </row>
    <row r="240" spans="1:10">
      <c r="A240" t="s">
        <v>2178</v>
      </c>
      <c r="B240">
        <v>2018</v>
      </c>
      <c r="C240" t="s">
        <v>99</v>
      </c>
      <c r="D240">
        <f>N158*(1-$B$9)</f>
        <v>30.66024765231402</v>
      </c>
      <c r="E240" t="s">
        <v>2045</v>
      </c>
      <c r="F240">
        <f t="shared" si="38"/>
        <v>1</v>
      </c>
      <c r="G240">
        <f t="shared" si="39"/>
        <v>1</v>
      </c>
      <c r="H240">
        <f t="shared" si="40"/>
        <v>2</v>
      </c>
      <c r="I240">
        <f t="shared" si="41"/>
        <v>2</v>
      </c>
      <c r="J240">
        <f t="shared" si="42"/>
        <v>2</v>
      </c>
    </row>
    <row r="241" spans="1:30">
      <c r="A241" t="s">
        <v>2178</v>
      </c>
      <c r="B241">
        <v>2019</v>
      </c>
      <c r="C241" t="s">
        <v>99</v>
      </c>
      <c r="D241">
        <f>N165*(1-$B$9)</f>
        <v>30.024588550980315</v>
      </c>
      <c r="E241" t="s">
        <v>2045</v>
      </c>
      <c r="F241">
        <f t="shared" si="38"/>
        <v>1</v>
      </c>
      <c r="G241">
        <f t="shared" si="39"/>
        <v>1</v>
      </c>
      <c r="H241">
        <f t="shared" si="40"/>
        <v>2</v>
      </c>
      <c r="I241">
        <f t="shared" si="41"/>
        <v>2</v>
      </c>
      <c r="J241">
        <f t="shared" si="42"/>
        <v>2</v>
      </c>
    </row>
    <row r="242" spans="1:30">
      <c r="A242" t="s">
        <v>2178</v>
      </c>
      <c r="B242">
        <v>2020</v>
      </c>
      <c r="C242" t="s">
        <v>99</v>
      </c>
      <c r="D242">
        <f>N172*(1-$B$9)</f>
        <v>22.754021231956546</v>
      </c>
      <c r="E242" t="s">
        <v>2045</v>
      </c>
      <c r="F242">
        <f t="shared" si="38"/>
        <v>1</v>
      </c>
      <c r="G242">
        <f t="shared" si="39"/>
        <v>1</v>
      </c>
      <c r="H242">
        <f t="shared" si="40"/>
        <v>2</v>
      </c>
      <c r="I242">
        <f t="shared" si="41"/>
        <v>2</v>
      </c>
      <c r="J242">
        <f t="shared" si="42"/>
        <v>2</v>
      </c>
    </row>
    <row r="243" spans="1:30">
      <c r="A243" t="s">
        <v>2178</v>
      </c>
      <c r="B243">
        <v>2021</v>
      </c>
      <c r="C243" t="s">
        <v>99</v>
      </c>
      <c r="D243">
        <f>N179*(1-$B$9)</f>
        <v>23.290426394396444</v>
      </c>
      <c r="E243" t="s">
        <v>2045</v>
      </c>
      <c r="F243">
        <f t="shared" si="38"/>
        <v>1</v>
      </c>
      <c r="G243">
        <f t="shared" si="39"/>
        <v>1</v>
      </c>
      <c r="H243">
        <f t="shared" si="40"/>
        <v>2</v>
      </c>
      <c r="I243">
        <f t="shared" si="41"/>
        <v>2</v>
      </c>
      <c r="J243">
        <f t="shared" si="42"/>
        <v>2</v>
      </c>
    </row>
    <row r="244" spans="1:30">
      <c r="A244" t="s">
        <v>2178</v>
      </c>
      <c r="B244">
        <v>2022</v>
      </c>
      <c r="C244" t="s">
        <v>99</v>
      </c>
      <c r="D244">
        <f>N186*(1-$B$9)</f>
        <v>25.215558976348717</v>
      </c>
      <c r="E244" t="s">
        <v>2045</v>
      </c>
      <c r="F244">
        <f t="shared" si="38"/>
        <v>1</v>
      </c>
      <c r="G244">
        <f t="shared" si="39"/>
        <v>1</v>
      </c>
      <c r="H244">
        <f t="shared" si="40"/>
        <v>2</v>
      </c>
      <c r="I244">
        <f t="shared" si="41"/>
        <v>2</v>
      </c>
      <c r="J244">
        <f t="shared" si="42"/>
        <v>2</v>
      </c>
    </row>
    <row r="246" spans="1:30" s="1013" customFormat="1">
      <c r="A246" s="1005" t="s">
        <v>2181</v>
      </c>
    </row>
    <row r="247" spans="1:30" s="1013" customFormat="1" ht="15.75" thickBot="1"/>
    <row r="248" spans="1:30" ht="15.75" thickBot="1">
      <c r="A248" s="65" t="s">
        <v>129</v>
      </c>
      <c r="B248" s="107" t="s">
        <v>130</v>
      </c>
      <c r="C248" s="108" t="s">
        <v>131</v>
      </c>
      <c r="D248" s="109" t="s">
        <v>102</v>
      </c>
      <c r="E248" s="229" t="s">
        <v>132</v>
      </c>
      <c r="F248" s="108" t="s">
        <v>133</v>
      </c>
      <c r="G248" s="110" t="s">
        <v>104</v>
      </c>
      <c r="H248" s="111" t="s">
        <v>134</v>
      </c>
      <c r="I248" s="112" t="s">
        <v>135</v>
      </c>
      <c r="J248" s="112" t="s">
        <v>65</v>
      </c>
      <c r="K248" s="112" t="s">
        <v>67</v>
      </c>
      <c r="L248" s="112" t="s">
        <v>73</v>
      </c>
      <c r="M248" s="113" t="s">
        <v>79</v>
      </c>
      <c r="O248" s="107" t="s">
        <v>101</v>
      </c>
      <c r="P248" s="661" t="s">
        <v>527</v>
      </c>
      <c r="Q248" s="108" t="s">
        <v>102</v>
      </c>
      <c r="R248" s="661" t="s">
        <v>528</v>
      </c>
      <c r="S248" s="661" t="s">
        <v>245</v>
      </c>
      <c r="T248" s="661" t="s">
        <v>529</v>
      </c>
      <c r="U248" s="661" t="s">
        <v>530</v>
      </c>
      <c r="V248" s="661" t="s">
        <v>531</v>
      </c>
      <c r="W248" s="110" t="s">
        <v>104</v>
      </c>
      <c r="X248" s="45" t="s">
        <v>105</v>
      </c>
      <c r="Y248" s="46" t="s">
        <v>65</v>
      </c>
      <c r="Z248" s="46" t="s">
        <v>67</v>
      </c>
      <c r="AA248" s="46" t="s">
        <v>73</v>
      </c>
      <c r="AB248" s="47" t="s">
        <v>79</v>
      </c>
      <c r="AC248" s="50" t="s">
        <v>106</v>
      </c>
      <c r="AD248" s="49" t="s">
        <v>123</v>
      </c>
    </row>
    <row r="249" spans="1:30">
      <c r="A249" t="s">
        <v>256</v>
      </c>
      <c r="B249" t="s">
        <v>2173</v>
      </c>
      <c r="C249" t="s">
        <v>182</v>
      </c>
      <c r="D249" t="str">
        <f>C180</f>
        <v>OTHER</v>
      </c>
      <c r="E249">
        <f>M180/T261</f>
        <v>3.389864231937407E-3</v>
      </c>
      <c r="F249">
        <v>2</v>
      </c>
      <c r="G249" s="7" t="s">
        <v>2044</v>
      </c>
      <c r="I249">
        <f t="shared" ref="I249:M253" si="43">O180</f>
        <v>1</v>
      </c>
      <c r="J249">
        <f t="shared" si="43"/>
        <v>1</v>
      </c>
      <c r="K249">
        <f t="shared" si="43"/>
        <v>2</v>
      </c>
      <c r="L249">
        <f t="shared" si="43"/>
        <v>2</v>
      </c>
      <c r="M249">
        <f t="shared" si="43"/>
        <v>2</v>
      </c>
      <c r="O249">
        <v>2021</v>
      </c>
      <c r="P249">
        <v>13666</v>
      </c>
      <c r="Q249" t="s">
        <v>85</v>
      </c>
      <c r="R249">
        <v>2883</v>
      </c>
      <c r="S249">
        <v>2568</v>
      </c>
      <c r="T249">
        <v>13981</v>
      </c>
      <c r="U249">
        <v>0.15517553930751099</v>
      </c>
      <c r="V249">
        <v>0.84482446069248895</v>
      </c>
      <c r="W249" t="s">
        <v>126</v>
      </c>
      <c r="X249">
        <v>1</v>
      </c>
      <c r="Y249">
        <v>1</v>
      </c>
      <c r="Z249">
        <v>1</v>
      </c>
      <c r="AA249">
        <v>2</v>
      </c>
      <c r="AB249">
        <v>2</v>
      </c>
      <c r="AC249">
        <v>0.35859414261160716</v>
      </c>
      <c r="AD249" t="s">
        <v>111</v>
      </c>
    </row>
    <row r="250" spans="1:30">
      <c r="A250" t="s">
        <v>256</v>
      </c>
      <c r="B250" t="s">
        <v>2173</v>
      </c>
      <c r="C250" t="s">
        <v>182</v>
      </c>
      <c r="D250" t="str">
        <f>C181</f>
        <v>PA</v>
      </c>
      <c r="E250">
        <f>M181/T259</f>
        <v>3.3558127324363765E-2</v>
      </c>
      <c r="F250">
        <v>2</v>
      </c>
      <c r="G250" s="7" t="s">
        <v>2044</v>
      </c>
      <c r="I250">
        <f t="shared" si="43"/>
        <v>1</v>
      </c>
      <c r="J250">
        <f t="shared" si="43"/>
        <v>1</v>
      </c>
      <c r="K250">
        <f t="shared" si="43"/>
        <v>2</v>
      </c>
      <c r="L250">
        <f t="shared" si="43"/>
        <v>2</v>
      </c>
      <c r="M250">
        <f t="shared" si="43"/>
        <v>2</v>
      </c>
      <c r="O250">
        <v>2021</v>
      </c>
      <c r="P250">
        <v>6722</v>
      </c>
      <c r="Q250" t="s">
        <v>86</v>
      </c>
      <c r="R250">
        <v>1213</v>
      </c>
      <c r="S250">
        <v>1136</v>
      </c>
      <c r="T250">
        <v>6799</v>
      </c>
      <c r="U250">
        <v>0.14316320100819149</v>
      </c>
      <c r="V250">
        <v>0.85683679899180842</v>
      </c>
      <c r="W250" t="s">
        <v>126</v>
      </c>
      <c r="X250">
        <v>1</v>
      </c>
      <c r="Y250">
        <v>1</v>
      </c>
      <c r="Z250">
        <v>1</v>
      </c>
      <c r="AA250">
        <v>2</v>
      </c>
      <c r="AB250">
        <v>2</v>
      </c>
      <c r="AC250">
        <v>0.35859414261160716</v>
      </c>
      <c r="AD250" t="s">
        <v>111</v>
      </c>
    </row>
    <row r="251" spans="1:30">
      <c r="A251" t="s">
        <v>256</v>
      </c>
      <c r="B251" t="s">
        <v>2173</v>
      </c>
      <c r="C251" t="s">
        <v>182</v>
      </c>
      <c r="D251" t="str">
        <f>C182</f>
        <v>PET</v>
      </c>
      <c r="E251">
        <f>M182/T255</f>
        <v>6.5245676197436375E-2</v>
      </c>
      <c r="F251">
        <v>2</v>
      </c>
      <c r="G251" s="7" t="s">
        <v>2044</v>
      </c>
      <c r="I251">
        <f t="shared" si="43"/>
        <v>1</v>
      </c>
      <c r="J251">
        <f t="shared" si="43"/>
        <v>1</v>
      </c>
      <c r="K251">
        <f t="shared" si="43"/>
        <v>2</v>
      </c>
      <c r="L251">
        <f t="shared" si="43"/>
        <v>2</v>
      </c>
      <c r="M251">
        <f t="shared" si="43"/>
        <v>2</v>
      </c>
      <c r="O251">
        <v>2021</v>
      </c>
      <c r="P251">
        <v>9482</v>
      </c>
      <c r="Q251" t="s">
        <v>87</v>
      </c>
      <c r="R251">
        <v>617</v>
      </c>
      <c r="S251">
        <v>998</v>
      </c>
      <c r="T251">
        <v>9101</v>
      </c>
      <c r="U251">
        <v>9.8821665511436771E-2</v>
      </c>
      <c r="V251">
        <v>0.90117833448856322</v>
      </c>
      <c r="W251" t="s">
        <v>126</v>
      </c>
      <c r="X251">
        <v>1</v>
      </c>
      <c r="Y251">
        <v>1</v>
      </c>
      <c r="Z251">
        <v>1</v>
      </c>
      <c r="AA251">
        <v>2</v>
      </c>
      <c r="AB251">
        <v>2</v>
      </c>
      <c r="AC251">
        <v>0.35859414261160716</v>
      </c>
      <c r="AD251" t="s">
        <v>111</v>
      </c>
    </row>
    <row r="252" spans="1:30">
      <c r="A252" t="s">
        <v>256</v>
      </c>
      <c r="B252" t="s">
        <v>2173</v>
      </c>
      <c r="C252" t="s">
        <v>182</v>
      </c>
      <c r="D252" t="str">
        <f>C183</f>
        <v>PUR</v>
      </c>
      <c r="E252">
        <f>M183/T260</f>
        <v>2.2222566857701978E-2</v>
      </c>
      <c r="F252">
        <v>2</v>
      </c>
      <c r="G252" s="7" t="s">
        <v>2044</v>
      </c>
      <c r="I252">
        <f t="shared" si="43"/>
        <v>1</v>
      </c>
      <c r="J252">
        <f t="shared" si="43"/>
        <v>1</v>
      </c>
      <c r="K252">
        <f t="shared" si="43"/>
        <v>2</v>
      </c>
      <c r="L252">
        <f t="shared" si="43"/>
        <v>2</v>
      </c>
      <c r="M252">
        <f t="shared" si="43"/>
        <v>2</v>
      </c>
      <c r="O252">
        <v>2021</v>
      </c>
      <c r="P252">
        <v>2057</v>
      </c>
      <c r="Q252" t="s">
        <v>88</v>
      </c>
      <c r="R252">
        <v>117</v>
      </c>
      <c r="S252">
        <v>353</v>
      </c>
      <c r="T252">
        <v>1821</v>
      </c>
      <c r="U252">
        <v>0.16237350505979761</v>
      </c>
      <c r="V252">
        <v>0.83762649494020236</v>
      </c>
      <c r="W252" t="s">
        <v>126</v>
      </c>
      <c r="X252">
        <v>1</v>
      </c>
      <c r="Y252">
        <v>1</v>
      </c>
      <c r="Z252">
        <v>1</v>
      </c>
      <c r="AA252">
        <v>2</v>
      </c>
      <c r="AB252">
        <v>2</v>
      </c>
      <c r="AC252">
        <v>0.35859414261160716</v>
      </c>
      <c r="AD252" t="s">
        <v>111</v>
      </c>
    </row>
    <row r="253" spans="1:30">
      <c r="A253" t="s">
        <v>256</v>
      </c>
      <c r="B253" t="s">
        <v>2173</v>
      </c>
      <c r="C253" t="s">
        <v>182</v>
      </c>
      <c r="D253" t="str">
        <f>C184</f>
        <v>PVC</v>
      </c>
      <c r="E253">
        <f>M184/T254</f>
        <v>6.0053267147578086E-3</v>
      </c>
      <c r="F253">
        <v>2</v>
      </c>
      <c r="G253" s="7" t="s">
        <v>2044</v>
      </c>
      <c r="I253">
        <f t="shared" si="43"/>
        <v>1</v>
      </c>
      <c r="J253">
        <f t="shared" si="43"/>
        <v>1</v>
      </c>
      <c r="K253">
        <f t="shared" si="43"/>
        <v>2</v>
      </c>
      <c r="L253">
        <f t="shared" si="43"/>
        <v>2</v>
      </c>
      <c r="M253">
        <f t="shared" si="43"/>
        <v>2</v>
      </c>
      <c r="O253">
        <v>2021</v>
      </c>
      <c r="P253">
        <v>1923</v>
      </c>
      <c r="Q253" t="s">
        <v>89</v>
      </c>
      <c r="R253">
        <v>180</v>
      </c>
      <c r="S253">
        <v>78</v>
      </c>
      <c r="T253">
        <v>2025</v>
      </c>
      <c r="U253">
        <v>3.7089871611982878E-2</v>
      </c>
      <c r="V253">
        <v>0.96291012838801715</v>
      </c>
      <c r="W253" t="s">
        <v>126</v>
      </c>
      <c r="X253">
        <v>1</v>
      </c>
      <c r="Y253">
        <v>1</v>
      </c>
      <c r="Z253">
        <v>1</v>
      </c>
      <c r="AA253">
        <v>2</v>
      </c>
      <c r="AB253">
        <v>2</v>
      </c>
      <c r="AC253">
        <v>0.35859414261160716</v>
      </c>
      <c r="AD253" t="s">
        <v>111</v>
      </c>
    </row>
    <row r="254" spans="1:30">
      <c r="A254" t="s">
        <v>256</v>
      </c>
      <c r="B254" t="s">
        <v>2173</v>
      </c>
      <c r="C254" t="s">
        <v>182</v>
      </c>
      <c r="D254" t="str">
        <f>C180</f>
        <v>OTHER</v>
      </c>
      <c r="E254">
        <f>N180/T261</f>
        <v>4.0038574593119361E-3</v>
      </c>
      <c r="F254">
        <v>2</v>
      </c>
      <c r="G254" t="s">
        <v>2045</v>
      </c>
      <c r="I254">
        <f t="shared" ref="I254:M258" si="44">O187</f>
        <v>1</v>
      </c>
      <c r="J254">
        <f t="shared" si="44"/>
        <v>1</v>
      </c>
      <c r="K254">
        <f t="shared" si="44"/>
        <v>2</v>
      </c>
      <c r="L254">
        <f t="shared" si="44"/>
        <v>2</v>
      </c>
      <c r="M254">
        <f t="shared" si="44"/>
        <v>2</v>
      </c>
      <c r="O254">
        <v>2021</v>
      </c>
      <c r="P254">
        <v>7971</v>
      </c>
      <c r="Q254" t="s">
        <v>90</v>
      </c>
      <c r="R254">
        <v>508</v>
      </c>
      <c r="S254">
        <v>1465</v>
      </c>
      <c r="T254">
        <v>7014</v>
      </c>
      <c r="U254">
        <v>0.17277980893973349</v>
      </c>
      <c r="V254">
        <v>0.82722019106026656</v>
      </c>
      <c r="W254" t="s">
        <v>126</v>
      </c>
      <c r="X254">
        <v>1</v>
      </c>
      <c r="Y254">
        <v>1</v>
      </c>
      <c r="Z254">
        <v>1</v>
      </c>
      <c r="AA254">
        <v>2</v>
      </c>
      <c r="AB254">
        <v>2</v>
      </c>
      <c r="AC254">
        <v>0.35859414261160716</v>
      </c>
      <c r="AD254" t="s">
        <v>111</v>
      </c>
    </row>
    <row r="255" spans="1:30">
      <c r="A255" t="s">
        <v>256</v>
      </c>
      <c r="B255" t="s">
        <v>2173</v>
      </c>
      <c r="C255" t="s">
        <v>182</v>
      </c>
      <c r="D255" t="str">
        <f>C181</f>
        <v>PA</v>
      </c>
      <c r="E255">
        <f>N181/T259</f>
        <v>3.96363834109668E-2</v>
      </c>
      <c r="F255">
        <v>2</v>
      </c>
      <c r="G255" t="s">
        <v>2045</v>
      </c>
      <c r="I255">
        <f t="shared" si="44"/>
        <v>1</v>
      </c>
      <c r="J255">
        <f t="shared" si="44"/>
        <v>1</v>
      </c>
      <c r="K255">
        <f t="shared" si="44"/>
        <v>2</v>
      </c>
      <c r="L255">
        <f t="shared" si="44"/>
        <v>2</v>
      </c>
      <c r="M255">
        <f t="shared" si="44"/>
        <v>2</v>
      </c>
      <c r="O255">
        <v>2021</v>
      </c>
      <c r="P255">
        <v>2802</v>
      </c>
      <c r="Q255" t="s">
        <v>91</v>
      </c>
      <c r="R255">
        <v>824</v>
      </c>
      <c r="S255">
        <v>469</v>
      </c>
      <c r="T255">
        <v>3157</v>
      </c>
      <c r="U255">
        <v>0.12934362934362931</v>
      </c>
      <c r="V255">
        <v>0.87065637065637069</v>
      </c>
      <c r="W255" t="s">
        <v>126</v>
      </c>
      <c r="X255">
        <v>1</v>
      </c>
      <c r="Y255">
        <v>1</v>
      </c>
      <c r="Z255">
        <v>1</v>
      </c>
      <c r="AA255">
        <v>2</v>
      </c>
      <c r="AB255">
        <v>2</v>
      </c>
      <c r="AC255">
        <v>0.35859414261160716</v>
      </c>
      <c r="AD255" t="s">
        <v>111</v>
      </c>
    </row>
    <row r="256" spans="1:30">
      <c r="A256" t="s">
        <v>256</v>
      </c>
      <c r="B256" t="s">
        <v>2173</v>
      </c>
      <c r="C256" t="s">
        <v>182</v>
      </c>
      <c r="D256" t="str">
        <f>C182</f>
        <v>PET</v>
      </c>
      <c r="E256">
        <f>N182/T255</f>
        <v>7.7063377603666952E-2</v>
      </c>
      <c r="F256">
        <v>2</v>
      </c>
      <c r="G256" t="s">
        <v>2045</v>
      </c>
      <c r="I256">
        <f t="shared" si="44"/>
        <v>1</v>
      </c>
      <c r="J256">
        <f t="shared" si="44"/>
        <v>1</v>
      </c>
      <c r="K256">
        <f t="shared" si="44"/>
        <v>2</v>
      </c>
      <c r="L256">
        <f t="shared" si="44"/>
        <v>2</v>
      </c>
      <c r="M256">
        <f t="shared" si="44"/>
        <v>2</v>
      </c>
      <c r="O256">
        <v>2021</v>
      </c>
      <c r="P256">
        <v>710</v>
      </c>
      <c r="Q256" t="s">
        <v>94</v>
      </c>
      <c r="R256">
        <v>228</v>
      </c>
      <c r="S256">
        <v>267</v>
      </c>
      <c r="T256">
        <v>671</v>
      </c>
      <c r="U256">
        <v>0.28464818763326227</v>
      </c>
      <c r="V256">
        <v>0.71535181236673773</v>
      </c>
      <c r="W256" t="s">
        <v>126</v>
      </c>
      <c r="X256">
        <v>1</v>
      </c>
      <c r="Y256">
        <v>1</v>
      </c>
      <c r="Z256">
        <v>1</v>
      </c>
      <c r="AA256">
        <v>2</v>
      </c>
      <c r="AB256">
        <v>2</v>
      </c>
      <c r="AC256">
        <v>0.35859414261160716</v>
      </c>
      <c r="AD256" t="s">
        <v>111</v>
      </c>
    </row>
    <row r="257" spans="1:30">
      <c r="A257" t="s">
        <v>256</v>
      </c>
      <c r="B257" t="s">
        <v>2173</v>
      </c>
      <c r="C257" t="s">
        <v>182</v>
      </c>
      <c r="D257" t="str">
        <f>C183</f>
        <v>PUR</v>
      </c>
      <c r="E257">
        <f>N183/T260</f>
        <v>2.6247655950343441E-2</v>
      </c>
      <c r="F257">
        <v>2</v>
      </c>
      <c r="G257" t="s">
        <v>2045</v>
      </c>
      <c r="I257">
        <f t="shared" si="44"/>
        <v>1</v>
      </c>
      <c r="J257">
        <f t="shared" si="44"/>
        <v>1</v>
      </c>
      <c r="K257">
        <f t="shared" si="44"/>
        <v>2</v>
      </c>
      <c r="L257">
        <f t="shared" si="44"/>
        <v>2</v>
      </c>
      <c r="M257">
        <f t="shared" si="44"/>
        <v>2</v>
      </c>
      <c r="O257">
        <v>2021</v>
      </c>
      <c r="P257">
        <v>1323</v>
      </c>
      <c r="Q257" t="s">
        <v>96</v>
      </c>
      <c r="R257">
        <v>103</v>
      </c>
      <c r="S257">
        <v>280</v>
      </c>
      <c r="T257">
        <v>1146</v>
      </c>
      <c r="U257">
        <v>0.19635343618513321</v>
      </c>
      <c r="V257">
        <v>0.80364656381486677</v>
      </c>
      <c r="W257" t="s">
        <v>126</v>
      </c>
      <c r="X257">
        <v>1</v>
      </c>
      <c r="Y257">
        <v>1</v>
      </c>
      <c r="Z257">
        <v>1</v>
      </c>
      <c r="AA257">
        <v>2</v>
      </c>
      <c r="AB257">
        <v>2</v>
      </c>
      <c r="AC257">
        <v>0.35859414261160716</v>
      </c>
      <c r="AD257" t="s">
        <v>111</v>
      </c>
    </row>
    <row r="258" spans="1:30">
      <c r="A258" t="s">
        <v>256</v>
      </c>
      <c r="B258" t="s">
        <v>2173</v>
      </c>
      <c r="C258" t="s">
        <v>182</v>
      </c>
      <c r="D258" t="str">
        <f>C184</f>
        <v>PVC</v>
      </c>
      <c r="E258">
        <f>N184/T254</f>
        <v>7.0930487232953796E-3</v>
      </c>
      <c r="F258">
        <v>2</v>
      </c>
      <c r="G258" t="s">
        <v>2045</v>
      </c>
      <c r="I258">
        <f t="shared" si="44"/>
        <v>1</v>
      </c>
      <c r="J258">
        <f t="shared" si="44"/>
        <v>1</v>
      </c>
      <c r="K258">
        <f t="shared" si="44"/>
        <v>2</v>
      </c>
      <c r="L258">
        <f t="shared" si="44"/>
        <v>2</v>
      </c>
      <c r="M258">
        <f t="shared" si="44"/>
        <v>2</v>
      </c>
      <c r="O258">
        <v>2021</v>
      </c>
      <c r="P258">
        <v>2546</v>
      </c>
      <c r="Q258" t="s">
        <v>97</v>
      </c>
      <c r="R258">
        <v>408</v>
      </c>
      <c r="S258">
        <v>1133</v>
      </c>
      <c r="T258">
        <v>1821</v>
      </c>
      <c r="U258">
        <v>0.38354773188896413</v>
      </c>
      <c r="V258">
        <v>0.61645226811103582</v>
      </c>
      <c r="W258" t="s">
        <v>126</v>
      </c>
      <c r="X258">
        <v>1</v>
      </c>
      <c r="Y258">
        <v>1</v>
      </c>
      <c r="Z258">
        <v>1</v>
      </c>
      <c r="AA258">
        <v>2</v>
      </c>
      <c r="AB258">
        <v>2</v>
      </c>
      <c r="AC258">
        <v>0.35859414261160716</v>
      </c>
      <c r="AD258" t="s">
        <v>111</v>
      </c>
    </row>
    <row r="259" spans="1:30">
      <c r="O259">
        <v>2021</v>
      </c>
      <c r="P259">
        <v>2149</v>
      </c>
      <c r="Q259" t="s">
        <v>95</v>
      </c>
      <c r="R259">
        <v>317</v>
      </c>
      <c r="S259">
        <v>669</v>
      </c>
      <c r="T259">
        <v>1797</v>
      </c>
      <c r="U259">
        <v>0.27128953771289538</v>
      </c>
      <c r="V259">
        <v>0.72871046228710457</v>
      </c>
      <c r="W259" t="s">
        <v>126</v>
      </c>
      <c r="X259">
        <v>1</v>
      </c>
      <c r="Y259">
        <v>1</v>
      </c>
      <c r="Z259">
        <v>1</v>
      </c>
      <c r="AA259">
        <v>2</v>
      </c>
      <c r="AB259">
        <v>2</v>
      </c>
      <c r="AC259">
        <v>0.35859414261160716</v>
      </c>
      <c r="AD259" t="s">
        <v>111</v>
      </c>
    </row>
    <row r="260" spans="1:30">
      <c r="O260">
        <v>2021</v>
      </c>
      <c r="P260">
        <v>3554</v>
      </c>
      <c r="Q260" t="s">
        <v>93</v>
      </c>
      <c r="R260">
        <v>72</v>
      </c>
      <c r="S260">
        <v>494</v>
      </c>
      <c r="T260">
        <v>3132</v>
      </c>
      <c r="U260">
        <v>0.13623827909542199</v>
      </c>
      <c r="V260">
        <v>0.86376172090457803</v>
      </c>
      <c r="W260" t="s">
        <v>126</v>
      </c>
      <c r="X260">
        <v>1</v>
      </c>
      <c r="Y260">
        <v>1</v>
      </c>
      <c r="Z260">
        <v>1</v>
      </c>
      <c r="AA260">
        <v>2</v>
      </c>
      <c r="AB260">
        <v>2</v>
      </c>
      <c r="AC260">
        <v>0.35859414261160716</v>
      </c>
      <c r="AD260" t="s">
        <v>111</v>
      </c>
    </row>
    <row r="261" spans="1:30">
      <c r="O261">
        <v>2021</v>
      </c>
      <c r="P261">
        <v>15065</v>
      </c>
      <c r="Q261" t="s">
        <v>98</v>
      </c>
      <c r="R261">
        <v>1687</v>
      </c>
      <c r="S261">
        <v>5812</v>
      </c>
      <c r="T261">
        <v>10940</v>
      </c>
      <c r="U261">
        <v>0.34694364851957982</v>
      </c>
      <c r="V261">
        <v>0.65305635148042018</v>
      </c>
      <c r="W261" t="s">
        <v>126</v>
      </c>
      <c r="X261">
        <v>1</v>
      </c>
      <c r="Y261">
        <v>1</v>
      </c>
      <c r="Z261">
        <v>1</v>
      </c>
      <c r="AA261">
        <v>2</v>
      </c>
      <c r="AB261">
        <v>2</v>
      </c>
      <c r="AC261">
        <v>0.35859414261160716</v>
      </c>
      <c r="AD261" t="s">
        <v>111</v>
      </c>
    </row>
    <row r="262" spans="1:30" s="1011" customFormat="1">
      <c r="A262" s="1011" t="s">
        <v>2053</v>
      </c>
    </row>
    <row r="263" spans="1:30" s="1011" customFormat="1" ht="15.75" thickBot="1"/>
    <row r="264" spans="1:30">
      <c r="A264" s="65" t="s">
        <v>129</v>
      </c>
      <c r="B264" s="107" t="s">
        <v>130</v>
      </c>
      <c r="C264" s="108" t="s">
        <v>131</v>
      </c>
      <c r="D264" s="109" t="s">
        <v>102</v>
      </c>
      <c r="E264" s="229" t="s">
        <v>132</v>
      </c>
      <c r="F264" s="108" t="s">
        <v>133</v>
      </c>
      <c r="G264" s="110" t="s">
        <v>104</v>
      </c>
      <c r="H264" s="111" t="s">
        <v>134</v>
      </c>
      <c r="I264" s="112" t="s">
        <v>135</v>
      </c>
      <c r="J264" s="112" t="s">
        <v>65</v>
      </c>
      <c r="K264" s="112" t="s">
        <v>67</v>
      </c>
      <c r="L264" s="112" t="s">
        <v>73</v>
      </c>
      <c r="M264" s="113" t="s">
        <v>79</v>
      </c>
    </row>
    <row r="265" spans="1:30">
      <c r="A265" t="s">
        <v>108</v>
      </c>
      <c r="B265" t="s">
        <v>2054</v>
      </c>
      <c r="C265" t="s">
        <v>180</v>
      </c>
      <c r="D265" t="s">
        <v>99</v>
      </c>
      <c r="E265" s="218">
        <v>0.178803439613825</v>
      </c>
      <c r="F265">
        <v>1</v>
      </c>
      <c r="G265" t="s">
        <v>2055</v>
      </c>
      <c r="H265">
        <v>2</v>
      </c>
      <c r="I265" t="s">
        <v>249</v>
      </c>
      <c r="J265">
        <v>2</v>
      </c>
      <c r="K265">
        <v>1</v>
      </c>
      <c r="L265">
        <v>2</v>
      </c>
      <c r="M265">
        <v>3</v>
      </c>
    </row>
    <row r="266" spans="1:30">
      <c r="A266" t="s">
        <v>108</v>
      </c>
      <c r="B266" t="s">
        <v>2054</v>
      </c>
      <c r="C266" t="s">
        <v>180</v>
      </c>
      <c r="D266" t="s">
        <v>98</v>
      </c>
      <c r="E266" s="218">
        <v>0</v>
      </c>
      <c r="F266">
        <v>1</v>
      </c>
      <c r="G266" t="s">
        <v>2055</v>
      </c>
      <c r="H266">
        <v>2</v>
      </c>
      <c r="I266" t="s">
        <v>249</v>
      </c>
      <c r="J266">
        <v>2</v>
      </c>
      <c r="K266">
        <v>1</v>
      </c>
      <c r="L266">
        <v>2</v>
      </c>
      <c r="M266">
        <v>3</v>
      </c>
    </row>
    <row r="267" spans="1:30">
      <c r="A267" t="s">
        <v>108</v>
      </c>
      <c r="B267" t="s">
        <v>2054</v>
      </c>
      <c r="C267" t="s">
        <v>180</v>
      </c>
      <c r="D267" t="s">
        <v>95</v>
      </c>
      <c r="E267" s="218">
        <v>1.91808665264462E-2</v>
      </c>
      <c r="F267">
        <v>1</v>
      </c>
      <c r="G267" t="s">
        <v>2055</v>
      </c>
      <c r="H267">
        <v>2</v>
      </c>
      <c r="I267" t="s">
        <v>249</v>
      </c>
      <c r="J267">
        <v>2</v>
      </c>
      <c r="K267">
        <v>1</v>
      </c>
      <c r="L267">
        <v>2</v>
      </c>
      <c r="M267">
        <v>3</v>
      </c>
    </row>
    <row r="268" spans="1:30">
      <c r="A268" t="s">
        <v>108</v>
      </c>
      <c r="B268" t="s">
        <v>2054</v>
      </c>
      <c r="C268" t="s">
        <v>180</v>
      </c>
      <c r="D268" t="s">
        <v>91</v>
      </c>
      <c r="E268" s="218">
        <v>3.08402494327908E-2</v>
      </c>
      <c r="F268">
        <v>1</v>
      </c>
      <c r="G268" t="s">
        <v>2055</v>
      </c>
      <c r="H268">
        <v>2</v>
      </c>
      <c r="I268" t="s">
        <v>249</v>
      </c>
      <c r="J268">
        <v>2</v>
      </c>
      <c r="K268">
        <v>1</v>
      </c>
      <c r="L268">
        <v>2</v>
      </c>
      <c r="M268">
        <v>3</v>
      </c>
    </row>
    <row r="269" spans="1:30">
      <c r="A269" t="s">
        <v>108</v>
      </c>
      <c r="B269" t="s">
        <v>2056</v>
      </c>
      <c r="C269" t="s">
        <v>180</v>
      </c>
      <c r="D269" t="s">
        <v>98</v>
      </c>
      <c r="E269" s="218">
        <v>0</v>
      </c>
      <c r="F269">
        <v>1</v>
      </c>
      <c r="G269" t="s">
        <v>2055</v>
      </c>
      <c r="H269">
        <v>2</v>
      </c>
      <c r="I269" t="s">
        <v>249</v>
      </c>
      <c r="J269">
        <v>2</v>
      </c>
      <c r="K269">
        <v>1</v>
      </c>
      <c r="L269">
        <v>2</v>
      </c>
      <c r="M269">
        <v>3</v>
      </c>
    </row>
    <row r="270" spans="1:30">
      <c r="A270" t="s">
        <v>108</v>
      </c>
      <c r="B270" t="s">
        <v>2056</v>
      </c>
      <c r="C270" t="s">
        <v>180</v>
      </c>
      <c r="D270" t="s">
        <v>95</v>
      </c>
      <c r="E270" s="218">
        <v>3.6350165820171899E-2</v>
      </c>
      <c r="F270">
        <v>1</v>
      </c>
      <c r="G270" t="s">
        <v>2055</v>
      </c>
      <c r="H270">
        <v>2</v>
      </c>
      <c r="I270" t="s">
        <v>249</v>
      </c>
      <c r="J270">
        <v>2</v>
      </c>
      <c r="K270">
        <v>1</v>
      </c>
      <c r="L270">
        <v>2</v>
      </c>
      <c r="M270">
        <v>3</v>
      </c>
    </row>
    <row r="271" spans="1:30">
      <c r="A271" t="s">
        <v>108</v>
      </c>
      <c r="B271" t="s">
        <v>2056</v>
      </c>
      <c r="C271" t="s">
        <v>180</v>
      </c>
      <c r="D271" t="s">
        <v>91</v>
      </c>
      <c r="E271" s="218">
        <v>3.8578329863190999E-2</v>
      </c>
      <c r="F271">
        <v>1</v>
      </c>
      <c r="G271" t="s">
        <v>2055</v>
      </c>
      <c r="H271">
        <v>2</v>
      </c>
      <c r="I271" t="s">
        <v>249</v>
      </c>
      <c r="J271">
        <v>2</v>
      </c>
      <c r="K271">
        <v>1</v>
      </c>
      <c r="L271">
        <v>2</v>
      </c>
      <c r="M271">
        <v>3</v>
      </c>
    </row>
    <row r="272" spans="1:30">
      <c r="A272" t="s">
        <v>108</v>
      </c>
      <c r="B272" t="s">
        <v>2056</v>
      </c>
      <c r="C272" t="s">
        <v>180</v>
      </c>
      <c r="D272" t="s">
        <v>93</v>
      </c>
      <c r="E272" s="218">
        <v>0.498308676791128</v>
      </c>
      <c r="F272">
        <v>1</v>
      </c>
      <c r="G272" t="s">
        <v>2055</v>
      </c>
      <c r="H272">
        <v>2</v>
      </c>
      <c r="I272" t="s">
        <v>249</v>
      </c>
      <c r="J272">
        <v>2</v>
      </c>
      <c r="K272">
        <v>1</v>
      </c>
      <c r="L272">
        <v>2</v>
      </c>
      <c r="M272">
        <v>3</v>
      </c>
    </row>
    <row r="273" spans="1:13">
      <c r="A273" t="s">
        <v>108</v>
      </c>
      <c r="B273" t="s">
        <v>2056</v>
      </c>
      <c r="C273" t="s">
        <v>180</v>
      </c>
      <c r="D273" t="s">
        <v>90</v>
      </c>
      <c r="E273" s="218">
        <v>0.45898524269309898</v>
      </c>
      <c r="F273">
        <v>1</v>
      </c>
      <c r="G273" t="s">
        <v>2055</v>
      </c>
      <c r="H273">
        <v>2</v>
      </c>
      <c r="I273" t="s">
        <v>249</v>
      </c>
      <c r="J273">
        <v>2</v>
      </c>
      <c r="K273">
        <v>1</v>
      </c>
      <c r="L273">
        <v>2</v>
      </c>
      <c r="M273">
        <v>3</v>
      </c>
    </row>
    <row r="274" spans="1:13">
      <c r="A274" t="s">
        <v>108</v>
      </c>
      <c r="B274" t="s">
        <v>2056</v>
      </c>
      <c r="C274" t="s">
        <v>180</v>
      </c>
      <c r="D274" t="s">
        <v>92</v>
      </c>
      <c r="E274" s="218">
        <v>0.193743560355818</v>
      </c>
      <c r="F274">
        <v>1</v>
      </c>
      <c r="G274" t="s">
        <v>2055</v>
      </c>
      <c r="H274">
        <v>2</v>
      </c>
      <c r="I274" t="s">
        <v>249</v>
      </c>
      <c r="J274">
        <v>2</v>
      </c>
      <c r="K274">
        <v>1</v>
      </c>
      <c r="L274">
        <v>2</v>
      </c>
      <c r="M274">
        <v>3</v>
      </c>
    </row>
    <row r="275" spans="1:13">
      <c r="A275" t="s">
        <v>108</v>
      </c>
      <c r="B275" t="s">
        <v>2057</v>
      </c>
      <c r="C275" t="s">
        <v>180</v>
      </c>
      <c r="D275" t="s">
        <v>98</v>
      </c>
      <c r="E275" s="218">
        <v>0.27182748545887297</v>
      </c>
      <c r="F275">
        <v>1</v>
      </c>
      <c r="G275" t="s">
        <v>2055</v>
      </c>
      <c r="H275">
        <v>2</v>
      </c>
      <c r="I275" t="s">
        <v>249</v>
      </c>
      <c r="J275">
        <v>2</v>
      </c>
      <c r="K275">
        <v>1</v>
      </c>
      <c r="L275">
        <v>2</v>
      </c>
      <c r="M275">
        <v>3</v>
      </c>
    </row>
    <row r="276" spans="1:13">
      <c r="A276" t="s">
        <v>108</v>
      </c>
      <c r="B276" t="s">
        <v>2057</v>
      </c>
      <c r="C276" t="s">
        <v>180</v>
      </c>
      <c r="D276" t="s">
        <v>95</v>
      </c>
      <c r="E276" s="218">
        <v>7.85221061171269E-2</v>
      </c>
      <c r="F276">
        <v>1</v>
      </c>
      <c r="G276" t="s">
        <v>2055</v>
      </c>
      <c r="H276">
        <v>2</v>
      </c>
      <c r="I276" t="s">
        <v>249</v>
      </c>
      <c r="J276">
        <v>2</v>
      </c>
      <c r="K276">
        <v>1</v>
      </c>
      <c r="L276">
        <v>2</v>
      </c>
      <c r="M276">
        <v>3</v>
      </c>
    </row>
    <row r="277" spans="1:13">
      <c r="A277" t="s">
        <v>108</v>
      </c>
      <c r="B277" t="s">
        <v>2057</v>
      </c>
      <c r="C277" t="s">
        <v>180</v>
      </c>
      <c r="D277" t="s">
        <v>91</v>
      </c>
      <c r="E277" s="218">
        <v>0.16111489938070001</v>
      </c>
      <c r="F277">
        <v>1</v>
      </c>
      <c r="G277" t="s">
        <v>2055</v>
      </c>
      <c r="H277">
        <v>2</v>
      </c>
      <c r="I277" t="s">
        <v>249</v>
      </c>
      <c r="J277">
        <v>2</v>
      </c>
      <c r="K277">
        <v>1</v>
      </c>
      <c r="L277">
        <v>2</v>
      </c>
      <c r="M277">
        <v>3</v>
      </c>
    </row>
    <row r="278" spans="1:13">
      <c r="A278" t="s">
        <v>108</v>
      </c>
      <c r="B278" t="s">
        <v>2057</v>
      </c>
      <c r="C278" t="s">
        <v>180</v>
      </c>
      <c r="D278" t="s">
        <v>93</v>
      </c>
      <c r="E278" s="218">
        <v>0.403659576736695</v>
      </c>
      <c r="F278">
        <v>1</v>
      </c>
      <c r="G278" t="s">
        <v>2055</v>
      </c>
      <c r="H278">
        <v>2</v>
      </c>
      <c r="I278" t="s">
        <v>249</v>
      </c>
      <c r="J278">
        <v>2</v>
      </c>
      <c r="K278">
        <v>1</v>
      </c>
      <c r="L278">
        <v>2</v>
      </c>
      <c r="M278">
        <v>3</v>
      </c>
    </row>
    <row r="279" spans="1:13">
      <c r="A279" t="s">
        <v>108</v>
      </c>
      <c r="B279" t="s">
        <v>2057</v>
      </c>
      <c r="C279" t="s">
        <v>180</v>
      </c>
      <c r="D279" t="s">
        <v>90</v>
      </c>
      <c r="E279" s="218">
        <v>0.42492030094842498</v>
      </c>
      <c r="F279">
        <v>1</v>
      </c>
      <c r="G279" t="s">
        <v>2055</v>
      </c>
      <c r="H279">
        <v>2</v>
      </c>
      <c r="I279" t="s">
        <v>249</v>
      </c>
      <c r="J279">
        <v>2</v>
      </c>
      <c r="K279">
        <v>1</v>
      </c>
      <c r="L279">
        <v>2</v>
      </c>
      <c r="M279">
        <v>3</v>
      </c>
    </row>
    <row r="280" spans="1:13">
      <c r="A280" t="s">
        <v>108</v>
      </c>
      <c r="B280" t="s">
        <v>2057</v>
      </c>
      <c r="C280" t="s">
        <v>180</v>
      </c>
      <c r="D280" t="s">
        <v>92</v>
      </c>
      <c r="E280" s="218">
        <v>0.60875160214096102</v>
      </c>
      <c r="F280">
        <v>1</v>
      </c>
      <c r="G280" t="s">
        <v>2055</v>
      </c>
      <c r="H280">
        <v>2</v>
      </c>
      <c r="I280" t="s">
        <v>249</v>
      </c>
      <c r="J280">
        <v>2</v>
      </c>
      <c r="K280">
        <v>1</v>
      </c>
      <c r="L280">
        <v>2</v>
      </c>
      <c r="M280">
        <v>3</v>
      </c>
    </row>
    <row r="281" spans="1:13">
      <c r="A281" t="s">
        <v>108</v>
      </c>
      <c r="B281" t="s">
        <v>2198</v>
      </c>
      <c r="C281" t="s">
        <v>180</v>
      </c>
      <c r="D281" t="s">
        <v>99</v>
      </c>
      <c r="E281" s="218">
        <v>0</v>
      </c>
      <c r="F281">
        <v>1</v>
      </c>
      <c r="G281" t="s">
        <v>2055</v>
      </c>
      <c r="H281">
        <v>2</v>
      </c>
      <c r="I281" t="s">
        <v>249</v>
      </c>
      <c r="J281">
        <v>2</v>
      </c>
      <c r="K281">
        <v>1</v>
      </c>
      <c r="L281">
        <v>2</v>
      </c>
      <c r="M281">
        <v>3</v>
      </c>
    </row>
    <row r="282" spans="1:13">
      <c r="A282" t="s">
        <v>108</v>
      </c>
      <c r="B282" t="s">
        <v>2198</v>
      </c>
      <c r="C282" t="s">
        <v>180</v>
      </c>
      <c r="D282" t="s">
        <v>98</v>
      </c>
      <c r="E282" s="218">
        <v>0</v>
      </c>
      <c r="F282">
        <v>1</v>
      </c>
      <c r="G282" t="s">
        <v>2055</v>
      </c>
      <c r="H282">
        <v>2</v>
      </c>
      <c r="I282" t="s">
        <v>249</v>
      </c>
      <c r="J282">
        <v>2</v>
      </c>
      <c r="K282">
        <v>1</v>
      </c>
      <c r="L282">
        <v>2</v>
      </c>
      <c r="M282">
        <v>3</v>
      </c>
    </row>
    <row r="283" spans="1:13">
      <c r="A283" t="s">
        <v>108</v>
      </c>
      <c r="B283" t="s">
        <v>2198</v>
      </c>
      <c r="C283" t="s">
        <v>180</v>
      </c>
      <c r="D283" t="s">
        <v>95</v>
      </c>
      <c r="E283" s="218">
        <v>2.6768924468610299E-2</v>
      </c>
      <c r="F283">
        <v>1</v>
      </c>
      <c r="G283" t="s">
        <v>2055</v>
      </c>
      <c r="H283">
        <v>2</v>
      </c>
      <c r="I283" t="s">
        <v>249</v>
      </c>
      <c r="J283">
        <v>2</v>
      </c>
      <c r="K283">
        <v>1</v>
      </c>
      <c r="L283">
        <v>2</v>
      </c>
      <c r="M283">
        <v>3</v>
      </c>
    </row>
    <row r="284" spans="1:13">
      <c r="A284" t="s">
        <v>108</v>
      </c>
      <c r="B284" t="s">
        <v>2198</v>
      </c>
      <c r="C284" t="s">
        <v>180</v>
      </c>
      <c r="D284" t="s">
        <v>91</v>
      </c>
      <c r="E284" s="218">
        <v>3.7642965218586497E-2</v>
      </c>
      <c r="F284">
        <v>1</v>
      </c>
      <c r="G284" t="s">
        <v>2055</v>
      </c>
      <c r="H284">
        <v>2</v>
      </c>
      <c r="I284" t="s">
        <v>249</v>
      </c>
      <c r="J284">
        <v>2</v>
      </c>
      <c r="K284">
        <v>1</v>
      </c>
      <c r="L284">
        <v>2</v>
      </c>
      <c r="M284">
        <v>3</v>
      </c>
    </row>
    <row r="285" spans="1:13">
      <c r="A285" t="s">
        <v>108</v>
      </c>
      <c r="B285" t="s">
        <v>2199</v>
      </c>
      <c r="C285" t="s">
        <v>180</v>
      </c>
      <c r="D285" t="s">
        <v>99</v>
      </c>
      <c r="E285" s="218">
        <v>0.54133729510796103</v>
      </c>
      <c r="F285">
        <v>1</v>
      </c>
      <c r="G285" t="s">
        <v>2055</v>
      </c>
      <c r="H285">
        <v>2</v>
      </c>
      <c r="I285" t="s">
        <v>249</v>
      </c>
      <c r="J285">
        <v>2</v>
      </c>
      <c r="K285">
        <v>1</v>
      </c>
      <c r="L285">
        <v>2</v>
      </c>
      <c r="M285">
        <v>3</v>
      </c>
    </row>
    <row r="286" spans="1:13">
      <c r="A286" t="s">
        <v>108</v>
      </c>
      <c r="B286" t="s">
        <v>2199</v>
      </c>
      <c r="C286" t="s">
        <v>180</v>
      </c>
      <c r="D286" t="s">
        <v>98</v>
      </c>
      <c r="E286" s="218">
        <v>5.6392942598084E-2</v>
      </c>
      <c r="F286">
        <v>1</v>
      </c>
      <c r="G286" t="s">
        <v>2055</v>
      </c>
      <c r="H286">
        <v>2</v>
      </c>
      <c r="I286" t="s">
        <v>249</v>
      </c>
      <c r="J286">
        <v>2</v>
      </c>
      <c r="K286">
        <v>1</v>
      </c>
      <c r="L286">
        <v>2</v>
      </c>
      <c r="M286">
        <v>3</v>
      </c>
    </row>
    <row r="287" spans="1:13">
      <c r="A287" t="s">
        <v>108</v>
      </c>
      <c r="B287" t="s">
        <v>2199</v>
      </c>
      <c r="C287" t="s">
        <v>180</v>
      </c>
      <c r="D287" t="s">
        <v>95</v>
      </c>
      <c r="E287" s="218">
        <v>0.316751637003654</v>
      </c>
      <c r="F287">
        <v>1</v>
      </c>
      <c r="G287" t="s">
        <v>2055</v>
      </c>
      <c r="H287">
        <v>2</v>
      </c>
      <c r="I287" t="s">
        <v>249</v>
      </c>
      <c r="J287">
        <v>2</v>
      </c>
      <c r="K287">
        <v>1</v>
      </c>
      <c r="L287">
        <v>2</v>
      </c>
      <c r="M287">
        <v>3</v>
      </c>
    </row>
    <row r="288" spans="1:13">
      <c r="A288" t="s">
        <v>108</v>
      </c>
      <c r="B288" t="s">
        <v>2199</v>
      </c>
      <c r="C288" t="s">
        <v>180</v>
      </c>
      <c r="D288" t="s">
        <v>91</v>
      </c>
      <c r="E288" s="218">
        <v>0.177496509266894</v>
      </c>
      <c r="F288">
        <v>1</v>
      </c>
      <c r="G288" t="s">
        <v>2055</v>
      </c>
      <c r="H288">
        <v>2</v>
      </c>
      <c r="I288" t="s">
        <v>249</v>
      </c>
      <c r="J288">
        <v>2</v>
      </c>
      <c r="K288">
        <v>1</v>
      </c>
      <c r="L288">
        <v>2</v>
      </c>
      <c r="M288">
        <v>3</v>
      </c>
    </row>
    <row r="289" spans="1:13">
      <c r="A289" t="s">
        <v>108</v>
      </c>
      <c r="B289" t="s">
        <v>2200</v>
      </c>
      <c r="C289" t="s">
        <v>180</v>
      </c>
      <c r="D289" t="s">
        <v>99</v>
      </c>
      <c r="E289" s="218">
        <v>8.7360882099383006E-3</v>
      </c>
      <c r="F289">
        <v>1</v>
      </c>
      <c r="G289" t="s">
        <v>2055</v>
      </c>
      <c r="H289">
        <v>2</v>
      </c>
      <c r="I289" t="s">
        <v>249</v>
      </c>
      <c r="J289">
        <v>2</v>
      </c>
      <c r="K289">
        <v>1</v>
      </c>
      <c r="L289">
        <v>2</v>
      </c>
      <c r="M289">
        <v>3</v>
      </c>
    </row>
    <row r="290" spans="1:13">
      <c r="A290" t="s">
        <v>108</v>
      </c>
      <c r="B290" t="s">
        <v>2200</v>
      </c>
      <c r="C290" t="s">
        <v>180</v>
      </c>
      <c r="D290" t="s">
        <v>98</v>
      </c>
      <c r="E290" s="218">
        <v>7.1505338716285304E-3</v>
      </c>
      <c r="F290">
        <v>1</v>
      </c>
      <c r="G290" t="s">
        <v>2055</v>
      </c>
      <c r="H290">
        <v>2</v>
      </c>
      <c r="I290" t="s">
        <v>249</v>
      </c>
      <c r="J290">
        <v>2</v>
      </c>
      <c r="K290">
        <v>1</v>
      </c>
      <c r="L290">
        <v>2</v>
      </c>
      <c r="M290">
        <v>3</v>
      </c>
    </row>
    <row r="291" spans="1:13">
      <c r="A291" t="s">
        <v>108</v>
      </c>
      <c r="B291" t="s">
        <v>2200</v>
      </c>
      <c r="C291" t="s">
        <v>180</v>
      </c>
      <c r="D291" t="s">
        <v>95</v>
      </c>
      <c r="E291" s="218">
        <v>1.6600952614077898E-2</v>
      </c>
      <c r="F291">
        <v>1</v>
      </c>
      <c r="G291" t="s">
        <v>2055</v>
      </c>
      <c r="H291">
        <v>2</v>
      </c>
      <c r="I291" t="s">
        <v>249</v>
      </c>
      <c r="J291">
        <v>2</v>
      </c>
      <c r="K291">
        <v>1</v>
      </c>
      <c r="L291">
        <v>2</v>
      </c>
      <c r="M291">
        <v>3</v>
      </c>
    </row>
    <row r="292" spans="1:13">
      <c r="A292" t="s">
        <v>108</v>
      </c>
      <c r="B292" t="s">
        <v>2200</v>
      </c>
      <c r="C292" t="s">
        <v>180</v>
      </c>
      <c r="D292" t="s">
        <v>91</v>
      </c>
      <c r="E292" s="218">
        <v>2.3642950478169398E-3</v>
      </c>
      <c r="F292">
        <v>1</v>
      </c>
      <c r="G292" t="s">
        <v>2055</v>
      </c>
      <c r="H292">
        <v>2</v>
      </c>
      <c r="I292" t="s">
        <v>249</v>
      </c>
      <c r="J292">
        <v>2</v>
      </c>
      <c r="K292">
        <v>1</v>
      </c>
      <c r="L292">
        <v>2</v>
      </c>
      <c r="M292">
        <v>3</v>
      </c>
    </row>
    <row r="293" spans="1:13">
      <c r="A293" t="s">
        <v>108</v>
      </c>
      <c r="B293" t="s">
        <v>2061</v>
      </c>
      <c r="C293" t="s">
        <v>180</v>
      </c>
      <c r="D293" t="s">
        <v>98</v>
      </c>
      <c r="E293" s="218">
        <v>0.29706901814013198</v>
      </c>
      <c r="F293">
        <v>1</v>
      </c>
      <c r="G293" t="s">
        <v>2055</v>
      </c>
      <c r="H293">
        <v>2</v>
      </c>
      <c r="I293" t="s">
        <v>249</v>
      </c>
      <c r="J293">
        <v>2</v>
      </c>
      <c r="K293">
        <v>1</v>
      </c>
      <c r="L293">
        <v>2</v>
      </c>
      <c r="M293">
        <v>3</v>
      </c>
    </row>
    <row r="294" spans="1:13">
      <c r="A294" t="s">
        <v>108</v>
      </c>
      <c r="B294" t="s">
        <v>2061</v>
      </c>
      <c r="C294" t="s">
        <v>180</v>
      </c>
      <c r="D294" t="s">
        <v>95</v>
      </c>
      <c r="E294" s="218">
        <v>0</v>
      </c>
      <c r="F294">
        <v>1</v>
      </c>
      <c r="G294" t="s">
        <v>2055</v>
      </c>
      <c r="H294">
        <v>2</v>
      </c>
      <c r="I294" t="s">
        <v>249</v>
      </c>
      <c r="J294">
        <v>2</v>
      </c>
      <c r="K294">
        <v>1</v>
      </c>
      <c r="L294">
        <v>2</v>
      </c>
      <c r="M294">
        <v>3</v>
      </c>
    </row>
    <row r="295" spans="1:13">
      <c r="A295" t="s">
        <v>108</v>
      </c>
      <c r="B295" t="s">
        <v>2061</v>
      </c>
      <c r="C295" t="s">
        <v>180</v>
      </c>
      <c r="D295" t="s">
        <v>91</v>
      </c>
      <c r="E295" s="218">
        <v>4.55368476843149E-3</v>
      </c>
      <c r="F295">
        <v>1</v>
      </c>
      <c r="G295" t="s">
        <v>2055</v>
      </c>
      <c r="H295">
        <v>2</v>
      </c>
      <c r="I295" t="s">
        <v>249</v>
      </c>
      <c r="J295">
        <v>2</v>
      </c>
      <c r="K295">
        <v>1</v>
      </c>
      <c r="L295">
        <v>2</v>
      </c>
      <c r="M295">
        <v>3</v>
      </c>
    </row>
    <row r="296" spans="1:13">
      <c r="A296" t="s">
        <v>108</v>
      </c>
      <c r="B296" t="s">
        <v>2061</v>
      </c>
      <c r="C296" t="s">
        <v>180</v>
      </c>
      <c r="D296" t="s">
        <v>93</v>
      </c>
      <c r="E296" s="218">
        <v>9.8031746472176898E-2</v>
      </c>
      <c r="F296">
        <v>1</v>
      </c>
      <c r="G296" t="s">
        <v>2055</v>
      </c>
      <c r="H296">
        <v>2</v>
      </c>
      <c r="I296" t="s">
        <v>249</v>
      </c>
      <c r="J296">
        <v>2</v>
      </c>
      <c r="K296">
        <v>1</v>
      </c>
      <c r="L296">
        <v>2</v>
      </c>
      <c r="M296">
        <v>3</v>
      </c>
    </row>
    <row r="297" spans="1:13">
      <c r="A297" t="s">
        <v>108</v>
      </c>
      <c r="B297" t="s">
        <v>2061</v>
      </c>
      <c r="C297" t="s">
        <v>180</v>
      </c>
      <c r="D297" t="s">
        <v>90</v>
      </c>
      <c r="E297" s="218">
        <v>0.116094456358476</v>
      </c>
      <c r="F297">
        <v>1</v>
      </c>
      <c r="G297" t="s">
        <v>2055</v>
      </c>
      <c r="H297">
        <v>2</v>
      </c>
      <c r="I297" t="s">
        <v>249</v>
      </c>
      <c r="J297">
        <v>2</v>
      </c>
      <c r="K297">
        <v>1</v>
      </c>
      <c r="L297">
        <v>2</v>
      </c>
      <c r="M297">
        <v>3</v>
      </c>
    </row>
    <row r="298" spans="1:13">
      <c r="A298" t="s">
        <v>108</v>
      </c>
      <c r="B298" t="s">
        <v>2061</v>
      </c>
      <c r="C298" t="s">
        <v>180</v>
      </c>
      <c r="D298" t="s">
        <v>92</v>
      </c>
      <c r="E298" s="218">
        <v>0.19750483750322201</v>
      </c>
      <c r="F298">
        <v>1</v>
      </c>
      <c r="G298" t="s">
        <v>2055</v>
      </c>
      <c r="H298">
        <v>2</v>
      </c>
      <c r="I298" t="s">
        <v>249</v>
      </c>
      <c r="J298">
        <v>2</v>
      </c>
      <c r="K298">
        <v>1</v>
      </c>
      <c r="L298">
        <v>2</v>
      </c>
      <c r="M298">
        <v>3</v>
      </c>
    </row>
    <row r="299" spans="1:13">
      <c r="A299" t="s">
        <v>108</v>
      </c>
      <c r="B299" t="s">
        <v>2201</v>
      </c>
      <c r="C299" t="s">
        <v>180</v>
      </c>
      <c r="D299" t="s">
        <v>99</v>
      </c>
      <c r="E299" s="218">
        <v>0</v>
      </c>
      <c r="F299">
        <v>1</v>
      </c>
      <c r="G299" t="s">
        <v>2055</v>
      </c>
      <c r="H299">
        <v>2</v>
      </c>
      <c r="I299" t="s">
        <v>249</v>
      </c>
      <c r="J299">
        <v>2</v>
      </c>
      <c r="K299">
        <v>1</v>
      </c>
      <c r="L299">
        <v>2</v>
      </c>
      <c r="M299">
        <v>3</v>
      </c>
    </row>
    <row r="300" spans="1:13">
      <c r="A300" t="s">
        <v>108</v>
      </c>
      <c r="B300" t="s">
        <v>2201</v>
      </c>
      <c r="C300" t="s">
        <v>180</v>
      </c>
      <c r="D300" t="s">
        <v>98</v>
      </c>
      <c r="E300" s="218">
        <v>0.24244671248286101</v>
      </c>
      <c r="F300">
        <v>1</v>
      </c>
      <c r="G300" t="s">
        <v>2055</v>
      </c>
      <c r="H300">
        <v>2</v>
      </c>
      <c r="I300" t="s">
        <v>249</v>
      </c>
      <c r="J300">
        <v>2</v>
      </c>
      <c r="K300">
        <v>1</v>
      </c>
      <c r="L300">
        <v>2</v>
      </c>
      <c r="M300">
        <v>3</v>
      </c>
    </row>
    <row r="301" spans="1:13">
      <c r="A301" t="s">
        <v>108</v>
      </c>
      <c r="B301" t="s">
        <v>2201</v>
      </c>
      <c r="C301" t="s">
        <v>180</v>
      </c>
      <c r="D301" t="s">
        <v>95</v>
      </c>
      <c r="E301" s="218">
        <v>0.28597607786863399</v>
      </c>
      <c r="F301">
        <v>1</v>
      </c>
      <c r="G301" t="s">
        <v>2055</v>
      </c>
      <c r="H301">
        <v>2</v>
      </c>
      <c r="I301" t="s">
        <v>249</v>
      </c>
      <c r="J301">
        <v>2</v>
      </c>
      <c r="K301">
        <v>1</v>
      </c>
      <c r="L301">
        <v>2</v>
      </c>
      <c r="M301">
        <v>3</v>
      </c>
    </row>
    <row r="302" spans="1:13">
      <c r="A302" t="s">
        <v>108</v>
      </c>
      <c r="B302" t="s">
        <v>2201</v>
      </c>
      <c r="C302" t="s">
        <v>180</v>
      </c>
      <c r="D302" t="s">
        <v>91</v>
      </c>
      <c r="E302" s="218">
        <v>0.29396686796317101</v>
      </c>
      <c r="F302">
        <v>1</v>
      </c>
      <c r="G302" t="s">
        <v>2055</v>
      </c>
      <c r="H302">
        <v>2</v>
      </c>
      <c r="I302" t="s">
        <v>249</v>
      </c>
      <c r="J302">
        <v>2</v>
      </c>
      <c r="K302">
        <v>1</v>
      </c>
      <c r="L302">
        <v>2</v>
      </c>
      <c r="M302">
        <v>3</v>
      </c>
    </row>
    <row r="303" spans="1:13">
      <c r="A303" t="s">
        <v>108</v>
      </c>
      <c r="B303" t="s">
        <v>2202</v>
      </c>
      <c r="C303" t="s">
        <v>180</v>
      </c>
      <c r="D303" t="s">
        <v>99</v>
      </c>
      <c r="E303" s="218">
        <v>0</v>
      </c>
      <c r="F303">
        <v>1</v>
      </c>
      <c r="G303" t="s">
        <v>2055</v>
      </c>
      <c r="H303">
        <v>2</v>
      </c>
      <c r="I303" t="s">
        <v>249</v>
      </c>
      <c r="J303">
        <v>2</v>
      </c>
      <c r="K303">
        <v>1</v>
      </c>
      <c r="L303">
        <v>2</v>
      </c>
      <c r="M303">
        <v>3</v>
      </c>
    </row>
    <row r="304" spans="1:13">
      <c r="A304" t="s">
        <v>108</v>
      </c>
      <c r="B304" t="s">
        <v>2202</v>
      </c>
      <c r="C304" t="s">
        <v>180</v>
      </c>
      <c r="D304" t="s">
        <v>98</v>
      </c>
      <c r="E304" s="218">
        <v>0</v>
      </c>
      <c r="F304">
        <v>1</v>
      </c>
      <c r="G304" t="s">
        <v>2055</v>
      </c>
      <c r="H304">
        <v>2</v>
      </c>
      <c r="I304" t="s">
        <v>249</v>
      </c>
      <c r="J304">
        <v>2</v>
      </c>
      <c r="K304">
        <v>1</v>
      </c>
      <c r="L304">
        <v>2</v>
      </c>
      <c r="M304">
        <v>3</v>
      </c>
    </row>
    <row r="305" spans="1:13">
      <c r="A305" t="s">
        <v>108</v>
      </c>
      <c r="B305" t="s">
        <v>2202</v>
      </c>
      <c r="C305" t="s">
        <v>180</v>
      </c>
      <c r="D305" t="s">
        <v>95</v>
      </c>
      <c r="E305" s="218">
        <v>0</v>
      </c>
      <c r="F305">
        <v>1</v>
      </c>
      <c r="G305" t="s">
        <v>2055</v>
      </c>
      <c r="H305">
        <v>2</v>
      </c>
      <c r="I305" t="s">
        <v>249</v>
      </c>
      <c r="J305">
        <v>2</v>
      </c>
      <c r="K305">
        <v>1</v>
      </c>
      <c r="L305">
        <v>2</v>
      </c>
      <c r="M305">
        <v>3</v>
      </c>
    </row>
    <row r="306" spans="1:13">
      <c r="A306" t="s">
        <v>108</v>
      </c>
      <c r="B306" t="s">
        <v>2202</v>
      </c>
      <c r="C306" t="s">
        <v>180</v>
      </c>
      <c r="D306" t="s">
        <v>91</v>
      </c>
      <c r="E306" s="218">
        <v>3.5289348959709699E-2</v>
      </c>
      <c r="F306">
        <v>1</v>
      </c>
      <c r="G306" t="s">
        <v>2055</v>
      </c>
      <c r="H306">
        <v>2</v>
      </c>
      <c r="I306" t="s">
        <v>249</v>
      </c>
      <c r="J306">
        <v>2</v>
      </c>
      <c r="K306">
        <v>1</v>
      </c>
      <c r="L306">
        <v>2</v>
      </c>
      <c r="M306">
        <v>3</v>
      </c>
    </row>
    <row r="307" spans="1:13">
      <c r="A307" t="s">
        <v>108</v>
      </c>
      <c r="B307" t="s">
        <v>2203</v>
      </c>
      <c r="C307" t="s">
        <v>180</v>
      </c>
      <c r="D307" t="s">
        <v>99</v>
      </c>
      <c r="E307" s="218">
        <v>0.27112317706827499</v>
      </c>
      <c r="F307">
        <v>1</v>
      </c>
      <c r="G307" t="s">
        <v>2055</v>
      </c>
      <c r="H307">
        <v>2</v>
      </c>
      <c r="I307" t="s">
        <v>249</v>
      </c>
      <c r="J307">
        <v>2</v>
      </c>
      <c r="K307">
        <v>1</v>
      </c>
      <c r="L307">
        <v>2</v>
      </c>
      <c r="M307">
        <v>3</v>
      </c>
    </row>
    <row r="308" spans="1:13">
      <c r="A308" t="s">
        <v>108</v>
      </c>
      <c r="B308" t="s">
        <v>2203</v>
      </c>
      <c r="C308" t="s">
        <v>180</v>
      </c>
      <c r="D308" t="s">
        <v>98</v>
      </c>
      <c r="E308" s="218">
        <v>0</v>
      </c>
      <c r="F308">
        <v>1</v>
      </c>
      <c r="G308" t="s">
        <v>2055</v>
      </c>
      <c r="H308">
        <v>2</v>
      </c>
      <c r="I308" t="s">
        <v>249</v>
      </c>
      <c r="J308">
        <v>2</v>
      </c>
      <c r="K308">
        <v>1</v>
      </c>
      <c r="L308">
        <v>2</v>
      </c>
      <c r="M308">
        <v>3</v>
      </c>
    </row>
    <row r="309" spans="1:13">
      <c r="A309" t="s">
        <v>108</v>
      </c>
      <c r="B309" t="s">
        <v>2203</v>
      </c>
      <c r="C309" t="s">
        <v>180</v>
      </c>
      <c r="D309" t="s">
        <v>95</v>
      </c>
      <c r="E309" s="218">
        <v>4.6534921098200503E-2</v>
      </c>
      <c r="F309">
        <v>1</v>
      </c>
      <c r="G309" t="s">
        <v>2055</v>
      </c>
      <c r="H309">
        <v>2</v>
      </c>
      <c r="I309" t="s">
        <v>249</v>
      </c>
      <c r="J309">
        <v>2</v>
      </c>
      <c r="K309">
        <v>1</v>
      </c>
      <c r="L309">
        <v>2</v>
      </c>
      <c r="M309">
        <v>3</v>
      </c>
    </row>
    <row r="310" spans="1:13">
      <c r="A310" t="s">
        <v>108</v>
      </c>
      <c r="B310" t="s">
        <v>2203</v>
      </c>
      <c r="C310" t="s">
        <v>180</v>
      </c>
      <c r="D310" t="s">
        <v>91</v>
      </c>
      <c r="E310" s="218">
        <v>0.12692557252900899</v>
      </c>
      <c r="F310">
        <v>1</v>
      </c>
      <c r="G310" t="s">
        <v>2055</v>
      </c>
      <c r="H310">
        <v>2</v>
      </c>
      <c r="I310" t="s">
        <v>249</v>
      </c>
      <c r="J310">
        <v>2</v>
      </c>
      <c r="K310">
        <v>1</v>
      </c>
      <c r="L310">
        <v>2</v>
      </c>
      <c r="M310">
        <v>3</v>
      </c>
    </row>
    <row r="311" spans="1:13">
      <c r="A311" t="s">
        <v>108</v>
      </c>
      <c r="B311" t="s">
        <v>2065</v>
      </c>
      <c r="C311" t="s">
        <v>180</v>
      </c>
      <c r="D311" t="s">
        <v>99</v>
      </c>
      <c r="E311" s="218">
        <v>0</v>
      </c>
      <c r="F311">
        <v>1</v>
      </c>
      <c r="G311" t="s">
        <v>2055</v>
      </c>
      <c r="H311">
        <v>2</v>
      </c>
      <c r="I311" t="s">
        <v>249</v>
      </c>
      <c r="J311">
        <v>2</v>
      </c>
      <c r="K311">
        <v>1</v>
      </c>
      <c r="L311">
        <v>2</v>
      </c>
      <c r="M311">
        <v>3</v>
      </c>
    </row>
    <row r="312" spans="1:13">
      <c r="A312" t="s">
        <v>108</v>
      </c>
      <c r="B312" t="s">
        <v>2065</v>
      </c>
      <c r="C312" t="s">
        <v>180</v>
      </c>
      <c r="D312" t="s">
        <v>98</v>
      </c>
      <c r="E312" s="218">
        <v>1.0791935569565101E-2</v>
      </c>
      <c r="F312">
        <v>1</v>
      </c>
      <c r="G312" t="s">
        <v>2055</v>
      </c>
      <c r="H312">
        <v>2</v>
      </c>
      <c r="I312" t="s">
        <v>249</v>
      </c>
      <c r="J312">
        <v>2</v>
      </c>
      <c r="K312">
        <v>1</v>
      </c>
      <c r="L312">
        <v>2</v>
      </c>
      <c r="M312">
        <v>3</v>
      </c>
    </row>
    <row r="313" spans="1:13">
      <c r="A313" t="s">
        <v>108</v>
      </c>
      <c r="B313" t="s">
        <v>2065</v>
      </c>
      <c r="C313" t="s">
        <v>180</v>
      </c>
      <c r="D313" t="s">
        <v>95</v>
      </c>
      <c r="E313" s="218">
        <v>4.1219466628532E-2</v>
      </c>
      <c r="F313">
        <v>1</v>
      </c>
      <c r="G313" t="s">
        <v>2055</v>
      </c>
      <c r="H313">
        <v>2</v>
      </c>
      <c r="I313" t="s">
        <v>249</v>
      </c>
      <c r="J313">
        <v>2</v>
      </c>
      <c r="K313">
        <v>1</v>
      </c>
      <c r="L313">
        <v>2</v>
      </c>
      <c r="M313">
        <v>3</v>
      </c>
    </row>
    <row r="314" spans="1:13">
      <c r="A314" t="s">
        <v>108</v>
      </c>
      <c r="B314" t="s">
        <v>2065</v>
      </c>
      <c r="C314" t="s">
        <v>180</v>
      </c>
      <c r="D314" t="s">
        <v>91</v>
      </c>
      <c r="E314" s="218">
        <v>6.7935128176699004E-3</v>
      </c>
      <c r="F314">
        <v>1</v>
      </c>
      <c r="G314" t="s">
        <v>2055</v>
      </c>
      <c r="H314">
        <v>2</v>
      </c>
      <c r="I314" t="s">
        <v>249</v>
      </c>
      <c r="J314">
        <v>2</v>
      </c>
      <c r="K314">
        <v>1</v>
      </c>
      <c r="L314">
        <v>2</v>
      </c>
      <c r="M314">
        <v>3</v>
      </c>
    </row>
    <row r="315" spans="1:13">
      <c r="A315" t="s">
        <v>108</v>
      </c>
      <c r="B315" t="s">
        <v>2066</v>
      </c>
      <c r="C315" t="s">
        <v>180</v>
      </c>
      <c r="D315" t="s">
        <v>99</v>
      </c>
      <c r="E315" s="218">
        <v>0</v>
      </c>
      <c r="F315">
        <v>1</v>
      </c>
      <c r="G315" t="s">
        <v>2055</v>
      </c>
      <c r="H315">
        <v>2</v>
      </c>
      <c r="I315" t="s">
        <v>249</v>
      </c>
      <c r="J315">
        <v>2</v>
      </c>
      <c r="K315">
        <v>1</v>
      </c>
      <c r="L315">
        <v>2</v>
      </c>
      <c r="M315">
        <v>3</v>
      </c>
    </row>
    <row r="316" spans="1:13">
      <c r="A316" t="s">
        <v>108</v>
      </c>
      <c r="B316" t="s">
        <v>2066</v>
      </c>
      <c r="C316" t="s">
        <v>180</v>
      </c>
      <c r="D316" t="s">
        <v>98</v>
      </c>
      <c r="E316" s="218">
        <v>0</v>
      </c>
      <c r="F316">
        <v>1</v>
      </c>
      <c r="G316" t="s">
        <v>2055</v>
      </c>
      <c r="H316">
        <v>2</v>
      </c>
      <c r="I316" t="s">
        <v>249</v>
      </c>
      <c r="J316">
        <v>2</v>
      </c>
      <c r="K316">
        <v>1</v>
      </c>
      <c r="L316">
        <v>2</v>
      </c>
      <c r="M316">
        <v>3</v>
      </c>
    </row>
    <row r="317" spans="1:13">
      <c r="A317" t="s">
        <v>108</v>
      </c>
      <c r="B317" t="s">
        <v>2066</v>
      </c>
      <c r="C317" t="s">
        <v>180</v>
      </c>
      <c r="D317" t="s">
        <v>95</v>
      </c>
      <c r="E317" s="218">
        <v>0</v>
      </c>
      <c r="F317">
        <v>1</v>
      </c>
      <c r="G317" t="s">
        <v>2055</v>
      </c>
      <c r="H317">
        <v>2</v>
      </c>
      <c r="I317" t="s">
        <v>249</v>
      </c>
      <c r="J317">
        <v>2</v>
      </c>
      <c r="K317">
        <v>1</v>
      </c>
      <c r="L317">
        <v>2</v>
      </c>
      <c r="M317">
        <v>3</v>
      </c>
    </row>
    <row r="318" spans="1:13">
      <c r="A318" t="s">
        <v>108</v>
      </c>
      <c r="B318" t="s">
        <v>2066</v>
      </c>
      <c r="C318" t="s">
        <v>180</v>
      </c>
      <c r="D318" t="s">
        <v>91</v>
      </c>
      <c r="E318" s="218">
        <v>7.2517450647606799E-2</v>
      </c>
      <c r="F318">
        <v>1</v>
      </c>
      <c r="G318" t="s">
        <v>2055</v>
      </c>
      <c r="H318">
        <v>2</v>
      </c>
      <c r="I318" t="s">
        <v>249</v>
      </c>
      <c r="J318">
        <v>2</v>
      </c>
      <c r="K318">
        <v>1</v>
      </c>
      <c r="L318">
        <v>2</v>
      </c>
      <c r="M318">
        <v>3</v>
      </c>
    </row>
    <row r="319" spans="1:13">
      <c r="A319" t="s">
        <v>108</v>
      </c>
      <c r="B319" t="s">
        <v>2067</v>
      </c>
      <c r="C319" t="s">
        <v>180</v>
      </c>
      <c r="D319" t="s">
        <v>99</v>
      </c>
      <c r="E319" s="218">
        <v>0</v>
      </c>
      <c r="F319">
        <v>1</v>
      </c>
      <c r="G319" t="s">
        <v>2055</v>
      </c>
      <c r="H319">
        <v>2</v>
      </c>
      <c r="I319" t="s">
        <v>249</v>
      </c>
      <c r="J319">
        <v>2</v>
      </c>
      <c r="K319">
        <v>1</v>
      </c>
      <c r="L319">
        <v>2</v>
      </c>
      <c r="M319">
        <v>3</v>
      </c>
    </row>
    <row r="320" spans="1:13">
      <c r="A320" t="s">
        <v>108</v>
      </c>
      <c r="B320" t="s">
        <v>2067</v>
      </c>
      <c r="C320" t="s">
        <v>180</v>
      </c>
      <c r="D320" t="s">
        <v>98</v>
      </c>
      <c r="E320" s="218">
        <v>0.11432137187885601</v>
      </c>
      <c r="F320">
        <v>1</v>
      </c>
      <c r="G320" t="s">
        <v>2055</v>
      </c>
      <c r="H320">
        <v>2</v>
      </c>
      <c r="I320" t="s">
        <v>249</v>
      </c>
      <c r="J320">
        <v>2</v>
      </c>
      <c r="K320">
        <v>1</v>
      </c>
      <c r="L320">
        <v>2</v>
      </c>
      <c r="M320">
        <v>3</v>
      </c>
    </row>
    <row r="321" spans="1:13">
      <c r="A321" t="s">
        <v>108</v>
      </c>
      <c r="B321" t="s">
        <v>2067</v>
      </c>
      <c r="C321" t="s">
        <v>180</v>
      </c>
      <c r="D321" t="s">
        <v>95</v>
      </c>
      <c r="E321" s="218">
        <v>0.13209488185454599</v>
      </c>
      <c r="F321">
        <v>1</v>
      </c>
      <c r="G321" t="s">
        <v>2055</v>
      </c>
      <c r="H321">
        <v>2</v>
      </c>
      <c r="I321" t="s">
        <v>249</v>
      </c>
      <c r="J321">
        <v>2</v>
      </c>
      <c r="K321">
        <v>1</v>
      </c>
      <c r="L321">
        <v>2</v>
      </c>
      <c r="M321">
        <v>3</v>
      </c>
    </row>
    <row r="322" spans="1:13">
      <c r="A322" t="s">
        <v>108</v>
      </c>
      <c r="B322" t="s">
        <v>2067</v>
      </c>
      <c r="C322" t="s">
        <v>180</v>
      </c>
      <c r="D322" t="s">
        <v>91</v>
      </c>
      <c r="E322" s="218">
        <v>1.1916314104423099E-2</v>
      </c>
      <c r="F322">
        <v>1</v>
      </c>
      <c r="G322" t="s">
        <v>2055</v>
      </c>
      <c r="H322">
        <v>2</v>
      </c>
      <c r="I322" t="s">
        <v>249</v>
      </c>
      <c r="J322">
        <v>2</v>
      </c>
      <c r="K322">
        <v>1</v>
      </c>
      <c r="L322">
        <v>2</v>
      </c>
      <c r="M322">
        <v>3</v>
      </c>
    </row>
    <row r="324" spans="1:13" s="1005" customFormat="1">
      <c r="A324" s="1005" t="s">
        <v>2081</v>
      </c>
    </row>
    <row r="325" spans="1:13" s="1005" customFormat="1"/>
    <row r="326" spans="1:13">
      <c r="A326" t="s">
        <v>129</v>
      </c>
      <c r="B326" t="s">
        <v>130</v>
      </c>
      <c r="C326" t="s">
        <v>131</v>
      </c>
      <c r="D326" t="s">
        <v>102</v>
      </c>
      <c r="E326" t="s">
        <v>132</v>
      </c>
      <c r="F326" t="s">
        <v>133</v>
      </c>
      <c r="G326" t="s">
        <v>104</v>
      </c>
      <c r="H326" t="s">
        <v>134</v>
      </c>
      <c r="I326" t="s">
        <v>135</v>
      </c>
      <c r="J326" t="s">
        <v>65</v>
      </c>
      <c r="K326" t="s">
        <v>67</v>
      </c>
      <c r="L326" t="s">
        <v>73</v>
      </c>
      <c r="M326" t="s">
        <v>79</v>
      </c>
    </row>
    <row r="327" spans="1:13">
      <c r="A327" t="s">
        <v>108</v>
      </c>
      <c r="B327" t="s">
        <v>2054</v>
      </c>
      <c r="C327" t="s">
        <v>182</v>
      </c>
      <c r="D327" t="s">
        <v>99</v>
      </c>
      <c r="E327" s="218">
        <v>0.20473868095515499</v>
      </c>
      <c r="F327">
        <v>1</v>
      </c>
      <c r="G327" t="s">
        <v>2055</v>
      </c>
      <c r="H327" t="s">
        <v>249</v>
      </c>
      <c r="I327">
        <v>1</v>
      </c>
      <c r="J327">
        <v>2</v>
      </c>
      <c r="K327">
        <v>1</v>
      </c>
      <c r="L327">
        <v>2</v>
      </c>
      <c r="M327">
        <v>3</v>
      </c>
    </row>
    <row r="328" spans="1:13">
      <c r="A328" t="s">
        <v>108</v>
      </c>
      <c r="B328" t="s">
        <v>2054</v>
      </c>
      <c r="C328" t="s">
        <v>182</v>
      </c>
      <c r="D328" t="s">
        <v>98</v>
      </c>
      <c r="E328" s="218">
        <v>0</v>
      </c>
      <c r="F328">
        <v>1</v>
      </c>
      <c r="G328" t="s">
        <v>2055</v>
      </c>
      <c r="H328" t="s">
        <v>249</v>
      </c>
      <c r="I328">
        <v>1</v>
      </c>
      <c r="J328">
        <v>2</v>
      </c>
      <c r="K328">
        <v>1</v>
      </c>
      <c r="L328">
        <v>2</v>
      </c>
      <c r="M328">
        <v>3</v>
      </c>
    </row>
    <row r="329" spans="1:13">
      <c r="A329" t="s">
        <v>108</v>
      </c>
      <c r="B329" t="s">
        <v>2054</v>
      </c>
      <c r="C329" t="s">
        <v>182</v>
      </c>
      <c r="D329" t="s">
        <v>95</v>
      </c>
      <c r="E329" s="218">
        <v>2.3681463973251202E-2</v>
      </c>
      <c r="F329">
        <v>1</v>
      </c>
      <c r="G329" t="s">
        <v>2055</v>
      </c>
      <c r="H329" t="s">
        <v>249</v>
      </c>
      <c r="I329">
        <v>1</v>
      </c>
      <c r="J329">
        <v>2</v>
      </c>
      <c r="K329">
        <v>1</v>
      </c>
      <c r="L329">
        <v>2</v>
      </c>
      <c r="M329">
        <v>3</v>
      </c>
    </row>
    <row r="330" spans="1:13">
      <c r="A330" t="s">
        <v>108</v>
      </c>
      <c r="B330" t="s">
        <v>2054</v>
      </c>
      <c r="C330" t="s">
        <v>182</v>
      </c>
      <c r="D330" t="s">
        <v>91</v>
      </c>
      <c r="E330" s="218">
        <v>3.8019718326065099E-2</v>
      </c>
      <c r="F330">
        <v>1</v>
      </c>
      <c r="G330" t="s">
        <v>2055</v>
      </c>
      <c r="H330" t="s">
        <v>249</v>
      </c>
      <c r="I330">
        <v>1</v>
      </c>
      <c r="J330">
        <v>2</v>
      </c>
      <c r="K330">
        <v>1</v>
      </c>
      <c r="L330">
        <v>2</v>
      </c>
      <c r="M330">
        <v>3</v>
      </c>
    </row>
    <row r="331" spans="1:13">
      <c r="A331" t="s">
        <v>108</v>
      </c>
      <c r="B331" t="s">
        <v>2056</v>
      </c>
      <c r="C331" t="s">
        <v>182</v>
      </c>
      <c r="D331" t="s">
        <v>98</v>
      </c>
      <c r="E331" s="218">
        <v>0</v>
      </c>
      <c r="F331">
        <v>1</v>
      </c>
      <c r="G331" t="s">
        <v>2055</v>
      </c>
      <c r="H331" t="s">
        <v>249</v>
      </c>
      <c r="I331">
        <v>1</v>
      </c>
      <c r="J331">
        <v>2</v>
      </c>
      <c r="K331">
        <v>1</v>
      </c>
      <c r="L331">
        <v>2</v>
      </c>
      <c r="M331">
        <v>3</v>
      </c>
    </row>
    <row r="332" spans="1:13">
      <c r="A332" t="s">
        <v>108</v>
      </c>
      <c r="B332" t="s">
        <v>2056</v>
      </c>
      <c r="C332" t="s">
        <v>182</v>
      </c>
      <c r="D332" t="s">
        <v>95</v>
      </c>
      <c r="E332" s="218">
        <v>3.7359578080546699E-2</v>
      </c>
      <c r="F332">
        <v>1</v>
      </c>
      <c r="G332" t="s">
        <v>2055</v>
      </c>
      <c r="H332" t="s">
        <v>249</v>
      </c>
      <c r="I332">
        <v>1</v>
      </c>
      <c r="J332">
        <v>2</v>
      </c>
      <c r="K332">
        <v>1</v>
      </c>
      <c r="L332">
        <v>2</v>
      </c>
      <c r="M332">
        <v>3</v>
      </c>
    </row>
    <row r="333" spans="1:13">
      <c r="A333" t="s">
        <v>108</v>
      </c>
      <c r="B333" t="s">
        <v>2056</v>
      </c>
      <c r="C333" t="s">
        <v>182</v>
      </c>
      <c r="D333" t="s">
        <v>91</v>
      </c>
      <c r="E333" s="218">
        <v>3.9590380740080401E-2</v>
      </c>
      <c r="F333">
        <v>1</v>
      </c>
      <c r="G333" t="s">
        <v>2055</v>
      </c>
      <c r="H333" t="s">
        <v>249</v>
      </c>
      <c r="I333">
        <v>1</v>
      </c>
      <c r="J333">
        <v>2</v>
      </c>
      <c r="K333">
        <v>1</v>
      </c>
      <c r="L333">
        <v>2</v>
      </c>
      <c r="M333">
        <v>3</v>
      </c>
    </row>
    <row r="334" spans="1:13">
      <c r="A334" t="s">
        <v>108</v>
      </c>
      <c r="B334" t="s">
        <v>2056</v>
      </c>
      <c r="C334" t="s">
        <v>182</v>
      </c>
      <c r="D334" t="s">
        <v>93</v>
      </c>
      <c r="E334" s="218">
        <v>0.48339514392578797</v>
      </c>
      <c r="F334">
        <v>1</v>
      </c>
      <c r="G334" t="s">
        <v>2055</v>
      </c>
      <c r="H334" t="s">
        <v>249</v>
      </c>
      <c r="I334">
        <v>1</v>
      </c>
      <c r="J334">
        <v>2</v>
      </c>
      <c r="K334">
        <v>1</v>
      </c>
      <c r="L334">
        <v>2</v>
      </c>
      <c r="M334">
        <v>3</v>
      </c>
    </row>
    <row r="335" spans="1:13">
      <c r="A335" t="s">
        <v>108</v>
      </c>
      <c r="B335" t="s">
        <v>2056</v>
      </c>
      <c r="C335" t="s">
        <v>182</v>
      </c>
      <c r="D335" t="s">
        <v>90</v>
      </c>
      <c r="E335" s="218">
        <v>0.44302860064517702</v>
      </c>
      <c r="F335">
        <v>1</v>
      </c>
      <c r="G335" t="s">
        <v>2055</v>
      </c>
      <c r="H335" t="s">
        <v>249</v>
      </c>
      <c r="I335">
        <v>1</v>
      </c>
      <c r="J335">
        <v>2</v>
      </c>
      <c r="K335">
        <v>1</v>
      </c>
      <c r="L335">
        <v>2</v>
      </c>
      <c r="M335">
        <v>3</v>
      </c>
    </row>
    <row r="336" spans="1:13">
      <c r="A336" t="s">
        <v>108</v>
      </c>
      <c r="B336" t="s">
        <v>2056</v>
      </c>
      <c r="C336" t="s">
        <v>182</v>
      </c>
      <c r="D336" t="s">
        <v>92</v>
      </c>
      <c r="E336" s="218">
        <v>0.18274958314372799</v>
      </c>
      <c r="F336">
        <v>1</v>
      </c>
      <c r="G336" t="s">
        <v>2055</v>
      </c>
      <c r="H336" t="s">
        <v>249</v>
      </c>
      <c r="I336">
        <v>1</v>
      </c>
      <c r="J336">
        <v>2</v>
      </c>
      <c r="K336">
        <v>1</v>
      </c>
      <c r="L336">
        <v>2</v>
      </c>
      <c r="M336">
        <v>3</v>
      </c>
    </row>
    <row r="337" spans="1:13">
      <c r="A337" t="s">
        <v>108</v>
      </c>
      <c r="B337" t="s">
        <v>2057</v>
      </c>
      <c r="C337" t="s">
        <v>182</v>
      </c>
      <c r="D337" t="s">
        <v>98</v>
      </c>
      <c r="E337" s="218">
        <v>0.26221150695503298</v>
      </c>
      <c r="F337">
        <v>1</v>
      </c>
      <c r="G337" t="s">
        <v>2055</v>
      </c>
      <c r="H337" t="s">
        <v>249</v>
      </c>
      <c r="I337">
        <v>1</v>
      </c>
      <c r="J337">
        <v>2</v>
      </c>
      <c r="K337">
        <v>1</v>
      </c>
      <c r="L337">
        <v>2</v>
      </c>
      <c r="M337">
        <v>3</v>
      </c>
    </row>
    <row r="338" spans="1:13">
      <c r="A338" t="s">
        <v>108</v>
      </c>
      <c r="B338" t="s">
        <v>2057</v>
      </c>
      <c r="C338" t="s">
        <v>182</v>
      </c>
      <c r="D338" t="s">
        <v>95</v>
      </c>
      <c r="E338" s="218">
        <v>8.1491138548843198E-2</v>
      </c>
      <c r="F338">
        <v>1</v>
      </c>
      <c r="G338" t="s">
        <v>2055</v>
      </c>
      <c r="H338" t="s">
        <v>249</v>
      </c>
      <c r="I338">
        <v>1</v>
      </c>
      <c r="J338">
        <v>2</v>
      </c>
      <c r="K338">
        <v>1</v>
      </c>
      <c r="L338">
        <v>2</v>
      </c>
      <c r="M338">
        <v>3</v>
      </c>
    </row>
    <row r="339" spans="1:13">
      <c r="A339" t="s">
        <v>108</v>
      </c>
      <c r="B339" t="s">
        <v>2057</v>
      </c>
      <c r="C339" t="s">
        <v>182</v>
      </c>
      <c r="D339" t="s">
        <v>91</v>
      </c>
      <c r="E339" s="218">
        <v>0.16695707975953999</v>
      </c>
      <c r="F339">
        <v>1</v>
      </c>
      <c r="G339" t="s">
        <v>2055</v>
      </c>
      <c r="H339" t="s">
        <v>249</v>
      </c>
      <c r="I339">
        <v>1</v>
      </c>
      <c r="J339">
        <v>2</v>
      </c>
      <c r="K339">
        <v>1</v>
      </c>
      <c r="L339">
        <v>2</v>
      </c>
      <c r="M339">
        <v>3</v>
      </c>
    </row>
    <row r="340" spans="1:13">
      <c r="A340" t="s">
        <v>108</v>
      </c>
      <c r="B340" t="s">
        <v>2057</v>
      </c>
      <c r="C340" t="s">
        <v>182</v>
      </c>
      <c r="D340" t="s">
        <v>93</v>
      </c>
      <c r="E340" s="218">
        <v>0.395404833292331</v>
      </c>
      <c r="F340">
        <v>1</v>
      </c>
      <c r="G340" t="s">
        <v>2055</v>
      </c>
      <c r="H340" t="s">
        <v>249</v>
      </c>
      <c r="I340">
        <v>1</v>
      </c>
      <c r="J340">
        <v>2</v>
      </c>
      <c r="K340">
        <v>1</v>
      </c>
      <c r="L340">
        <v>2</v>
      </c>
      <c r="M340">
        <v>3</v>
      </c>
    </row>
    <row r="341" spans="1:13">
      <c r="A341" t="s">
        <v>108</v>
      </c>
      <c r="B341" t="s">
        <v>2057</v>
      </c>
      <c r="C341" t="s">
        <v>182</v>
      </c>
      <c r="D341" t="s">
        <v>90</v>
      </c>
      <c r="E341" s="218">
        <v>0.41415546960298899</v>
      </c>
      <c r="F341">
        <v>1</v>
      </c>
      <c r="G341" t="s">
        <v>2055</v>
      </c>
      <c r="H341" t="s">
        <v>249</v>
      </c>
      <c r="I341">
        <v>1</v>
      </c>
      <c r="J341">
        <v>2</v>
      </c>
      <c r="K341">
        <v>1</v>
      </c>
      <c r="L341">
        <v>2</v>
      </c>
      <c r="M341">
        <v>3</v>
      </c>
    </row>
    <row r="342" spans="1:13">
      <c r="A342" t="s">
        <v>108</v>
      </c>
      <c r="B342" t="s">
        <v>2057</v>
      </c>
      <c r="C342" t="s">
        <v>182</v>
      </c>
      <c r="D342" t="s">
        <v>92</v>
      </c>
      <c r="E342" s="218">
        <v>0.57981856287566402</v>
      </c>
      <c r="F342">
        <v>1</v>
      </c>
      <c r="G342" t="s">
        <v>2055</v>
      </c>
      <c r="H342" t="s">
        <v>249</v>
      </c>
      <c r="I342">
        <v>1</v>
      </c>
      <c r="J342">
        <v>2</v>
      </c>
      <c r="K342">
        <v>1</v>
      </c>
      <c r="L342">
        <v>2</v>
      </c>
      <c r="M342">
        <v>3</v>
      </c>
    </row>
    <row r="343" spans="1:13">
      <c r="A343" t="s">
        <v>108</v>
      </c>
      <c r="B343" t="s">
        <v>2198</v>
      </c>
      <c r="C343" t="s">
        <v>182</v>
      </c>
      <c r="D343" t="s">
        <v>99</v>
      </c>
      <c r="E343" s="218">
        <v>0</v>
      </c>
      <c r="F343">
        <v>1</v>
      </c>
      <c r="G343" t="s">
        <v>2055</v>
      </c>
      <c r="H343" t="s">
        <v>249</v>
      </c>
      <c r="I343">
        <v>1</v>
      </c>
      <c r="J343">
        <v>2</v>
      </c>
      <c r="K343">
        <v>1</v>
      </c>
      <c r="L343">
        <v>2</v>
      </c>
      <c r="M343">
        <v>3</v>
      </c>
    </row>
    <row r="344" spans="1:13">
      <c r="A344" t="s">
        <v>108</v>
      </c>
      <c r="B344" t="s">
        <v>2198</v>
      </c>
      <c r="C344" t="s">
        <v>182</v>
      </c>
      <c r="D344" t="s">
        <v>98</v>
      </c>
      <c r="E344" s="218">
        <v>0</v>
      </c>
      <c r="F344">
        <v>1</v>
      </c>
      <c r="G344" t="s">
        <v>2055</v>
      </c>
      <c r="H344" t="s">
        <v>249</v>
      </c>
      <c r="I344">
        <v>1</v>
      </c>
      <c r="J344">
        <v>2</v>
      </c>
      <c r="K344">
        <v>1</v>
      </c>
      <c r="L344">
        <v>2</v>
      </c>
      <c r="M344">
        <v>3</v>
      </c>
    </row>
    <row r="345" spans="1:13">
      <c r="A345" t="s">
        <v>108</v>
      </c>
      <c r="B345" t="s">
        <v>2198</v>
      </c>
      <c r="C345" t="s">
        <v>182</v>
      </c>
      <c r="D345" t="s">
        <v>95</v>
      </c>
      <c r="E345" s="218">
        <v>2.66840978650866E-2</v>
      </c>
      <c r="F345">
        <v>1</v>
      </c>
      <c r="G345" t="s">
        <v>2055</v>
      </c>
      <c r="H345" t="s">
        <v>249</v>
      </c>
      <c r="I345">
        <v>1</v>
      </c>
      <c r="J345">
        <v>2</v>
      </c>
      <c r="K345">
        <v>1</v>
      </c>
      <c r="L345">
        <v>2</v>
      </c>
      <c r="M345">
        <v>3</v>
      </c>
    </row>
    <row r="346" spans="1:13">
      <c r="A346" t="s">
        <v>108</v>
      </c>
      <c r="B346" t="s">
        <v>2198</v>
      </c>
      <c r="C346" t="s">
        <v>182</v>
      </c>
      <c r="D346" t="s">
        <v>91</v>
      </c>
      <c r="E346" s="218">
        <v>3.7467621001403197E-2</v>
      </c>
      <c r="F346">
        <v>1</v>
      </c>
      <c r="G346" t="s">
        <v>2055</v>
      </c>
      <c r="H346" t="s">
        <v>249</v>
      </c>
      <c r="I346">
        <v>1</v>
      </c>
      <c r="J346">
        <v>2</v>
      </c>
      <c r="K346">
        <v>1</v>
      </c>
      <c r="L346">
        <v>2</v>
      </c>
      <c r="M346">
        <v>3</v>
      </c>
    </row>
    <row r="347" spans="1:13">
      <c r="A347" t="s">
        <v>108</v>
      </c>
      <c r="B347" t="s">
        <v>2199</v>
      </c>
      <c r="C347" t="s">
        <v>182</v>
      </c>
      <c r="D347" t="s">
        <v>99</v>
      </c>
      <c r="E347" s="218">
        <v>0.51736573665128205</v>
      </c>
      <c r="F347">
        <v>1</v>
      </c>
      <c r="G347" t="s">
        <v>2055</v>
      </c>
      <c r="H347" t="s">
        <v>249</v>
      </c>
      <c r="I347">
        <v>1</v>
      </c>
      <c r="J347">
        <v>2</v>
      </c>
      <c r="K347">
        <v>1</v>
      </c>
      <c r="L347">
        <v>2</v>
      </c>
      <c r="M347">
        <v>3</v>
      </c>
    </row>
    <row r="348" spans="1:13">
      <c r="A348" t="s">
        <v>108</v>
      </c>
      <c r="B348" t="s">
        <v>2199</v>
      </c>
      <c r="C348" t="s">
        <v>182</v>
      </c>
      <c r="D348" t="s">
        <v>98</v>
      </c>
      <c r="E348" s="218">
        <v>5.4014541765341199E-2</v>
      </c>
      <c r="F348">
        <v>1</v>
      </c>
      <c r="G348" t="s">
        <v>2055</v>
      </c>
      <c r="H348" t="s">
        <v>249</v>
      </c>
      <c r="I348">
        <v>1</v>
      </c>
      <c r="J348">
        <v>2</v>
      </c>
      <c r="K348">
        <v>1</v>
      </c>
      <c r="L348">
        <v>2</v>
      </c>
      <c r="M348">
        <v>3</v>
      </c>
    </row>
    <row r="349" spans="1:13">
      <c r="A349" t="s">
        <v>108</v>
      </c>
      <c r="B349" t="s">
        <v>2199</v>
      </c>
      <c r="C349" t="s">
        <v>182</v>
      </c>
      <c r="D349" t="s">
        <v>95</v>
      </c>
      <c r="E349" s="218">
        <v>0.32641106648312102</v>
      </c>
      <c r="F349">
        <v>1</v>
      </c>
      <c r="G349" t="s">
        <v>2055</v>
      </c>
      <c r="H349" t="s">
        <v>249</v>
      </c>
      <c r="I349">
        <v>1</v>
      </c>
      <c r="J349">
        <v>2</v>
      </c>
      <c r="K349">
        <v>1</v>
      </c>
      <c r="L349">
        <v>2</v>
      </c>
      <c r="M349">
        <v>3</v>
      </c>
    </row>
    <row r="350" spans="1:13">
      <c r="A350" t="s">
        <v>108</v>
      </c>
      <c r="B350" t="s">
        <v>2199</v>
      </c>
      <c r="C350" t="s">
        <v>182</v>
      </c>
      <c r="D350" t="s">
        <v>91</v>
      </c>
      <c r="E350" s="218">
        <v>0.18263605280568401</v>
      </c>
      <c r="F350">
        <v>1</v>
      </c>
      <c r="G350" t="s">
        <v>2055</v>
      </c>
      <c r="H350" t="s">
        <v>249</v>
      </c>
      <c r="I350">
        <v>1</v>
      </c>
      <c r="J350">
        <v>2</v>
      </c>
      <c r="K350">
        <v>1</v>
      </c>
      <c r="L350">
        <v>2</v>
      </c>
      <c r="M350">
        <v>3</v>
      </c>
    </row>
    <row r="351" spans="1:13">
      <c r="A351" t="s">
        <v>108</v>
      </c>
      <c r="B351" t="s">
        <v>2200</v>
      </c>
      <c r="C351" t="s">
        <v>182</v>
      </c>
      <c r="D351" t="s">
        <v>99</v>
      </c>
      <c r="E351" s="218">
        <v>2.4568018849149401E-2</v>
      </c>
      <c r="F351">
        <v>1</v>
      </c>
      <c r="G351" t="s">
        <v>2055</v>
      </c>
      <c r="H351" t="s">
        <v>249</v>
      </c>
      <c r="I351">
        <v>1</v>
      </c>
      <c r="J351">
        <v>2</v>
      </c>
      <c r="K351">
        <v>1</v>
      </c>
      <c r="L351">
        <v>2</v>
      </c>
      <c r="M351">
        <v>3</v>
      </c>
    </row>
    <row r="352" spans="1:13">
      <c r="A352" t="s">
        <v>108</v>
      </c>
      <c r="B352" t="s">
        <v>2200</v>
      </c>
      <c r="C352" t="s">
        <v>182</v>
      </c>
      <c r="D352" t="s">
        <v>98</v>
      </c>
      <c r="E352" s="218">
        <v>2.0153376516434E-2</v>
      </c>
      <c r="F352">
        <v>1</v>
      </c>
      <c r="G352" t="s">
        <v>2055</v>
      </c>
      <c r="H352" t="s">
        <v>249</v>
      </c>
      <c r="I352">
        <v>1</v>
      </c>
      <c r="J352">
        <v>2</v>
      </c>
      <c r="K352">
        <v>1</v>
      </c>
      <c r="L352">
        <v>2</v>
      </c>
      <c r="M352">
        <v>3</v>
      </c>
    </row>
    <row r="353" spans="1:13">
      <c r="A353" t="s">
        <v>108</v>
      </c>
      <c r="B353" t="s">
        <v>2200</v>
      </c>
      <c r="C353" t="s">
        <v>182</v>
      </c>
      <c r="D353" t="s">
        <v>95</v>
      </c>
      <c r="E353" s="218">
        <v>5.0338750051631298E-2</v>
      </c>
      <c r="F353">
        <v>1</v>
      </c>
      <c r="G353" t="s">
        <v>2055</v>
      </c>
      <c r="H353" t="s">
        <v>249</v>
      </c>
      <c r="I353">
        <v>1</v>
      </c>
      <c r="J353">
        <v>2</v>
      </c>
      <c r="K353">
        <v>1</v>
      </c>
      <c r="L353">
        <v>2</v>
      </c>
      <c r="M353">
        <v>3</v>
      </c>
    </row>
    <row r="354" spans="1:13">
      <c r="A354" t="s">
        <v>108</v>
      </c>
      <c r="B354" t="s">
        <v>2200</v>
      </c>
      <c r="C354" t="s">
        <v>182</v>
      </c>
      <c r="D354" t="s">
        <v>91</v>
      </c>
      <c r="E354" s="218">
        <v>7.1584958870518096E-3</v>
      </c>
      <c r="F354">
        <v>1</v>
      </c>
      <c r="G354" t="s">
        <v>2055</v>
      </c>
      <c r="H354" t="s">
        <v>249</v>
      </c>
      <c r="I354">
        <v>1</v>
      </c>
      <c r="J354">
        <v>2</v>
      </c>
      <c r="K354">
        <v>1</v>
      </c>
      <c r="L354">
        <v>2</v>
      </c>
      <c r="M354">
        <v>3</v>
      </c>
    </row>
    <row r="355" spans="1:13">
      <c r="A355" t="s">
        <v>108</v>
      </c>
      <c r="B355" t="s">
        <v>2061</v>
      </c>
      <c r="C355" t="s">
        <v>182</v>
      </c>
      <c r="D355" t="s">
        <v>98</v>
      </c>
      <c r="E355" s="218">
        <v>0.36168041140019702</v>
      </c>
      <c r="F355">
        <v>1</v>
      </c>
      <c r="G355" t="s">
        <v>2055</v>
      </c>
      <c r="H355" t="s">
        <v>249</v>
      </c>
      <c r="I355">
        <v>1</v>
      </c>
      <c r="J355">
        <v>2</v>
      </c>
      <c r="K355">
        <v>1</v>
      </c>
      <c r="L355">
        <v>2</v>
      </c>
      <c r="M355">
        <v>3</v>
      </c>
    </row>
    <row r="356" spans="1:13">
      <c r="A356" t="s">
        <v>108</v>
      </c>
      <c r="B356" t="s">
        <v>2061</v>
      </c>
      <c r="C356" t="s">
        <v>182</v>
      </c>
      <c r="D356" t="s">
        <v>95</v>
      </c>
      <c r="E356" s="218">
        <v>0</v>
      </c>
      <c r="F356">
        <v>1</v>
      </c>
      <c r="G356" t="s">
        <v>2055</v>
      </c>
      <c r="H356" t="s">
        <v>249</v>
      </c>
      <c r="I356">
        <v>1</v>
      </c>
      <c r="J356">
        <v>2</v>
      </c>
      <c r="K356">
        <v>1</v>
      </c>
      <c r="L356">
        <v>2</v>
      </c>
      <c r="M356">
        <v>3</v>
      </c>
    </row>
    <row r="357" spans="1:13">
      <c r="A357" t="s">
        <v>108</v>
      </c>
      <c r="B357" t="s">
        <v>2061</v>
      </c>
      <c r="C357" t="s">
        <v>182</v>
      </c>
      <c r="D357" t="s">
        <v>91</v>
      </c>
      <c r="E357" s="218">
        <v>5.9558170262187298E-3</v>
      </c>
      <c r="F357">
        <v>1</v>
      </c>
      <c r="G357" t="s">
        <v>2055</v>
      </c>
      <c r="H357" t="s">
        <v>249</v>
      </c>
      <c r="I357">
        <v>1</v>
      </c>
      <c r="J357">
        <v>2</v>
      </c>
      <c r="K357">
        <v>1</v>
      </c>
      <c r="L357">
        <v>2</v>
      </c>
      <c r="M357">
        <v>3</v>
      </c>
    </row>
    <row r="358" spans="1:13">
      <c r="A358" t="s">
        <v>108</v>
      </c>
      <c r="B358" t="s">
        <v>2061</v>
      </c>
      <c r="C358" t="s">
        <v>182</v>
      </c>
      <c r="D358" t="s">
        <v>93</v>
      </c>
      <c r="E358" s="218">
        <v>0.12120002278188099</v>
      </c>
      <c r="F358">
        <v>1</v>
      </c>
      <c r="G358" t="s">
        <v>2055</v>
      </c>
      <c r="H358" t="s">
        <v>249</v>
      </c>
      <c r="I358">
        <v>1</v>
      </c>
      <c r="J358">
        <v>2</v>
      </c>
      <c r="K358">
        <v>1</v>
      </c>
      <c r="L358">
        <v>2</v>
      </c>
      <c r="M358">
        <v>3</v>
      </c>
    </row>
    <row r="359" spans="1:13">
      <c r="A359" t="s">
        <v>108</v>
      </c>
      <c r="B359" t="s">
        <v>2061</v>
      </c>
      <c r="C359" t="s">
        <v>182</v>
      </c>
      <c r="D359" t="s">
        <v>90</v>
      </c>
      <c r="E359" s="218">
        <v>0.14281592975183499</v>
      </c>
      <c r="F359">
        <v>1</v>
      </c>
      <c r="G359" t="s">
        <v>2055</v>
      </c>
      <c r="H359" t="s">
        <v>249</v>
      </c>
      <c r="I359">
        <v>1</v>
      </c>
      <c r="J359">
        <v>2</v>
      </c>
      <c r="K359">
        <v>1</v>
      </c>
      <c r="L359">
        <v>2</v>
      </c>
      <c r="M359">
        <v>3</v>
      </c>
    </row>
    <row r="360" spans="1:13">
      <c r="A360" t="s">
        <v>108</v>
      </c>
      <c r="B360" t="s">
        <v>2061</v>
      </c>
      <c r="C360" t="s">
        <v>182</v>
      </c>
      <c r="D360" t="s">
        <v>92</v>
      </c>
      <c r="E360" s="218">
        <v>0.23743185398060801</v>
      </c>
      <c r="F360">
        <v>1</v>
      </c>
      <c r="G360" t="s">
        <v>2055</v>
      </c>
      <c r="H360" t="s">
        <v>249</v>
      </c>
      <c r="I360">
        <v>1</v>
      </c>
      <c r="J360">
        <v>2</v>
      </c>
      <c r="K360">
        <v>1</v>
      </c>
      <c r="L360">
        <v>2</v>
      </c>
      <c r="M360">
        <v>3</v>
      </c>
    </row>
    <row r="361" spans="1:13">
      <c r="A361" t="s">
        <v>108</v>
      </c>
      <c r="B361" t="s">
        <v>2201</v>
      </c>
      <c r="C361" t="s">
        <v>182</v>
      </c>
      <c r="D361" t="s">
        <v>99</v>
      </c>
      <c r="E361" s="218">
        <v>0</v>
      </c>
      <c r="F361">
        <v>1</v>
      </c>
      <c r="G361" t="s">
        <v>2055</v>
      </c>
      <c r="H361" t="s">
        <v>249</v>
      </c>
      <c r="I361">
        <v>1</v>
      </c>
      <c r="J361">
        <v>2</v>
      </c>
      <c r="K361">
        <v>1</v>
      </c>
      <c r="L361">
        <v>2</v>
      </c>
      <c r="M361">
        <v>3</v>
      </c>
    </row>
    <row r="362" spans="1:13">
      <c r="A362" t="s">
        <v>108</v>
      </c>
      <c r="B362" t="s">
        <v>2201</v>
      </c>
      <c r="C362" t="s">
        <v>182</v>
      </c>
      <c r="D362" t="s">
        <v>98</v>
      </c>
      <c r="E362" s="218">
        <v>0.204823445098268</v>
      </c>
      <c r="F362">
        <v>1</v>
      </c>
      <c r="G362" t="s">
        <v>2055</v>
      </c>
      <c r="H362" t="s">
        <v>249</v>
      </c>
      <c r="I362">
        <v>1</v>
      </c>
      <c r="J362">
        <v>2</v>
      </c>
      <c r="K362">
        <v>1</v>
      </c>
      <c r="L362">
        <v>2</v>
      </c>
      <c r="M362">
        <v>3</v>
      </c>
    </row>
    <row r="363" spans="1:13">
      <c r="A363" t="s">
        <v>108</v>
      </c>
      <c r="B363" t="s">
        <v>2201</v>
      </c>
      <c r="C363" t="s">
        <v>182</v>
      </c>
      <c r="D363" t="s">
        <v>95</v>
      </c>
      <c r="E363" s="218">
        <v>0.259928044629197</v>
      </c>
      <c r="F363">
        <v>1</v>
      </c>
      <c r="G363" t="s">
        <v>2055</v>
      </c>
      <c r="H363" t="s">
        <v>249</v>
      </c>
      <c r="I363">
        <v>1</v>
      </c>
      <c r="J363">
        <v>2</v>
      </c>
      <c r="K363">
        <v>1</v>
      </c>
      <c r="L363">
        <v>2</v>
      </c>
      <c r="M363">
        <v>3</v>
      </c>
    </row>
    <row r="364" spans="1:13">
      <c r="A364" t="s">
        <v>108</v>
      </c>
      <c r="B364" t="s">
        <v>2201</v>
      </c>
      <c r="C364" t="s">
        <v>182</v>
      </c>
      <c r="D364" t="s">
        <v>91</v>
      </c>
      <c r="E364" s="218">
        <v>0.26679181959488901</v>
      </c>
      <c r="F364">
        <v>1</v>
      </c>
      <c r="G364" t="s">
        <v>2055</v>
      </c>
      <c r="H364" t="s">
        <v>249</v>
      </c>
      <c r="I364">
        <v>1</v>
      </c>
      <c r="J364">
        <v>2</v>
      </c>
      <c r="K364">
        <v>1</v>
      </c>
      <c r="L364">
        <v>2</v>
      </c>
      <c r="M364">
        <v>3</v>
      </c>
    </row>
    <row r="365" spans="1:13">
      <c r="A365" t="s">
        <v>108</v>
      </c>
      <c r="B365" t="s">
        <v>2202</v>
      </c>
      <c r="C365" t="s">
        <v>182</v>
      </c>
      <c r="D365" t="s">
        <v>99</v>
      </c>
      <c r="E365" s="218">
        <v>0</v>
      </c>
      <c r="F365">
        <v>1</v>
      </c>
      <c r="G365" t="s">
        <v>2055</v>
      </c>
      <c r="H365" t="s">
        <v>249</v>
      </c>
      <c r="I365">
        <v>1</v>
      </c>
      <c r="J365">
        <v>2</v>
      </c>
      <c r="K365">
        <v>1</v>
      </c>
      <c r="L365">
        <v>2</v>
      </c>
      <c r="M365">
        <v>3</v>
      </c>
    </row>
    <row r="366" spans="1:13">
      <c r="A366" t="s">
        <v>108</v>
      </c>
      <c r="B366" t="s">
        <v>2202</v>
      </c>
      <c r="C366" t="s">
        <v>182</v>
      </c>
      <c r="D366" t="s">
        <v>98</v>
      </c>
      <c r="E366" s="218">
        <v>0</v>
      </c>
      <c r="F366">
        <v>1</v>
      </c>
      <c r="G366" t="s">
        <v>2055</v>
      </c>
      <c r="H366" t="s">
        <v>249</v>
      </c>
      <c r="I366">
        <v>1</v>
      </c>
      <c r="J366">
        <v>2</v>
      </c>
      <c r="K366">
        <v>1</v>
      </c>
      <c r="L366">
        <v>2</v>
      </c>
      <c r="M366">
        <v>3</v>
      </c>
    </row>
    <row r="367" spans="1:13">
      <c r="A367" t="s">
        <v>108</v>
      </c>
      <c r="B367" t="s">
        <v>2202</v>
      </c>
      <c r="C367" t="s">
        <v>182</v>
      </c>
      <c r="D367" t="s">
        <v>95</v>
      </c>
      <c r="E367" s="218">
        <v>0</v>
      </c>
      <c r="F367">
        <v>1</v>
      </c>
      <c r="G367" t="s">
        <v>2055</v>
      </c>
      <c r="H367" t="s">
        <v>249</v>
      </c>
      <c r="I367">
        <v>1</v>
      </c>
      <c r="J367">
        <v>2</v>
      </c>
      <c r="K367">
        <v>1</v>
      </c>
      <c r="L367">
        <v>2</v>
      </c>
      <c r="M367">
        <v>3</v>
      </c>
    </row>
    <row r="368" spans="1:13">
      <c r="A368" t="s">
        <v>108</v>
      </c>
      <c r="B368" t="s">
        <v>2202</v>
      </c>
      <c r="C368" t="s">
        <v>182</v>
      </c>
      <c r="D368" t="s">
        <v>91</v>
      </c>
      <c r="E368" s="218">
        <v>4.0651954860777703E-2</v>
      </c>
      <c r="F368">
        <v>1</v>
      </c>
      <c r="G368" t="s">
        <v>2055</v>
      </c>
      <c r="H368" t="s">
        <v>249</v>
      </c>
      <c r="I368">
        <v>1</v>
      </c>
      <c r="J368">
        <v>2</v>
      </c>
      <c r="K368">
        <v>1</v>
      </c>
      <c r="L368">
        <v>2</v>
      </c>
      <c r="M368">
        <v>3</v>
      </c>
    </row>
    <row r="369" spans="1:13">
      <c r="A369" t="s">
        <v>108</v>
      </c>
      <c r="B369" t="s">
        <v>2203</v>
      </c>
      <c r="C369" t="s">
        <v>182</v>
      </c>
      <c r="D369" t="s">
        <v>99</v>
      </c>
      <c r="E369" s="218">
        <v>0.25332756354441399</v>
      </c>
      <c r="F369">
        <v>1</v>
      </c>
      <c r="G369" t="s">
        <v>2055</v>
      </c>
      <c r="H369" t="s">
        <v>249</v>
      </c>
      <c r="I369">
        <v>1</v>
      </c>
      <c r="J369">
        <v>2</v>
      </c>
      <c r="K369">
        <v>1</v>
      </c>
      <c r="L369">
        <v>2</v>
      </c>
      <c r="M369">
        <v>3</v>
      </c>
    </row>
    <row r="370" spans="1:13">
      <c r="A370" t="s">
        <v>108</v>
      </c>
      <c r="B370" t="s">
        <v>2203</v>
      </c>
      <c r="C370" t="s">
        <v>182</v>
      </c>
      <c r="D370" t="s">
        <v>98</v>
      </c>
      <c r="E370" s="218">
        <v>0</v>
      </c>
      <c r="F370">
        <v>1</v>
      </c>
      <c r="G370" t="s">
        <v>2055</v>
      </c>
      <c r="H370" t="s">
        <v>249</v>
      </c>
      <c r="I370">
        <v>1</v>
      </c>
      <c r="J370">
        <v>2</v>
      </c>
      <c r="K370">
        <v>1</v>
      </c>
      <c r="L370">
        <v>2</v>
      </c>
      <c r="M370">
        <v>3</v>
      </c>
    </row>
    <row r="371" spans="1:13">
      <c r="A371" t="s">
        <v>108</v>
      </c>
      <c r="B371" t="s">
        <v>2203</v>
      </c>
      <c r="C371" t="s">
        <v>182</v>
      </c>
      <c r="D371" t="s">
        <v>95</v>
      </c>
      <c r="E371" s="218">
        <v>4.6882533708010599E-2</v>
      </c>
      <c r="F371">
        <v>1</v>
      </c>
      <c r="G371" t="s">
        <v>2055</v>
      </c>
      <c r="H371" t="s">
        <v>249</v>
      </c>
      <c r="I371">
        <v>1</v>
      </c>
      <c r="J371">
        <v>2</v>
      </c>
      <c r="K371">
        <v>1</v>
      </c>
      <c r="L371">
        <v>2</v>
      </c>
      <c r="M371">
        <v>3</v>
      </c>
    </row>
    <row r="372" spans="1:13">
      <c r="A372" t="s">
        <v>108</v>
      </c>
      <c r="B372" t="s">
        <v>2203</v>
      </c>
      <c r="C372" t="s">
        <v>182</v>
      </c>
      <c r="D372" t="s">
        <v>91</v>
      </c>
      <c r="E372" s="218">
        <v>0.12768265754458599</v>
      </c>
      <c r="F372">
        <v>1</v>
      </c>
      <c r="G372" t="s">
        <v>2055</v>
      </c>
      <c r="H372" t="s">
        <v>249</v>
      </c>
      <c r="I372">
        <v>1</v>
      </c>
      <c r="J372">
        <v>2</v>
      </c>
      <c r="K372">
        <v>1</v>
      </c>
      <c r="L372">
        <v>2</v>
      </c>
      <c r="M372">
        <v>3</v>
      </c>
    </row>
    <row r="373" spans="1:13">
      <c r="A373" t="s">
        <v>108</v>
      </c>
      <c r="B373" t="s">
        <v>2065</v>
      </c>
      <c r="C373" t="s">
        <v>182</v>
      </c>
      <c r="D373" t="s">
        <v>99</v>
      </c>
      <c r="E373" s="218">
        <v>0</v>
      </c>
      <c r="F373">
        <v>1</v>
      </c>
      <c r="G373" t="s">
        <v>2055</v>
      </c>
      <c r="H373" t="s">
        <v>249</v>
      </c>
      <c r="I373">
        <v>1</v>
      </c>
      <c r="J373">
        <v>2</v>
      </c>
      <c r="K373">
        <v>1</v>
      </c>
      <c r="L373">
        <v>2</v>
      </c>
      <c r="M373">
        <v>3</v>
      </c>
    </row>
    <row r="374" spans="1:13">
      <c r="A374" t="s">
        <v>108</v>
      </c>
      <c r="B374" t="s">
        <v>2065</v>
      </c>
      <c r="C374" t="s">
        <v>182</v>
      </c>
      <c r="D374" t="s">
        <v>98</v>
      </c>
      <c r="E374" s="218">
        <v>9.2438734554126604E-3</v>
      </c>
      <c r="F374">
        <v>1</v>
      </c>
      <c r="G374" t="s">
        <v>2055</v>
      </c>
      <c r="H374" t="s">
        <v>249</v>
      </c>
      <c r="I374">
        <v>1</v>
      </c>
      <c r="J374">
        <v>2</v>
      </c>
      <c r="K374">
        <v>1</v>
      </c>
      <c r="L374">
        <v>2</v>
      </c>
      <c r="M374">
        <v>3</v>
      </c>
    </row>
    <row r="375" spans="1:13">
      <c r="A375" t="s">
        <v>108</v>
      </c>
      <c r="B375" t="s">
        <v>2065</v>
      </c>
      <c r="C375" t="s">
        <v>182</v>
      </c>
      <c r="D375" t="s">
        <v>95</v>
      </c>
      <c r="E375" s="218">
        <v>3.7985433111043902E-2</v>
      </c>
      <c r="F375">
        <v>1</v>
      </c>
      <c r="G375" t="s">
        <v>2055</v>
      </c>
      <c r="H375" t="s">
        <v>249</v>
      </c>
      <c r="I375">
        <v>1</v>
      </c>
      <c r="J375">
        <v>2</v>
      </c>
      <c r="K375">
        <v>1</v>
      </c>
      <c r="L375">
        <v>2</v>
      </c>
      <c r="M375">
        <v>3</v>
      </c>
    </row>
    <row r="376" spans="1:13">
      <c r="A376" t="s">
        <v>108</v>
      </c>
      <c r="B376" t="s">
        <v>2065</v>
      </c>
      <c r="C376" t="s">
        <v>182</v>
      </c>
      <c r="D376" t="s">
        <v>91</v>
      </c>
      <c r="E376" s="218">
        <v>6.25114832174729E-3</v>
      </c>
      <c r="F376">
        <v>1</v>
      </c>
      <c r="G376" t="s">
        <v>2055</v>
      </c>
      <c r="H376" t="s">
        <v>249</v>
      </c>
      <c r="I376">
        <v>1</v>
      </c>
      <c r="J376">
        <v>2</v>
      </c>
      <c r="K376">
        <v>1</v>
      </c>
      <c r="L376">
        <v>2</v>
      </c>
      <c r="M376">
        <v>3</v>
      </c>
    </row>
    <row r="377" spans="1:13">
      <c r="A377" t="s">
        <v>108</v>
      </c>
      <c r="B377" t="s">
        <v>2066</v>
      </c>
      <c r="C377" t="s">
        <v>182</v>
      </c>
      <c r="D377" t="s">
        <v>99</v>
      </c>
      <c r="E377" s="218">
        <v>0</v>
      </c>
      <c r="F377">
        <v>1</v>
      </c>
      <c r="G377" t="s">
        <v>2055</v>
      </c>
      <c r="H377" t="s">
        <v>249</v>
      </c>
      <c r="I377">
        <v>1</v>
      </c>
      <c r="J377">
        <v>2</v>
      </c>
      <c r="K377">
        <v>1</v>
      </c>
      <c r="L377">
        <v>2</v>
      </c>
      <c r="M377">
        <v>3</v>
      </c>
    </row>
    <row r="378" spans="1:13">
      <c r="A378" t="s">
        <v>108</v>
      </c>
      <c r="B378" t="s">
        <v>2066</v>
      </c>
      <c r="C378" t="s">
        <v>182</v>
      </c>
      <c r="D378" t="s">
        <v>98</v>
      </c>
      <c r="E378" s="218">
        <v>0</v>
      </c>
      <c r="F378">
        <v>1</v>
      </c>
      <c r="G378" t="s">
        <v>2055</v>
      </c>
      <c r="H378" t="s">
        <v>249</v>
      </c>
      <c r="I378">
        <v>1</v>
      </c>
      <c r="J378">
        <v>2</v>
      </c>
      <c r="K378">
        <v>1</v>
      </c>
      <c r="L378">
        <v>2</v>
      </c>
      <c r="M378">
        <v>3</v>
      </c>
    </row>
    <row r="379" spans="1:13">
      <c r="A379" t="s">
        <v>108</v>
      </c>
      <c r="B379" t="s">
        <v>2066</v>
      </c>
      <c r="C379" t="s">
        <v>182</v>
      </c>
      <c r="D379" t="s">
        <v>95</v>
      </c>
      <c r="E379" s="218">
        <v>0</v>
      </c>
      <c r="F379">
        <v>1</v>
      </c>
      <c r="G379" t="s">
        <v>2055</v>
      </c>
      <c r="H379" t="s">
        <v>249</v>
      </c>
      <c r="I379">
        <v>1</v>
      </c>
      <c r="J379">
        <v>2</v>
      </c>
      <c r="K379">
        <v>1</v>
      </c>
      <c r="L379">
        <v>2</v>
      </c>
      <c r="M379">
        <v>3</v>
      </c>
    </row>
    <row r="380" spans="1:13">
      <c r="A380" t="s">
        <v>108</v>
      </c>
      <c r="B380" t="s">
        <v>2066</v>
      </c>
      <c r="C380" t="s">
        <v>182</v>
      </c>
      <c r="D380" t="s">
        <v>91</v>
      </c>
      <c r="E380" s="218">
        <v>7.0997597165259593E-2</v>
      </c>
      <c r="F380">
        <v>1</v>
      </c>
      <c r="G380" t="s">
        <v>2055</v>
      </c>
      <c r="H380" t="s">
        <v>249</v>
      </c>
      <c r="I380">
        <v>1</v>
      </c>
      <c r="J380">
        <v>2</v>
      </c>
      <c r="K380">
        <v>1</v>
      </c>
      <c r="L380">
        <v>2</v>
      </c>
      <c r="M380">
        <v>3</v>
      </c>
    </row>
    <row r="381" spans="1:13">
      <c r="A381" t="s">
        <v>108</v>
      </c>
      <c r="B381" t="s">
        <v>2067</v>
      </c>
      <c r="C381" t="s">
        <v>182</v>
      </c>
      <c r="D381" t="s">
        <v>99</v>
      </c>
      <c r="E381" s="218">
        <v>0</v>
      </c>
      <c r="F381">
        <v>1</v>
      </c>
      <c r="G381" t="s">
        <v>2055</v>
      </c>
      <c r="H381" t="s">
        <v>249</v>
      </c>
      <c r="I381">
        <v>1</v>
      </c>
      <c r="J381">
        <v>2</v>
      </c>
      <c r="K381">
        <v>1</v>
      </c>
      <c r="L381">
        <v>2</v>
      </c>
      <c r="M381">
        <v>3</v>
      </c>
    </row>
    <row r="382" spans="1:13">
      <c r="A382" t="s">
        <v>108</v>
      </c>
      <c r="B382" t="s">
        <v>2067</v>
      </c>
      <c r="C382" t="s">
        <v>182</v>
      </c>
      <c r="D382" t="s">
        <v>98</v>
      </c>
      <c r="E382" s="218">
        <v>8.7872844809314496E-2</v>
      </c>
      <c r="F382">
        <v>1</v>
      </c>
      <c r="G382" t="s">
        <v>2055</v>
      </c>
      <c r="H382" t="s">
        <v>249</v>
      </c>
      <c r="I382">
        <v>1</v>
      </c>
      <c r="J382">
        <v>2</v>
      </c>
      <c r="K382">
        <v>1</v>
      </c>
      <c r="L382">
        <v>2</v>
      </c>
      <c r="M382">
        <v>3</v>
      </c>
    </row>
    <row r="383" spans="1:13">
      <c r="A383" t="s">
        <v>108</v>
      </c>
      <c r="B383" t="s">
        <v>2067</v>
      </c>
      <c r="C383" t="s">
        <v>182</v>
      </c>
      <c r="D383" t="s">
        <v>95</v>
      </c>
      <c r="E383" s="218">
        <v>0.10923789354926899</v>
      </c>
      <c r="F383">
        <v>1</v>
      </c>
      <c r="G383" t="s">
        <v>2055</v>
      </c>
      <c r="H383" t="s">
        <v>249</v>
      </c>
      <c r="I383">
        <v>1</v>
      </c>
      <c r="J383">
        <v>2</v>
      </c>
      <c r="K383">
        <v>1</v>
      </c>
      <c r="L383">
        <v>2</v>
      </c>
      <c r="M383">
        <v>3</v>
      </c>
    </row>
    <row r="384" spans="1:13">
      <c r="A384" t="s">
        <v>108</v>
      </c>
      <c r="B384" t="s">
        <v>2067</v>
      </c>
      <c r="C384" t="s">
        <v>182</v>
      </c>
      <c r="D384" t="s">
        <v>91</v>
      </c>
      <c r="E384" s="218">
        <v>9.8396569666965496E-3</v>
      </c>
      <c r="F384">
        <v>1</v>
      </c>
      <c r="G384" t="s">
        <v>2055</v>
      </c>
      <c r="H384" t="s">
        <v>249</v>
      </c>
      <c r="I384">
        <v>1</v>
      </c>
      <c r="J384">
        <v>2</v>
      </c>
      <c r="K384">
        <v>1</v>
      </c>
      <c r="L384">
        <v>2</v>
      </c>
      <c r="M384">
        <v>3</v>
      </c>
    </row>
    <row r="386" spans="1:15" s="962" customFormat="1">
      <c r="A386" s="415" t="s">
        <v>2172</v>
      </c>
    </row>
    <row r="387" spans="1:15">
      <c r="A387" t="s">
        <v>2043</v>
      </c>
      <c r="B387" t="s">
        <v>108</v>
      </c>
      <c r="C387" t="s">
        <v>139</v>
      </c>
      <c r="D387" t="s">
        <v>139</v>
      </c>
      <c r="E387" s="218">
        <v>1</v>
      </c>
      <c r="F387">
        <v>1</v>
      </c>
      <c r="G387" t="s">
        <v>157</v>
      </c>
      <c r="I387">
        <v>0</v>
      </c>
      <c r="J387">
        <v>0</v>
      </c>
      <c r="K387">
        <v>0</v>
      </c>
      <c r="L387">
        <v>0</v>
      </c>
      <c r="M387">
        <v>0</v>
      </c>
      <c r="N387" t="s">
        <v>249</v>
      </c>
      <c r="O387" t="s">
        <v>249</v>
      </c>
    </row>
    <row r="388" spans="1:15">
      <c r="A388" t="s">
        <v>2046</v>
      </c>
      <c r="B388" t="s">
        <v>108</v>
      </c>
      <c r="C388" t="s">
        <v>139</v>
      </c>
      <c r="D388" t="s">
        <v>139</v>
      </c>
      <c r="E388" s="218">
        <v>1</v>
      </c>
      <c r="F388">
        <v>1</v>
      </c>
      <c r="G388" t="s">
        <v>157</v>
      </c>
      <c r="I388">
        <v>0</v>
      </c>
      <c r="J388">
        <v>0</v>
      </c>
      <c r="K388">
        <v>0</v>
      </c>
      <c r="L388">
        <v>0</v>
      </c>
      <c r="M388">
        <v>0</v>
      </c>
      <c r="N388" t="s">
        <v>249</v>
      </c>
      <c r="O388" t="s">
        <v>249</v>
      </c>
    </row>
    <row r="389" spans="1:15">
      <c r="A389" t="s">
        <v>2173</v>
      </c>
      <c r="B389" t="s">
        <v>108</v>
      </c>
      <c r="C389" t="s">
        <v>139</v>
      </c>
      <c r="D389" t="s">
        <v>139</v>
      </c>
      <c r="E389" s="218" t="s">
        <v>150</v>
      </c>
      <c r="F389">
        <v>1</v>
      </c>
    </row>
    <row r="390" spans="1:15">
      <c r="A390" t="s">
        <v>2173</v>
      </c>
      <c r="B390" t="s">
        <v>417</v>
      </c>
      <c r="C390" t="s">
        <v>139</v>
      </c>
      <c r="D390" t="s">
        <v>139</v>
      </c>
      <c r="E390" s="218">
        <f>B11+B12+B13+B14</f>
        <v>0.21550000000000002</v>
      </c>
      <c r="F390">
        <v>2</v>
      </c>
      <c r="G390" t="s">
        <v>2174</v>
      </c>
      <c r="H390">
        <v>2</v>
      </c>
      <c r="I390">
        <v>2</v>
      </c>
      <c r="J390">
        <v>2</v>
      </c>
      <c r="K390">
        <v>3</v>
      </c>
      <c r="L390">
        <v>2</v>
      </c>
      <c r="M390">
        <v>1</v>
      </c>
    </row>
    <row r="391" spans="1:15">
      <c r="A391" t="s">
        <v>2173</v>
      </c>
      <c r="B391" t="s">
        <v>417</v>
      </c>
      <c r="C391" t="s">
        <v>139</v>
      </c>
      <c r="D391" t="s">
        <v>139</v>
      </c>
      <c r="E391" s="218">
        <f>B10+B12+B13+B14</f>
        <v>0.20610000000000001</v>
      </c>
      <c r="F391">
        <v>2</v>
      </c>
      <c r="G391" t="s">
        <v>2175</v>
      </c>
      <c r="H391">
        <v>2</v>
      </c>
      <c r="I391">
        <v>2</v>
      </c>
      <c r="J391">
        <v>2</v>
      </c>
      <c r="K391">
        <v>3</v>
      </c>
      <c r="L391">
        <v>2</v>
      </c>
      <c r="M391">
        <v>1</v>
      </c>
    </row>
    <row r="392" spans="1:15">
      <c r="A392" t="s">
        <v>2179</v>
      </c>
      <c r="B392" t="s">
        <v>2173</v>
      </c>
      <c r="C392" t="s">
        <v>139</v>
      </c>
      <c r="D392" t="s">
        <v>139</v>
      </c>
      <c r="E392" s="218">
        <v>1</v>
      </c>
      <c r="F392">
        <v>1</v>
      </c>
      <c r="G392" t="s">
        <v>157</v>
      </c>
      <c r="I392">
        <v>0</v>
      </c>
      <c r="J392">
        <v>0</v>
      </c>
      <c r="K392">
        <v>0</v>
      </c>
      <c r="L392">
        <v>0</v>
      </c>
      <c r="M392">
        <v>0</v>
      </c>
    </row>
    <row r="393" spans="1:15">
      <c r="A393" t="s">
        <v>2178</v>
      </c>
      <c r="B393" t="s">
        <v>2173</v>
      </c>
      <c r="C393" t="s">
        <v>139</v>
      </c>
      <c r="D393" t="s">
        <v>139</v>
      </c>
      <c r="E393" s="218">
        <v>1</v>
      </c>
      <c r="F393">
        <v>1</v>
      </c>
      <c r="G393" t="s">
        <v>157</v>
      </c>
      <c r="I393">
        <v>0</v>
      </c>
      <c r="J393">
        <v>0</v>
      </c>
      <c r="K393">
        <v>0</v>
      </c>
      <c r="L393">
        <v>0</v>
      </c>
      <c r="M393">
        <v>0</v>
      </c>
    </row>
    <row r="394" spans="1:15" s="1005" customFormat="1">
      <c r="A394" s="1005" t="s">
        <v>2068</v>
      </c>
    </row>
    <row r="395" spans="1:15" s="1005" customFormat="1">
      <c r="A395" s="1012"/>
      <c r="B395" s="1012"/>
      <c r="C395" s="1012"/>
      <c r="D395" s="1012"/>
      <c r="E395" s="1012"/>
      <c r="F395" s="1012"/>
      <c r="G395" s="1012"/>
      <c r="H395" s="1012"/>
      <c r="I395" s="1012"/>
      <c r="J395" s="1012"/>
      <c r="K395" s="1012"/>
      <c r="L395" s="1012"/>
      <c r="M395" s="1012"/>
    </row>
    <row r="396" spans="1:15" s="926" customFormat="1">
      <c r="A396" s="926" t="s">
        <v>2089</v>
      </c>
      <c r="E396" s="926">
        <v>0.98</v>
      </c>
      <c r="G396" s="926" t="s">
        <v>2092</v>
      </c>
    </row>
    <row r="397" spans="1:15" s="926" customFormat="1">
      <c r="A397" s="926" t="s">
        <v>2090</v>
      </c>
      <c r="E397" s="926">
        <f>1-E396</f>
        <v>2.0000000000000018E-2</v>
      </c>
      <c r="G397" s="926" t="s">
        <v>2092</v>
      </c>
    </row>
    <row r="398" spans="1:15" s="926" customFormat="1">
      <c r="A398" s="926" t="s">
        <v>2091</v>
      </c>
      <c r="E398" s="926">
        <v>0.05</v>
      </c>
      <c r="G398" s="926" t="s">
        <v>157</v>
      </c>
    </row>
    <row r="399" spans="1:15" s="926" customFormat="1"/>
    <row r="400" spans="1:15" s="926" customFormat="1">
      <c r="A400" s="926" t="s">
        <v>2099</v>
      </c>
      <c r="E400" s="926">
        <v>29</v>
      </c>
      <c r="G400" s="926" t="s">
        <v>2100</v>
      </c>
    </row>
    <row r="401" spans="1:7" s="926" customFormat="1">
      <c r="A401" s="926" t="s">
        <v>2101</v>
      </c>
      <c r="E401" s="926">
        <v>3.5177500000000008E-4</v>
      </c>
      <c r="G401" s="926" t="s">
        <v>2100</v>
      </c>
    </row>
    <row r="402" spans="1:7" s="926" customFormat="1">
      <c r="A402" s="926" t="s">
        <v>2102</v>
      </c>
      <c r="E402" s="926">
        <f>E401/10</f>
        <v>3.5177500000000007E-5</v>
      </c>
    </row>
    <row r="403" spans="1:7" s="926" customFormat="1"/>
    <row r="404" spans="1:7" s="926" customFormat="1">
      <c r="A404" s="926" t="s">
        <v>2103</v>
      </c>
      <c r="E404" s="926">
        <f>E400</f>
        <v>29</v>
      </c>
      <c r="G404" s="926" t="s">
        <v>2100</v>
      </c>
    </row>
    <row r="405" spans="1:7" s="926" customFormat="1"/>
    <row r="406" spans="1:7" s="926" customFormat="1">
      <c r="A406" s="926" t="s">
        <v>2104</v>
      </c>
      <c r="E406" s="926">
        <v>0.34</v>
      </c>
      <c r="G406" s="926" t="s">
        <v>2116</v>
      </c>
    </row>
    <row r="407" spans="1:7" s="926" customFormat="1">
      <c r="A407" s="926" t="s">
        <v>2105</v>
      </c>
      <c r="E407" s="926">
        <v>0.34</v>
      </c>
      <c r="G407" s="926" t="s">
        <v>2116</v>
      </c>
    </row>
    <row r="408" spans="1:7" s="926" customFormat="1">
      <c r="A408" s="926" t="s">
        <v>2106</v>
      </c>
      <c r="E408" s="926">
        <v>0.06</v>
      </c>
      <c r="G408" s="926" t="s">
        <v>2116</v>
      </c>
    </row>
    <row r="409" spans="1:7" s="926" customFormat="1">
      <c r="A409" s="926" t="s">
        <v>2107</v>
      </c>
      <c r="E409" s="926">
        <v>0.1</v>
      </c>
      <c r="G409" s="926" t="s">
        <v>2116</v>
      </c>
    </row>
    <row r="410" spans="1:7" s="926" customFormat="1">
      <c r="A410" s="926" t="s">
        <v>2108</v>
      </c>
      <c r="E410" s="926">
        <v>0.13</v>
      </c>
      <c r="G410" s="926" t="s">
        <v>2116</v>
      </c>
    </row>
    <row r="411" spans="1:7" s="926" customFormat="1">
      <c r="A411" s="926" t="s">
        <v>2109</v>
      </c>
      <c r="E411" s="926">
        <v>0.03</v>
      </c>
      <c r="G411" s="926" t="s">
        <v>2116</v>
      </c>
    </row>
    <row r="412" spans="1:7" s="926" customFormat="1">
      <c r="A412" s="926" t="s">
        <v>2110</v>
      </c>
      <c r="E412" s="926">
        <f>E414/10</f>
        <v>4.5500000000000005E-6</v>
      </c>
      <c r="G412" s="926" t="s">
        <v>2118</v>
      </c>
    </row>
    <row r="413" spans="1:7" s="926" customFormat="1">
      <c r="A413" s="926" t="s">
        <v>2111</v>
      </c>
      <c r="E413" s="926">
        <f>E414/10</f>
        <v>4.5500000000000005E-6</v>
      </c>
      <c r="G413" s="926" t="s">
        <v>2118</v>
      </c>
    </row>
    <row r="414" spans="1:7" s="926" customFormat="1">
      <c r="A414" s="926" t="s">
        <v>2112</v>
      </c>
      <c r="E414" s="926">
        <v>4.5500000000000001E-5</v>
      </c>
      <c r="G414" s="926" t="s">
        <v>2117</v>
      </c>
    </row>
    <row r="415" spans="1:7" s="926" customFormat="1">
      <c r="A415" s="926" t="s">
        <v>2113</v>
      </c>
      <c r="E415" s="926">
        <v>4.5500000000000001E-5</v>
      </c>
      <c r="G415" s="926" t="s">
        <v>2117</v>
      </c>
    </row>
    <row r="416" spans="1:7" s="926" customFormat="1">
      <c r="A416" s="926" t="s">
        <v>2114</v>
      </c>
      <c r="E416" s="926">
        <v>4.5500000000000001E-5</v>
      </c>
      <c r="G416" s="926" t="s">
        <v>2117</v>
      </c>
    </row>
    <row r="417" spans="1:14" s="926" customFormat="1">
      <c r="A417" s="926" t="s">
        <v>2115</v>
      </c>
      <c r="E417" s="926">
        <v>4.5500000000000001E-5</v>
      </c>
      <c r="G417" s="926" t="s">
        <v>2117</v>
      </c>
    </row>
    <row r="418" spans="1:14" s="926" customFormat="1"/>
    <row r="419" spans="1:14" s="926" customFormat="1">
      <c r="B419" s="926" t="s">
        <v>2190</v>
      </c>
      <c r="C419" s="926" t="s">
        <v>2191</v>
      </c>
      <c r="D419" s="926" t="s">
        <v>2197</v>
      </c>
    </row>
    <row r="420" spans="1:14" s="926" customFormat="1">
      <c r="A420" s="926" t="s">
        <v>2188</v>
      </c>
      <c r="B420" s="926">
        <v>100</v>
      </c>
      <c r="C420" s="926">
        <f>B420/5700000</f>
        <v>1.7543859649122806E-5</v>
      </c>
      <c r="D420" s="926">
        <f>C420*'Scaling tables'!$Y$25</f>
        <v>310.54354385964911</v>
      </c>
      <c r="G420" s="926" t="s">
        <v>2192</v>
      </c>
    </row>
    <row r="421" spans="1:14" s="926" customFormat="1">
      <c r="A421" s="926" t="s">
        <v>2189</v>
      </c>
      <c r="B421" s="926">
        <v>1000</v>
      </c>
      <c r="C421" s="926">
        <f>B421/5700000</f>
        <v>1.7543859649122806E-4</v>
      </c>
      <c r="D421" s="926">
        <f>C421*'Scaling tables'!$Y$25</f>
        <v>3105.4354385964912</v>
      </c>
      <c r="G421" s="926" t="s">
        <v>2192</v>
      </c>
    </row>
    <row r="422" spans="1:14" s="926" customFormat="1">
      <c r="A422" s="926" t="s">
        <v>2193</v>
      </c>
      <c r="C422" s="926">
        <f>109/(10^6)</f>
        <v>1.0900000000000001E-4</v>
      </c>
      <c r="D422" s="926">
        <f>C422*'Scaling tables'!$Y$25</f>
        <v>1929.4070380000001</v>
      </c>
      <c r="G422" s="926" t="s">
        <v>2194</v>
      </c>
    </row>
    <row r="423" spans="1:14" s="926" customFormat="1"/>
    <row r="424" spans="1:14" s="926" customFormat="1"/>
    <row r="425" spans="1:14" s="926" customFormat="1"/>
    <row r="426" spans="1:14" s="926" customFormat="1">
      <c r="A426" s="926" t="s">
        <v>108</v>
      </c>
      <c r="B426" s="926" t="s">
        <v>2195</v>
      </c>
      <c r="C426" s="926" t="s">
        <v>139</v>
      </c>
      <c r="D426" s="926" t="s">
        <v>139</v>
      </c>
      <c r="E426" s="982"/>
      <c r="G426" s="926" t="s">
        <v>2187</v>
      </c>
      <c r="N426" s="926" t="s">
        <v>2186</v>
      </c>
    </row>
    <row r="427" spans="1:14" s="926" customFormat="1">
      <c r="A427" s="926" t="s">
        <v>108</v>
      </c>
      <c r="B427" s="926" t="s">
        <v>2196</v>
      </c>
      <c r="C427" s="926" t="s">
        <v>139</v>
      </c>
      <c r="D427" s="926" t="s">
        <v>139</v>
      </c>
      <c r="E427" s="926">
        <v>3.0249999999999999E-3</v>
      </c>
      <c r="G427" s="926" t="s">
        <v>2071</v>
      </c>
      <c r="H427" s="29">
        <v>2</v>
      </c>
      <c r="I427" s="9">
        <v>2</v>
      </c>
      <c r="J427" s="9">
        <v>2</v>
      </c>
      <c r="K427" s="9">
        <v>2</v>
      </c>
      <c r="L427" s="9">
        <v>2</v>
      </c>
      <c r="M427" s="9">
        <v>2</v>
      </c>
      <c r="N427" s="926" t="s">
        <v>2185</v>
      </c>
    </row>
    <row r="428" spans="1:14" s="926" customFormat="1">
      <c r="A428" s="926" t="s">
        <v>108</v>
      </c>
      <c r="B428" s="926" t="s">
        <v>2069</v>
      </c>
      <c r="C428" s="926" t="s">
        <v>139</v>
      </c>
      <c r="D428" s="926" t="s">
        <v>139</v>
      </c>
      <c r="E428" s="926">
        <f>(E400*E401*(E396))+(E400*E402*E397)</f>
        <v>1.0017848450000002E-2</v>
      </c>
      <c r="G428" s="926" t="s">
        <v>2072</v>
      </c>
      <c r="H428" s="29">
        <v>2</v>
      </c>
      <c r="I428" s="9">
        <v>2</v>
      </c>
      <c r="J428" s="9">
        <v>2</v>
      </c>
      <c r="K428" s="9">
        <v>2</v>
      </c>
      <c r="L428" s="9">
        <v>2</v>
      </c>
      <c r="M428" s="9">
        <v>2</v>
      </c>
    </row>
    <row r="429" spans="1:14" s="926" customFormat="1">
      <c r="A429" s="926" t="s">
        <v>108</v>
      </c>
      <c r="B429" s="926" t="s">
        <v>2070</v>
      </c>
      <c r="C429" s="926" t="s">
        <v>139</v>
      </c>
      <c r="D429" s="926" t="s">
        <v>139</v>
      </c>
      <c r="E429" s="926">
        <f>(E404*E406*E412)+(E404*E407*E413)+(E404*E408*E414)+(E404*E409*E415)+(E404*E410*E416)+(E404*E411*E417)</f>
        <v>5.1196599999999998E-4</v>
      </c>
      <c r="G429" s="926" t="s">
        <v>2073</v>
      </c>
      <c r="H429" s="29">
        <v>2</v>
      </c>
      <c r="I429" s="9">
        <v>2</v>
      </c>
      <c r="J429" s="9">
        <v>2</v>
      </c>
      <c r="K429" s="9">
        <v>2</v>
      </c>
      <c r="L429" s="9">
        <v>2</v>
      </c>
      <c r="M429" s="9">
        <v>2</v>
      </c>
    </row>
    <row r="430" spans="1:14" s="926" customFormat="1"/>
    <row r="431" spans="1:14" s="926" customFormat="1">
      <c r="A431" s="926" t="s">
        <v>194</v>
      </c>
      <c r="B431" s="926" t="s">
        <v>225</v>
      </c>
      <c r="C431" s="926" t="s">
        <v>139</v>
      </c>
      <c r="D431" s="926" t="s">
        <v>139</v>
      </c>
      <c r="E431" s="926">
        <v>0.44588</v>
      </c>
      <c r="G431" s="926" t="s">
        <v>2076</v>
      </c>
      <c r="H431" s="29">
        <v>1</v>
      </c>
      <c r="I431" s="9">
        <v>2</v>
      </c>
      <c r="J431" s="9">
        <v>2</v>
      </c>
      <c r="K431" s="9">
        <v>1</v>
      </c>
      <c r="L431" s="9">
        <v>2</v>
      </c>
      <c r="M431" s="9">
        <v>2</v>
      </c>
    </row>
    <row r="432" spans="1:14" s="926" customFormat="1">
      <c r="A432" s="926" t="s">
        <v>194</v>
      </c>
      <c r="B432" s="926" t="s">
        <v>223</v>
      </c>
      <c r="C432" s="926" t="s">
        <v>139</v>
      </c>
      <c r="D432" s="926" t="s">
        <v>139</v>
      </c>
      <c r="E432" s="926" t="s">
        <v>150</v>
      </c>
      <c r="H432" s="29"/>
      <c r="I432" s="9"/>
      <c r="J432" s="9"/>
      <c r="K432" s="9"/>
      <c r="L432" s="9"/>
      <c r="M432" s="9"/>
    </row>
    <row r="433" spans="1:13" s="926" customFormat="1">
      <c r="A433" s="926" t="s">
        <v>194</v>
      </c>
      <c r="B433" s="926" t="s">
        <v>204</v>
      </c>
      <c r="C433" s="926" t="s">
        <v>139</v>
      </c>
      <c r="D433" s="926" t="s">
        <v>139</v>
      </c>
      <c r="E433" s="926">
        <v>2.7E-4</v>
      </c>
      <c r="G433" s="926" t="s">
        <v>43</v>
      </c>
      <c r="H433" s="29">
        <v>2</v>
      </c>
      <c r="I433" s="9">
        <v>2</v>
      </c>
      <c r="J433" s="9">
        <v>2</v>
      </c>
      <c r="K433" s="9">
        <v>3</v>
      </c>
      <c r="L433" s="9">
        <v>3</v>
      </c>
      <c r="M433" s="9">
        <v>3</v>
      </c>
    </row>
    <row r="434" spans="1:13" s="926" customFormat="1"/>
    <row r="435" spans="1:13" s="926" customFormat="1">
      <c r="A435" s="926" t="s">
        <v>108</v>
      </c>
      <c r="B435" s="926" t="s">
        <v>196</v>
      </c>
      <c r="C435" s="926" t="s">
        <v>139</v>
      </c>
      <c r="D435" s="926" t="s">
        <v>139</v>
      </c>
      <c r="E435" s="926">
        <f>SUM(E427:E429)</f>
        <v>1.3554814450000001E-2</v>
      </c>
      <c r="G435" s="926" t="s">
        <v>2074</v>
      </c>
    </row>
    <row r="436" spans="1:13" s="926" customFormat="1">
      <c r="A436" s="926" t="s">
        <v>108</v>
      </c>
      <c r="B436" s="926" t="s">
        <v>194</v>
      </c>
      <c r="C436" s="926" t="s">
        <v>139</v>
      </c>
      <c r="D436" s="926" t="s">
        <v>139</v>
      </c>
      <c r="E436" s="926">
        <f>1-E435</f>
        <v>0.98644518555000005</v>
      </c>
      <c r="G436" s="926" t="s">
        <v>2075</v>
      </c>
    </row>
    <row r="437" spans="1:13" s="926" customFormat="1">
      <c r="B437" s="926" t="s">
        <v>2080</v>
      </c>
      <c r="C437" s="926" t="s">
        <v>139</v>
      </c>
      <c r="D437" s="926" t="s">
        <v>139</v>
      </c>
      <c r="E437" s="926">
        <f>1-E427</f>
        <v>0.99697499999999994</v>
      </c>
    </row>
    <row r="438" spans="1:13" s="926" customFormat="1"/>
    <row r="439" spans="1:13" s="926" customFormat="1">
      <c r="A439" s="926" t="s">
        <v>2125</v>
      </c>
      <c r="C439" s="926" t="s">
        <v>139</v>
      </c>
      <c r="D439" s="926" t="s">
        <v>139</v>
      </c>
      <c r="E439" s="926">
        <v>0.25</v>
      </c>
      <c r="G439" s="926" t="s">
        <v>2126</v>
      </c>
    </row>
    <row r="440" spans="1:13" s="926" customFormat="1">
      <c r="A440" s="926" t="s">
        <v>2125</v>
      </c>
      <c r="C440" s="926" t="s">
        <v>139</v>
      </c>
      <c r="D440" s="926" t="s">
        <v>139</v>
      </c>
      <c r="E440" s="926">
        <v>0.89</v>
      </c>
      <c r="G440" s="926" t="s">
        <v>2127</v>
      </c>
    </row>
    <row r="441" spans="1:13" s="926" customFormat="1"/>
    <row r="442" spans="1:13" s="926" customFormat="1"/>
    <row r="443" spans="1:13" s="926" customFormat="1"/>
    <row r="444" spans="1:13" s="927" customFormat="1">
      <c r="A444" s="928" t="s">
        <v>2077</v>
      </c>
    </row>
    <row r="445" spans="1:13" s="926" customFormat="1">
      <c r="A445" s="926" t="s">
        <v>2078</v>
      </c>
      <c r="B445" s="926" t="s">
        <v>2084</v>
      </c>
      <c r="C445" s="926" t="s">
        <v>139</v>
      </c>
      <c r="D445" s="926" t="s">
        <v>139</v>
      </c>
      <c r="E445" s="926">
        <f>E427</f>
        <v>3.0249999999999999E-3</v>
      </c>
      <c r="F445" s="926">
        <v>3</v>
      </c>
      <c r="G445" s="926" t="str">
        <f>G427</f>
        <v>Average loss during wear, Kawecki et al. 2019, SI table 17</v>
      </c>
      <c r="H445" s="926">
        <f>H427</f>
        <v>2</v>
      </c>
      <c r="I445" s="926">
        <f t="shared" ref="I445:M445" si="45">I427</f>
        <v>2</v>
      </c>
      <c r="J445" s="926">
        <f t="shared" si="45"/>
        <v>2</v>
      </c>
      <c r="K445" s="926">
        <f t="shared" si="45"/>
        <v>2</v>
      </c>
      <c r="L445" s="926">
        <f t="shared" si="45"/>
        <v>2</v>
      </c>
      <c r="M445" s="926">
        <f t="shared" si="45"/>
        <v>2</v>
      </c>
    </row>
    <row r="446" spans="1:13" s="926" customFormat="1">
      <c r="A446" s="926" t="s">
        <v>2078</v>
      </c>
      <c r="B446" s="926" t="s">
        <v>2083</v>
      </c>
      <c r="C446" s="926" t="s">
        <v>139</v>
      </c>
      <c r="D446" s="926" t="s">
        <v>139</v>
      </c>
      <c r="E446" s="926">
        <f>E428</f>
        <v>1.0017848450000002E-2</v>
      </c>
      <c r="F446" s="926">
        <v>3</v>
      </c>
      <c r="G446" s="926" t="str">
        <f t="shared" ref="G446:G447" si="46">G428</f>
        <v>Computed from available data from Kawecki et al. (2019) and CBS (2022)</v>
      </c>
      <c r="H446" s="926">
        <f>H428</f>
        <v>2</v>
      </c>
      <c r="I446" s="926">
        <f t="shared" ref="I446:M446" si="47">I428</f>
        <v>2</v>
      </c>
      <c r="J446" s="926">
        <f t="shared" si="47"/>
        <v>2</v>
      </c>
      <c r="K446" s="926">
        <f t="shared" si="47"/>
        <v>2</v>
      </c>
      <c r="L446" s="926">
        <f t="shared" si="47"/>
        <v>2</v>
      </c>
      <c r="M446" s="926">
        <f t="shared" si="47"/>
        <v>2</v>
      </c>
    </row>
    <row r="447" spans="1:13" s="926" customFormat="1">
      <c r="A447" s="926" t="s">
        <v>2078</v>
      </c>
      <c r="B447" s="926" t="s">
        <v>2085</v>
      </c>
      <c r="C447" s="926" t="s">
        <v>139</v>
      </c>
      <c r="D447" s="926" t="s">
        <v>139</v>
      </c>
      <c r="E447" s="926">
        <f>E429</f>
        <v>5.1196599999999998E-4</v>
      </c>
      <c r="F447" s="926">
        <v>3</v>
      </c>
      <c r="G447" s="926" t="str">
        <f t="shared" si="46"/>
        <v>Computed from available data from Kawecki et al. (2019)</v>
      </c>
      <c r="H447" s="926">
        <f>H429</f>
        <v>2</v>
      </c>
      <c r="I447" s="926">
        <f t="shared" ref="I447:M447" si="48">I429</f>
        <v>2</v>
      </c>
      <c r="J447" s="926">
        <f t="shared" si="48"/>
        <v>2</v>
      </c>
      <c r="K447" s="926">
        <f t="shared" si="48"/>
        <v>2</v>
      </c>
      <c r="L447" s="926">
        <f t="shared" si="48"/>
        <v>2</v>
      </c>
      <c r="M447" s="926">
        <f t="shared" si="48"/>
        <v>2</v>
      </c>
    </row>
    <row r="448" spans="1:13" s="926" customFormat="1">
      <c r="A448" s="926" t="s">
        <v>2078</v>
      </c>
      <c r="B448" s="926" t="s">
        <v>225</v>
      </c>
      <c r="C448" s="926" t="s">
        <v>139</v>
      </c>
      <c r="D448" s="926" t="s">
        <v>139</v>
      </c>
      <c r="E448" s="926">
        <f>E436*E431</f>
        <v>0.43983617933303404</v>
      </c>
      <c r="F448" s="926">
        <v>2</v>
      </c>
      <c r="G448" s="926" t="str">
        <f>G431</f>
        <v>Massabalans textiel (2018)</v>
      </c>
      <c r="H448" s="926">
        <f>H431</f>
        <v>1</v>
      </c>
      <c r="I448" s="926">
        <f t="shared" ref="I448:M448" si="49">I431</f>
        <v>2</v>
      </c>
      <c r="J448" s="926">
        <f t="shared" si="49"/>
        <v>2</v>
      </c>
      <c r="K448" s="926">
        <f t="shared" si="49"/>
        <v>1</v>
      </c>
      <c r="L448" s="926">
        <f t="shared" si="49"/>
        <v>2</v>
      </c>
      <c r="M448" s="926">
        <f t="shared" si="49"/>
        <v>2</v>
      </c>
    </row>
    <row r="449" spans="1:13" s="926" customFormat="1">
      <c r="A449" s="926" t="s">
        <v>2078</v>
      </c>
      <c r="B449" s="926" t="s">
        <v>223</v>
      </c>
      <c r="C449" s="926" t="s">
        <v>139</v>
      </c>
      <c r="D449" s="926" t="s">
        <v>139</v>
      </c>
      <c r="E449" s="926" t="s">
        <v>150</v>
      </c>
      <c r="F449" s="926">
        <v>1</v>
      </c>
    </row>
    <row r="450" spans="1:13" s="926" customFormat="1">
      <c r="A450" s="926" t="s">
        <v>2078</v>
      </c>
      <c r="B450" s="926" t="s">
        <v>204</v>
      </c>
      <c r="C450" s="926" t="s">
        <v>139</v>
      </c>
      <c r="D450" s="926" t="s">
        <v>139</v>
      </c>
      <c r="E450" s="926">
        <f>E436*E433</f>
        <v>2.663402000985E-4</v>
      </c>
      <c r="F450" s="926">
        <v>2</v>
      </c>
      <c r="G450" s="926" t="str">
        <f>G433</f>
        <v>Kawecki &amp; Nowack (2019)</v>
      </c>
      <c r="H450" s="926">
        <f>H433</f>
        <v>2</v>
      </c>
      <c r="I450" s="926">
        <f t="shared" ref="I450:M450" si="50">I433</f>
        <v>2</v>
      </c>
      <c r="J450" s="926">
        <f t="shared" si="50"/>
        <v>2</v>
      </c>
      <c r="K450" s="926">
        <f t="shared" si="50"/>
        <v>3</v>
      </c>
      <c r="L450" s="926">
        <f t="shared" si="50"/>
        <v>3</v>
      </c>
      <c r="M450" s="926">
        <f t="shared" si="50"/>
        <v>3</v>
      </c>
    </row>
    <row r="451" spans="1:13" s="926" customFormat="1"/>
    <row r="452" spans="1:13" s="927" customFormat="1">
      <c r="A452" s="928" t="s">
        <v>2079</v>
      </c>
    </row>
    <row r="453" spans="1:13" s="926" customFormat="1">
      <c r="A453" s="926" t="s">
        <v>2078</v>
      </c>
      <c r="B453" s="926" t="s">
        <v>2084</v>
      </c>
      <c r="C453" s="926" t="s">
        <v>139</v>
      </c>
      <c r="D453" s="926" t="s">
        <v>139</v>
      </c>
      <c r="E453" s="926">
        <f>E427</f>
        <v>3.0249999999999999E-3</v>
      </c>
      <c r="F453" s="926">
        <v>3</v>
      </c>
      <c r="G453" s="926" t="str">
        <f>G427</f>
        <v>Average loss during wear, Kawecki et al. 2019, SI table 17</v>
      </c>
      <c r="H453" s="926">
        <f>H427</f>
        <v>2</v>
      </c>
      <c r="I453" s="926">
        <f t="shared" ref="I453:M453" si="51">I427</f>
        <v>2</v>
      </c>
      <c r="J453" s="926">
        <f t="shared" si="51"/>
        <v>2</v>
      </c>
      <c r="K453" s="926">
        <f t="shared" si="51"/>
        <v>2</v>
      </c>
      <c r="L453" s="926">
        <f t="shared" si="51"/>
        <v>2</v>
      </c>
      <c r="M453" s="926">
        <f t="shared" si="51"/>
        <v>2</v>
      </c>
    </row>
    <row r="454" spans="1:13" s="926" customFormat="1">
      <c r="A454" s="926" t="s">
        <v>2078</v>
      </c>
      <c r="B454" s="926" t="s">
        <v>225</v>
      </c>
      <c r="C454" s="926" t="s">
        <v>139</v>
      </c>
      <c r="D454" s="926" t="s">
        <v>139</v>
      </c>
      <c r="E454" s="926">
        <f>E437*E431</f>
        <v>0.44453121299999998</v>
      </c>
      <c r="F454" s="926">
        <v>2</v>
      </c>
      <c r="G454" s="926" t="str">
        <f>G431</f>
        <v>Massabalans textiel (2018)</v>
      </c>
      <c r="H454" s="926">
        <f>H431</f>
        <v>1</v>
      </c>
      <c r="I454" s="926">
        <f t="shared" ref="I454:M454" si="52">I431</f>
        <v>2</v>
      </c>
      <c r="J454" s="926">
        <f t="shared" si="52"/>
        <v>2</v>
      </c>
      <c r="K454" s="926">
        <f t="shared" si="52"/>
        <v>1</v>
      </c>
      <c r="L454" s="926">
        <f t="shared" si="52"/>
        <v>2</v>
      </c>
      <c r="M454" s="926">
        <f t="shared" si="52"/>
        <v>2</v>
      </c>
    </row>
    <row r="455" spans="1:13" s="926" customFormat="1">
      <c r="A455" s="926" t="s">
        <v>2078</v>
      </c>
      <c r="B455" s="926" t="s">
        <v>223</v>
      </c>
      <c r="C455" s="926" t="s">
        <v>139</v>
      </c>
      <c r="D455" s="926" t="s">
        <v>139</v>
      </c>
      <c r="E455" s="926" t="s">
        <v>150</v>
      </c>
      <c r="F455" s="926">
        <v>1</v>
      </c>
    </row>
    <row r="456" spans="1:13" s="926" customFormat="1">
      <c r="A456" s="926" t="s">
        <v>2078</v>
      </c>
      <c r="B456" s="926" t="s">
        <v>204</v>
      </c>
      <c r="C456" s="926" t="s">
        <v>139</v>
      </c>
      <c r="D456" s="926" t="s">
        <v>139</v>
      </c>
      <c r="E456" s="926">
        <f>E437*E433</f>
        <v>2.6918324999999996E-4</v>
      </c>
      <c r="F456" s="926">
        <v>2</v>
      </c>
      <c r="G456" s="926" t="str">
        <f>G433</f>
        <v>Kawecki &amp; Nowack (2019)</v>
      </c>
      <c r="H456" s="926">
        <f>H433</f>
        <v>2</v>
      </c>
      <c r="I456" s="926">
        <f t="shared" ref="I456:M456" si="53">I433</f>
        <v>2</v>
      </c>
      <c r="J456" s="926">
        <f t="shared" si="53"/>
        <v>2</v>
      </c>
      <c r="K456" s="926">
        <f t="shared" si="53"/>
        <v>3</v>
      </c>
      <c r="L456" s="926">
        <f t="shared" si="53"/>
        <v>3</v>
      </c>
      <c r="M456" s="926">
        <f t="shared" si="53"/>
        <v>3</v>
      </c>
    </row>
    <row r="457" spans="1:13" s="926" customFormat="1"/>
    <row r="458" spans="1:13" s="662" customFormat="1">
      <c r="A458" s="662" t="s">
        <v>2082</v>
      </c>
    </row>
    <row r="459" spans="1:13">
      <c r="A459" t="str">
        <f>B265</f>
        <v>Apparel accessories</v>
      </c>
      <c r="B459" t="str">
        <f>$B$453</f>
        <v>Clothing wearing</v>
      </c>
      <c r="C459" t="str">
        <f>$C$453</f>
        <v>any</v>
      </c>
      <c r="D459" t="str">
        <f>$D$453</f>
        <v>any</v>
      </c>
      <c r="E459" s="218">
        <f>$E$453</f>
        <v>3.0249999999999999E-3</v>
      </c>
      <c r="F459">
        <f>$F$453</f>
        <v>3</v>
      </c>
      <c r="G459" t="str">
        <f>$G$453</f>
        <v>Average loss during wear, Kawecki et al. 2019, SI table 17</v>
      </c>
      <c r="H459">
        <f>$H$453</f>
        <v>2</v>
      </c>
      <c r="I459">
        <f>$I$453</f>
        <v>2</v>
      </c>
      <c r="J459">
        <f>$J$453</f>
        <v>2</v>
      </c>
      <c r="K459">
        <f>$K$453</f>
        <v>2</v>
      </c>
      <c r="L459">
        <f>$L$453</f>
        <v>2</v>
      </c>
      <c r="M459">
        <f>$M$453</f>
        <v>2</v>
      </c>
    </row>
    <row r="460" spans="1:13">
      <c r="A460" t="str">
        <f>B266</f>
        <v>Apparel accessories</v>
      </c>
      <c r="B460" t="str">
        <f>$B$454</f>
        <v>Textile waste collection</v>
      </c>
      <c r="C460" t="str">
        <f>$C$454</f>
        <v>any</v>
      </c>
      <c r="D460" t="str">
        <f>$D$454</f>
        <v>any</v>
      </c>
      <c r="E460" s="218">
        <f>$E$454</f>
        <v>0.44453121299999998</v>
      </c>
      <c r="F460">
        <f>$F$454</f>
        <v>2</v>
      </c>
      <c r="G460" t="str">
        <f>$G$454</f>
        <v>Massabalans textiel (2018)</v>
      </c>
      <c r="H460">
        <f>$H$454</f>
        <v>1</v>
      </c>
      <c r="I460">
        <f>$I$454</f>
        <v>2</v>
      </c>
      <c r="J460">
        <f>$J$454</f>
        <v>2</v>
      </c>
      <c r="K460">
        <f>$K$454</f>
        <v>1</v>
      </c>
      <c r="L460">
        <f>$L$454</f>
        <v>2</v>
      </c>
      <c r="M460">
        <f>$M$454</f>
        <v>2</v>
      </c>
    </row>
    <row r="461" spans="1:13">
      <c r="A461" t="str">
        <f>B267</f>
        <v>Apparel accessories</v>
      </c>
      <c r="B461" t="str">
        <f>$B$455</f>
        <v>Mixed waste collection</v>
      </c>
      <c r="C461" t="str">
        <f>$C$455</f>
        <v>any</v>
      </c>
      <c r="D461" t="str">
        <f>$D$455</f>
        <v>any</v>
      </c>
      <c r="E461" s="218" t="str">
        <f>$E$455</f>
        <v>rest</v>
      </c>
      <c r="F461">
        <f>$F$455</f>
        <v>1</v>
      </c>
      <c r="H461">
        <f>$H$455</f>
        <v>0</v>
      </c>
      <c r="I461">
        <f>$I$455</f>
        <v>0</v>
      </c>
      <c r="J461">
        <f>$J$455</f>
        <v>0</v>
      </c>
      <c r="K461">
        <f>$K$455</f>
        <v>0</v>
      </c>
      <c r="L461">
        <f>$L$455</f>
        <v>0</v>
      </c>
      <c r="M461">
        <f>$M$455</f>
        <v>0</v>
      </c>
    </row>
    <row r="462" spans="1:13">
      <c r="A462" t="str">
        <f>B268</f>
        <v>Apparel accessories</v>
      </c>
      <c r="B462" t="str">
        <f>$B$456</f>
        <v>Dumping</v>
      </c>
      <c r="C462" t="str">
        <f>$C$456</f>
        <v>any</v>
      </c>
      <c r="D462" t="str">
        <f>$D$456</f>
        <v>any</v>
      </c>
      <c r="E462" s="218">
        <f>$E$456</f>
        <v>2.6918324999999996E-4</v>
      </c>
      <c r="F462">
        <f>$F$456</f>
        <v>2</v>
      </c>
      <c r="G462" t="str">
        <f>$G$456</f>
        <v>Kawecki &amp; Nowack (2019)</v>
      </c>
      <c r="H462">
        <f>$H$456</f>
        <v>2</v>
      </c>
      <c r="I462">
        <f>$I$456</f>
        <v>2</v>
      </c>
      <c r="J462">
        <f>$J$456</f>
        <v>2</v>
      </c>
      <c r="K462">
        <f>$K$456</f>
        <v>3</v>
      </c>
      <c r="L462">
        <f>$L$456</f>
        <v>3</v>
      </c>
      <c r="M462">
        <f>$M$456</f>
        <v>3</v>
      </c>
    </row>
    <row r="463" spans="1:13">
      <c r="A463" t="s">
        <v>2056</v>
      </c>
      <c r="B463" t="str">
        <f>$B$453</f>
        <v>Clothing wearing</v>
      </c>
      <c r="C463" t="str">
        <f>$C$453</f>
        <v>any</v>
      </c>
      <c r="D463" t="str">
        <f>$D$453</f>
        <v>any</v>
      </c>
      <c r="E463" s="218">
        <f>$E$453</f>
        <v>3.0249999999999999E-3</v>
      </c>
      <c r="F463">
        <f>$F$453</f>
        <v>3</v>
      </c>
      <c r="G463" t="str">
        <f>$G$453</f>
        <v>Average loss during wear, Kawecki et al. 2019, SI table 17</v>
      </c>
      <c r="H463">
        <f>$H$453</f>
        <v>2</v>
      </c>
      <c r="I463">
        <f>$I$453</f>
        <v>2</v>
      </c>
      <c r="J463">
        <f>$J$453</f>
        <v>2</v>
      </c>
      <c r="K463">
        <f>$K$453</f>
        <v>2</v>
      </c>
      <c r="L463">
        <f>$L$453</f>
        <v>2</v>
      </c>
      <c r="M463">
        <f>$M$453</f>
        <v>2</v>
      </c>
    </row>
    <row r="464" spans="1:13">
      <c r="A464" t="s">
        <v>2056</v>
      </c>
      <c r="B464" t="str">
        <f>$B$454</f>
        <v>Textile waste collection</v>
      </c>
      <c r="C464" t="str">
        <f>$C$454</f>
        <v>any</v>
      </c>
      <c r="D464" t="str">
        <f>$D$454</f>
        <v>any</v>
      </c>
      <c r="E464" s="218">
        <f>$E$454</f>
        <v>0.44453121299999998</v>
      </c>
      <c r="F464">
        <f>$F$454</f>
        <v>2</v>
      </c>
      <c r="G464" t="str">
        <f>$G$454</f>
        <v>Massabalans textiel (2018)</v>
      </c>
      <c r="H464">
        <f>$H$454</f>
        <v>1</v>
      </c>
      <c r="I464">
        <f>$I$454</f>
        <v>2</v>
      </c>
      <c r="J464">
        <f>$J$454</f>
        <v>2</v>
      </c>
      <c r="K464">
        <f>$K$454</f>
        <v>1</v>
      </c>
      <c r="L464">
        <f>$L$454</f>
        <v>2</v>
      </c>
      <c r="M464">
        <f>$M$454</f>
        <v>2</v>
      </c>
    </row>
    <row r="465" spans="1:13">
      <c r="A465" t="s">
        <v>2056</v>
      </c>
      <c r="B465" t="str">
        <f>$B$455</f>
        <v>Mixed waste collection</v>
      </c>
      <c r="C465" t="str">
        <f>$C$455</f>
        <v>any</v>
      </c>
      <c r="D465" t="str">
        <f>$D$455</f>
        <v>any</v>
      </c>
      <c r="E465" s="218" t="str">
        <f>$E$455</f>
        <v>rest</v>
      </c>
      <c r="F465">
        <f>$F$455</f>
        <v>1</v>
      </c>
      <c r="H465">
        <f>$H$455</f>
        <v>0</v>
      </c>
      <c r="I465">
        <f>$I$455</f>
        <v>0</v>
      </c>
      <c r="J465">
        <f>$J$455</f>
        <v>0</v>
      </c>
      <c r="K465">
        <f>$K$455</f>
        <v>0</v>
      </c>
      <c r="L465">
        <f>$L$455</f>
        <v>0</v>
      </c>
      <c r="M465">
        <f>$M$455</f>
        <v>0</v>
      </c>
    </row>
    <row r="466" spans="1:13">
      <c r="A466" t="s">
        <v>2056</v>
      </c>
      <c r="B466" t="str">
        <f>$B$456</f>
        <v>Dumping</v>
      </c>
      <c r="C466" t="str">
        <f>$C$456</f>
        <v>any</v>
      </c>
      <c r="D466" t="str">
        <f>$D$456</f>
        <v>any</v>
      </c>
      <c r="E466" s="218">
        <f>$E$456</f>
        <v>2.6918324999999996E-4</v>
      </c>
      <c r="F466">
        <f>$F$456</f>
        <v>2</v>
      </c>
      <c r="G466" t="str">
        <f>$G$456</f>
        <v>Kawecki &amp; Nowack (2019)</v>
      </c>
      <c r="H466">
        <f>$H$456</f>
        <v>2</v>
      </c>
      <c r="I466">
        <f>$I$456</f>
        <v>2</v>
      </c>
      <c r="J466">
        <f>$J$456</f>
        <v>2</v>
      </c>
      <c r="K466">
        <f>$K$456</f>
        <v>3</v>
      </c>
      <c r="L466">
        <f>$L$456</f>
        <v>3</v>
      </c>
      <c r="M466">
        <f>$M$456</f>
        <v>3</v>
      </c>
    </row>
    <row r="467" spans="1:13">
      <c r="A467" t="s">
        <v>2057</v>
      </c>
      <c r="B467" t="str">
        <f>$B$453</f>
        <v>Clothing wearing</v>
      </c>
      <c r="C467" t="str">
        <f>$C$453</f>
        <v>any</v>
      </c>
      <c r="D467" t="str">
        <f>$D$453</f>
        <v>any</v>
      </c>
      <c r="E467" s="218">
        <f>$E$453</f>
        <v>3.0249999999999999E-3</v>
      </c>
      <c r="F467">
        <f>$F$453</f>
        <v>3</v>
      </c>
      <c r="G467" t="str">
        <f>$G$453</f>
        <v>Average loss during wear, Kawecki et al. 2019, SI table 17</v>
      </c>
      <c r="H467">
        <f>$H$453</f>
        <v>2</v>
      </c>
      <c r="I467">
        <f>$I$453</f>
        <v>2</v>
      </c>
      <c r="J467">
        <f>$J$453</f>
        <v>2</v>
      </c>
      <c r="K467">
        <f>$K$453</f>
        <v>2</v>
      </c>
      <c r="L467">
        <f>$L$453</f>
        <v>2</v>
      </c>
      <c r="M467">
        <f>$M$453</f>
        <v>2</v>
      </c>
    </row>
    <row r="468" spans="1:13">
      <c r="A468" t="s">
        <v>2057</v>
      </c>
      <c r="B468" t="str">
        <f>$B$454</f>
        <v>Textile waste collection</v>
      </c>
      <c r="C468" t="str">
        <f>$C$454</f>
        <v>any</v>
      </c>
      <c r="D468" t="str">
        <f>$D$454</f>
        <v>any</v>
      </c>
      <c r="E468" s="218">
        <f>$E$454</f>
        <v>0.44453121299999998</v>
      </c>
      <c r="F468">
        <f>$F$454</f>
        <v>2</v>
      </c>
      <c r="G468" t="str">
        <f>$G$454</f>
        <v>Massabalans textiel (2018)</v>
      </c>
      <c r="H468">
        <f>$H$454</f>
        <v>1</v>
      </c>
      <c r="I468">
        <f>$I$454</f>
        <v>2</v>
      </c>
      <c r="J468">
        <f>$J$454</f>
        <v>2</v>
      </c>
      <c r="K468">
        <f>$K$454</f>
        <v>1</v>
      </c>
      <c r="L468">
        <f>$L$454</f>
        <v>2</v>
      </c>
      <c r="M468">
        <f>$M$454</f>
        <v>2</v>
      </c>
    </row>
    <row r="469" spans="1:13">
      <c r="A469" t="s">
        <v>2057</v>
      </c>
      <c r="B469" t="str">
        <f>$B$455</f>
        <v>Mixed waste collection</v>
      </c>
      <c r="C469" t="str">
        <f>$C$455</f>
        <v>any</v>
      </c>
      <c r="D469" t="str">
        <f>$D$455</f>
        <v>any</v>
      </c>
      <c r="E469" s="218" t="str">
        <f>$E$455</f>
        <v>rest</v>
      </c>
      <c r="F469">
        <f>$F$455</f>
        <v>1</v>
      </c>
      <c r="H469">
        <f>$H$455</f>
        <v>0</v>
      </c>
      <c r="I469">
        <f>$I$455</f>
        <v>0</v>
      </c>
      <c r="J469">
        <f>$J$455</f>
        <v>0</v>
      </c>
      <c r="K469">
        <f>$K$455</f>
        <v>0</v>
      </c>
      <c r="L469">
        <f>$L$455</f>
        <v>0</v>
      </c>
      <c r="M469">
        <f>$M$455</f>
        <v>0</v>
      </c>
    </row>
    <row r="470" spans="1:13">
      <c r="A470" t="s">
        <v>2057</v>
      </c>
      <c r="B470" t="str">
        <f>$B$456</f>
        <v>Dumping</v>
      </c>
      <c r="C470" t="str">
        <f>$C$456</f>
        <v>any</v>
      </c>
      <c r="D470" t="str">
        <f>$D$456</f>
        <v>any</v>
      </c>
      <c r="E470" s="218">
        <f>$E$456</f>
        <v>2.6918324999999996E-4</v>
      </c>
      <c r="F470">
        <f>$F$456</f>
        <v>2</v>
      </c>
      <c r="G470" t="str">
        <f>$G$456</f>
        <v>Kawecki &amp; Nowack (2019)</v>
      </c>
      <c r="H470">
        <f>$H$456</f>
        <v>2</v>
      </c>
      <c r="I470">
        <f>$I$456</f>
        <v>2</v>
      </c>
      <c r="J470">
        <f>$J$456</f>
        <v>2</v>
      </c>
      <c r="K470">
        <f>$K$456</f>
        <v>3</v>
      </c>
      <c r="L470">
        <f>$L$456</f>
        <v>3</v>
      </c>
      <c r="M470">
        <f>$M$456</f>
        <v>3</v>
      </c>
    </row>
    <row r="471" spans="1:13">
      <c r="A471" t="s">
        <v>2199</v>
      </c>
      <c r="B471" t="str">
        <f>$B$453</f>
        <v>Clothing wearing</v>
      </c>
      <c r="C471" t="str">
        <f>$C$453</f>
        <v>any</v>
      </c>
      <c r="D471" t="str">
        <f>$D$453</f>
        <v>any</v>
      </c>
      <c r="E471" s="218">
        <f>$E$453</f>
        <v>3.0249999999999999E-3</v>
      </c>
      <c r="F471">
        <f>$F$453</f>
        <v>3</v>
      </c>
      <c r="G471" t="str">
        <f>$G$453</f>
        <v>Average loss during wear, Kawecki et al. 2019, SI table 17</v>
      </c>
      <c r="H471">
        <f>$H$453</f>
        <v>2</v>
      </c>
      <c r="I471">
        <f>$I$453</f>
        <v>2</v>
      </c>
      <c r="J471">
        <f>$J$453</f>
        <v>2</v>
      </c>
      <c r="K471">
        <f>$K$453</f>
        <v>2</v>
      </c>
      <c r="L471">
        <f>$L$453</f>
        <v>2</v>
      </c>
      <c r="M471">
        <f>$M$453</f>
        <v>2</v>
      </c>
    </row>
    <row r="472" spans="1:13">
      <c r="A472" t="s">
        <v>2199</v>
      </c>
      <c r="B472" t="str">
        <f>$B$454</f>
        <v>Textile waste collection</v>
      </c>
      <c r="C472" t="str">
        <f>$C$454</f>
        <v>any</v>
      </c>
      <c r="D472" t="str">
        <f>$D$454</f>
        <v>any</v>
      </c>
      <c r="E472" s="218">
        <f>$E$454</f>
        <v>0.44453121299999998</v>
      </c>
      <c r="F472">
        <f>$F$454</f>
        <v>2</v>
      </c>
      <c r="G472" t="str">
        <f>$G$454</f>
        <v>Massabalans textiel (2018)</v>
      </c>
      <c r="H472">
        <f>$H$454</f>
        <v>1</v>
      </c>
      <c r="I472">
        <f>$I$454</f>
        <v>2</v>
      </c>
      <c r="J472">
        <f>$J$454</f>
        <v>2</v>
      </c>
      <c r="K472">
        <f>$K$454</f>
        <v>1</v>
      </c>
      <c r="L472">
        <f>$L$454</f>
        <v>2</v>
      </c>
      <c r="M472">
        <f>$M$454</f>
        <v>2</v>
      </c>
    </row>
    <row r="473" spans="1:13">
      <c r="A473" t="s">
        <v>2199</v>
      </c>
      <c r="B473" t="str">
        <f>$B$455</f>
        <v>Mixed waste collection</v>
      </c>
      <c r="C473" t="str">
        <f>$C$455</f>
        <v>any</v>
      </c>
      <c r="D473" t="str">
        <f>$D$455</f>
        <v>any</v>
      </c>
      <c r="E473" s="218" t="str">
        <f>$E$455</f>
        <v>rest</v>
      </c>
      <c r="F473">
        <f>$F$455</f>
        <v>1</v>
      </c>
      <c r="H473">
        <f>$H$455</f>
        <v>0</v>
      </c>
      <c r="I473">
        <f>$I$455</f>
        <v>0</v>
      </c>
      <c r="J473">
        <f>$J$455</f>
        <v>0</v>
      </c>
      <c r="K473">
        <f>$K$455</f>
        <v>0</v>
      </c>
      <c r="L473">
        <f>$L$455</f>
        <v>0</v>
      </c>
      <c r="M473">
        <f>$M$455</f>
        <v>0</v>
      </c>
    </row>
    <row r="474" spans="1:13">
      <c r="A474" t="s">
        <v>2199</v>
      </c>
      <c r="B474" t="str">
        <f>$B$456</f>
        <v>Dumping</v>
      </c>
      <c r="C474" t="str">
        <f>$C$456</f>
        <v>any</v>
      </c>
      <c r="D474" t="str">
        <f>$D$456</f>
        <v>any</v>
      </c>
      <c r="E474" s="218">
        <f>$E$456</f>
        <v>2.6918324999999996E-4</v>
      </c>
      <c r="F474">
        <f>$F$456</f>
        <v>2</v>
      </c>
      <c r="G474" t="str">
        <f>$G$456</f>
        <v>Kawecki &amp; Nowack (2019)</v>
      </c>
      <c r="H474">
        <f>$H$456</f>
        <v>2</v>
      </c>
      <c r="I474">
        <f>$I$456</f>
        <v>2</v>
      </c>
      <c r="J474">
        <f>$J$456</f>
        <v>2</v>
      </c>
      <c r="K474">
        <f>$K$456</f>
        <v>3</v>
      </c>
      <c r="L474">
        <f>$L$456</f>
        <v>3</v>
      </c>
      <c r="M474">
        <f>$M$456</f>
        <v>3</v>
      </c>
    </row>
    <row r="475" spans="1:13">
      <c r="A475" t="s">
        <v>2061</v>
      </c>
      <c r="B475" t="str">
        <f>$B$453</f>
        <v>Clothing wearing</v>
      </c>
      <c r="C475" t="str">
        <f>$C$453</f>
        <v>any</v>
      </c>
      <c r="D475" t="str">
        <f>$D$453</f>
        <v>any</v>
      </c>
      <c r="E475" s="218">
        <f>$E$453</f>
        <v>3.0249999999999999E-3</v>
      </c>
      <c r="F475">
        <f>$F$453</f>
        <v>3</v>
      </c>
      <c r="G475" t="str">
        <f>$G$453</f>
        <v>Average loss during wear, Kawecki et al. 2019, SI table 17</v>
      </c>
      <c r="H475">
        <f>$H$453</f>
        <v>2</v>
      </c>
      <c r="I475">
        <f>$I$453</f>
        <v>2</v>
      </c>
      <c r="J475">
        <f>$J$453</f>
        <v>2</v>
      </c>
      <c r="K475">
        <f>$K$453</f>
        <v>2</v>
      </c>
      <c r="L475">
        <f>$L$453</f>
        <v>2</v>
      </c>
      <c r="M475">
        <f>$M$453</f>
        <v>2</v>
      </c>
    </row>
    <row r="476" spans="1:13">
      <c r="A476" t="s">
        <v>2061</v>
      </c>
      <c r="B476" t="str">
        <f>$B$454</f>
        <v>Textile waste collection</v>
      </c>
      <c r="C476" t="str">
        <f>$C$454</f>
        <v>any</v>
      </c>
      <c r="D476" t="str">
        <f>$D$454</f>
        <v>any</v>
      </c>
      <c r="E476" s="218">
        <f>$E$454</f>
        <v>0.44453121299999998</v>
      </c>
      <c r="F476">
        <f>$F$454</f>
        <v>2</v>
      </c>
      <c r="G476" t="str">
        <f>$G$454</f>
        <v>Massabalans textiel (2018)</v>
      </c>
      <c r="H476">
        <f>$H$454</f>
        <v>1</v>
      </c>
      <c r="I476">
        <f>$I$454</f>
        <v>2</v>
      </c>
      <c r="J476">
        <f>$J$454</f>
        <v>2</v>
      </c>
      <c r="K476">
        <f>$K$454</f>
        <v>1</v>
      </c>
      <c r="L476">
        <f>$L$454</f>
        <v>2</v>
      </c>
      <c r="M476">
        <f>$M$454</f>
        <v>2</v>
      </c>
    </row>
    <row r="477" spans="1:13">
      <c r="A477" t="s">
        <v>2061</v>
      </c>
      <c r="B477" t="str">
        <f>$B$455</f>
        <v>Mixed waste collection</v>
      </c>
      <c r="C477" t="str">
        <f>$C$455</f>
        <v>any</v>
      </c>
      <c r="D477" t="str">
        <f>$D$455</f>
        <v>any</v>
      </c>
      <c r="E477" s="218" t="str">
        <f>$E$455</f>
        <v>rest</v>
      </c>
      <c r="F477">
        <f>$F$455</f>
        <v>1</v>
      </c>
      <c r="H477">
        <f>$H$455</f>
        <v>0</v>
      </c>
      <c r="I477">
        <f>$I$455</f>
        <v>0</v>
      </c>
      <c r="J477">
        <f>$J$455</f>
        <v>0</v>
      </c>
      <c r="K477">
        <f>$K$455</f>
        <v>0</v>
      </c>
      <c r="L477">
        <f>$L$455</f>
        <v>0</v>
      </c>
      <c r="M477">
        <f>$M$455</f>
        <v>0</v>
      </c>
    </row>
    <row r="478" spans="1:13">
      <c r="A478" t="s">
        <v>2061</v>
      </c>
      <c r="B478" t="str">
        <f>$B$456</f>
        <v>Dumping</v>
      </c>
      <c r="C478" t="str">
        <f>$C$456</f>
        <v>any</v>
      </c>
      <c r="D478" t="str">
        <f>$D$456</f>
        <v>any</v>
      </c>
      <c r="E478" s="218">
        <f>$E$456</f>
        <v>2.6918324999999996E-4</v>
      </c>
      <c r="F478">
        <f>$F$456</f>
        <v>2</v>
      </c>
      <c r="G478" t="str">
        <f>$G$456</f>
        <v>Kawecki &amp; Nowack (2019)</v>
      </c>
      <c r="H478">
        <f>$H$456</f>
        <v>2</v>
      </c>
      <c r="I478">
        <f>$I$456</f>
        <v>2</v>
      </c>
      <c r="J478">
        <f>$J$456</f>
        <v>2</v>
      </c>
      <c r="K478">
        <f>$K$456</f>
        <v>3</v>
      </c>
      <c r="L478">
        <f>$L$456</f>
        <v>3</v>
      </c>
      <c r="M478">
        <f>$M$456</f>
        <v>3</v>
      </c>
    </row>
    <row r="479" spans="1:13">
      <c r="A479" t="s">
        <v>2198</v>
      </c>
      <c r="B479" t="s">
        <v>2084</v>
      </c>
      <c r="C479" t="s">
        <v>139</v>
      </c>
      <c r="D479" t="s">
        <v>139</v>
      </c>
      <c r="E479" s="218">
        <f>$E$445</f>
        <v>3.0249999999999999E-3</v>
      </c>
      <c r="F479">
        <f>$F$445</f>
        <v>3</v>
      </c>
      <c r="G479" t="s">
        <v>2071</v>
      </c>
      <c r="H479">
        <f>$H$445</f>
        <v>2</v>
      </c>
      <c r="I479">
        <f>$I$445</f>
        <v>2</v>
      </c>
      <c r="J479">
        <f>$J$445</f>
        <v>2</v>
      </c>
      <c r="K479">
        <f>$K$445</f>
        <v>2</v>
      </c>
      <c r="L479">
        <f>$L$445</f>
        <v>2</v>
      </c>
      <c r="M479">
        <f>$M$445</f>
        <v>2</v>
      </c>
    </row>
    <row r="480" spans="1:13">
      <c r="A480" t="s">
        <v>2198</v>
      </c>
      <c r="B480" t="s">
        <v>2083</v>
      </c>
      <c r="C480" t="s">
        <v>139</v>
      </c>
      <c r="D480" t="s">
        <v>139</v>
      </c>
      <c r="E480" s="218">
        <f>$E$446</f>
        <v>1.0017848450000002E-2</v>
      </c>
      <c r="F480">
        <f>$F$446</f>
        <v>3</v>
      </c>
      <c r="G480" t="s">
        <v>2072</v>
      </c>
      <c r="H480">
        <f>$H$446</f>
        <v>2</v>
      </c>
      <c r="I480">
        <f>$I$446</f>
        <v>2</v>
      </c>
      <c r="J480">
        <f>$J$446</f>
        <v>2</v>
      </c>
      <c r="K480">
        <f>$K$446</f>
        <v>2</v>
      </c>
      <c r="L480">
        <f>$L$446</f>
        <v>2</v>
      </c>
      <c r="M480">
        <f>$M$446</f>
        <v>2</v>
      </c>
    </row>
    <row r="481" spans="1:13">
      <c r="A481" t="s">
        <v>2198</v>
      </c>
      <c r="B481" t="s">
        <v>2085</v>
      </c>
      <c r="C481" t="s">
        <v>139</v>
      </c>
      <c r="D481" t="s">
        <v>139</v>
      </c>
      <c r="E481" s="218">
        <f>$E$447</f>
        <v>5.1196599999999998E-4</v>
      </c>
      <c r="F481">
        <f>$F$447</f>
        <v>3</v>
      </c>
      <c r="G481" t="s">
        <v>2073</v>
      </c>
      <c r="H481">
        <f>$H$447</f>
        <v>2</v>
      </c>
      <c r="I481">
        <f>$I$447</f>
        <v>2</v>
      </c>
      <c r="J481">
        <f>$J$447</f>
        <v>2</v>
      </c>
      <c r="K481">
        <f>$K$447</f>
        <v>2</v>
      </c>
      <c r="L481">
        <f>$L$447</f>
        <v>2</v>
      </c>
      <c r="M481">
        <f>$M$482</f>
        <v>2</v>
      </c>
    </row>
    <row r="482" spans="1:13">
      <c r="A482" t="s">
        <v>2198</v>
      </c>
      <c r="B482" t="s">
        <v>225</v>
      </c>
      <c r="C482" t="s">
        <v>139</v>
      </c>
      <c r="D482" t="s">
        <v>139</v>
      </c>
      <c r="E482" s="218">
        <f>$E$448</f>
        <v>0.43983617933303404</v>
      </c>
      <c r="F482">
        <f>$F$448</f>
        <v>2</v>
      </c>
      <c r="G482" t="s">
        <v>2076</v>
      </c>
      <c r="H482">
        <f>$H$448</f>
        <v>1</v>
      </c>
      <c r="I482">
        <f>$I$448</f>
        <v>2</v>
      </c>
      <c r="J482">
        <f>$J$448</f>
        <v>2</v>
      </c>
      <c r="K482">
        <f>$K$448</f>
        <v>1</v>
      </c>
      <c r="L482">
        <f>$L$448</f>
        <v>2</v>
      </c>
      <c r="M482">
        <f>$M$448</f>
        <v>2</v>
      </c>
    </row>
    <row r="483" spans="1:13">
      <c r="A483" t="s">
        <v>2198</v>
      </c>
      <c r="B483" t="s">
        <v>223</v>
      </c>
      <c r="C483" t="s">
        <v>139</v>
      </c>
      <c r="D483" t="s">
        <v>139</v>
      </c>
      <c r="E483" s="218" t="str">
        <f>$E$449</f>
        <v>rest</v>
      </c>
      <c r="F483">
        <f>$F$449</f>
        <v>1</v>
      </c>
      <c r="H483">
        <f>$H$449</f>
        <v>0</v>
      </c>
      <c r="I483">
        <f>$I$449</f>
        <v>0</v>
      </c>
      <c r="J483">
        <f>$J$449</f>
        <v>0</v>
      </c>
      <c r="K483">
        <f>$K$449</f>
        <v>0</v>
      </c>
      <c r="L483">
        <f>$L$449</f>
        <v>0</v>
      </c>
      <c r="M483">
        <f>$M$449</f>
        <v>0</v>
      </c>
    </row>
    <row r="484" spans="1:13">
      <c r="A484" t="s">
        <v>2198</v>
      </c>
      <c r="B484" t="s">
        <v>204</v>
      </c>
      <c r="C484" t="s">
        <v>139</v>
      </c>
      <c r="D484" t="s">
        <v>139</v>
      </c>
      <c r="E484" s="218">
        <f>$E$450</f>
        <v>2.663402000985E-4</v>
      </c>
      <c r="F484">
        <f>$F$450</f>
        <v>2</v>
      </c>
      <c r="G484" t="s">
        <v>43</v>
      </c>
      <c r="H484">
        <f>$H$450</f>
        <v>2</v>
      </c>
      <c r="I484">
        <f>$I$450</f>
        <v>2</v>
      </c>
      <c r="J484">
        <f>$J$450</f>
        <v>2</v>
      </c>
      <c r="K484">
        <f>$K$450</f>
        <v>3</v>
      </c>
      <c r="L484">
        <f>$L$450</f>
        <v>3</v>
      </c>
      <c r="M484">
        <f>$M$450</f>
        <v>3</v>
      </c>
    </row>
    <row r="485" spans="1:13">
      <c r="A485" t="s">
        <v>2200</v>
      </c>
      <c r="B485" t="s">
        <v>2084</v>
      </c>
      <c r="C485" t="s">
        <v>139</v>
      </c>
      <c r="D485" t="s">
        <v>139</v>
      </c>
      <c r="E485" s="218">
        <f>$E$445</f>
        <v>3.0249999999999999E-3</v>
      </c>
      <c r="F485">
        <f>$F$445</f>
        <v>3</v>
      </c>
      <c r="G485" t="s">
        <v>2071</v>
      </c>
      <c r="H485">
        <f>$H$445</f>
        <v>2</v>
      </c>
      <c r="I485">
        <f>$I$445</f>
        <v>2</v>
      </c>
      <c r="J485">
        <f>$J$445</f>
        <v>2</v>
      </c>
      <c r="K485">
        <f>$K$445</f>
        <v>2</v>
      </c>
      <c r="L485">
        <f>$L$445</f>
        <v>2</v>
      </c>
      <c r="M485">
        <f>$M$445</f>
        <v>2</v>
      </c>
    </row>
    <row r="486" spans="1:13">
      <c r="A486" t="s">
        <v>2200</v>
      </c>
      <c r="B486" t="s">
        <v>2083</v>
      </c>
      <c r="C486" t="s">
        <v>139</v>
      </c>
      <c r="D486" t="s">
        <v>139</v>
      </c>
      <c r="E486" s="218">
        <f>$E$446</f>
        <v>1.0017848450000002E-2</v>
      </c>
      <c r="F486">
        <f>$F$446</f>
        <v>3</v>
      </c>
      <c r="G486" t="s">
        <v>2072</v>
      </c>
      <c r="H486">
        <f>$H$446</f>
        <v>2</v>
      </c>
      <c r="I486">
        <f>$I$446</f>
        <v>2</v>
      </c>
      <c r="J486">
        <f>$J$446</f>
        <v>2</v>
      </c>
      <c r="K486">
        <f>$K$446</f>
        <v>2</v>
      </c>
      <c r="L486">
        <f>$L$446</f>
        <v>2</v>
      </c>
      <c r="M486">
        <f>$M$446</f>
        <v>2</v>
      </c>
    </row>
    <row r="487" spans="1:13">
      <c r="A487" t="s">
        <v>2200</v>
      </c>
      <c r="B487" t="s">
        <v>2085</v>
      </c>
      <c r="C487" t="s">
        <v>139</v>
      </c>
      <c r="D487" t="s">
        <v>139</v>
      </c>
      <c r="E487" s="218">
        <f>$E$447</f>
        <v>5.1196599999999998E-4</v>
      </c>
      <c r="F487">
        <f>$F$447</f>
        <v>3</v>
      </c>
      <c r="G487" t="s">
        <v>2073</v>
      </c>
      <c r="H487">
        <f>$H$447</f>
        <v>2</v>
      </c>
      <c r="I487">
        <f>$I$447</f>
        <v>2</v>
      </c>
      <c r="J487">
        <f>$J$447</f>
        <v>2</v>
      </c>
      <c r="K487">
        <f>$K$447</f>
        <v>2</v>
      </c>
      <c r="L487">
        <f>$L$447</f>
        <v>2</v>
      </c>
      <c r="M487">
        <f>$M$482</f>
        <v>2</v>
      </c>
    </row>
    <row r="488" spans="1:13">
      <c r="A488" t="s">
        <v>2200</v>
      </c>
      <c r="B488" t="s">
        <v>225</v>
      </c>
      <c r="C488" t="s">
        <v>139</v>
      </c>
      <c r="D488" t="s">
        <v>139</v>
      </c>
      <c r="E488" s="218">
        <f>$E$448</f>
        <v>0.43983617933303404</v>
      </c>
      <c r="F488">
        <f>$F$448</f>
        <v>2</v>
      </c>
      <c r="G488" t="s">
        <v>2076</v>
      </c>
      <c r="H488">
        <f>$H$448</f>
        <v>1</v>
      </c>
      <c r="I488">
        <f>$I$448</f>
        <v>2</v>
      </c>
      <c r="J488">
        <f>$J$448</f>
        <v>2</v>
      </c>
      <c r="K488">
        <f>$K$448</f>
        <v>1</v>
      </c>
      <c r="L488">
        <f>$L$448</f>
        <v>2</v>
      </c>
      <c r="M488">
        <f>$M$448</f>
        <v>2</v>
      </c>
    </row>
    <row r="489" spans="1:13">
      <c r="A489" t="s">
        <v>2200</v>
      </c>
      <c r="B489" t="s">
        <v>223</v>
      </c>
      <c r="C489" t="s">
        <v>139</v>
      </c>
      <c r="D489" t="s">
        <v>139</v>
      </c>
      <c r="E489" s="218" t="str">
        <f>$E$449</f>
        <v>rest</v>
      </c>
      <c r="F489">
        <f>$F$449</f>
        <v>1</v>
      </c>
      <c r="H489">
        <f>$H$449</f>
        <v>0</v>
      </c>
      <c r="I489">
        <f>$I$449</f>
        <v>0</v>
      </c>
      <c r="J489">
        <f>$J$449</f>
        <v>0</v>
      </c>
      <c r="K489">
        <f>$K$449</f>
        <v>0</v>
      </c>
      <c r="L489">
        <f>$L$449</f>
        <v>0</v>
      </c>
      <c r="M489">
        <f>$M$449</f>
        <v>0</v>
      </c>
    </row>
    <row r="490" spans="1:13">
      <c r="A490" t="s">
        <v>2200</v>
      </c>
      <c r="B490" t="s">
        <v>204</v>
      </c>
      <c r="C490" t="s">
        <v>139</v>
      </c>
      <c r="D490" t="s">
        <v>139</v>
      </c>
      <c r="E490" s="218">
        <f>$E$450</f>
        <v>2.663402000985E-4</v>
      </c>
      <c r="F490">
        <f>$F$450</f>
        <v>2</v>
      </c>
      <c r="G490" t="s">
        <v>43</v>
      </c>
      <c r="H490">
        <f>$H$450</f>
        <v>2</v>
      </c>
      <c r="I490">
        <f>$I$450</f>
        <v>2</v>
      </c>
      <c r="J490">
        <f>$J$450</f>
        <v>2</v>
      </c>
      <c r="K490">
        <f>$K$450</f>
        <v>3</v>
      </c>
      <c r="L490">
        <f>$L$450</f>
        <v>3</v>
      </c>
      <c r="M490">
        <f>$M$450</f>
        <v>3</v>
      </c>
    </row>
    <row r="491" spans="1:13">
      <c r="A491" t="s">
        <v>2201</v>
      </c>
      <c r="B491" t="s">
        <v>2084</v>
      </c>
      <c r="C491" t="s">
        <v>139</v>
      </c>
      <c r="D491" t="s">
        <v>139</v>
      </c>
      <c r="E491" s="218">
        <f>$E$445</f>
        <v>3.0249999999999999E-3</v>
      </c>
      <c r="F491">
        <f>$F$445</f>
        <v>3</v>
      </c>
      <c r="G491" t="s">
        <v>2071</v>
      </c>
      <c r="H491">
        <f>$H$445</f>
        <v>2</v>
      </c>
      <c r="I491">
        <f>$I$445</f>
        <v>2</v>
      </c>
      <c r="J491">
        <f>$J$445</f>
        <v>2</v>
      </c>
      <c r="K491">
        <f>$K$445</f>
        <v>2</v>
      </c>
      <c r="L491">
        <f>$L$445</f>
        <v>2</v>
      </c>
      <c r="M491">
        <f>$M$445</f>
        <v>2</v>
      </c>
    </row>
    <row r="492" spans="1:13">
      <c r="A492" t="s">
        <v>2201</v>
      </c>
      <c r="B492" t="s">
        <v>2083</v>
      </c>
      <c r="C492" t="s">
        <v>139</v>
      </c>
      <c r="D492" t="s">
        <v>139</v>
      </c>
      <c r="E492" s="218">
        <f>$E$446</f>
        <v>1.0017848450000002E-2</v>
      </c>
      <c r="F492">
        <f>$F$446</f>
        <v>3</v>
      </c>
      <c r="G492" t="s">
        <v>2072</v>
      </c>
      <c r="H492">
        <f>$H$446</f>
        <v>2</v>
      </c>
      <c r="I492">
        <f>$I$446</f>
        <v>2</v>
      </c>
      <c r="J492">
        <f>$J$446</f>
        <v>2</v>
      </c>
      <c r="K492">
        <f>$K$446</f>
        <v>2</v>
      </c>
      <c r="L492">
        <f>$L$446</f>
        <v>2</v>
      </c>
      <c r="M492">
        <f>$M$446</f>
        <v>2</v>
      </c>
    </row>
    <row r="493" spans="1:13">
      <c r="A493" t="s">
        <v>2201</v>
      </c>
      <c r="B493" t="s">
        <v>2085</v>
      </c>
      <c r="C493" t="s">
        <v>139</v>
      </c>
      <c r="D493" t="s">
        <v>139</v>
      </c>
      <c r="E493" s="218">
        <f>$E$447</f>
        <v>5.1196599999999998E-4</v>
      </c>
      <c r="F493">
        <f>$F$447</f>
        <v>3</v>
      </c>
      <c r="G493" t="s">
        <v>2073</v>
      </c>
      <c r="H493">
        <f>$H$447</f>
        <v>2</v>
      </c>
      <c r="I493">
        <f>$I$447</f>
        <v>2</v>
      </c>
      <c r="J493">
        <f>$J$447</f>
        <v>2</v>
      </c>
      <c r="K493">
        <f>$K$447</f>
        <v>2</v>
      </c>
      <c r="L493">
        <f>$L$447</f>
        <v>2</v>
      </c>
      <c r="M493">
        <f>$M$482</f>
        <v>2</v>
      </c>
    </row>
    <row r="494" spans="1:13">
      <c r="A494" t="s">
        <v>2201</v>
      </c>
      <c r="B494" t="s">
        <v>225</v>
      </c>
      <c r="C494" t="s">
        <v>139</v>
      </c>
      <c r="D494" t="s">
        <v>139</v>
      </c>
      <c r="E494" s="218">
        <f>$E$448</f>
        <v>0.43983617933303404</v>
      </c>
      <c r="F494">
        <f>$F$448</f>
        <v>2</v>
      </c>
      <c r="G494" t="s">
        <v>2076</v>
      </c>
      <c r="H494">
        <f>$H$448</f>
        <v>1</v>
      </c>
      <c r="I494">
        <f>$I$448</f>
        <v>2</v>
      </c>
      <c r="J494">
        <f>$J$448</f>
        <v>2</v>
      </c>
      <c r="K494">
        <f>$K$448</f>
        <v>1</v>
      </c>
      <c r="L494">
        <f>$L$448</f>
        <v>2</v>
      </c>
      <c r="M494">
        <f>$M$448</f>
        <v>2</v>
      </c>
    </row>
    <row r="495" spans="1:13">
      <c r="A495" t="s">
        <v>2201</v>
      </c>
      <c r="B495" t="s">
        <v>223</v>
      </c>
      <c r="C495" t="s">
        <v>139</v>
      </c>
      <c r="D495" t="s">
        <v>139</v>
      </c>
      <c r="E495" s="218" t="str">
        <f>$E$449</f>
        <v>rest</v>
      </c>
      <c r="F495">
        <f>$F$449</f>
        <v>1</v>
      </c>
      <c r="H495">
        <f>$H$449</f>
        <v>0</v>
      </c>
      <c r="I495">
        <f>$I$449</f>
        <v>0</v>
      </c>
      <c r="J495">
        <f>$J$449</f>
        <v>0</v>
      </c>
      <c r="K495">
        <f>$K$449</f>
        <v>0</v>
      </c>
      <c r="L495">
        <f>$L$449</f>
        <v>0</v>
      </c>
      <c r="M495">
        <f>$M$449</f>
        <v>0</v>
      </c>
    </row>
    <row r="496" spans="1:13">
      <c r="A496" t="s">
        <v>2201</v>
      </c>
      <c r="B496" t="s">
        <v>204</v>
      </c>
      <c r="C496" t="s">
        <v>139</v>
      </c>
      <c r="D496" t="s">
        <v>139</v>
      </c>
      <c r="E496" s="218">
        <f>$E$450</f>
        <v>2.663402000985E-4</v>
      </c>
      <c r="F496">
        <f>$F$450</f>
        <v>2</v>
      </c>
      <c r="G496" t="s">
        <v>43</v>
      </c>
      <c r="H496">
        <f>$H$450</f>
        <v>2</v>
      </c>
      <c r="I496">
        <f>$I$450</f>
        <v>2</v>
      </c>
      <c r="J496">
        <f>$J$450</f>
        <v>2</v>
      </c>
      <c r="K496">
        <f>$K$450</f>
        <v>3</v>
      </c>
      <c r="L496">
        <f>$L$450</f>
        <v>3</v>
      </c>
      <c r="M496">
        <f>$M$450</f>
        <v>3</v>
      </c>
    </row>
    <row r="497" spans="1:13">
      <c r="A497" t="s">
        <v>2202</v>
      </c>
      <c r="B497" t="s">
        <v>2084</v>
      </c>
      <c r="C497" t="s">
        <v>139</v>
      </c>
      <c r="D497" t="s">
        <v>139</v>
      </c>
      <c r="E497" s="218">
        <f>$E$445</f>
        <v>3.0249999999999999E-3</v>
      </c>
      <c r="F497">
        <f>$F$445</f>
        <v>3</v>
      </c>
      <c r="G497" t="s">
        <v>2071</v>
      </c>
      <c r="H497">
        <f>$H$445</f>
        <v>2</v>
      </c>
      <c r="I497">
        <f>$I$445</f>
        <v>2</v>
      </c>
      <c r="J497">
        <f>$J$445</f>
        <v>2</v>
      </c>
      <c r="K497">
        <f>$K$445</f>
        <v>2</v>
      </c>
      <c r="L497">
        <f>$L$445</f>
        <v>2</v>
      </c>
      <c r="M497">
        <f>$M$445</f>
        <v>2</v>
      </c>
    </row>
    <row r="498" spans="1:13">
      <c r="A498" t="s">
        <v>2202</v>
      </c>
      <c r="B498" t="s">
        <v>2083</v>
      </c>
      <c r="C498" t="s">
        <v>139</v>
      </c>
      <c r="D498" t="s">
        <v>139</v>
      </c>
      <c r="E498" s="218">
        <f>$E$446</f>
        <v>1.0017848450000002E-2</v>
      </c>
      <c r="F498">
        <f>$F$446</f>
        <v>3</v>
      </c>
      <c r="G498" t="s">
        <v>2072</v>
      </c>
      <c r="H498">
        <f>$H$446</f>
        <v>2</v>
      </c>
      <c r="I498">
        <f>$I$446</f>
        <v>2</v>
      </c>
      <c r="J498">
        <f>$J$446</f>
        <v>2</v>
      </c>
      <c r="K498">
        <f>$K$446</f>
        <v>2</v>
      </c>
      <c r="L498">
        <f>$L$446</f>
        <v>2</v>
      </c>
      <c r="M498">
        <f>$M$446</f>
        <v>2</v>
      </c>
    </row>
    <row r="499" spans="1:13">
      <c r="A499" t="s">
        <v>2202</v>
      </c>
      <c r="B499" t="s">
        <v>2085</v>
      </c>
      <c r="C499" t="s">
        <v>139</v>
      </c>
      <c r="D499" t="s">
        <v>139</v>
      </c>
      <c r="E499" s="218">
        <f>$E$447</f>
        <v>5.1196599999999998E-4</v>
      </c>
      <c r="F499">
        <f>$F$447</f>
        <v>3</v>
      </c>
      <c r="G499" t="s">
        <v>2073</v>
      </c>
      <c r="H499">
        <f>$H$447</f>
        <v>2</v>
      </c>
      <c r="I499">
        <f>$I$447</f>
        <v>2</v>
      </c>
      <c r="J499">
        <f>$J$447</f>
        <v>2</v>
      </c>
      <c r="K499">
        <f>$K$447</f>
        <v>2</v>
      </c>
      <c r="L499">
        <f>$L$447</f>
        <v>2</v>
      </c>
      <c r="M499">
        <f>$M$482</f>
        <v>2</v>
      </c>
    </row>
    <row r="500" spans="1:13">
      <c r="A500" t="s">
        <v>2202</v>
      </c>
      <c r="B500" t="s">
        <v>225</v>
      </c>
      <c r="C500" t="s">
        <v>139</v>
      </c>
      <c r="D500" t="s">
        <v>139</v>
      </c>
      <c r="E500" s="218">
        <f>$E$448</f>
        <v>0.43983617933303404</v>
      </c>
      <c r="F500">
        <f>$F$448</f>
        <v>2</v>
      </c>
      <c r="G500" t="s">
        <v>2076</v>
      </c>
      <c r="H500">
        <f>$H$448</f>
        <v>1</v>
      </c>
      <c r="I500">
        <f>$I$448</f>
        <v>2</v>
      </c>
      <c r="J500">
        <f>$J$448</f>
        <v>2</v>
      </c>
      <c r="K500">
        <f>$K$448</f>
        <v>1</v>
      </c>
      <c r="L500">
        <f>$L$448</f>
        <v>2</v>
      </c>
      <c r="M500">
        <f>$M$448</f>
        <v>2</v>
      </c>
    </row>
    <row r="501" spans="1:13">
      <c r="A501" t="s">
        <v>2202</v>
      </c>
      <c r="B501" t="s">
        <v>223</v>
      </c>
      <c r="C501" t="s">
        <v>139</v>
      </c>
      <c r="D501" t="s">
        <v>139</v>
      </c>
      <c r="E501" s="218" t="str">
        <f>$E$449</f>
        <v>rest</v>
      </c>
      <c r="F501">
        <f>$F$449</f>
        <v>1</v>
      </c>
      <c r="H501">
        <f>$H$449</f>
        <v>0</v>
      </c>
      <c r="I501">
        <f>$I$449</f>
        <v>0</v>
      </c>
      <c r="J501">
        <f>$J$449</f>
        <v>0</v>
      </c>
      <c r="K501">
        <f>$K$449</f>
        <v>0</v>
      </c>
      <c r="L501">
        <f>$L$449</f>
        <v>0</v>
      </c>
      <c r="M501">
        <f>$M$449</f>
        <v>0</v>
      </c>
    </row>
    <row r="502" spans="1:13">
      <c r="A502" t="s">
        <v>2202</v>
      </c>
      <c r="B502" t="s">
        <v>204</v>
      </c>
      <c r="C502" t="s">
        <v>139</v>
      </c>
      <c r="D502" t="s">
        <v>139</v>
      </c>
      <c r="E502" s="218">
        <f>$E$450</f>
        <v>2.663402000985E-4</v>
      </c>
      <c r="F502">
        <f>$F$450</f>
        <v>2</v>
      </c>
      <c r="G502" t="s">
        <v>43</v>
      </c>
      <c r="H502">
        <f>$H$450</f>
        <v>2</v>
      </c>
      <c r="I502">
        <f>$I$450</f>
        <v>2</v>
      </c>
      <c r="J502">
        <f>$J$450</f>
        <v>2</v>
      </c>
      <c r="K502">
        <f>$K$450</f>
        <v>3</v>
      </c>
      <c r="L502">
        <f>$L$450</f>
        <v>3</v>
      </c>
      <c r="M502">
        <f>$M$450</f>
        <v>3</v>
      </c>
    </row>
    <row r="503" spans="1:13">
      <c r="A503" t="s">
        <v>2203</v>
      </c>
      <c r="B503" t="s">
        <v>2084</v>
      </c>
      <c r="C503" t="s">
        <v>139</v>
      </c>
      <c r="D503" t="s">
        <v>139</v>
      </c>
      <c r="E503" s="218">
        <f>$E$445</f>
        <v>3.0249999999999999E-3</v>
      </c>
      <c r="F503">
        <f>$F$445</f>
        <v>3</v>
      </c>
      <c r="G503" t="s">
        <v>2071</v>
      </c>
      <c r="H503">
        <f>$H$445</f>
        <v>2</v>
      </c>
      <c r="I503">
        <f>$I$445</f>
        <v>2</v>
      </c>
      <c r="J503">
        <f>$J$445</f>
        <v>2</v>
      </c>
      <c r="K503">
        <f>$K$445</f>
        <v>2</v>
      </c>
      <c r="L503">
        <f>$L$445</f>
        <v>2</v>
      </c>
      <c r="M503">
        <f>$M$445</f>
        <v>2</v>
      </c>
    </row>
    <row r="504" spans="1:13">
      <c r="A504" t="s">
        <v>2203</v>
      </c>
      <c r="B504" t="s">
        <v>2083</v>
      </c>
      <c r="C504" t="s">
        <v>139</v>
      </c>
      <c r="D504" t="s">
        <v>139</v>
      </c>
      <c r="E504" s="218">
        <f>$E$446</f>
        <v>1.0017848450000002E-2</v>
      </c>
      <c r="F504">
        <f>$F$446</f>
        <v>3</v>
      </c>
      <c r="G504" t="s">
        <v>2072</v>
      </c>
      <c r="H504">
        <f>$H$446</f>
        <v>2</v>
      </c>
      <c r="I504">
        <f>$I$446</f>
        <v>2</v>
      </c>
      <c r="J504">
        <f>$J$446</f>
        <v>2</v>
      </c>
      <c r="K504">
        <f>$K$446</f>
        <v>2</v>
      </c>
      <c r="L504">
        <f>$L$446</f>
        <v>2</v>
      </c>
      <c r="M504">
        <f>$M$446</f>
        <v>2</v>
      </c>
    </row>
    <row r="505" spans="1:13">
      <c r="A505" t="s">
        <v>2203</v>
      </c>
      <c r="B505" t="s">
        <v>2085</v>
      </c>
      <c r="C505" t="s">
        <v>139</v>
      </c>
      <c r="D505" t="s">
        <v>139</v>
      </c>
      <c r="E505" s="218">
        <f>$E$447</f>
        <v>5.1196599999999998E-4</v>
      </c>
      <c r="F505">
        <f>$F$447</f>
        <v>3</v>
      </c>
      <c r="G505" t="s">
        <v>2073</v>
      </c>
      <c r="H505">
        <f>$H$447</f>
        <v>2</v>
      </c>
      <c r="I505">
        <f>$I$447</f>
        <v>2</v>
      </c>
      <c r="J505">
        <f>$J$447</f>
        <v>2</v>
      </c>
      <c r="K505">
        <f>$K$447</f>
        <v>2</v>
      </c>
      <c r="L505">
        <f>$L$447</f>
        <v>2</v>
      </c>
      <c r="M505">
        <f>$M$482</f>
        <v>2</v>
      </c>
    </row>
    <row r="506" spans="1:13">
      <c r="A506" t="s">
        <v>2203</v>
      </c>
      <c r="B506" t="s">
        <v>225</v>
      </c>
      <c r="C506" t="s">
        <v>139</v>
      </c>
      <c r="D506" t="s">
        <v>139</v>
      </c>
      <c r="E506" s="218">
        <f>$E$448</f>
        <v>0.43983617933303404</v>
      </c>
      <c r="F506">
        <f>$F$448</f>
        <v>2</v>
      </c>
      <c r="G506" t="s">
        <v>2076</v>
      </c>
      <c r="H506">
        <f>$H$448</f>
        <v>1</v>
      </c>
      <c r="I506">
        <f>$I$448</f>
        <v>2</v>
      </c>
      <c r="J506">
        <f>$J$448</f>
        <v>2</v>
      </c>
      <c r="K506">
        <f>$K$448</f>
        <v>1</v>
      </c>
      <c r="L506">
        <f>$L$448</f>
        <v>2</v>
      </c>
      <c r="M506">
        <f>$M$448</f>
        <v>2</v>
      </c>
    </row>
    <row r="507" spans="1:13">
      <c r="A507" t="s">
        <v>2203</v>
      </c>
      <c r="B507" t="s">
        <v>223</v>
      </c>
      <c r="C507" t="s">
        <v>139</v>
      </c>
      <c r="D507" t="s">
        <v>139</v>
      </c>
      <c r="E507" s="218" t="str">
        <f>$E$449</f>
        <v>rest</v>
      </c>
      <c r="F507">
        <f>$F$449</f>
        <v>1</v>
      </c>
      <c r="H507">
        <f>$H$449</f>
        <v>0</v>
      </c>
      <c r="I507">
        <f>$I$449</f>
        <v>0</v>
      </c>
      <c r="J507">
        <f>$J$449</f>
        <v>0</v>
      </c>
      <c r="K507">
        <f>$K$449</f>
        <v>0</v>
      </c>
      <c r="L507">
        <f>$L$449</f>
        <v>0</v>
      </c>
      <c r="M507">
        <f>$M$449</f>
        <v>0</v>
      </c>
    </row>
    <row r="508" spans="1:13">
      <c r="A508" t="s">
        <v>2203</v>
      </c>
      <c r="B508" t="s">
        <v>204</v>
      </c>
      <c r="C508" t="s">
        <v>139</v>
      </c>
      <c r="D508" t="s">
        <v>139</v>
      </c>
      <c r="E508" s="218">
        <f>$E$450</f>
        <v>2.663402000985E-4</v>
      </c>
      <c r="F508">
        <f>$F$450</f>
        <v>2</v>
      </c>
      <c r="G508" t="s">
        <v>43</v>
      </c>
      <c r="H508">
        <f>$H$450</f>
        <v>2</v>
      </c>
      <c r="I508">
        <f>$I$450</f>
        <v>2</v>
      </c>
      <c r="J508">
        <f>$J$450</f>
        <v>2</v>
      </c>
      <c r="K508">
        <f>$K$450</f>
        <v>3</v>
      </c>
      <c r="L508">
        <f>$L$450</f>
        <v>3</v>
      </c>
      <c r="M508">
        <f>$M$450</f>
        <v>3</v>
      </c>
    </row>
    <row r="509" spans="1:13">
      <c r="A509" t="s">
        <v>2065</v>
      </c>
      <c r="B509" t="s">
        <v>2084</v>
      </c>
      <c r="C509" t="s">
        <v>139</v>
      </c>
      <c r="D509" t="s">
        <v>139</v>
      </c>
      <c r="E509" s="218">
        <f>$E$445</f>
        <v>3.0249999999999999E-3</v>
      </c>
      <c r="F509">
        <f>$F$445</f>
        <v>3</v>
      </c>
      <c r="G509" t="s">
        <v>2071</v>
      </c>
      <c r="H509">
        <f>$H$445</f>
        <v>2</v>
      </c>
      <c r="I509">
        <f>$I$445</f>
        <v>2</v>
      </c>
      <c r="J509">
        <f>$J$445</f>
        <v>2</v>
      </c>
      <c r="K509">
        <f>$K$445</f>
        <v>2</v>
      </c>
      <c r="L509">
        <f>$L$445</f>
        <v>2</v>
      </c>
      <c r="M509">
        <f>$M$445</f>
        <v>2</v>
      </c>
    </row>
    <row r="510" spans="1:13">
      <c r="A510" t="s">
        <v>2065</v>
      </c>
      <c r="B510" t="s">
        <v>2083</v>
      </c>
      <c r="C510" t="s">
        <v>139</v>
      </c>
      <c r="D510" t="s">
        <v>139</v>
      </c>
      <c r="E510" s="218">
        <f>$E$446</f>
        <v>1.0017848450000002E-2</v>
      </c>
      <c r="F510">
        <f>$F$446</f>
        <v>3</v>
      </c>
      <c r="G510" t="s">
        <v>2072</v>
      </c>
      <c r="H510">
        <f>$H$446</f>
        <v>2</v>
      </c>
      <c r="I510">
        <f>$I$446</f>
        <v>2</v>
      </c>
      <c r="J510">
        <f>$J$446</f>
        <v>2</v>
      </c>
      <c r="K510">
        <f>$K$446</f>
        <v>2</v>
      </c>
      <c r="L510">
        <f>$L$446</f>
        <v>2</v>
      </c>
      <c r="M510">
        <f>$M$446</f>
        <v>2</v>
      </c>
    </row>
    <row r="511" spans="1:13">
      <c r="A511" t="s">
        <v>2065</v>
      </c>
      <c r="B511" t="s">
        <v>2085</v>
      </c>
      <c r="C511" t="s">
        <v>139</v>
      </c>
      <c r="D511" t="s">
        <v>139</v>
      </c>
      <c r="E511" s="218">
        <f>$E$447</f>
        <v>5.1196599999999998E-4</v>
      </c>
      <c r="F511">
        <f>$F$447</f>
        <v>3</v>
      </c>
      <c r="G511" t="s">
        <v>2073</v>
      </c>
      <c r="H511">
        <f>$H$447</f>
        <v>2</v>
      </c>
      <c r="I511">
        <f>$I$447</f>
        <v>2</v>
      </c>
      <c r="J511">
        <f>$J$447</f>
        <v>2</v>
      </c>
      <c r="K511">
        <f>$K$447</f>
        <v>2</v>
      </c>
      <c r="L511">
        <f>$L$447</f>
        <v>2</v>
      </c>
      <c r="M511">
        <f>$M$482</f>
        <v>2</v>
      </c>
    </row>
    <row r="512" spans="1:13">
      <c r="A512" t="s">
        <v>2065</v>
      </c>
      <c r="B512" t="s">
        <v>225</v>
      </c>
      <c r="C512" t="s">
        <v>139</v>
      </c>
      <c r="D512" t="s">
        <v>139</v>
      </c>
      <c r="E512" s="218">
        <f>$E$448</f>
        <v>0.43983617933303404</v>
      </c>
      <c r="F512">
        <f>$F$448</f>
        <v>2</v>
      </c>
      <c r="G512" t="s">
        <v>2076</v>
      </c>
      <c r="H512">
        <f>$H$448</f>
        <v>1</v>
      </c>
      <c r="I512">
        <f>$I$448</f>
        <v>2</v>
      </c>
      <c r="J512">
        <f>$J$448</f>
        <v>2</v>
      </c>
      <c r="K512">
        <f>$K$448</f>
        <v>1</v>
      </c>
      <c r="L512">
        <f>$L$448</f>
        <v>2</v>
      </c>
      <c r="M512">
        <f>$M$448</f>
        <v>2</v>
      </c>
    </row>
    <row r="513" spans="1:13">
      <c r="A513" t="s">
        <v>2065</v>
      </c>
      <c r="B513" t="s">
        <v>223</v>
      </c>
      <c r="C513" t="s">
        <v>139</v>
      </c>
      <c r="D513" t="s">
        <v>139</v>
      </c>
      <c r="E513" s="218" t="str">
        <f>$E$449</f>
        <v>rest</v>
      </c>
      <c r="F513">
        <f>$F$449</f>
        <v>1</v>
      </c>
      <c r="H513">
        <f>$H$449</f>
        <v>0</v>
      </c>
      <c r="I513">
        <f>$I$449</f>
        <v>0</v>
      </c>
      <c r="J513">
        <f>$J$449</f>
        <v>0</v>
      </c>
      <c r="K513">
        <f>$K$449</f>
        <v>0</v>
      </c>
      <c r="L513">
        <f>$L$449</f>
        <v>0</v>
      </c>
      <c r="M513">
        <f>$M$449</f>
        <v>0</v>
      </c>
    </row>
    <row r="514" spans="1:13">
      <c r="A514" t="s">
        <v>2065</v>
      </c>
      <c r="B514" t="s">
        <v>204</v>
      </c>
      <c r="C514" t="s">
        <v>139</v>
      </c>
      <c r="D514" t="s">
        <v>139</v>
      </c>
      <c r="E514" s="218">
        <f>$E$450</f>
        <v>2.663402000985E-4</v>
      </c>
      <c r="F514">
        <f>$F$450</f>
        <v>2</v>
      </c>
      <c r="G514" t="s">
        <v>43</v>
      </c>
      <c r="H514">
        <f>$H$450</f>
        <v>2</v>
      </c>
      <c r="I514">
        <f>$I$450</f>
        <v>2</v>
      </c>
      <c r="J514">
        <f>$J$450</f>
        <v>2</v>
      </c>
      <c r="K514">
        <f>$K$450</f>
        <v>3</v>
      </c>
      <c r="L514">
        <f>$L$450</f>
        <v>3</v>
      </c>
      <c r="M514">
        <f>$M$450</f>
        <v>3</v>
      </c>
    </row>
    <row r="515" spans="1:13">
      <c r="A515" t="s">
        <v>2066</v>
      </c>
      <c r="B515" t="s">
        <v>2084</v>
      </c>
      <c r="C515" t="s">
        <v>139</v>
      </c>
      <c r="D515" t="s">
        <v>139</v>
      </c>
      <c r="E515" s="218">
        <f>$E$445</f>
        <v>3.0249999999999999E-3</v>
      </c>
      <c r="F515">
        <f>$F$445</f>
        <v>3</v>
      </c>
      <c r="G515" t="s">
        <v>2071</v>
      </c>
      <c r="H515">
        <f>$H$445</f>
        <v>2</v>
      </c>
      <c r="I515">
        <f>$I$445</f>
        <v>2</v>
      </c>
      <c r="J515">
        <f>$J$445</f>
        <v>2</v>
      </c>
      <c r="K515">
        <f>$K$445</f>
        <v>2</v>
      </c>
      <c r="L515">
        <f>$L$445</f>
        <v>2</v>
      </c>
      <c r="M515">
        <f>$M$445</f>
        <v>2</v>
      </c>
    </row>
    <row r="516" spans="1:13">
      <c r="A516" t="s">
        <v>2066</v>
      </c>
      <c r="B516" t="s">
        <v>2083</v>
      </c>
      <c r="C516" t="s">
        <v>139</v>
      </c>
      <c r="D516" t="s">
        <v>139</v>
      </c>
      <c r="E516" s="218">
        <f>$E$446</f>
        <v>1.0017848450000002E-2</v>
      </c>
      <c r="F516">
        <f>$F$446</f>
        <v>3</v>
      </c>
      <c r="G516" t="s">
        <v>2072</v>
      </c>
      <c r="H516">
        <f>$H$446</f>
        <v>2</v>
      </c>
      <c r="I516">
        <f>$I$446</f>
        <v>2</v>
      </c>
      <c r="J516">
        <f>$J$446</f>
        <v>2</v>
      </c>
      <c r="K516">
        <f>$K$446</f>
        <v>2</v>
      </c>
      <c r="L516">
        <f>$L$446</f>
        <v>2</v>
      </c>
      <c r="M516">
        <f>$M$446</f>
        <v>2</v>
      </c>
    </row>
    <row r="517" spans="1:13">
      <c r="A517" t="s">
        <v>2066</v>
      </c>
      <c r="B517" t="s">
        <v>2085</v>
      </c>
      <c r="C517" t="s">
        <v>139</v>
      </c>
      <c r="D517" t="s">
        <v>139</v>
      </c>
      <c r="E517" s="218">
        <f>$E$447</f>
        <v>5.1196599999999998E-4</v>
      </c>
      <c r="F517">
        <f>$F$447</f>
        <v>3</v>
      </c>
      <c r="G517" t="s">
        <v>2073</v>
      </c>
      <c r="H517">
        <f>$H$447</f>
        <v>2</v>
      </c>
      <c r="I517">
        <f>$I$447</f>
        <v>2</v>
      </c>
      <c r="J517">
        <f>$J$447</f>
        <v>2</v>
      </c>
      <c r="K517">
        <f>$K$447</f>
        <v>2</v>
      </c>
      <c r="L517">
        <f>$L$447</f>
        <v>2</v>
      </c>
      <c r="M517">
        <f>$M$482</f>
        <v>2</v>
      </c>
    </row>
    <row r="518" spans="1:13">
      <c r="A518" t="s">
        <v>2066</v>
      </c>
      <c r="B518" t="s">
        <v>225</v>
      </c>
      <c r="C518" t="s">
        <v>139</v>
      </c>
      <c r="D518" t="s">
        <v>139</v>
      </c>
      <c r="E518" s="218">
        <f>$E$448</f>
        <v>0.43983617933303404</v>
      </c>
      <c r="F518">
        <f>$F$448</f>
        <v>2</v>
      </c>
      <c r="G518" t="s">
        <v>2076</v>
      </c>
      <c r="H518">
        <f>$H$448</f>
        <v>1</v>
      </c>
      <c r="I518">
        <f>$I$448</f>
        <v>2</v>
      </c>
      <c r="J518">
        <f>$J$448</f>
        <v>2</v>
      </c>
      <c r="K518">
        <f>$K$448</f>
        <v>1</v>
      </c>
      <c r="L518">
        <f>$L$448</f>
        <v>2</v>
      </c>
      <c r="M518">
        <f>$M$448</f>
        <v>2</v>
      </c>
    </row>
    <row r="519" spans="1:13">
      <c r="A519" t="s">
        <v>2066</v>
      </c>
      <c r="B519" t="s">
        <v>223</v>
      </c>
      <c r="C519" t="s">
        <v>139</v>
      </c>
      <c r="D519" t="s">
        <v>139</v>
      </c>
      <c r="E519" s="218" t="str">
        <f>$E$449</f>
        <v>rest</v>
      </c>
      <c r="F519">
        <f>$F$449</f>
        <v>1</v>
      </c>
      <c r="H519">
        <f>$H$449</f>
        <v>0</v>
      </c>
      <c r="I519">
        <f>$I$449</f>
        <v>0</v>
      </c>
      <c r="J519">
        <f>$J$449</f>
        <v>0</v>
      </c>
      <c r="K519">
        <f>$K$449</f>
        <v>0</v>
      </c>
      <c r="L519">
        <f>$L$449</f>
        <v>0</v>
      </c>
      <c r="M519">
        <f>$M$449</f>
        <v>0</v>
      </c>
    </row>
    <row r="520" spans="1:13">
      <c r="A520" t="s">
        <v>2066</v>
      </c>
      <c r="B520" t="s">
        <v>204</v>
      </c>
      <c r="C520" t="s">
        <v>139</v>
      </c>
      <c r="D520" t="s">
        <v>139</v>
      </c>
      <c r="E520" s="218">
        <f>$E$450</f>
        <v>2.663402000985E-4</v>
      </c>
      <c r="F520">
        <f>$F$450</f>
        <v>2</v>
      </c>
      <c r="G520" t="s">
        <v>43</v>
      </c>
      <c r="H520">
        <f>$H$450</f>
        <v>2</v>
      </c>
      <c r="I520">
        <f>$I$450</f>
        <v>2</v>
      </c>
      <c r="J520">
        <f>$J$450</f>
        <v>2</v>
      </c>
      <c r="K520">
        <f>$K$450</f>
        <v>3</v>
      </c>
      <c r="L520">
        <f>$L$450</f>
        <v>3</v>
      </c>
      <c r="M520">
        <f>$M$450</f>
        <v>3</v>
      </c>
    </row>
    <row r="521" spans="1:13">
      <c r="A521" t="s">
        <v>2067</v>
      </c>
      <c r="B521" t="s">
        <v>2084</v>
      </c>
      <c r="C521" t="s">
        <v>139</v>
      </c>
      <c r="D521" t="s">
        <v>139</v>
      </c>
      <c r="E521" s="218">
        <f>$E$445</f>
        <v>3.0249999999999999E-3</v>
      </c>
      <c r="F521">
        <f>$F$445</f>
        <v>3</v>
      </c>
      <c r="G521" t="s">
        <v>2071</v>
      </c>
      <c r="H521">
        <f>$H$445</f>
        <v>2</v>
      </c>
      <c r="I521">
        <f>$I$445</f>
        <v>2</v>
      </c>
      <c r="J521">
        <f>$J$445</f>
        <v>2</v>
      </c>
      <c r="K521">
        <f>$K$445</f>
        <v>2</v>
      </c>
      <c r="L521">
        <f>$L$445</f>
        <v>2</v>
      </c>
      <c r="M521">
        <f>$M$445</f>
        <v>2</v>
      </c>
    </row>
    <row r="522" spans="1:13">
      <c r="A522" t="s">
        <v>2067</v>
      </c>
      <c r="B522" t="s">
        <v>2083</v>
      </c>
      <c r="C522" t="s">
        <v>139</v>
      </c>
      <c r="D522" t="s">
        <v>139</v>
      </c>
      <c r="E522" s="218">
        <f>$E$446</f>
        <v>1.0017848450000002E-2</v>
      </c>
      <c r="F522">
        <f>$F$446</f>
        <v>3</v>
      </c>
      <c r="G522" t="s">
        <v>2072</v>
      </c>
      <c r="H522">
        <f>$H$446</f>
        <v>2</v>
      </c>
      <c r="I522">
        <f>$I$446</f>
        <v>2</v>
      </c>
      <c r="J522">
        <f>$J$446</f>
        <v>2</v>
      </c>
      <c r="K522">
        <f>$K$446</f>
        <v>2</v>
      </c>
      <c r="L522">
        <f>$L$446</f>
        <v>2</v>
      </c>
      <c r="M522">
        <f>$M$446</f>
        <v>2</v>
      </c>
    </row>
    <row r="523" spans="1:13">
      <c r="A523" t="s">
        <v>2067</v>
      </c>
      <c r="B523" t="s">
        <v>2085</v>
      </c>
      <c r="C523" t="s">
        <v>139</v>
      </c>
      <c r="D523" t="s">
        <v>139</v>
      </c>
      <c r="E523" s="218">
        <f>$E$447</f>
        <v>5.1196599999999998E-4</v>
      </c>
      <c r="F523">
        <f>$F$447</f>
        <v>3</v>
      </c>
      <c r="G523" t="s">
        <v>2073</v>
      </c>
      <c r="H523">
        <f>$H$447</f>
        <v>2</v>
      </c>
      <c r="I523">
        <f>$I$447</f>
        <v>2</v>
      </c>
      <c r="J523">
        <f>$J$447</f>
        <v>2</v>
      </c>
      <c r="K523">
        <f>$K$447</f>
        <v>2</v>
      </c>
      <c r="L523">
        <f>$L$447</f>
        <v>2</v>
      </c>
      <c r="M523">
        <f>$M$482</f>
        <v>2</v>
      </c>
    </row>
    <row r="524" spans="1:13">
      <c r="A524" t="s">
        <v>2067</v>
      </c>
      <c r="B524" t="s">
        <v>225</v>
      </c>
      <c r="C524" t="s">
        <v>139</v>
      </c>
      <c r="D524" t="s">
        <v>139</v>
      </c>
      <c r="E524" s="218">
        <f>$E$448</f>
        <v>0.43983617933303404</v>
      </c>
      <c r="F524">
        <f>$F$448</f>
        <v>2</v>
      </c>
      <c r="G524" t="s">
        <v>2076</v>
      </c>
      <c r="H524">
        <f>$H$448</f>
        <v>1</v>
      </c>
      <c r="I524">
        <f>$I$448</f>
        <v>2</v>
      </c>
      <c r="J524">
        <f>$J$448</f>
        <v>2</v>
      </c>
      <c r="K524">
        <f>$K$448</f>
        <v>1</v>
      </c>
      <c r="L524">
        <f>$L$448</f>
        <v>2</v>
      </c>
      <c r="M524">
        <f>$M$448</f>
        <v>2</v>
      </c>
    </row>
    <row r="525" spans="1:13">
      <c r="A525" t="s">
        <v>2067</v>
      </c>
      <c r="B525" t="s">
        <v>223</v>
      </c>
      <c r="C525" t="s">
        <v>139</v>
      </c>
      <c r="D525" t="s">
        <v>139</v>
      </c>
      <c r="E525" s="218" t="str">
        <f>$E$449</f>
        <v>rest</v>
      </c>
      <c r="F525">
        <f>$F$449</f>
        <v>1</v>
      </c>
      <c r="H525">
        <f>$H$449</f>
        <v>0</v>
      </c>
      <c r="I525">
        <f>$I$449</f>
        <v>0</v>
      </c>
      <c r="J525">
        <f>$J$449</f>
        <v>0</v>
      </c>
      <c r="K525">
        <f>$K$449</f>
        <v>0</v>
      </c>
      <c r="L525">
        <f>$L$449</f>
        <v>0</v>
      </c>
      <c r="M525">
        <f>$M$449</f>
        <v>0</v>
      </c>
    </row>
    <row r="526" spans="1:13">
      <c r="A526" t="s">
        <v>2067</v>
      </c>
      <c r="B526" t="s">
        <v>204</v>
      </c>
      <c r="C526" t="s">
        <v>139</v>
      </c>
      <c r="D526" t="s">
        <v>139</v>
      </c>
      <c r="E526" s="218">
        <f>$E$450</f>
        <v>2.663402000985E-4</v>
      </c>
      <c r="F526">
        <f>$F$450</f>
        <v>2</v>
      </c>
      <c r="G526" t="s">
        <v>43</v>
      </c>
      <c r="H526">
        <f>$H$450</f>
        <v>2</v>
      </c>
      <c r="I526">
        <f>$I$450</f>
        <v>2</v>
      </c>
      <c r="J526">
        <f>$J$450</f>
        <v>2</v>
      </c>
      <c r="K526">
        <f>$K$450</f>
        <v>3</v>
      </c>
      <c r="L526">
        <f>$L$450</f>
        <v>3</v>
      </c>
      <c r="M526">
        <f>$M$450</f>
        <v>3</v>
      </c>
    </row>
    <row r="527" spans="1:13">
      <c r="E527" s="218"/>
    </row>
    <row r="528" spans="1:13" s="224" customFormat="1">
      <c r="A528" s="415" t="s">
        <v>2083</v>
      </c>
      <c r="E528" s="976"/>
    </row>
    <row r="529" spans="1:868">
      <c r="A529" t="s">
        <v>2083</v>
      </c>
      <c r="B529" t="s">
        <v>2086</v>
      </c>
      <c r="C529" t="s">
        <v>139</v>
      </c>
      <c r="D529" t="s">
        <v>139</v>
      </c>
      <c r="E529" s="218">
        <f>E396*E398</f>
        <v>4.9000000000000002E-2</v>
      </c>
      <c r="F529">
        <v>2</v>
      </c>
      <c r="G529" t="s">
        <v>157</v>
      </c>
      <c r="H529">
        <v>3</v>
      </c>
      <c r="I529">
        <v>3</v>
      </c>
      <c r="J529">
        <v>3</v>
      </c>
      <c r="K529">
        <v>3</v>
      </c>
      <c r="L529">
        <v>3</v>
      </c>
      <c r="M529">
        <v>3</v>
      </c>
    </row>
    <row r="530" spans="1:868">
      <c r="A530" t="s">
        <v>2083</v>
      </c>
      <c r="B530" t="s">
        <v>2087</v>
      </c>
      <c r="C530" t="s">
        <v>139</v>
      </c>
      <c r="D530" t="s">
        <v>139</v>
      </c>
      <c r="E530" s="218" t="s">
        <v>150</v>
      </c>
      <c r="F530">
        <v>1</v>
      </c>
      <c r="G530" t="str">
        <f>G396</f>
        <v>Watergebruik CBS (2022)</v>
      </c>
    </row>
    <row r="531" spans="1:868">
      <c r="A531" t="s">
        <v>2083</v>
      </c>
      <c r="B531" t="s">
        <v>2088</v>
      </c>
      <c r="C531" t="s">
        <v>139</v>
      </c>
      <c r="D531" t="s">
        <v>139</v>
      </c>
      <c r="E531" s="218">
        <f>E397</f>
        <v>2.0000000000000018E-2</v>
      </c>
      <c r="F531">
        <v>2</v>
      </c>
      <c r="G531" t="str">
        <f>G397</f>
        <v>Watergebruik CBS (2022)</v>
      </c>
      <c r="H531">
        <v>1</v>
      </c>
      <c r="I531">
        <v>2</v>
      </c>
      <c r="J531">
        <v>1</v>
      </c>
      <c r="K531">
        <v>2</v>
      </c>
      <c r="L531">
        <v>2</v>
      </c>
      <c r="M531">
        <v>2</v>
      </c>
    </row>
    <row r="532" spans="1:868" s="443" customFormat="1">
      <c r="A532" s="443" t="s">
        <v>2086</v>
      </c>
      <c r="B532" s="443" t="s">
        <v>223</v>
      </c>
      <c r="C532" s="443" t="s">
        <v>139</v>
      </c>
      <c r="D532" s="443" t="s">
        <v>139</v>
      </c>
      <c r="E532" s="977">
        <f>E439</f>
        <v>0.25</v>
      </c>
      <c r="F532" s="443">
        <v>2</v>
      </c>
      <c r="G532" s="443" t="str">
        <f>G439</f>
        <v>(Kimmel et al., 2024) - Highest reported fraction of captured fibers</v>
      </c>
      <c r="H532" s="443">
        <v>2</v>
      </c>
      <c r="I532" s="443">
        <v>2</v>
      </c>
      <c r="J532" s="443">
        <v>2</v>
      </c>
      <c r="K532" s="443">
        <v>2</v>
      </c>
      <c r="L532" s="443">
        <v>2</v>
      </c>
      <c r="M532" s="443">
        <v>1</v>
      </c>
    </row>
    <row r="533" spans="1:868" s="443" customFormat="1">
      <c r="A533" s="443" t="s">
        <v>2086</v>
      </c>
      <c r="B533" s="443" t="s">
        <v>223</v>
      </c>
      <c r="C533" s="443" t="s">
        <v>139</v>
      </c>
      <c r="D533" s="443" t="s">
        <v>139</v>
      </c>
      <c r="E533" s="977">
        <f>E440</f>
        <v>0.89</v>
      </c>
      <c r="F533" s="443">
        <v>2</v>
      </c>
      <c r="G533" s="443" t="str">
        <f>G440</f>
        <v>(Kimmel et al., 2024) - Lowest reported fraction of captured fibers</v>
      </c>
      <c r="H533" s="443">
        <v>2</v>
      </c>
      <c r="I533" s="443">
        <v>2</v>
      </c>
      <c r="J533" s="443">
        <v>2</v>
      </c>
      <c r="K533" s="443">
        <v>2</v>
      </c>
      <c r="L533" s="443">
        <v>2</v>
      </c>
      <c r="M533" s="443">
        <v>1</v>
      </c>
    </row>
    <row r="534" spans="1:868" s="443" customFormat="1">
      <c r="A534" s="443" t="s">
        <v>2086</v>
      </c>
      <c r="B534" s="443" t="s">
        <v>232</v>
      </c>
      <c r="C534" s="443" t="s">
        <v>139</v>
      </c>
      <c r="D534" s="443" t="s">
        <v>139</v>
      </c>
      <c r="E534" s="977" t="s">
        <v>150</v>
      </c>
      <c r="F534" s="443">
        <v>1</v>
      </c>
    </row>
    <row r="535" spans="1:868">
      <c r="A535" t="s">
        <v>2087</v>
      </c>
      <c r="B535" t="s">
        <v>232</v>
      </c>
      <c r="C535" t="s">
        <v>139</v>
      </c>
      <c r="D535" t="s">
        <v>139</v>
      </c>
      <c r="E535" s="218">
        <v>1</v>
      </c>
      <c r="F535">
        <v>1</v>
      </c>
      <c r="H535" s="443">
        <v>0</v>
      </c>
      <c r="I535" s="443">
        <v>0</v>
      </c>
      <c r="J535" s="443">
        <v>0</v>
      </c>
      <c r="K535" s="443">
        <v>0</v>
      </c>
      <c r="L535" s="443">
        <v>0</v>
      </c>
      <c r="M535" s="443">
        <v>0</v>
      </c>
    </row>
    <row r="536" spans="1:868">
      <c r="A536" t="s">
        <v>2088</v>
      </c>
      <c r="B536" t="s">
        <v>232</v>
      </c>
      <c r="C536" t="s">
        <v>139</v>
      </c>
      <c r="D536" t="s">
        <v>139</v>
      </c>
      <c r="E536" s="218">
        <v>1</v>
      </c>
      <c r="F536">
        <v>1</v>
      </c>
      <c r="H536" s="443">
        <v>0</v>
      </c>
      <c r="I536" s="443">
        <v>0</v>
      </c>
      <c r="J536" s="443">
        <v>0</v>
      </c>
      <c r="K536" s="443">
        <v>0</v>
      </c>
      <c r="L536" s="443">
        <v>0</v>
      </c>
      <c r="M536" s="443">
        <v>0</v>
      </c>
    </row>
    <row r="537" spans="1:868">
      <c r="A537" s="929"/>
      <c r="B537" s="929"/>
      <c r="C537" s="929"/>
      <c r="D537" s="929"/>
      <c r="E537" s="978"/>
      <c r="F537" s="929"/>
      <c r="G537" s="929"/>
    </row>
    <row r="538" spans="1:868" s="224" customFormat="1">
      <c r="A538" s="415" t="s">
        <v>2084</v>
      </c>
      <c r="E538" s="976"/>
    </row>
    <row r="539" spans="1:868" s="6" customFormat="1">
      <c r="A539" s="152" t="s">
        <v>2084</v>
      </c>
      <c r="B539" s="34" t="s">
        <v>228</v>
      </c>
      <c r="C539" s="40" t="s">
        <v>139</v>
      </c>
      <c r="D539" s="34" t="s">
        <v>139</v>
      </c>
      <c r="E539" s="243">
        <v>0.93</v>
      </c>
      <c r="F539" s="235">
        <v>2</v>
      </c>
      <c r="G539" s="40" t="s">
        <v>163</v>
      </c>
      <c r="H539" s="29">
        <v>2</v>
      </c>
      <c r="I539" s="9">
        <v>2</v>
      </c>
      <c r="J539" s="9">
        <v>2</v>
      </c>
      <c r="K539" s="9">
        <v>1</v>
      </c>
      <c r="L539" s="9">
        <v>2</v>
      </c>
      <c r="M539" s="9">
        <v>2</v>
      </c>
      <c r="N539" s="186">
        <f t="shared" ref="N539:N540" si="54">IF( OR( ISBLANK(H539),ISBLANK(J539), ISBLANK(K539), ISBLANK(L539), ISBLANK(M539) ), "", 1.5*SQRT(   EXP(2.21*(H539-1)) + EXP(2.21*(J539-1)) + EXP(2.21*(K539-1)) + EXP(2.21*(L539-1)) + EXP(2.21*M539)   )/100*2.45 )</f>
        <v>0.38795788889711302</v>
      </c>
      <c r="O539" s="160">
        <f t="shared" ref="O539:O540" si="55">IF( OR( ISBLANK(I539),ISBLANK(J539), ISBLANK(K539), ISBLANK(L539), ISBLANK(M539) ), "", 1.5*SQRT( EXP(2.21*(I539-1)) + EXP(2.21*(J539-1)) + EXP(2.21*(K539-1)) + EXP(2.21*(L539-1)) + EXP(2.21*M539)   )/100*2.45 )</f>
        <v>0.38795788889711302</v>
      </c>
      <c r="P539" s="63"/>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6"/>
      <c r="DF539" s="16"/>
      <c r="DG539" s="16"/>
      <c r="DH539" s="16"/>
      <c r="DI539" s="16"/>
      <c r="DJ539" s="16"/>
      <c r="DK539" s="16"/>
      <c r="DL539" s="16"/>
      <c r="DM539" s="16"/>
      <c r="DN539" s="16"/>
      <c r="DO539" s="16"/>
      <c r="DP539" s="16"/>
      <c r="DQ539" s="16"/>
      <c r="DR539" s="16"/>
      <c r="DS539" s="16"/>
      <c r="DT539" s="16"/>
      <c r="DU539" s="16"/>
      <c r="DV539" s="16"/>
      <c r="DW539" s="16"/>
      <c r="DX539" s="16"/>
      <c r="DY539" s="16"/>
      <c r="DZ539" s="16"/>
      <c r="EA539" s="16"/>
      <c r="EB539" s="16"/>
      <c r="EC539" s="16"/>
      <c r="ED539" s="16"/>
      <c r="EE539" s="16"/>
      <c r="EF539" s="16"/>
      <c r="EG539" s="16"/>
      <c r="EH539" s="16"/>
      <c r="EI539" s="16"/>
      <c r="EJ539" s="16"/>
      <c r="EK539" s="16"/>
      <c r="EL539" s="16"/>
      <c r="EM539" s="16"/>
      <c r="EN539" s="16"/>
      <c r="EO539" s="16"/>
      <c r="EP539" s="16"/>
      <c r="EQ539" s="16"/>
      <c r="ER539" s="16"/>
      <c r="ES539" s="16"/>
      <c r="ET539" s="16"/>
      <c r="EU539" s="16"/>
      <c r="EV539" s="16"/>
      <c r="EW539" s="16"/>
      <c r="EX539" s="16"/>
      <c r="EY539" s="16"/>
      <c r="EZ539" s="16"/>
      <c r="FA539" s="16"/>
      <c r="FB539" s="16"/>
      <c r="FC539" s="16"/>
      <c r="FD539" s="16"/>
      <c r="FE539" s="16"/>
      <c r="FF539" s="16"/>
      <c r="FG539" s="16"/>
      <c r="FH539" s="16"/>
      <c r="FI539" s="16"/>
      <c r="FJ539" s="16"/>
      <c r="FK539" s="16"/>
      <c r="FL539" s="16"/>
      <c r="FM539" s="16"/>
      <c r="FN539" s="16"/>
      <c r="FO539" s="16"/>
      <c r="FP539" s="16"/>
      <c r="FQ539" s="16"/>
      <c r="FR539" s="16"/>
      <c r="FS539" s="16"/>
      <c r="FT539" s="16"/>
      <c r="FU539" s="16"/>
      <c r="FV539" s="16"/>
      <c r="FW539" s="16"/>
      <c r="FX539" s="16"/>
      <c r="FY539" s="16"/>
      <c r="FZ539" s="16"/>
      <c r="GA539" s="16"/>
      <c r="GB539" s="16"/>
      <c r="GC539" s="16"/>
      <c r="GD539" s="16"/>
      <c r="GE539" s="16"/>
      <c r="GF539" s="16"/>
      <c r="GG539" s="16"/>
      <c r="GH539" s="16"/>
      <c r="GI539" s="16"/>
      <c r="GJ539" s="16"/>
      <c r="GK539" s="16"/>
      <c r="GL539" s="16"/>
      <c r="GM539" s="16"/>
      <c r="GN539" s="16"/>
      <c r="GO539" s="16"/>
      <c r="GP539" s="16"/>
      <c r="GQ539" s="16"/>
      <c r="GR539" s="16"/>
      <c r="GS539" s="16"/>
      <c r="GT539" s="16"/>
      <c r="GU539" s="16"/>
      <c r="GV539" s="16"/>
      <c r="GW539" s="16"/>
      <c r="GX539" s="16"/>
      <c r="GY539" s="16"/>
      <c r="GZ539" s="16"/>
      <c r="HA539" s="16"/>
      <c r="HB539" s="16"/>
      <c r="HC539" s="16"/>
      <c r="HD539" s="16"/>
      <c r="HE539" s="16"/>
      <c r="HF539" s="16"/>
      <c r="HG539" s="16"/>
      <c r="HH539" s="16"/>
      <c r="HI539" s="16"/>
      <c r="HJ539" s="16"/>
      <c r="HK539" s="16"/>
      <c r="HL539" s="16"/>
      <c r="HM539" s="16"/>
      <c r="HN539" s="16"/>
      <c r="HO539" s="16"/>
      <c r="HP539" s="16"/>
      <c r="HQ539" s="16"/>
      <c r="HR539" s="16"/>
      <c r="HS539" s="16"/>
      <c r="HT539" s="16"/>
      <c r="HU539" s="16"/>
      <c r="HV539" s="16"/>
      <c r="HW539" s="16"/>
      <c r="HX539" s="16"/>
      <c r="HY539" s="16"/>
      <c r="HZ539" s="16"/>
      <c r="IA539" s="16"/>
      <c r="IB539" s="16"/>
      <c r="IC539" s="16"/>
      <c r="ID539" s="16"/>
      <c r="IE539" s="16"/>
      <c r="IF539" s="16"/>
      <c r="IG539" s="16"/>
      <c r="IH539" s="16"/>
      <c r="II539" s="16"/>
      <c r="IJ539" s="16"/>
      <c r="IK539" s="16"/>
      <c r="IL539" s="16"/>
      <c r="IM539" s="16"/>
      <c r="IN539" s="16"/>
      <c r="IO539" s="16"/>
      <c r="IP539" s="16"/>
      <c r="IQ539" s="16"/>
      <c r="IR539" s="16"/>
      <c r="IS539" s="16"/>
      <c r="IT539" s="16"/>
      <c r="IU539" s="16"/>
      <c r="IV539" s="16"/>
      <c r="IW539" s="16"/>
      <c r="IX539" s="16"/>
      <c r="IY539" s="16"/>
      <c r="IZ539" s="16"/>
      <c r="JA539" s="16"/>
      <c r="JB539" s="16"/>
      <c r="JC539" s="16"/>
      <c r="JD539" s="16"/>
      <c r="JE539" s="16"/>
      <c r="JF539" s="16"/>
      <c r="JG539" s="16"/>
      <c r="JH539" s="16"/>
      <c r="JI539" s="16"/>
      <c r="JJ539" s="16"/>
      <c r="JK539" s="16"/>
      <c r="JL539" s="16"/>
      <c r="JM539" s="16"/>
      <c r="JN539" s="16"/>
      <c r="JO539" s="16"/>
      <c r="JP539" s="16"/>
      <c r="JQ539" s="16"/>
      <c r="JR539" s="16"/>
      <c r="JS539" s="16"/>
      <c r="JT539" s="16"/>
      <c r="JU539" s="16"/>
      <c r="JV539" s="16"/>
      <c r="JW539" s="16"/>
      <c r="JX539" s="16"/>
      <c r="JY539" s="16"/>
      <c r="JZ539" s="16"/>
      <c r="KA539" s="16"/>
      <c r="KB539" s="16"/>
      <c r="KC539" s="16"/>
      <c r="KD539" s="16"/>
      <c r="KE539" s="16"/>
      <c r="KF539" s="16"/>
      <c r="KG539" s="16"/>
      <c r="KH539" s="16"/>
      <c r="KI539" s="16"/>
      <c r="KJ539" s="16"/>
      <c r="KK539" s="16"/>
      <c r="KL539" s="16"/>
      <c r="KM539" s="16"/>
      <c r="KN539" s="16"/>
      <c r="KO539" s="16"/>
      <c r="KP539" s="16"/>
      <c r="KQ539" s="16"/>
      <c r="KR539" s="16"/>
      <c r="KS539" s="16"/>
      <c r="KT539" s="16"/>
      <c r="KU539" s="16"/>
      <c r="KV539" s="16"/>
      <c r="KW539" s="16"/>
      <c r="KX539" s="16"/>
      <c r="KY539" s="16"/>
      <c r="KZ539" s="16"/>
      <c r="LA539" s="16"/>
      <c r="LB539" s="16"/>
      <c r="LC539" s="16"/>
      <c r="LD539" s="16"/>
      <c r="LE539" s="16"/>
      <c r="LF539" s="16"/>
      <c r="LG539" s="16"/>
      <c r="LH539" s="16"/>
      <c r="LI539" s="16"/>
      <c r="LJ539" s="16"/>
      <c r="LK539" s="16"/>
      <c r="LL539" s="16"/>
      <c r="LM539" s="16"/>
      <c r="LN539" s="16"/>
      <c r="LO539" s="16"/>
      <c r="LP539" s="16"/>
      <c r="LQ539" s="16"/>
      <c r="LR539" s="16"/>
      <c r="LS539" s="16"/>
      <c r="LT539" s="16"/>
      <c r="LU539" s="16"/>
      <c r="LV539" s="16"/>
      <c r="LW539" s="16"/>
      <c r="LX539" s="16"/>
      <c r="LY539" s="16"/>
      <c r="LZ539" s="16"/>
      <c r="MA539" s="16"/>
      <c r="MB539" s="16"/>
      <c r="MC539" s="16"/>
      <c r="MD539" s="16"/>
      <c r="ME539" s="16"/>
      <c r="MF539" s="16"/>
      <c r="MG539" s="16"/>
      <c r="MH539" s="16"/>
      <c r="MI539" s="16"/>
      <c r="MJ539" s="16"/>
      <c r="MK539" s="16"/>
      <c r="ML539" s="16"/>
      <c r="MM539" s="16"/>
      <c r="MN539" s="16"/>
      <c r="MO539" s="16"/>
      <c r="MP539" s="16"/>
      <c r="MQ539" s="16"/>
      <c r="MR539" s="16"/>
      <c r="MS539" s="16"/>
      <c r="MT539" s="16"/>
      <c r="MU539" s="16"/>
      <c r="MV539" s="16"/>
      <c r="MW539" s="16"/>
      <c r="MX539" s="16"/>
      <c r="MY539" s="16"/>
      <c r="MZ539" s="16"/>
      <c r="NA539" s="16"/>
      <c r="NB539" s="16"/>
      <c r="NC539" s="16"/>
      <c r="ND539" s="16"/>
      <c r="NE539" s="16"/>
      <c r="NF539" s="16"/>
      <c r="NG539" s="16"/>
      <c r="NH539" s="16"/>
      <c r="NI539" s="16"/>
      <c r="NJ539" s="16"/>
      <c r="NK539" s="16"/>
      <c r="NL539" s="16"/>
      <c r="NM539" s="16"/>
      <c r="NN539" s="16"/>
      <c r="NO539" s="16"/>
      <c r="NP539" s="16"/>
      <c r="NQ539" s="16"/>
      <c r="NR539" s="16"/>
      <c r="NS539" s="16"/>
      <c r="NT539" s="16"/>
      <c r="NU539" s="16"/>
      <c r="NV539" s="16"/>
      <c r="NW539" s="16"/>
      <c r="NX539" s="16"/>
      <c r="NY539" s="16"/>
      <c r="NZ539" s="16"/>
      <c r="OA539" s="16"/>
      <c r="OB539" s="16"/>
      <c r="OC539" s="16"/>
      <c r="OD539" s="16"/>
      <c r="OE539" s="16"/>
      <c r="OF539" s="16"/>
      <c r="OG539" s="16"/>
      <c r="OH539" s="16"/>
      <c r="OI539" s="16"/>
      <c r="OJ539" s="16"/>
      <c r="OK539" s="16"/>
      <c r="OL539" s="16"/>
      <c r="OM539" s="16"/>
      <c r="ON539" s="16"/>
      <c r="OO539" s="16"/>
      <c r="OP539" s="16"/>
      <c r="OQ539" s="16"/>
      <c r="OR539" s="16"/>
      <c r="OS539" s="16"/>
      <c r="OT539" s="16"/>
      <c r="OU539" s="16"/>
      <c r="OV539" s="16"/>
      <c r="OW539" s="16"/>
      <c r="OX539" s="16"/>
      <c r="OY539" s="16"/>
      <c r="OZ539" s="16"/>
      <c r="PA539" s="16"/>
      <c r="PB539" s="16"/>
      <c r="PC539" s="16"/>
      <c r="PD539" s="16"/>
      <c r="PE539" s="16"/>
      <c r="PF539" s="16"/>
      <c r="PG539" s="16"/>
      <c r="PH539" s="16"/>
      <c r="PI539" s="16"/>
      <c r="PJ539" s="16"/>
      <c r="PK539" s="16"/>
      <c r="PL539" s="16"/>
      <c r="PM539" s="16"/>
      <c r="PN539" s="16"/>
      <c r="PO539" s="16"/>
      <c r="PP539" s="16"/>
      <c r="PQ539" s="16"/>
      <c r="PR539" s="16"/>
      <c r="PS539" s="16"/>
      <c r="PT539" s="16"/>
      <c r="PU539" s="16"/>
      <c r="PV539" s="16"/>
      <c r="PW539" s="16"/>
      <c r="PX539" s="16"/>
      <c r="PY539" s="16"/>
      <c r="PZ539" s="16"/>
      <c r="QA539" s="16"/>
      <c r="QB539" s="16"/>
      <c r="QC539" s="16"/>
      <c r="QD539" s="16"/>
      <c r="QE539" s="16"/>
      <c r="QF539" s="16"/>
      <c r="QG539" s="16"/>
      <c r="QH539" s="16"/>
      <c r="QI539" s="16"/>
      <c r="QJ539" s="16"/>
      <c r="QK539" s="16"/>
      <c r="QL539" s="16"/>
      <c r="QM539" s="16"/>
      <c r="QN539" s="16"/>
      <c r="QO539" s="16"/>
      <c r="QP539" s="16"/>
      <c r="QQ539" s="16"/>
      <c r="QR539" s="16"/>
      <c r="QS539" s="16"/>
      <c r="QT539" s="16"/>
      <c r="QU539" s="16"/>
      <c r="QV539" s="16"/>
      <c r="QW539" s="16"/>
      <c r="QX539" s="16"/>
      <c r="QY539" s="16"/>
      <c r="QZ539" s="16"/>
      <c r="RA539" s="16"/>
      <c r="RB539" s="16"/>
      <c r="RC539" s="16"/>
      <c r="RD539" s="16"/>
      <c r="RE539" s="16"/>
      <c r="RF539" s="16"/>
      <c r="RG539" s="16"/>
      <c r="RH539" s="16"/>
      <c r="RI539" s="16"/>
      <c r="RJ539" s="16"/>
      <c r="RK539" s="16"/>
      <c r="RL539" s="16"/>
      <c r="RM539" s="16"/>
      <c r="RN539" s="16"/>
      <c r="RO539" s="16"/>
      <c r="RP539" s="16"/>
      <c r="RQ539" s="16"/>
      <c r="RR539" s="16"/>
      <c r="RS539" s="16"/>
      <c r="RT539" s="16"/>
      <c r="RU539" s="16"/>
      <c r="RV539" s="16"/>
      <c r="RW539" s="16"/>
      <c r="RX539" s="16"/>
      <c r="RY539" s="16"/>
      <c r="RZ539" s="16"/>
      <c r="SA539" s="16"/>
      <c r="SB539" s="16"/>
      <c r="SC539" s="16"/>
      <c r="SD539" s="16"/>
      <c r="SE539" s="16"/>
      <c r="SF539" s="16"/>
      <c r="SG539" s="16"/>
      <c r="SH539" s="16"/>
      <c r="SI539" s="16"/>
      <c r="SJ539" s="16"/>
      <c r="SK539" s="16"/>
      <c r="SL539" s="16"/>
      <c r="SM539" s="16"/>
      <c r="SN539" s="16"/>
      <c r="SO539" s="16"/>
      <c r="SP539" s="16"/>
      <c r="SQ539" s="16"/>
      <c r="SR539" s="16"/>
      <c r="SS539" s="16"/>
      <c r="ST539" s="16"/>
      <c r="SU539" s="16"/>
      <c r="SV539" s="16"/>
      <c r="SW539" s="16"/>
      <c r="SX539" s="16"/>
      <c r="SY539" s="16"/>
      <c r="SZ539" s="16"/>
      <c r="TA539" s="16"/>
      <c r="TB539" s="16"/>
      <c r="TC539" s="16"/>
      <c r="TD539" s="16"/>
      <c r="TE539" s="16"/>
      <c r="TF539" s="16"/>
      <c r="TG539" s="16"/>
      <c r="TH539" s="16"/>
      <c r="TI539" s="16"/>
      <c r="TJ539" s="16"/>
      <c r="TK539" s="16"/>
      <c r="TL539" s="16"/>
      <c r="TM539" s="16"/>
      <c r="TN539" s="16"/>
      <c r="TO539" s="16"/>
      <c r="TP539" s="16"/>
      <c r="TQ539" s="16"/>
      <c r="TR539" s="16"/>
      <c r="TS539" s="16"/>
      <c r="TT539" s="16"/>
      <c r="TU539" s="16"/>
      <c r="TV539" s="16"/>
      <c r="TW539" s="16"/>
      <c r="TX539" s="16"/>
      <c r="TY539" s="16"/>
      <c r="TZ539" s="16"/>
      <c r="UA539" s="16"/>
      <c r="UB539" s="16"/>
      <c r="UC539" s="16"/>
      <c r="UD539" s="16"/>
      <c r="UE539" s="16"/>
      <c r="UF539" s="16"/>
      <c r="UG539" s="16"/>
      <c r="UH539" s="16"/>
      <c r="UI539" s="16"/>
      <c r="UJ539" s="16"/>
      <c r="UK539" s="16"/>
      <c r="UL539" s="16"/>
      <c r="UM539" s="16"/>
      <c r="UN539" s="16"/>
      <c r="UO539" s="16"/>
      <c r="UP539" s="16"/>
      <c r="UQ539" s="16"/>
      <c r="UR539" s="16"/>
      <c r="US539" s="16"/>
      <c r="UT539" s="16"/>
      <c r="UU539" s="16"/>
      <c r="UV539" s="16"/>
      <c r="UW539" s="16"/>
      <c r="UX539" s="16"/>
      <c r="UY539" s="16"/>
      <c r="UZ539" s="16"/>
      <c r="VA539" s="16"/>
      <c r="VB539" s="16"/>
      <c r="VC539" s="16"/>
      <c r="VD539" s="16"/>
      <c r="VE539" s="16"/>
      <c r="VF539" s="16"/>
      <c r="VG539" s="16"/>
      <c r="VH539" s="16"/>
      <c r="VI539" s="16"/>
      <c r="VJ539" s="16"/>
      <c r="VK539" s="16"/>
      <c r="VL539" s="16"/>
      <c r="VM539" s="16"/>
      <c r="VN539" s="16"/>
      <c r="VO539" s="16"/>
      <c r="VP539" s="16"/>
      <c r="VQ539" s="16"/>
      <c r="VR539" s="16"/>
      <c r="VS539" s="16"/>
      <c r="VT539" s="16"/>
      <c r="VU539" s="16"/>
      <c r="VV539" s="16"/>
      <c r="VW539" s="16"/>
      <c r="VX539" s="16"/>
      <c r="VY539" s="16"/>
      <c r="VZ539" s="16"/>
      <c r="WA539" s="16"/>
      <c r="WB539" s="16"/>
      <c r="WC539" s="16"/>
      <c r="WD539" s="16"/>
      <c r="WE539" s="16"/>
      <c r="WF539" s="16"/>
      <c r="WG539" s="16"/>
      <c r="WH539" s="16"/>
      <c r="WI539" s="16"/>
      <c r="WJ539" s="16"/>
      <c r="WK539" s="16"/>
      <c r="WL539" s="16"/>
      <c r="WM539" s="16"/>
      <c r="WN539" s="16"/>
      <c r="WO539" s="16"/>
      <c r="WP539" s="16"/>
      <c r="WQ539" s="16"/>
      <c r="WR539" s="16"/>
      <c r="WS539" s="16"/>
      <c r="WT539" s="16"/>
      <c r="WU539" s="16"/>
      <c r="WV539" s="16"/>
      <c r="WW539" s="16"/>
      <c r="WX539" s="16"/>
      <c r="WY539" s="16"/>
      <c r="WZ539" s="16"/>
      <c r="XA539" s="16"/>
      <c r="XB539" s="16"/>
      <c r="XC539" s="16"/>
      <c r="XD539" s="16"/>
      <c r="XE539" s="16"/>
      <c r="XF539" s="16"/>
      <c r="XG539" s="16"/>
      <c r="XH539" s="16"/>
      <c r="XI539" s="16"/>
      <c r="XJ539" s="16"/>
      <c r="XK539" s="16"/>
      <c r="XL539" s="16"/>
      <c r="XM539" s="16"/>
      <c r="XN539" s="16"/>
      <c r="XO539" s="16"/>
      <c r="XP539" s="16"/>
      <c r="XQ539" s="16"/>
      <c r="XR539" s="16"/>
      <c r="XS539" s="16"/>
      <c r="XT539" s="16"/>
      <c r="XU539" s="16"/>
      <c r="XV539" s="16"/>
      <c r="XW539" s="16"/>
      <c r="XX539" s="16"/>
      <c r="XY539" s="16"/>
      <c r="XZ539" s="16"/>
      <c r="YA539" s="16"/>
      <c r="YB539" s="16"/>
      <c r="YC539" s="16"/>
      <c r="YD539" s="16"/>
      <c r="YE539" s="16"/>
      <c r="YF539" s="16"/>
      <c r="YG539" s="16"/>
      <c r="YH539" s="16"/>
      <c r="YI539" s="16"/>
      <c r="YJ539" s="16"/>
      <c r="YK539" s="16"/>
      <c r="YL539" s="16"/>
      <c r="YM539" s="16"/>
      <c r="YN539" s="16"/>
      <c r="YO539" s="16"/>
      <c r="YP539" s="16"/>
      <c r="YQ539" s="16"/>
      <c r="YR539" s="16"/>
      <c r="YS539" s="16"/>
      <c r="YT539" s="16"/>
      <c r="YU539" s="16"/>
      <c r="YV539" s="16"/>
      <c r="YW539" s="16"/>
      <c r="YX539" s="16"/>
      <c r="YY539" s="16"/>
      <c r="YZ539" s="16"/>
      <c r="ZA539" s="16"/>
      <c r="ZB539" s="16"/>
      <c r="ZC539" s="16"/>
      <c r="ZD539" s="16"/>
      <c r="ZE539" s="16"/>
      <c r="ZF539" s="16"/>
      <c r="ZG539" s="16"/>
      <c r="ZH539" s="16"/>
      <c r="ZI539" s="16"/>
      <c r="ZJ539" s="16"/>
      <c r="ZK539" s="16"/>
      <c r="ZL539" s="16"/>
      <c r="ZM539" s="16"/>
      <c r="ZN539" s="16"/>
      <c r="ZO539" s="16"/>
      <c r="ZP539" s="16"/>
      <c r="ZQ539" s="16"/>
      <c r="ZR539" s="16"/>
      <c r="ZS539" s="16"/>
      <c r="ZT539" s="16"/>
      <c r="ZU539" s="16"/>
      <c r="ZV539" s="16"/>
      <c r="ZW539" s="16"/>
      <c r="ZX539" s="16"/>
      <c r="ZY539" s="16"/>
      <c r="ZZ539" s="16"/>
      <c r="AAA539" s="16"/>
      <c r="AAB539" s="16"/>
      <c r="AAC539" s="16"/>
      <c r="AAD539" s="16"/>
      <c r="AAE539" s="16"/>
      <c r="AAF539" s="16"/>
      <c r="AAG539" s="16"/>
      <c r="AAH539" s="16"/>
      <c r="AAI539" s="16"/>
      <c r="AAJ539" s="16"/>
      <c r="AAK539" s="16"/>
      <c r="AAL539" s="16"/>
      <c r="AAM539" s="16"/>
      <c r="AAN539" s="16"/>
      <c r="AAO539" s="16"/>
      <c r="AAP539" s="16"/>
      <c r="AAQ539" s="16"/>
      <c r="AAR539" s="16"/>
      <c r="AAS539" s="16"/>
      <c r="AAT539" s="16"/>
      <c r="AAU539" s="16"/>
      <c r="AAV539" s="16"/>
      <c r="AAW539" s="16"/>
      <c r="AAX539" s="16"/>
      <c r="AAY539" s="16"/>
      <c r="AAZ539" s="16"/>
      <c r="ABA539" s="16"/>
      <c r="ABB539" s="16"/>
      <c r="ABC539" s="16"/>
      <c r="ABD539" s="16"/>
      <c r="ABE539" s="16"/>
      <c r="ABF539" s="16"/>
      <c r="ABG539" s="16"/>
      <c r="ABH539" s="16"/>
      <c r="ABI539" s="16"/>
      <c r="ABJ539" s="16"/>
      <c r="ABK539" s="16"/>
      <c r="ABL539" s="16"/>
      <c r="ABM539" s="16"/>
      <c r="ABN539" s="16"/>
      <c r="ABO539" s="16"/>
      <c r="ABP539" s="16"/>
      <c r="ABQ539" s="16"/>
      <c r="ABR539" s="16"/>
      <c r="ABS539" s="16"/>
      <c r="ABT539" s="16"/>
      <c r="ABU539" s="16"/>
      <c r="ABV539" s="16"/>
      <c r="ABW539" s="16"/>
      <c r="ABX539" s="16"/>
      <c r="ABY539" s="16"/>
      <c r="ABZ539" s="16"/>
      <c r="ACA539" s="16"/>
      <c r="ACB539" s="16"/>
      <c r="ACC539" s="16"/>
      <c r="ACD539" s="16"/>
      <c r="ACE539" s="16"/>
      <c r="ACF539" s="16"/>
      <c r="ACG539" s="16"/>
      <c r="ACH539" s="16"/>
      <c r="ACI539" s="16"/>
      <c r="ACJ539" s="16"/>
      <c r="ACK539" s="16"/>
      <c r="ACL539" s="16"/>
      <c r="ACM539" s="16"/>
      <c r="ACN539" s="16"/>
      <c r="ACO539" s="16"/>
      <c r="ACP539" s="16"/>
      <c r="ACQ539" s="16"/>
      <c r="ACR539" s="16"/>
      <c r="ACS539" s="16"/>
      <c r="ACT539" s="16"/>
      <c r="ACU539" s="16"/>
      <c r="ACV539" s="16"/>
      <c r="ACW539" s="16"/>
      <c r="ACX539" s="16"/>
      <c r="ACY539" s="16"/>
      <c r="ACZ539" s="16"/>
      <c r="ADA539" s="16"/>
      <c r="ADB539" s="16"/>
      <c r="ADC539" s="16"/>
      <c r="ADD539" s="16"/>
      <c r="ADE539" s="16"/>
      <c r="ADF539" s="16"/>
      <c r="ADG539" s="16"/>
      <c r="ADH539" s="16"/>
      <c r="ADI539" s="16"/>
      <c r="ADJ539" s="16"/>
      <c r="ADK539" s="16"/>
      <c r="ADL539" s="16"/>
      <c r="ADM539" s="16"/>
      <c r="ADN539" s="16"/>
      <c r="ADO539" s="16"/>
      <c r="ADP539" s="16"/>
      <c r="ADQ539" s="16"/>
      <c r="ADR539" s="16"/>
      <c r="ADS539" s="16"/>
      <c r="ADT539" s="16"/>
      <c r="ADU539" s="16"/>
      <c r="ADV539" s="16"/>
      <c r="ADW539" s="16"/>
      <c r="ADX539" s="16"/>
      <c r="ADY539" s="16"/>
      <c r="ADZ539" s="16"/>
      <c r="AEA539" s="16"/>
      <c r="AEB539" s="16"/>
      <c r="AEC539" s="16"/>
      <c r="AED539" s="16"/>
      <c r="AEE539" s="16"/>
      <c r="AEF539" s="16"/>
      <c r="AEG539" s="16"/>
      <c r="AEH539" s="16"/>
      <c r="AEI539" s="16"/>
      <c r="AEJ539" s="16"/>
      <c r="AEK539" s="16"/>
      <c r="AEL539" s="16"/>
      <c r="AEM539" s="16"/>
      <c r="AEN539" s="16"/>
      <c r="AEO539" s="16"/>
      <c r="AEP539" s="16"/>
      <c r="AEQ539" s="16"/>
      <c r="AER539" s="16"/>
      <c r="AES539" s="16"/>
      <c r="AET539" s="16"/>
      <c r="AEU539" s="16"/>
      <c r="AEV539" s="16"/>
      <c r="AEW539" s="16"/>
      <c r="AEX539" s="16"/>
      <c r="AEY539" s="16"/>
      <c r="AEZ539" s="16"/>
      <c r="AFA539" s="16"/>
      <c r="AFB539" s="16"/>
      <c r="AFC539" s="16"/>
      <c r="AFD539" s="16"/>
      <c r="AFE539" s="16"/>
      <c r="AFF539" s="16"/>
      <c r="AFG539" s="16"/>
      <c r="AFH539" s="16"/>
      <c r="AFI539" s="16"/>
      <c r="AFJ539" s="16"/>
      <c r="AFK539" s="16"/>
      <c r="AFL539" s="16"/>
      <c r="AFM539" s="16"/>
      <c r="AFN539" s="16"/>
      <c r="AFO539" s="16"/>
      <c r="AFP539" s="16"/>
      <c r="AFQ539" s="16"/>
      <c r="AFR539" s="16"/>
      <c r="AFS539" s="16"/>
      <c r="AFT539" s="16"/>
      <c r="AFU539" s="16"/>
      <c r="AFV539" s="16"/>
      <c r="AFW539" s="16"/>
      <c r="AFX539" s="16"/>
      <c r="AFY539" s="16"/>
      <c r="AFZ539" s="16"/>
      <c r="AGA539" s="16"/>
      <c r="AGB539" s="16"/>
      <c r="AGC539" s="16"/>
      <c r="AGD539" s="16"/>
      <c r="AGE539" s="16"/>
      <c r="AGF539" s="16"/>
      <c r="AGG539" s="16"/>
      <c r="AGH539" s="16"/>
      <c r="AGI539" s="16"/>
      <c r="AGJ539" s="16"/>
    </row>
    <row r="540" spans="1:868" s="6" customFormat="1">
      <c r="A540" s="152" t="s">
        <v>2084</v>
      </c>
      <c r="B540" s="34" t="s">
        <v>231</v>
      </c>
      <c r="C540" s="40" t="s">
        <v>139</v>
      </c>
      <c r="D540" s="34" t="s">
        <v>139</v>
      </c>
      <c r="E540" s="243" t="s">
        <v>150</v>
      </c>
      <c r="F540" s="235">
        <v>1</v>
      </c>
      <c r="G540" s="40" t="s">
        <v>163</v>
      </c>
      <c r="H540" s="29"/>
      <c r="I540" s="9"/>
      <c r="J540" s="9"/>
      <c r="K540" s="9"/>
      <c r="L540" s="9"/>
      <c r="M540" s="9"/>
      <c r="N540" s="186" t="str">
        <f t="shared" si="54"/>
        <v/>
      </c>
      <c r="O540" s="160" t="str">
        <f t="shared" si="55"/>
        <v/>
      </c>
      <c r="P540" s="63"/>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6"/>
      <c r="DF540" s="16"/>
      <c r="DG540" s="16"/>
      <c r="DH540" s="16"/>
      <c r="DI540" s="16"/>
      <c r="DJ540" s="16"/>
      <c r="DK540" s="16"/>
      <c r="DL540" s="16"/>
      <c r="DM540" s="16"/>
      <c r="DN540" s="16"/>
      <c r="DO540" s="16"/>
      <c r="DP540" s="16"/>
      <c r="DQ540" s="16"/>
      <c r="DR540" s="16"/>
      <c r="DS540" s="16"/>
      <c r="DT540" s="16"/>
      <c r="DU540" s="16"/>
      <c r="DV540" s="16"/>
      <c r="DW540" s="16"/>
      <c r="DX540" s="16"/>
      <c r="DY540" s="16"/>
      <c r="DZ540" s="16"/>
      <c r="EA540" s="16"/>
      <c r="EB540" s="16"/>
      <c r="EC540" s="16"/>
      <c r="ED540" s="16"/>
      <c r="EE540" s="16"/>
      <c r="EF540" s="16"/>
      <c r="EG540" s="16"/>
      <c r="EH540" s="16"/>
      <c r="EI540" s="16"/>
      <c r="EJ540" s="16"/>
      <c r="EK540" s="16"/>
      <c r="EL540" s="16"/>
      <c r="EM540" s="16"/>
      <c r="EN540" s="16"/>
      <c r="EO540" s="16"/>
      <c r="EP540" s="16"/>
      <c r="EQ540" s="16"/>
      <c r="ER540" s="16"/>
      <c r="ES540" s="16"/>
      <c r="ET540" s="16"/>
      <c r="EU540" s="16"/>
      <c r="EV540" s="16"/>
      <c r="EW540" s="16"/>
      <c r="EX540" s="16"/>
      <c r="EY540" s="16"/>
      <c r="EZ540" s="16"/>
      <c r="FA540" s="16"/>
      <c r="FB540" s="16"/>
      <c r="FC540" s="16"/>
      <c r="FD540" s="16"/>
      <c r="FE540" s="16"/>
      <c r="FF540" s="16"/>
      <c r="FG540" s="16"/>
      <c r="FH540" s="16"/>
      <c r="FI540" s="16"/>
      <c r="FJ540" s="16"/>
      <c r="FK540" s="16"/>
      <c r="FL540" s="16"/>
      <c r="FM540" s="16"/>
      <c r="FN540" s="16"/>
      <c r="FO540" s="16"/>
      <c r="FP540" s="16"/>
      <c r="FQ540" s="16"/>
      <c r="FR540" s="16"/>
      <c r="FS540" s="16"/>
      <c r="FT540" s="16"/>
      <c r="FU540" s="16"/>
      <c r="FV540" s="16"/>
      <c r="FW540" s="16"/>
      <c r="FX540" s="16"/>
      <c r="FY540" s="16"/>
      <c r="FZ540" s="16"/>
      <c r="GA540" s="16"/>
      <c r="GB540" s="16"/>
      <c r="GC540" s="16"/>
      <c r="GD540" s="16"/>
      <c r="GE540" s="16"/>
      <c r="GF540" s="16"/>
      <c r="GG540" s="16"/>
      <c r="GH540" s="16"/>
      <c r="GI540" s="16"/>
      <c r="GJ540" s="16"/>
      <c r="GK540" s="16"/>
      <c r="GL540" s="16"/>
      <c r="GM540" s="16"/>
      <c r="GN540" s="16"/>
      <c r="GO540" s="16"/>
      <c r="GP540" s="16"/>
      <c r="GQ540" s="16"/>
      <c r="GR540" s="16"/>
      <c r="GS540" s="16"/>
      <c r="GT540" s="16"/>
      <c r="GU540" s="16"/>
      <c r="GV540" s="16"/>
      <c r="GW540" s="16"/>
      <c r="GX540" s="16"/>
      <c r="GY540" s="16"/>
      <c r="GZ540" s="16"/>
      <c r="HA540" s="16"/>
      <c r="HB540" s="16"/>
      <c r="HC540" s="16"/>
      <c r="HD540" s="16"/>
      <c r="HE540" s="16"/>
      <c r="HF540" s="16"/>
      <c r="HG540" s="16"/>
      <c r="HH540" s="16"/>
      <c r="HI540" s="16"/>
      <c r="HJ540" s="16"/>
      <c r="HK540" s="16"/>
      <c r="HL540" s="16"/>
      <c r="HM540" s="16"/>
      <c r="HN540" s="16"/>
      <c r="HO540" s="16"/>
      <c r="HP540" s="16"/>
      <c r="HQ540" s="16"/>
      <c r="HR540" s="16"/>
      <c r="HS540" s="16"/>
      <c r="HT540" s="16"/>
      <c r="HU540" s="16"/>
      <c r="HV540" s="16"/>
      <c r="HW540" s="16"/>
      <c r="HX540" s="16"/>
      <c r="HY540" s="16"/>
      <c r="HZ540" s="16"/>
      <c r="IA540" s="16"/>
      <c r="IB540" s="16"/>
      <c r="IC540" s="16"/>
      <c r="ID540" s="16"/>
      <c r="IE540" s="16"/>
      <c r="IF540" s="16"/>
      <c r="IG540" s="16"/>
      <c r="IH540" s="16"/>
      <c r="II540" s="16"/>
      <c r="IJ540" s="16"/>
      <c r="IK540" s="16"/>
      <c r="IL540" s="16"/>
      <c r="IM540" s="16"/>
      <c r="IN540" s="16"/>
      <c r="IO540" s="16"/>
      <c r="IP540" s="16"/>
      <c r="IQ540" s="16"/>
      <c r="IR540" s="16"/>
      <c r="IS540" s="16"/>
      <c r="IT540" s="16"/>
      <c r="IU540" s="16"/>
      <c r="IV540" s="16"/>
      <c r="IW540" s="16"/>
      <c r="IX540" s="16"/>
      <c r="IY540" s="16"/>
      <c r="IZ540" s="16"/>
      <c r="JA540" s="16"/>
      <c r="JB540" s="16"/>
      <c r="JC540" s="16"/>
      <c r="JD540" s="16"/>
      <c r="JE540" s="16"/>
      <c r="JF540" s="16"/>
      <c r="JG540" s="16"/>
      <c r="JH540" s="16"/>
      <c r="JI540" s="16"/>
      <c r="JJ540" s="16"/>
      <c r="JK540" s="16"/>
      <c r="JL540" s="16"/>
      <c r="JM540" s="16"/>
      <c r="JN540" s="16"/>
      <c r="JO540" s="16"/>
      <c r="JP540" s="16"/>
      <c r="JQ540" s="16"/>
      <c r="JR540" s="16"/>
      <c r="JS540" s="16"/>
      <c r="JT540" s="16"/>
      <c r="JU540" s="16"/>
      <c r="JV540" s="16"/>
      <c r="JW540" s="16"/>
      <c r="JX540" s="16"/>
      <c r="JY540" s="16"/>
      <c r="JZ540" s="16"/>
      <c r="KA540" s="16"/>
      <c r="KB540" s="16"/>
      <c r="KC540" s="16"/>
      <c r="KD540" s="16"/>
      <c r="KE540" s="16"/>
      <c r="KF540" s="16"/>
      <c r="KG540" s="16"/>
      <c r="KH540" s="16"/>
      <c r="KI540" s="16"/>
      <c r="KJ540" s="16"/>
      <c r="KK540" s="16"/>
      <c r="KL540" s="16"/>
      <c r="KM540" s="16"/>
      <c r="KN540" s="16"/>
      <c r="KO540" s="16"/>
      <c r="KP540" s="16"/>
      <c r="KQ540" s="16"/>
      <c r="KR540" s="16"/>
      <c r="KS540" s="16"/>
      <c r="KT540" s="16"/>
      <c r="KU540" s="16"/>
      <c r="KV540" s="16"/>
      <c r="KW540" s="16"/>
      <c r="KX540" s="16"/>
      <c r="KY540" s="16"/>
      <c r="KZ540" s="16"/>
      <c r="LA540" s="16"/>
      <c r="LB540" s="16"/>
      <c r="LC540" s="16"/>
      <c r="LD540" s="16"/>
      <c r="LE540" s="16"/>
      <c r="LF540" s="16"/>
      <c r="LG540" s="16"/>
      <c r="LH540" s="16"/>
      <c r="LI540" s="16"/>
      <c r="LJ540" s="16"/>
      <c r="LK540" s="16"/>
      <c r="LL540" s="16"/>
      <c r="LM540" s="16"/>
      <c r="LN540" s="16"/>
      <c r="LO540" s="16"/>
      <c r="LP540" s="16"/>
      <c r="LQ540" s="16"/>
      <c r="LR540" s="16"/>
      <c r="LS540" s="16"/>
      <c r="LT540" s="16"/>
      <c r="LU540" s="16"/>
      <c r="LV540" s="16"/>
      <c r="LW540" s="16"/>
      <c r="LX540" s="16"/>
      <c r="LY540" s="16"/>
      <c r="LZ540" s="16"/>
      <c r="MA540" s="16"/>
      <c r="MB540" s="16"/>
      <c r="MC540" s="16"/>
      <c r="MD540" s="16"/>
      <c r="ME540" s="16"/>
      <c r="MF540" s="16"/>
      <c r="MG540" s="16"/>
      <c r="MH540" s="16"/>
      <c r="MI540" s="16"/>
      <c r="MJ540" s="16"/>
      <c r="MK540" s="16"/>
      <c r="ML540" s="16"/>
      <c r="MM540" s="16"/>
      <c r="MN540" s="16"/>
      <c r="MO540" s="16"/>
      <c r="MP540" s="16"/>
      <c r="MQ540" s="16"/>
      <c r="MR540" s="16"/>
      <c r="MS540" s="16"/>
      <c r="MT540" s="16"/>
      <c r="MU540" s="16"/>
      <c r="MV540" s="16"/>
      <c r="MW540" s="16"/>
      <c r="MX540" s="16"/>
      <c r="MY540" s="16"/>
      <c r="MZ540" s="16"/>
      <c r="NA540" s="16"/>
      <c r="NB540" s="16"/>
      <c r="NC540" s="16"/>
      <c r="ND540" s="16"/>
      <c r="NE540" s="16"/>
      <c r="NF540" s="16"/>
      <c r="NG540" s="16"/>
      <c r="NH540" s="16"/>
      <c r="NI540" s="16"/>
      <c r="NJ540" s="16"/>
      <c r="NK540" s="16"/>
      <c r="NL540" s="16"/>
      <c r="NM540" s="16"/>
      <c r="NN540" s="16"/>
      <c r="NO540" s="16"/>
      <c r="NP540" s="16"/>
      <c r="NQ540" s="16"/>
      <c r="NR540" s="16"/>
      <c r="NS540" s="16"/>
      <c r="NT540" s="16"/>
      <c r="NU540" s="16"/>
      <c r="NV540" s="16"/>
      <c r="NW540" s="16"/>
      <c r="NX540" s="16"/>
      <c r="NY540" s="16"/>
      <c r="NZ540" s="16"/>
      <c r="OA540" s="16"/>
      <c r="OB540" s="16"/>
      <c r="OC540" s="16"/>
      <c r="OD540" s="16"/>
      <c r="OE540" s="16"/>
      <c r="OF540" s="16"/>
      <c r="OG540" s="16"/>
      <c r="OH540" s="16"/>
      <c r="OI540" s="16"/>
      <c r="OJ540" s="16"/>
      <c r="OK540" s="16"/>
      <c r="OL540" s="16"/>
      <c r="OM540" s="16"/>
      <c r="ON540" s="16"/>
      <c r="OO540" s="16"/>
      <c r="OP540" s="16"/>
      <c r="OQ540" s="16"/>
      <c r="OR540" s="16"/>
      <c r="OS540" s="16"/>
      <c r="OT540" s="16"/>
      <c r="OU540" s="16"/>
      <c r="OV540" s="16"/>
      <c r="OW540" s="16"/>
      <c r="OX540" s="16"/>
      <c r="OY540" s="16"/>
      <c r="OZ540" s="16"/>
      <c r="PA540" s="16"/>
      <c r="PB540" s="16"/>
      <c r="PC540" s="16"/>
      <c r="PD540" s="16"/>
      <c r="PE540" s="16"/>
      <c r="PF540" s="16"/>
      <c r="PG540" s="16"/>
      <c r="PH540" s="16"/>
      <c r="PI540" s="16"/>
      <c r="PJ540" s="16"/>
      <c r="PK540" s="16"/>
      <c r="PL540" s="16"/>
      <c r="PM540" s="16"/>
      <c r="PN540" s="16"/>
      <c r="PO540" s="16"/>
      <c r="PP540" s="16"/>
      <c r="PQ540" s="16"/>
      <c r="PR540" s="16"/>
      <c r="PS540" s="16"/>
      <c r="PT540" s="16"/>
      <c r="PU540" s="16"/>
      <c r="PV540" s="16"/>
      <c r="PW540" s="16"/>
      <c r="PX540" s="16"/>
      <c r="PY540" s="16"/>
      <c r="PZ540" s="16"/>
      <c r="QA540" s="16"/>
      <c r="QB540" s="16"/>
      <c r="QC540" s="16"/>
      <c r="QD540" s="16"/>
      <c r="QE540" s="16"/>
      <c r="QF540" s="16"/>
      <c r="QG540" s="16"/>
      <c r="QH540" s="16"/>
      <c r="QI540" s="16"/>
      <c r="QJ540" s="16"/>
      <c r="QK540" s="16"/>
      <c r="QL540" s="16"/>
      <c r="QM540" s="16"/>
      <c r="QN540" s="16"/>
      <c r="QO540" s="16"/>
      <c r="QP540" s="16"/>
      <c r="QQ540" s="16"/>
      <c r="QR540" s="16"/>
      <c r="QS540" s="16"/>
      <c r="QT540" s="16"/>
      <c r="QU540" s="16"/>
      <c r="QV540" s="16"/>
      <c r="QW540" s="16"/>
      <c r="QX540" s="16"/>
      <c r="QY540" s="16"/>
      <c r="QZ540" s="16"/>
      <c r="RA540" s="16"/>
      <c r="RB540" s="16"/>
      <c r="RC540" s="16"/>
      <c r="RD540" s="16"/>
      <c r="RE540" s="16"/>
      <c r="RF540" s="16"/>
      <c r="RG540" s="16"/>
      <c r="RH540" s="16"/>
      <c r="RI540" s="16"/>
      <c r="RJ540" s="16"/>
      <c r="RK540" s="16"/>
      <c r="RL540" s="16"/>
      <c r="RM540" s="16"/>
      <c r="RN540" s="16"/>
      <c r="RO540" s="16"/>
      <c r="RP540" s="16"/>
      <c r="RQ540" s="16"/>
      <c r="RR540" s="16"/>
      <c r="RS540" s="16"/>
      <c r="RT540" s="16"/>
      <c r="RU540" s="16"/>
      <c r="RV540" s="16"/>
      <c r="RW540" s="16"/>
      <c r="RX540" s="16"/>
      <c r="RY540" s="16"/>
      <c r="RZ540" s="16"/>
      <c r="SA540" s="16"/>
      <c r="SB540" s="16"/>
      <c r="SC540" s="16"/>
      <c r="SD540" s="16"/>
      <c r="SE540" s="16"/>
      <c r="SF540" s="16"/>
      <c r="SG540" s="16"/>
      <c r="SH540" s="16"/>
      <c r="SI540" s="16"/>
      <c r="SJ540" s="16"/>
      <c r="SK540" s="16"/>
      <c r="SL540" s="16"/>
      <c r="SM540" s="16"/>
      <c r="SN540" s="16"/>
      <c r="SO540" s="16"/>
      <c r="SP540" s="16"/>
      <c r="SQ540" s="16"/>
      <c r="SR540" s="16"/>
      <c r="SS540" s="16"/>
      <c r="ST540" s="16"/>
      <c r="SU540" s="16"/>
      <c r="SV540" s="16"/>
      <c r="SW540" s="16"/>
      <c r="SX540" s="16"/>
      <c r="SY540" s="16"/>
      <c r="SZ540" s="16"/>
      <c r="TA540" s="16"/>
      <c r="TB540" s="16"/>
      <c r="TC540" s="16"/>
      <c r="TD540" s="16"/>
      <c r="TE540" s="16"/>
      <c r="TF540" s="16"/>
      <c r="TG540" s="16"/>
      <c r="TH540" s="16"/>
      <c r="TI540" s="16"/>
      <c r="TJ540" s="16"/>
      <c r="TK540" s="16"/>
      <c r="TL540" s="16"/>
      <c r="TM540" s="16"/>
      <c r="TN540" s="16"/>
      <c r="TO540" s="16"/>
      <c r="TP540" s="16"/>
      <c r="TQ540" s="16"/>
      <c r="TR540" s="16"/>
      <c r="TS540" s="16"/>
      <c r="TT540" s="16"/>
      <c r="TU540" s="16"/>
      <c r="TV540" s="16"/>
      <c r="TW540" s="16"/>
      <c r="TX540" s="16"/>
      <c r="TY540" s="16"/>
      <c r="TZ540" s="16"/>
      <c r="UA540" s="16"/>
      <c r="UB540" s="16"/>
      <c r="UC540" s="16"/>
      <c r="UD540" s="16"/>
      <c r="UE540" s="16"/>
      <c r="UF540" s="16"/>
      <c r="UG540" s="16"/>
      <c r="UH540" s="16"/>
      <c r="UI540" s="16"/>
      <c r="UJ540" s="16"/>
      <c r="UK540" s="16"/>
      <c r="UL540" s="16"/>
      <c r="UM540" s="16"/>
      <c r="UN540" s="16"/>
      <c r="UO540" s="16"/>
      <c r="UP540" s="16"/>
      <c r="UQ540" s="16"/>
      <c r="UR540" s="16"/>
      <c r="US540" s="16"/>
      <c r="UT540" s="16"/>
      <c r="UU540" s="16"/>
      <c r="UV540" s="16"/>
      <c r="UW540" s="16"/>
      <c r="UX540" s="16"/>
      <c r="UY540" s="16"/>
      <c r="UZ540" s="16"/>
      <c r="VA540" s="16"/>
      <c r="VB540" s="16"/>
      <c r="VC540" s="16"/>
      <c r="VD540" s="16"/>
      <c r="VE540" s="16"/>
      <c r="VF540" s="16"/>
      <c r="VG540" s="16"/>
      <c r="VH540" s="16"/>
      <c r="VI540" s="16"/>
      <c r="VJ540" s="16"/>
      <c r="VK540" s="16"/>
      <c r="VL540" s="16"/>
      <c r="VM540" s="16"/>
      <c r="VN540" s="16"/>
      <c r="VO540" s="16"/>
      <c r="VP540" s="16"/>
      <c r="VQ540" s="16"/>
      <c r="VR540" s="16"/>
      <c r="VS540" s="16"/>
      <c r="VT540" s="16"/>
      <c r="VU540" s="16"/>
      <c r="VV540" s="16"/>
      <c r="VW540" s="16"/>
      <c r="VX540" s="16"/>
      <c r="VY540" s="16"/>
      <c r="VZ540" s="16"/>
      <c r="WA540" s="16"/>
      <c r="WB540" s="16"/>
      <c r="WC540" s="16"/>
      <c r="WD540" s="16"/>
      <c r="WE540" s="16"/>
      <c r="WF540" s="16"/>
      <c r="WG540" s="16"/>
      <c r="WH540" s="16"/>
      <c r="WI540" s="16"/>
      <c r="WJ540" s="16"/>
      <c r="WK540" s="16"/>
      <c r="WL540" s="16"/>
      <c r="WM540" s="16"/>
      <c r="WN540" s="16"/>
      <c r="WO540" s="16"/>
      <c r="WP540" s="16"/>
      <c r="WQ540" s="16"/>
      <c r="WR540" s="16"/>
      <c r="WS540" s="16"/>
      <c r="WT540" s="16"/>
      <c r="WU540" s="16"/>
      <c r="WV540" s="16"/>
      <c r="WW540" s="16"/>
      <c r="WX540" s="16"/>
      <c r="WY540" s="16"/>
      <c r="WZ540" s="16"/>
      <c r="XA540" s="16"/>
      <c r="XB540" s="16"/>
      <c r="XC540" s="16"/>
      <c r="XD540" s="16"/>
      <c r="XE540" s="16"/>
      <c r="XF540" s="16"/>
      <c r="XG540" s="16"/>
      <c r="XH540" s="16"/>
      <c r="XI540" s="16"/>
      <c r="XJ540" s="16"/>
      <c r="XK540" s="16"/>
      <c r="XL540" s="16"/>
      <c r="XM540" s="16"/>
      <c r="XN540" s="16"/>
      <c r="XO540" s="16"/>
      <c r="XP540" s="16"/>
      <c r="XQ540" s="16"/>
      <c r="XR540" s="16"/>
      <c r="XS540" s="16"/>
      <c r="XT540" s="16"/>
      <c r="XU540" s="16"/>
      <c r="XV540" s="16"/>
      <c r="XW540" s="16"/>
      <c r="XX540" s="16"/>
      <c r="XY540" s="16"/>
      <c r="XZ540" s="16"/>
      <c r="YA540" s="16"/>
      <c r="YB540" s="16"/>
      <c r="YC540" s="16"/>
      <c r="YD540" s="16"/>
      <c r="YE540" s="16"/>
      <c r="YF540" s="16"/>
      <c r="YG540" s="16"/>
      <c r="YH540" s="16"/>
      <c r="YI540" s="16"/>
      <c r="YJ540" s="16"/>
      <c r="YK540" s="16"/>
      <c r="YL540" s="16"/>
      <c r="YM540" s="16"/>
      <c r="YN540" s="16"/>
      <c r="YO540" s="16"/>
      <c r="YP540" s="16"/>
      <c r="YQ540" s="16"/>
      <c r="YR540" s="16"/>
      <c r="YS540" s="16"/>
      <c r="YT540" s="16"/>
      <c r="YU540" s="16"/>
      <c r="YV540" s="16"/>
      <c r="YW540" s="16"/>
      <c r="YX540" s="16"/>
      <c r="YY540" s="16"/>
      <c r="YZ540" s="16"/>
      <c r="ZA540" s="16"/>
      <c r="ZB540" s="16"/>
      <c r="ZC540" s="16"/>
      <c r="ZD540" s="16"/>
      <c r="ZE540" s="16"/>
      <c r="ZF540" s="16"/>
      <c r="ZG540" s="16"/>
      <c r="ZH540" s="16"/>
      <c r="ZI540" s="16"/>
      <c r="ZJ540" s="16"/>
      <c r="ZK540" s="16"/>
      <c r="ZL540" s="16"/>
      <c r="ZM540" s="16"/>
      <c r="ZN540" s="16"/>
      <c r="ZO540" s="16"/>
      <c r="ZP540" s="16"/>
      <c r="ZQ540" s="16"/>
      <c r="ZR540" s="16"/>
      <c r="ZS540" s="16"/>
      <c r="ZT540" s="16"/>
      <c r="ZU540" s="16"/>
      <c r="ZV540" s="16"/>
      <c r="ZW540" s="16"/>
      <c r="ZX540" s="16"/>
      <c r="ZY540" s="16"/>
      <c r="ZZ540" s="16"/>
      <c r="AAA540" s="16"/>
      <c r="AAB540" s="16"/>
      <c r="AAC540" s="16"/>
      <c r="AAD540" s="16"/>
      <c r="AAE540" s="16"/>
      <c r="AAF540" s="16"/>
      <c r="AAG540" s="16"/>
      <c r="AAH540" s="16"/>
      <c r="AAI540" s="16"/>
      <c r="AAJ540" s="16"/>
      <c r="AAK540" s="16"/>
      <c r="AAL540" s="16"/>
      <c r="AAM540" s="16"/>
      <c r="AAN540" s="16"/>
      <c r="AAO540" s="16"/>
      <c r="AAP540" s="16"/>
      <c r="AAQ540" s="16"/>
      <c r="AAR540" s="16"/>
      <c r="AAS540" s="16"/>
      <c r="AAT540" s="16"/>
      <c r="AAU540" s="16"/>
      <c r="AAV540" s="16"/>
      <c r="AAW540" s="16"/>
      <c r="AAX540" s="16"/>
      <c r="AAY540" s="16"/>
      <c r="AAZ540" s="16"/>
      <c r="ABA540" s="16"/>
      <c r="ABB540" s="16"/>
      <c r="ABC540" s="16"/>
      <c r="ABD540" s="16"/>
      <c r="ABE540" s="16"/>
      <c r="ABF540" s="16"/>
      <c r="ABG540" s="16"/>
      <c r="ABH540" s="16"/>
      <c r="ABI540" s="16"/>
      <c r="ABJ540" s="16"/>
      <c r="ABK540" s="16"/>
      <c r="ABL540" s="16"/>
      <c r="ABM540" s="16"/>
      <c r="ABN540" s="16"/>
      <c r="ABO540" s="16"/>
      <c r="ABP540" s="16"/>
      <c r="ABQ540" s="16"/>
      <c r="ABR540" s="16"/>
      <c r="ABS540" s="16"/>
      <c r="ABT540" s="16"/>
      <c r="ABU540" s="16"/>
      <c r="ABV540" s="16"/>
      <c r="ABW540" s="16"/>
      <c r="ABX540" s="16"/>
      <c r="ABY540" s="16"/>
      <c r="ABZ540" s="16"/>
      <c r="ACA540" s="16"/>
      <c r="ACB540" s="16"/>
      <c r="ACC540" s="16"/>
      <c r="ACD540" s="16"/>
      <c r="ACE540" s="16"/>
      <c r="ACF540" s="16"/>
      <c r="ACG540" s="16"/>
      <c r="ACH540" s="16"/>
      <c r="ACI540" s="16"/>
      <c r="ACJ540" s="16"/>
      <c r="ACK540" s="16"/>
      <c r="ACL540" s="16"/>
      <c r="ACM540" s="16"/>
      <c r="ACN540" s="16"/>
      <c r="ACO540" s="16"/>
      <c r="ACP540" s="16"/>
      <c r="ACQ540" s="16"/>
      <c r="ACR540" s="16"/>
      <c r="ACS540" s="16"/>
      <c r="ACT540" s="16"/>
      <c r="ACU540" s="16"/>
      <c r="ACV540" s="16"/>
      <c r="ACW540" s="16"/>
      <c r="ACX540" s="16"/>
      <c r="ACY540" s="16"/>
      <c r="ACZ540" s="16"/>
      <c r="ADA540" s="16"/>
      <c r="ADB540" s="16"/>
      <c r="ADC540" s="16"/>
      <c r="ADD540" s="16"/>
      <c r="ADE540" s="16"/>
      <c r="ADF540" s="16"/>
      <c r="ADG540" s="16"/>
      <c r="ADH540" s="16"/>
      <c r="ADI540" s="16"/>
      <c r="ADJ540" s="16"/>
      <c r="ADK540" s="16"/>
      <c r="ADL540" s="16"/>
      <c r="ADM540" s="16"/>
      <c r="ADN540" s="16"/>
      <c r="ADO540" s="16"/>
      <c r="ADP540" s="16"/>
      <c r="ADQ540" s="16"/>
      <c r="ADR540" s="16"/>
      <c r="ADS540" s="16"/>
      <c r="ADT540" s="16"/>
      <c r="ADU540" s="16"/>
      <c r="ADV540" s="16"/>
      <c r="ADW540" s="16"/>
      <c r="ADX540" s="16"/>
      <c r="ADY540" s="16"/>
      <c r="ADZ540" s="16"/>
      <c r="AEA540" s="16"/>
      <c r="AEB540" s="16"/>
      <c r="AEC540" s="16"/>
      <c r="AED540" s="16"/>
      <c r="AEE540" s="16"/>
      <c r="AEF540" s="16"/>
      <c r="AEG540" s="16"/>
      <c r="AEH540" s="16"/>
      <c r="AEI540" s="16"/>
      <c r="AEJ540" s="16"/>
      <c r="AEK540" s="16"/>
      <c r="AEL540" s="16"/>
      <c r="AEM540" s="16"/>
      <c r="AEN540" s="16"/>
      <c r="AEO540" s="16"/>
      <c r="AEP540" s="16"/>
      <c r="AEQ540" s="16"/>
      <c r="AER540" s="16"/>
      <c r="AES540" s="16"/>
      <c r="AET540" s="16"/>
      <c r="AEU540" s="16"/>
      <c r="AEV540" s="16"/>
      <c r="AEW540" s="16"/>
      <c r="AEX540" s="16"/>
      <c r="AEY540" s="16"/>
      <c r="AEZ540" s="16"/>
      <c r="AFA540" s="16"/>
      <c r="AFB540" s="16"/>
      <c r="AFC540" s="16"/>
      <c r="AFD540" s="16"/>
      <c r="AFE540" s="16"/>
      <c r="AFF540" s="16"/>
      <c r="AFG540" s="16"/>
      <c r="AFH540" s="16"/>
      <c r="AFI540" s="16"/>
      <c r="AFJ540" s="16"/>
      <c r="AFK540" s="16"/>
      <c r="AFL540" s="16"/>
      <c r="AFM540" s="16"/>
      <c r="AFN540" s="16"/>
      <c r="AFO540" s="16"/>
      <c r="AFP540" s="16"/>
      <c r="AFQ540" s="16"/>
      <c r="AFR540" s="16"/>
      <c r="AFS540" s="16"/>
      <c r="AFT540" s="16"/>
      <c r="AFU540" s="16"/>
      <c r="AFV540" s="16"/>
      <c r="AFW540" s="16"/>
      <c r="AFX540" s="16"/>
      <c r="AFY540" s="16"/>
      <c r="AFZ540" s="16"/>
      <c r="AGA540" s="16"/>
      <c r="AGB540" s="16"/>
      <c r="AGC540" s="16"/>
      <c r="AGD540" s="16"/>
      <c r="AGE540" s="16"/>
      <c r="AGF540" s="16"/>
      <c r="AGG540" s="16"/>
      <c r="AGH540" s="16"/>
      <c r="AGI540" s="16"/>
      <c r="AGJ540" s="16"/>
    </row>
    <row r="541" spans="1:868">
      <c r="E541" s="218"/>
    </row>
    <row r="542" spans="1:868" s="224" customFormat="1">
      <c r="A542" s="415" t="s">
        <v>2085</v>
      </c>
      <c r="E542" s="976"/>
    </row>
    <row r="543" spans="1:868">
      <c r="A543" t="s">
        <v>2085</v>
      </c>
      <c r="B543" t="s">
        <v>2093</v>
      </c>
      <c r="C543" t="s">
        <v>139</v>
      </c>
      <c r="D543" t="s">
        <v>139</v>
      </c>
      <c r="E543" s="218">
        <v>0.34</v>
      </c>
      <c r="F543">
        <v>1</v>
      </c>
      <c r="G543" s="7" t="s">
        <v>163</v>
      </c>
      <c r="H543">
        <v>2</v>
      </c>
      <c r="I543">
        <v>2</v>
      </c>
      <c r="J543">
        <v>2</v>
      </c>
      <c r="K543">
        <v>3</v>
      </c>
      <c r="L543">
        <v>1</v>
      </c>
      <c r="M543">
        <v>2</v>
      </c>
    </row>
    <row r="544" spans="1:868">
      <c r="A544" t="s">
        <v>2085</v>
      </c>
      <c r="B544" t="s">
        <v>2094</v>
      </c>
      <c r="C544" t="s">
        <v>139</v>
      </c>
      <c r="D544" t="s">
        <v>139</v>
      </c>
      <c r="E544" s="218">
        <v>0.34</v>
      </c>
      <c r="F544">
        <v>1</v>
      </c>
      <c r="G544" s="7" t="s">
        <v>163</v>
      </c>
      <c r="H544">
        <v>2</v>
      </c>
      <c r="I544">
        <v>2</v>
      </c>
      <c r="J544">
        <v>2</v>
      </c>
      <c r="K544">
        <v>3</v>
      </c>
      <c r="L544">
        <v>1</v>
      </c>
      <c r="M544">
        <v>2</v>
      </c>
    </row>
    <row r="545" spans="1:14">
      <c r="A545" t="s">
        <v>2085</v>
      </c>
      <c r="B545" t="s">
        <v>2095</v>
      </c>
      <c r="C545" t="s">
        <v>139</v>
      </c>
      <c r="D545" t="s">
        <v>139</v>
      </c>
      <c r="E545" s="218">
        <v>0.06</v>
      </c>
      <c r="F545">
        <v>2</v>
      </c>
      <c r="G545" s="7" t="s">
        <v>2129</v>
      </c>
      <c r="H545" s="930">
        <v>3</v>
      </c>
      <c r="I545" s="930">
        <v>3</v>
      </c>
      <c r="J545" s="930">
        <v>3</v>
      </c>
      <c r="K545" s="930">
        <v>3</v>
      </c>
      <c r="L545" s="930">
        <v>3</v>
      </c>
      <c r="M545" s="930">
        <v>3</v>
      </c>
      <c r="N545" s="386" t="s">
        <v>2130</v>
      </c>
    </row>
    <row r="546" spans="1:14">
      <c r="A546" t="s">
        <v>2085</v>
      </c>
      <c r="B546" t="s">
        <v>2096</v>
      </c>
      <c r="C546" t="s">
        <v>139</v>
      </c>
      <c r="D546" t="s">
        <v>139</v>
      </c>
      <c r="E546" s="218">
        <v>0.1</v>
      </c>
      <c r="F546">
        <v>2</v>
      </c>
      <c r="G546" s="7" t="s">
        <v>2129</v>
      </c>
      <c r="H546" s="930">
        <v>3</v>
      </c>
      <c r="I546" s="930">
        <v>3</v>
      </c>
      <c r="J546" s="930">
        <v>3</v>
      </c>
      <c r="K546" s="930">
        <v>3</v>
      </c>
      <c r="L546" s="930">
        <v>3</v>
      </c>
      <c r="M546" s="930">
        <v>3</v>
      </c>
      <c r="N546" s="386" t="s">
        <v>2130</v>
      </c>
    </row>
    <row r="547" spans="1:14">
      <c r="A547" t="s">
        <v>2085</v>
      </c>
      <c r="B547" t="s">
        <v>2097</v>
      </c>
      <c r="C547" t="s">
        <v>139</v>
      </c>
      <c r="D547" t="s">
        <v>139</v>
      </c>
      <c r="E547" s="218">
        <v>0.13</v>
      </c>
      <c r="F547">
        <v>2</v>
      </c>
      <c r="G547" s="7" t="s">
        <v>2129</v>
      </c>
      <c r="H547" s="930">
        <v>3</v>
      </c>
      <c r="I547" s="930">
        <v>3</v>
      </c>
      <c r="J547" s="930">
        <v>3</v>
      </c>
      <c r="K547" s="930">
        <v>3</v>
      </c>
      <c r="L547" s="930">
        <v>3</v>
      </c>
      <c r="M547" s="930">
        <v>3</v>
      </c>
      <c r="N547" s="386" t="s">
        <v>2130</v>
      </c>
    </row>
    <row r="548" spans="1:14">
      <c r="A548" t="s">
        <v>2085</v>
      </c>
      <c r="B548" t="s">
        <v>2098</v>
      </c>
      <c r="C548" t="s">
        <v>139</v>
      </c>
      <c r="D548" t="s">
        <v>139</v>
      </c>
      <c r="E548" s="218">
        <v>0.03</v>
      </c>
      <c r="F548">
        <v>2</v>
      </c>
      <c r="G548" s="7" t="s">
        <v>2129</v>
      </c>
      <c r="H548" s="930">
        <v>3</v>
      </c>
      <c r="I548" s="930">
        <v>3</v>
      </c>
      <c r="J548" s="930">
        <v>3</v>
      </c>
      <c r="K548" s="930">
        <v>3</v>
      </c>
      <c r="L548" s="930">
        <v>3</v>
      </c>
      <c r="M548" s="930">
        <v>3</v>
      </c>
      <c r="N548" s="386" t="s">
        <v>2130</v>
      </c>
    </row>
    <row r="549" spans="1:14">
      <c r="A549" s="443" t="s">
        <v>2093</v>
      </c>
      <c r="B549" s="443" t="s">
        <v>228</v>
      </c>
      <c r="C549" s="443" t="s">
        <v>139</v>
      </c>
      <c r="D549" s="443" t="s">
        <v>139</v>
      </c>
      <c r="E549" s="977">
        <v>0.5</v>
      </c>
      <c r="F549" s="443">
        <v>2</v>
      </c>
      <c r="G549" s="443" t="s">
        <v>2128</v>
      </c>
      <c r="H549" s="443">
        <v>3</v>
      </c>
      <c r="I549">
        <v>3</v>
      </c>
      <c r="J549">
        <v>3</v>
      </c>
      <c r="K549">
        <v>3</v>
      </c>
      <c r="L549">
        <v>3</v>
      </c>
      <c r="M549">
        <v>3</v>
      </c>
    </row>
    <row r="550" spans="1:14">
      <c r="A550" s="443" t="s">
        <v>2093</v>
      </c>
      <c r="B550" s="443" t="s">
        <v>304</v>
      </c>
      <c r="C550" s="443" t="s">
        <v>139</v>
      </c>
      <c r="D550" s="443" t="s">
        <v>139</v>
      </c>
      <c r="E550" s="977" t="s">
        <v>150</v>
      </c>
      <c r="F550" s="443">
        <v>1</v>
      </c>
      <c r="G550" s="443" t="s">
        <v>2128</v>
      </c>
      <c r="H550" s="443"/>
    </row>
    <row r="551" spans="1:14" s="929" customFormat="1">
      <c r="A551" s="443" t="s">
        <v>2094</v>
      </c>
      <c r="B551" s="443" t="s">
        <v>231</v>
      </c>
      <c r="C551" s="443" t="s">
        <v>139</v>
      </c>
      <c r="D551" s="443" t="s">
        <v>139</v>
      </c>
      <c r="E551" s="977">
        <v>0.5</v>
      </c>
      <c r="F551" s="443">
        <v>2</v>
      </c>
      <c r="G551" s="443" t="s">
        <v>2128</v>
      </c>
      <c r="H551" s="443">
        <v>3</v>
      </c>
      <c r="I551">
        <v>3</v>
      </c>
      <c r="J551">
        <v>3</v>
      </c>
      <c r="K551">
        <v>3</v>
      </c>
      <c r="L551">
        <v>3</v>
      </c>
      <c r="M551">
        <v>3</v>
      </c>
    </row>
    <row r="552" spans="1:14" s="929" customFormat="1">
      <c r="A552" s="443" t="s">
        <v>2094</v>
      </c>
      <c r="B552" s="443" t="s">
        <v>251</v>
      </c>
      <c r="C552" s="443" t="s">
        <v>139</v>
      </c>
      <c r="D552" s="443" t="s">
        <v>139</v>
      </c>
      <c r="E552" s="977" t="s">
        <v>150</v>
      </c>
      <c r="F552" s="443">
        <v>1</v>
      </c>
      <c r="G552" s="443" t="s">
        <v>2128</v>
      </c>
      <c r="H552" s="443"/>
      <c r="I552"/>
      <c r="J552"/>
      <c r="K552"/>
      <c r="L552"/>
      <c r="M552"/>
    </row>
    <row r="553" spans="1:14">
      <c r="A553" s="443" t="s">
        <v>2095</v>
      </c>
      <c r="B553" s="443" t="s">
        <v>231</v>
      </c>
      <c r="C553" s="443" t="s">
        <v>139</v>
      </c>
      <c r="D553" s="443" t="s">
        <v>139</v>
      </c>
      <c r="E553" s="977">
        <v>0.5</v>
      </c>
      <c r="F553" s="443">
        <v>2</v>
      </c>
      <c r="G553" s="443" t="s">
        <v>2128</v>
      </c>
      <c r="H553" s="443">
        <v>3</v>
      </c>
      <c r="I553">
        <v>3</v>
      </c>
      <c r="J553">
        <v>3</v>
      </c>
      <c r="K553">
        <v>3</v>
      </c>
      <c r="L553">
        <v>3</v>
      </c>
      <c r="M553">
        <v>3</v>
      </c>
    </row>
    <row r="554" spans="1:14">
      <c r="A554" s="443" t="s">
        <v>2095</v>
      </c>
      <c r="B554" s="443" t="s">
        <v>2119</v>
      </c>
      <c r="C554" s="443" t="s">
        <v>139</v>
      </c>
      <c r="D554" s="443" t="s">
        <v>139</v>
      </c>
      <c r="E554" s="977" t="s">
        <v>150</v>
      </c>
      <c r="F554" s="443">
        <v>1</v>
      </c>
      <c r="G554" s="443" t="s">
        <v>2128</v>
      </c>
      <c r="H554" s="443"/>
    </row>
    <row r="555" spans="1:14">
      <c r="A555" s="443" t="s">
        <v>2096</v>
      </c>
      <c r="B555" s="443" t="s">
        <v>232</v>
      </c>
      <c r="C555" s="443" t="s">
        <v>139</v>
      </c>
      <c r="D555" s="443" t="s">
        <v>139</v>
      </c>
      <c r="E555" s="977">
        <v>0.5</v>
      </c>
      <c r="F555" s="443">
        <v>2</v>
      </c>
      <c r="G555" s="443" t="s">
        <v>2128</v>
      </c>
      <c r="H555" s="443">
        <v>3</v>
      </c>
      <c r="I555">
        <v>3</v>
      </c>
      <c r="J555">
        <v>3</v>
      </c>
      <c r="K555">
        <v>3</v>
      </c>
      <c r="L555">
        <v>3</v>
      </c>
      <c r="M555">
        <v>3</v>
      </c>
    </row>
    <row r="556" spans="1:14">
      <c r="A556" s="443" t="s">
        <v>2096</v>
      </c>
      <c r="B556" s="443" t="s">
        <v>2120</v>
      </c>
      <c r="C556" s="443" t="s">
        <v>139</v>
      </c>
      <c r="D556" s="443" t="s">
        <v>139</v>
      </c>
      <c r="E556" s="977" t="s">
        <v>150</v>
      </c>
      <c r="F556" s="443">
        <v>1</v>
      </c>
      <c r="G556" s="443" t="s">
        <v>2128</v>
      </c>
      <c r="H556" s="443"/>
    </row>
    <row r="557" spans="1:14" s="929" customFormat="1">
      <c r="A557" s="443" t="s">
        <v>2097</v>
      </c>
      <c r="B557" s="443" t="s">
        <v>232</v>
      </c>
      <c r="C557" s="443" t="s">
        <v>139</v>
      </c>
      <c r="D557" s="443" t="s">
        <v>139</v>
      </c>
      <c r="E557" s="977">
        <v>0.5</v>
      </c>
      <c r="F557" s="443">
        <v>2</v>
      </c>
      <c r="G557" s="443" t="s">
        <v>2128</v>
      </c>
      <c r="H557" s="443">
        <v>3</v>
      </c>
      <c r="I557">
        <v>3</v>
      </c>
      <c r="J557">
        <v>3</v>
      </c>
      <c r="K557">
        <v>3</v>
      </c>
      <c r="L557">
        <v>3</v>
      </c>
      <c r="M557">
        <v>3</v>
      </c>
    </row>
    <row r="558" spans="1:14" s="929" customFormat="1">
      <c r="A558" s="443" t="s">
        <v>2097</v>
      </c>
      <c r="B558" s="443" t="s">
        <v>2121</v>
      </c>
      <c r="C558" s="443" t="s">
        <v>139</v>
      </c>
      <c r="D558" s="443" t="s">
        <v>139</v>
      </c>
      <c r="E558" s="977" t="s">
        <v>150</v>
      </c>
      <c r="F558" s="443">
        <v>1</v>
      </c>
      <c r="G558" s="443" t="s">
        <v>2128</v>
      </c>
      <c r="H558" s="443"/>
    </row>
    <row r="559" spans="1:14">
      <c r="A559" s="443" t="s">
        <v>2098</v>
      </c>
      <c r="B559" s="443" t="s">
        <v>232</v>
      </c>
      <c r="C559" s="443" t="s">
        <v>139</v>
      </c>
      <c r="D559" s="443" t="s">
        <v>139</v>
      </c>
      <c r="E559" s="977">
        <v>1</v>
      </c>
      <c r="F559" s="443">
        <v>1</v>
      </c>
      <c r="H559" s="443">
        <v>0</v>
      </c>
      <c r="I559">
        <v>0</v>
      </c>
      <c r="J559">
        <v>0</v>
      </c>
      <c r="K559">
        <v>0</v>
      </c>
      <c r="L559">
        <v>0</v>
      </c>
      <c r="M559">
        <v>0</v>
      </c>
    </row>
    <row r="560" spans="1:14">
      <c r="A560" s="443" t="s">
        <v>2119</v>
      </c>
      <c r="B560" s="443" t="s">
        <v>2122</v>
      </c>
      <c r="C560" s="443" t="s">
        <v>139</v>
      </c>
      <c r="D560" s="443" t="s">
        <v>139</v>
      </c>
      <c r="E560" s="218">
        <v>0.625</v>
      </c>
      <c r="F560">
        <v>2</v>
      </c>
      <c r="G560" t="s">
        <v>2123</v>
      </c>
      <c r="H560">
        <v>2</v>
      </c>
      <c r="I560">
        <v>2</v>
      </c>
      <c r="J560">
        <v>1</v>
      </c>
      <c r="K560">
        <v>1</v>
      </c>
      <c r="L560">
        <v>1</v>
      </c>
      <c r="M560">
        <v>1</v>
      </c>
    </row>
    <row r="561" spans="1:13">
      <c r="A561" s="443" t="s">
        <v>2119</v>
      </c>
      <c r="B561" s="443" t="s">
        <v>2124</v>
      </c>
      <c r="C561" s="443" t="s">
        <v>139</v>
      </c>
      <c r="D561" s="443" t="s">
        <v>139</v>
      </c>
      <c r="E561" s="218" t="s">
        <v>150</v>
      </c>
      <c r="F561">
        <v>1</v>
      </c>
    </row>
    <row r="562" spans="1:13">
      <c r="A562" s="443" t="s">
        <v>2120</v>
      </c>
      <c r="B562" s="443" t="s">
        <v>2122</v>
      </c>
      <c r="C562" s="443" t="s">
        <v>139</v>
      </c>
      <c r="D562" s="443" t="s">
        <v>139</v>
      </c>
      <c r="E562" s="218">
        <v>0.83</v>
      </c>
      <c r="F562">
        <v>2</v>
      </c>
      <c r="G562" t="s">
        <v>2123</v>
      </c>
      <c r="H562">
        <v>2</v>
      </c>
      <c r="I562">
        <v>2</v>
      </c>
      <c r="J562">
        <v>1</v>
      </c>
      <c r="K562">
        <v>1</v>
      </c>
      <c r="L562">
        <v>1</v>
      </c>
      <c r="M562">
        <v>1</v>
      </c>
    </row>
    <row r="563" spans="1:13">
      <c r="A563" s="443" t="s">
        <v>2120</v>
      </c>
      <c r="B563" s="443" t="s">
        <v>2124</v>
      </c>
      <c r="C563" s="443" t="s">
        <v>139</v>
      </c>
      <c r="D563" s="443" t="s">
        <v>139</v>
      </c>
      <c r="E563" s="218" t="s">
        <v>150</v>
      </c>
      <c r="F563">
        <v>1</v>
      </c>
    </row>
    <row r="564" spans="1:13">
      <c r="A564" s="443" t="s">
        <v>2121</v>
      </c>
      <c r="B564" s="443" t="s">
        <v>2122</v>
      </c>
      <c r="C564" s="443" t="s">
        <v>139</v>
      </c>
      <c r="D564" s="443" t="s">
        <v>139</v>
      </c>
      <c r="E564" s="218">
        <v>0.67</v>
      </c>
      <c r="F564">
        <v>2</v>
      </c>
      <c r="G564" t="s">
        <v>2123</v>
      </c>
      <c r="H564">
        <v>2</v>
      </c>
      <c r="I564">
        <v>2</v>
      </c>
      <c r="J564">
        <v>1</v>
      </c>
      <c r="K564">
        <v>1</v>
      </c>
      <c r="L564">
        <v>1</v>
      </c>
      <c r="M564">
        <v>1</v>
      </c>
    </row>
    <row r="565" spans="1:13">
      <c r="A565" s="443" t="s">
        <v>2121</v>
      </c>
      <c r="B565" s="443" t="s">
        <v>2124</v>
      </c>
      <c r="C565" s="443" t="s">
        <v>139</v>
      </c>
      <c r="D565" s="443" t="s">
        <v>139</v>
      </c>
      <c r="E565" s="218" t="s">
        <v>150</v>
      </c>
      <c r="F565">
        <v>1</v>
      </c>
    </row>
    <row r="566" spans="1:13">
      <c r="A566" s="443" t="s">
        <v>2122</v>
      </c>
      <c r="B566" s="443" t="s">
        <v>228</v>
      </c>
      <c r="C566" s="443" t="s">
        <v>139</v>
      </c>
      <c r="D566" s="443" t="s">
        <v>139</v>
      </c>
      <c r="E566" s="218">
        <v>0.01</v>
      </c>
      <c r="F566">
        <v>2</v>
      </c>
      <c r="G566" t="s">
        <v>43</v>
      </c>
      <c r="H566">
        <v>3</v>
      </c>
      <c r="I566">
        <v>3</v>
      </c>
      <c r="J566">
        <v>3</v>
      </c>
      <c r="K566">
        <v>3</v>
      </c>
      <c r="L566">
        <v>3</v>
      </c>
      <c r="M566">
        <v>3</v>
      </c>
    </row>
    <row r="567" spans="1:13">
      <c r="A567" s="443" t="s">
        <v>2122</v>
      </c>
      <c r="B567" s="443" t="s">
        <v>223</v>
      </c>
      <c r="C567" s="443" t="s">
        <v>139</v>
      </c>
      <c r="D567" s="443" t="s">
        <v>139</v>
      </c>
      <c r="E567" s="218" t="s">
        <v>150</v>
      </c>
      <c r="F567">
        <v>1</v>
      </c>
    </row>
    <row r="568" spans="1:13">
      <c r="A568" t="s">
        <v>2124</v>
      </c>
      <c r="B568" s="443" t="s">
        <v>228</v>
      </c>
      <c r="C568" s="443" t="s">
        <v>139</v>
      </c>
      <c r="D568" s="443" t="s">
        <v>139</v>
      </c>
      <c r="E568" s="218">
        <v>0.01</v>
      </c>
      <c r="F568">
        <v>2</v>
      </c>
      <c r="G568" t="s">
        <v>43</v>
      </c>
      <c r="H568">
        <v>3</v>
      </c>
      <c r="I568">
        <v>3</v>
      </c>
      <c r="J568">
        <v>3</v>
      </c>
      <c r="K568">
        <v>3</v>
      </c>
      <c r="L568">
        <v>3</v>
      </c>
      <c r="M568">
        <v>3</v>
      </c>
    </row>
    <row r="569" spans="1:13">
      <c r="A569" t="s">
        <v>2124</v>
      </c>
      <c r="B569" t="s">
        <v>232</v>
      </c>
      <c r="C569" s="443" t="s">
        <v>139</v>
      </c>
      <c r="D569" s="443" t="s">
        <v>139</v>
      </c>
      <c r="E569" s="218" t="s">
        <v>150</v>
      </c>
      <c r="F569">
        <v>1</v>
      </c>
    </row>
    <row r="571" spans="1:13" s="1006" customFormat="1">
      <c r="A571" s="1005" t="s">
        <v>21</v>
      </c>
    </row>
    <row r="572" spans="1:13" s="1006" customFormat="1"/>
    <row r="573" spans="1:13">
      <c r="A573" t="s">
        <v>47</v>
      </c>
      <c r="B573" t="s">
        <v>2160</v>
      </c>
      <c r="C573" t="s">
        <v>104</v>
      </c>
      <c r="D573" s="443" t="s">
        <v>2169</v>
      </c>
      <c r="E573" t="s">
        <v>2170</v>
      </c>
      <c r="G573" t="s">
        <v>101</v>
      </c>
      <c r="H573">
        <v>6</v>
      </c>
      <c r="I573">
        <v>7</v>
      </c>
      <c r="J573">
        <v>8</v>
      </c>
    </row>
    <row r="574" spans="1:13">
      <c r="A574" t="s">
        <v>2054</v>
      </c>
      <c r="B574" s="660">
        <v>2</v>
      </c>
      <c r="C574" t="s">
        <v>2161</v>
      </c>
      <c r="D574">
        <v>5</v>
      </c>
      <c r="E574" s="916">
        <f t="shared" ref="E574:E586" si="56">D574/B574</f>
        <v>2.5</v>
      </c>
      <c r="F574" s="547">
        <f t="shared" ref="F574:F582" si="57">1/B574</f>
        <v>0.5</v>
      </c>
      <c r="G574">
        <v>1</v>
      </c>
      <c r="H574" s="547">
        <f>G574*$F$583</f>
        <v>0.16666666666666666</v>
      </c>
      <c r="I574">
        <f>G574*$F$578</f>
        <v>0.14285714285714285</v>
      </c>
      <c r="J574">
        <f>G574*$F$577</f>
        <v>0.125</v>
      </c>
    </row>
    <row r="575" spans="1:13">
      <c r="A575" t="s">
        <v>2056</v>
      </c>
      <c r="B575" s="660">
        <v>5</v>
      </c>
      <c r="C575" t="s">
        <v>2161</v>
      </c>
      <c r="D575">
        <v>5</v>
      </c>
      <c r="E575" s="916">
        <f t="shared" si="56"/>
        <v>1</v>
      </c>
      <c r="F575" s="547">
        <f t="shared" si="57"/>
        <v>0.2</v>
      </c>
      <c r="G575">
        <v>2</v>
      </c>
      <c r="H575" s="547">
        <f t="shared" ref="H575:H579" si="58">G575*$F$583</f>
        <v>0.33333333333333331</v>
      </c>
      <c r="I575">
        <f t="shared" ref="I575:I580" si="59">G575*$F$578</f>
        <v>0.2857142857142857</v>
      </c>
      <c r="J575">
        <f t="shared" ref="J575:J581" si="60">G575*$F$577</f>
        <v>0.25</v>
      </c>
    </row>
    <row r="576" spans="1:13">
      <c r="A576" t="s">
        <v>2057</v>
      </c>
      <c r="B576" s="660">
        <v>5</v>
      </c>
      <c r="C576" t="s">
        <v>2161</v>
      </c>
      <c r="D576">
        <v>5</v>
      </c>
      <c r="E576" s="916">
        <f t="shared" si="56"/>
        <v>1</v>
      </c>
      <c r="F576" s="547">
        <f t="shared" si="57"/>
        <v>0.2</v>
      </c>
      <c r="G576">
        <v>3</v>
      </c>
      <c r="H576" s="547">
        <f t="shared" si="58"/>
        <v>0.5</v>
      </c>
      <c r="I576">
        <f t="shared" si="59"/>
        <v>0.42857142857142855</v>
      </c>
      <c r="J576">
        <f t="shared" si="60"/>
        <v>0.375</v>
      </c>
    </row>
    <row r="577" spans="1:10">
      <c r="A577" t="s">
        <v>2058</v>
      </c>
      <c r="B577" s="660">
        <v>8</v>
      </c>
      <c r="C577" t="s">
        <v>2161</v>
      </c>
      <c r="D577">
        <v>5</v>
      </c>
      <c r="E577" s="916">
        <f t="shared" si="56"/>
        <v>0.625</v>
      </c>
      <c r="F577" s="547">
        <f t="shared" si="57"/>
        <v>0.125</v>
      </c>
      <c r="G577">
        <v>4</v>
      </c>
      <c r="H577" s="547">
        <f t="shared" si="58"/>
        <v>0.66666666666666663</v>
      </c>
      <c r="I577">
        <f t="shared" si="59"/>
        <v>0.5714285714285714</v>
      </c>
      <c r="J577">
        <f t="shared" si="60"/>
        <v>0.5</v>
      </c>
    </row>
    <row r="578" spans="1:10">
      <c r="A578" t="s">
        <v>2059</v>
      </c>
      <c r="B578" s="660">
        <v>7</v>
      </c>
      <c r="C578" t="s">
        <v>2161</v>
      </c>
      <c r="D578">
        <v>5</v>
      </c>
      <c r="E578" s="916">
        <f t="shared" si="56"/>
        <v>0.7142857142857143</v>
      </c>
      <c r="F578" s="547">
        <f t="shared" si="57"/>
        <v>0.14285714285714285</v>
      </c>
      <c r="G578">
        <v>5</v>
      </c>
      <c r="H578" s="547">
        <f t="shared" si="58"/>
        <v>0.83333333333333326</v>
      </c>
      <c r="I578">
        <f t="shared" si="59"/>
        <v>0.71428571428571419</v>
      </c>
      <c r="J578">
        <f t="shared" si="60"/>
        <v>0.625</v>
      </c>
    </row>
    <row r="579" spans="1:10">
      <c r="A579" t="s">
        <v>2060</v>
      </c>
      <c r="B579" s="660">
        <v>3</v>
      </c>
      <c r="C579" t="s">
        <v>2161</v>
      </c>
      <c r="D579">
        <v>5</v>
      </c>
      <c r="E579" s="916">
        <f t="shared" si="56"/>
        <v>1.6666666666666667</v>
      </c>
      <c r="F579" s="547">
        <f t="shared" si="57"/>
        <v>0.33333333333333331</v>
      </c>
      <c r="G579">
        <v>6</v>
      </c>
      <c r="H579" s="547">
        <f t="shared" si="58"/>
        <v>1</v>
      </c>
      <c r="I579">
        <f t="shared" si="59"/>
        <v>0.8571428571428571</v>
      </c>
      <c r="J579">
        <f t="shared" si="60"/>
        <v>0.75</v>
      </c>
    </row>
    <row r="580" spans="1:10">
      <c r="A580" t="s">
        <v>2061</v>
      </c>
      <c r="B580" s="660">
        <v>5</v>
      </c>
      <c r="C580" t="s">
        <v>2161</v>
      </c>
      <c r="D580">
        <v>5</v>
      </c>
      <c r="E580" s="916">
        <f t="shared" si="56"/>
        <v>1</v>
      </c>
      <c r="F580" s="547">
        <f t="shared" si="57"/>
        <v>0.2</v>
      </c>
      <c r="G580">
        <v>7</v>
      </c>
      <c r="H580" s="547"/>
      <c r="I580">
        <f t="shared" si="59"/>
        <v>1</v>
      </c>
      <c r="J580">
        <f t="shared" si="60"/>
        <v>0.875</v>
      </c>
    </row>
    <row r="581" spans="1:10">
      <c r="A581" t="s">
        <v>2062</v>
      </c>
      <c r="B581" s="660">
        <v>4</v>
      </c>
      <c r="C581" t="s">
        <v>2161</v>
      </c>
      <c r="D581">
        <v>5</v>
      </c>
      <c r="E581" s="916">
        <f t="shared" si="56"/>
        <v>1.25</v>
      </c>
      <c r="F581" s="547">
        <f t="shared" si="57"/>
        <v>0.25</v>
      </c>
      <c r="G581">
        <v>8</v>
      </c>
      <c r="H581" s="547"/>
      <c r="J581">
        <f t="shared" si="60"/>
        <v>1</v>
      </c>
    </row>
    <row r="582" spans="1:10">
      <c r="A582" t="s">
        <v>2063</v>
      </c>
      <c r="B582" s="660">
        <v>5</v>
      </c>
      <c r="C582" t="s">
        <v>2161</v>
      </c>
      <c r="D582">
        <v>5</v>
      </c>
      <c r="E582" s="916">
        <f t="shared" si="56"/>
        <v>1</v>
      </c>
      <c r="F582" s="547">
        <f t="shared" si="57"/>
        <v>0.2</v>
      </c>
    </row>
    <row r="583" spans="1:10">
      <c r="A583" t="s">
        <v>2064</v>
      </c>
      <c r="B583" s="660">
        <v>6</v>
      </c>
      <c r="C583" t="s">
        <v>2161</v>
      </c>
      <c r="D583">
        <v>5</v>
      </c>
      <c r="E583" s="916">
        <f t="shared" si="56"/>
        <v>0.83333333333333337</v>
      </c>
      <c r="F583" s="547">
        <f>1/B583</f>
        <v>0.16666666666666666</v>
      </c>
    </row>
    <row r="584" spans="1:10">
      <c r="A584" t="s">
        <v>2065</v>
      </c>
      <c r="B584" s="660">
        <v>2</v>
      </c>
      <c r="C584" t="s">
        <v>2161</v>
      </c>
      <c r="D584">
        <v>5</v>
      </c>
      <c r="E584" s="916">
        <f t="shared" si="56"/>
        <v>2.5</v>
      </c>
      <c r="F584" s="547">
        <f t="shared" ref="F584:F586" si="61">1/B584</f>
        <v>0.5</v>
      </c>
    </row>
    <row r="585" spans="1:10">
      <c r="A585" t="s">
        <v>2066</v>
      </c>
      <c r="B585" s="660">
        <v>5</v>
      </c>
      <c r="C585" t="s">
        <v>2161</v>
      </c>
      <c r="D585">
        <v>5</v>
      </c>
      <c r="E585" s="916">
        <f t="shared" si="56"/>
        <v>1</v>
      </c>
      <c r="F585" s="547">
        <f t="shared" si="61"/>
        <v>0.2</v>
      </c>
    </row>
    <row r="586" spans="1:10">
      <c r="A586" t="s">
        <v>2067</v>
      </c>
      <c r="B586" s="660">
        <v>3</v>
      </c>
      <c r="C586" t="s">
        <v>2161</v>
      </c>
      <c r="D586">
        <v>5</v>
      </c>
      <c r="E586" s="916">
        <f t="shared" si="56"/>
        <v>1.6666666666666667</v>
      </c>
      <c r="F586" s="547">
        <f t="shared" si="61"/>
        <v>0.33333333333333331</v>
      </c>
    </row>
    <row r="587" spans="1:10">
      <c r="F587" s="413"/>
    </row>
    <row r="588" spans="1:10">
      <c r="A588" s="957" t="s">
        <v>2171</v>
      </c>
      <c r="B588" s="958"/>
      <c r="C588" s="958"/>
      <c r="D588" s="958"/>
      <c r="E588" s="958"/>
      <c r="F588" s="413"/>
    </row>
    <row r="589" spans="1:10">
      <c r="F589" s="413"/>
    </row>
  </sheetData>
  <sortState xmlns:xlrd2="http://schemas.microsoft.com/office/spreadsheetml/2017/richdata2" ref="A574:E586">
    <sortCondition ref="A574:A586"/>
  </sortState>
  <mergeCells count="9">
    <mergeCell ref="A571:XFD572"/>
    <mergeCell ref="A1:XFD2"/>
    <mergeCell ref="A17:XFD18"/>
    <mergeCell ref="A106:XFD107"/>
    <mergeCell ref="A262:XFD263"/>
    <mergeCell ref="A324:XFD325"/>
    <mergeCell ref="A394:XFD395"/>
    <mergeCell ref="A246:XFD247"/>
    <mergeCell ref="A194:XFD195"/>
  </mergeCells>
  <phoneticPr fontId="22" type="noConversion"/>
  <conditionalFormatting sqref="D196">
    <cfRule type="cellIs" dxfId="147" priority="1" operator="greaterThan">
      <formula>0</formula>
    </cfRule>
    <cfRule type="cellIs" dxfId="146" priority="2" operator="equal">
      <formula>0</formula>
    </cfRule>
  </conditionalFormatting>
  <conditionalFormatting sqref="H427:M427">
    <cfRule type="dataBar" priority="35">
      <dataBar>
        <cfvo type="min"/>
        <cfvo type="num" val="4"/>
        <color rgb="FFFFC000"/>
      </dataBar>
      <extLst>
        <ext xmlns:x14="http://schemas.microsoft.com/office/spreadsheetml/2009/9/main" uri="{B025F937-C7B1-47D3-B67F-A62EFF666E3E}">
          <x14:id>{3D683626-A60F-43D1-9210-BD548D064919}</x14:id>
        </ext>
      </extLst>
    </cfRule>
  </conditionalFormatting>
  <conditionalFormatting sqref="H427:M429">
    <cfRule type="containsBlanks" dxfId="145" priority="18" stopIfTrue="1">
      <formula>LEN(TRIM(H427))=0</formula>
    </cfRule>
    <cfRule type="cellIs" dxfId="144" priority="19" stopIfTrue="1" operator="notBetween">
      <formula>1</formula>
      <formula>4</formula>
    </cfRule>
  </conditionalFormatting>
  <conditionalFormatting sqref="H428:M428">
    <cfRule type="dataBar" priority="23">
      <dataBar>
        <cfvo type="min"/>
        <cfvo type="num" val="4"/>
        <color rgb="FFFFC000"/>
      </dataBar>
      <extLst>
        <ext xmlns:x14="http://schemas.microsoft.com/office/spreadsheetml/2009/9/main" uri="{B025F937-C7B1-47D3-B67F-A62EFF666E3E}">
          <x14:id>{3B5B6DCA-E3C3-4605-A551-50DC67E6443C}</x14:id>
        </ext>
      </extLst>
    </cfRule>
  </conditionalFormatting>
  <conditionalFormatting sqref="H429:M429">
    <cfRule type="dataBar" priority="20">
      <dataBar>
        <cfvo type="min"/>
        <cfvo type="num" val="4"/>
        <color rgb="FFFFC000"/>
      </dataBar>
      <extLst>
        <ext xmlns:x14="http://schemas.microsoft.com/office/spreadsheetml/2009/9/main" uri="{B025F937-C7B1-47D3-B67F-A62EFF666E3E}">
          <x14:id>{1631CA55-D9D6-4F6F-A1CA-B71061EC69E7}</x14:id>
        </ext>
      </extLst>
    </cfRule>
  </conditionalFormatting>
  <conditionalFormatting sqref="H431:M431">
    <cfRule type="dataBar" priority="11">
      <dataBar>
        <cfvo type="min"/>
        <cfvo type="num" val="4"/>
        <color rgb="FFFFC000"/>
      </dataBar>
      <extLst>
        <ext xmlns:x14="http://schemas.microsoft.com/office/spreadsheetml/2009/9/main" uri="{B025F937-C7B1-47D3-B67F-A62EFF666E3E}">
          <x14:id>{CDFE6E8F-F976-49F9-B72E-CEC97A1F8F25}</x14:id>
        </ext>
      </extLst>
    </cfRule>
  </conditionalFormatting>
  <conditionalFormatting sqref="H431:M433">
    <cfRule type="containsBlanks" dxfId="143" priority="9" stopIfTrue="1">
      <formula>LEN(TRIM(H431))=0</formula>
    </cfRule>
    <cfRule type="cellIs" dxfId="142" priority="10" stopIfTrue="1" operator="notBetween">
      <formula>1</formula>
      <formula>4</formula>
    </cfRule>
  </conditionalFormatting>
  <conditionalFormatting sqref="H432:M432">
    <cfRule type="dataBar" priority="14">
      <dataBar>
        <cfvo type="min"/>
        <cfvo type="num" val="4"/>
        <color rgb="FFFFC000"/>
      </dataBar>
      <extLst>
        <ext xmlns:x14="http://schemas.microsoft.com/office/spreadsheetml/2009/9/main" uri="{B025F937-C7B1-47D3-B67F-A62EFF666E3E}">
          <x14:id>{A354082A-8B71-43B5-8EE5-57FE3DB7A0F9}</x14:id>
        </ext>
      </extLst>
    </cfRule>
  </conditionalFormatting>
  <conditionalFormatting sqref="H433:M433">
    <cfRule type="dataBar" priority="17">
      <dataBar>
        <cfvo type="min"/>
        <cfvo type="num" val="4"/>
        <color rgb="FFFFC000"/>
      </dataBar>
      <extLst>
        <ext xmlns:x14="http://schemas.microsoft.com/office/spreadsheetml/2009/9/main" uri="{B025F937-C7B1-47D3-B67F-A62EFF666E3E}">
          <x14:id>{9D850053-1732-4001-9CBC-644E00B76BCD}</x14:id>
        </ext>
      </extLst>
    </cfRule>
  </conditionalFormatting>
  <conditionalFormatting sqref="H539:M539">
    <cfRule type="dataBar" priority="31">
      <dataBar>
        <cfvo type="min"/>
        <cfvo type="num" val="4"/>
        <color rgb="FFFFC000"/>
      </dataBar>
      <extLst>
        <ext xmlns:x14="http://schemas.microsoft.com/office/spreadsheetml/2009/9/main" uri="{B025F937-C7B1-47D3-B67F-A62EFF666E3E}">
          <x14:id>{077E6B03-0926-4126-A36D-D0D462304BAB}</x14:id>
        </ext>
      </extLst>
    </cfRule>
  </conditionalFormatting>
  <conditionalFormatting sqref="H539:M540">
    <cfRule type="cellIs" dxfId="141" priority="25" stopIfTrue="1" operator="notBetween">
      <formula>1</formula>
      <formula>4</formula>
    </cfRule>
  </conditionalFormatting>
  <conditionalFormatting sqref="H540:M540">
    <cfRule type="dataBar" priority="26">
      <dataBar>
        <cfvo type="min"/>
        <cfvo type="num" val="4"/>
        <color rgb="FFFFC000"/>
      </dataBar>
      <extLst>
        <ext xmlns:x14="http://schemas.microsoft.com/office/spreadsheetml/2009/9/main" uri="{B025F937-C7B1-47D3-B67F-A62EFF666E3E}">
          <x14:id>{B3A2B49B-96D6-49CD-B1D9-C5A0537EC66D}</x14:id>
        </ext>
      </extLst>
    </cfRule>
  </conditionalFormatting>
  <conditionalFormatting sqref="H539:O540">
    <cfRule type="containsBlanks" dxfId="140" priority="24" stopIfTrue="1">
      <formula>LEN(TRIM(H539))=0</formula>
    </cfRule>
  </conditionalFormatting>
  <conditionalFormatting sqref="K196">
    <cfRule type="containsBlanks" dxfId="139" priority="3">
      <formula>LEN(TRIM(K196))=0</formula>
    </cfRule>
    <cfRule type="dataBar" priority="4">
      <dataBar>
        <cfvo type="min"/>
        <cfvo type="max"/>
        <color rgb="FF3FCDFF"/>
      </dataBar>
      <extLst>
        <ext xmlns:x14="http://schemas.microsoft.com/office/spreadsheetml/2009/9/main" uri="{B025F937-C7B1-47D3-B67F-A62EFF666E3E}">
          <x14:id>{F72BEFB4-BCDF-425A-8658-6D82A4A6C3DA}</x14:id>
        </ext>
      </extLst>
    </cfRule>
  </conditionalFormatting>
  <conditionalFormatting sqref="N539:O539">
    <cfRule type="dataBar" priority="32">
      <dataBar>
        <cfvo type="min"/>
        <cfvo type="max"/>
        <color rgb="FF3FCDFF"/>
      </dataBar>
      <extLst>
        <ext xmlns:x14="http://schemas.microsoft.com/office/spreadsheetml/2009/9/main" uri="{B025F937-C7B1-47D3-B67F-A62EFF666E3E}">
          <x14:id>{C484C534-9628-4882-A22C-B61741BF5E04}</x14:id>
        </ext>
      </extLst>
    </cfRule>
  </conditionalFormatting>
  <conditionalFormatting sqref="N540:O540">
    <cfRule type="dataBar" priority="27">
      <dataBar>
        <cfvo type="min"/>
        <cfvo type="max"/>
        <color rgb="FF3FCDFF"/>
      </dataBar>
      <extLst>
        <ext xmlns:x14="http://schemas.microsoft.com/office/spreadsheetml/2009/9/main" uri="{B025F937-C7B1-47D3-B67F-A62EFF666E3E}">
          <x14:id>{84C7BC9F-4DD3-472E-9365-C87884B19B27}</x14:id>
        </ext>
      </extLst>
    </cfRule>
  </conditionalFormatting>
  <conditionalFormatting sqref="P539">
    <cfRule type="containsText" dxfId="138" priority="30" operator="containsText" text="Actual TC">
      <formula>NOT(ISERROR(SEARCH("Actual TC",P539)))</formula>
    </cfRule>
  </conditionalFormatting>
  <conditionalFormatting sqref="AC248">
    <cfRule type="containsBlanks" dxfId="137" priority="5">
      <formula>LEN(TRIM(AC248))=0</formula>
    </cfRule>
    <cfRule type="dataBar" priority="6">
      <dataBar>
        <cfvo type="min"/>
        <cfvo type="max"/>
        <color rgb="FF3FCDFF"/>
      </dataBar>
      <extLst>
        <ext xmlns:x14="http://schemas.microsoft.com/office/spreadsheetml/2009/9/main" uri="{B025F937-C7B1-47D3-B67F-A62EFF666E3E}">
          <x14:id>{53DC8003-FBAA-4146-8DDE-ACD14CFFA6F1}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D683626-A60F-43D1-9210-BD548D064919}">
            <x14:dataBar minLength="0" maxLength="100" gradient="0">
              <x14:cfvo type="autoMin"/>
              <x14:cfvo type="num">
                <xm:f>4</xm:f>
              </x14:cfvo>
              <x14:negativeFillColor rgb="FFFF0000"/>
              <x14:axisColor rgb="FF000000"/>
            </x14:dataBar>
          </x14:cfRule>
          <xm:sqref>H427:M427</xm:sqref>
        </x14:conditionalFormatting>
        <x14:conditionalFormatting xmlns:xm="http://schemas.microsoft.com/office/excel/2006/main">
          <x14:cfRule type="dataBar" id="{3B5B6DCA-E3C3-4605-A551-50DC67E6443C}">
            <x14:dataBar minLength="0" maxLength="100" gradient="0">
              <x14:cfvo type="autoMin"/>
              <x14:cfvo type="num">
                <xm:f>4</xm:f>
              </x14:cfvo>
              <x14:negativeFillColor rgb="FFFF0000"/>
              <x14:axisColor rgb="FF000000"/>
            </x14:dataBar>
          </x14:cfRule>
          <xm:sqref>H428:M428</xm:sqref>
        </x14:conditionalFormatting>
        <x14:conditionalFormatting xmlns:xm="http://schemas.microsoft.com/office/excel/2006/main">
          <x14:cfRule type="dataBar" id="{1631CA55-D9D6-4F6F-A1CA-B71061EC69E7}">
            <x14:dataBar minLength="0" maxLength="100" gradient="0">
              <x14:cfvo type="autoMin"/>
              <x14:cfvo type="num">
                <xm:f>4</xm:f>
              </x14:cfvo>
              <x14:negativeFillColor rgb="FFFF0000"/>
              <x14:axisColor rgb="FF000000"/>
            </x14:dataBar>
          </x14:cfRule>
          <xm:sqref>H429:M429</xm:sqref>
        </x14:conditionalFormatting>
        <x14:conditionalFormatting xmlns:xm="http://schemas.microsoft.com/office/excel/2006/main">
          <x14:cfRule type="dataBar" id="{CDFE6E8F-F976-49F9-B72E-CEC97A1F8F25}">
            <x14:dataBar minLength="0" maxLength="100" gradient="0">
              <x14:cfvo type="autoMin"/>
              <x14:cfvo type="num">
                <xm:f>4</xm:f>
              </x14:cfvo>
              <x14:negativeFillColor rgb="FFFF0000"/>
              <x14:axisColor rgb="FF000000"/>
            </x14:dataBar>
          </x14:cfRule>
          <xm:sqref>H431:M431</xm:sqref>
        </x14:conditionalFormatting>
        <x14:conditionalFormatting xmlns:xm="http://schemas.microsoft.com/office/excel/2006/main">
          <x14:cfRule type="dataBar" id="{A354082A-8B71-43B5-8EE5-57FE3DB7A0F9}">
            <x14:dataBar minLength="0" maxLength="100" gradient="0">
              <x14:cfvo type="autoMin"/>
              <x14:cfvo type="num">
                <xm:f>4</xm:f>
              </x14:cfvo>
              <x14:negativeFillColor rgb="FFFF0000"/>
              <x14:axisColor rgb="FF000000"/>
            </x14:dataBar>
          </x14:cfRule>
          <xm:sqref>H432:M432</xm:sqref>
        </x14:conditionalFormatting>
        <x14:conditionalFormatting xmlns:xm="http://schemas.microsoft.com/office/excel/2006/main">
          <x14:cfRule type="dataBar" id="{9D850053-1732-4001-9CBC-644E00B76BCD}">
            <x14:dataBar minLength="0" maxLength="100" gradient="0">
              <x14:cfvo type="autoMin"/>
              <x14:cfvo type="num">
                <xm:f>4</xm:f>
              </x14:cfvo>
              <x14:negativeFillColor rgb="FFFF0000"/>
              <x14:axisColor rgb="FF000000"/>
            </x14:dataBar>
          </x14:cfRule>
          <xm:sqref>H433:M433</xm:sqref>
        </x14:conditionalFormatting>
        <x14:conditionalFormatting xmlns:xm="http://schemas.microsoft.com/office/excel/2006/main">
          <x14:cfRule type="dataBar" id="{077E6B03-0926-4126-A36D-D0D462304BAB}">
            <x14:dataBar minLength="0" maxLength="100" gradient="0">
              <x14:cfvo type="autoMin"/>
              <x14:cfvo type="num">
                <xm:f>4</xm:f>
              </x14:cfvo>
              <x14:negativeFillColor rgb="FFFF0000"/>
              <x14:axisColor rgb="FF000000"/>
            </x14:dataBar>
          </x14:cfRule>
          <xm:sqref>H539:M539</xm:sqref>
        </x14:conditionalFormatting>
        <x14:conditionalFormatting xmlns:xm="http://schemas.microsoft.com/office/excel/2006/main">
          <x14:cfRule type="dataBar" id="{B3A2B49B-96D6-49CD-B1D9-C5A0537EC66D}">
            <x14:dataBar minLength="0" maxLength="100" gradient="0">
              <x14:cfvo type="autoMin"/>
              <x14:cfvo type="num">
                <xm:f>4</xm:f>
              </x14:cfvo>
              <x14:negativeFillColor rgb="FFFF0000"/>
              <x14:axisColor rgb="FF000000"/>
            </x14:dataBar>
          </x14:cfRule>
          <xm:sqref>H540:M540</xm:sqref>
        </x14:conditionalFormatting>
        <x14:conditionalFormatting xmlns:xm="http://schemas.microsoft.com/office/excel/2006/main">
          <x14:cfRule type="dataBar" id="{F72BEFB4-BCDF-425A-8658-6D82A4A6C3DA}">
            <x14:dataBar minLength="0" maxLength="100" gradient="0">
              <x14:cfvo type="autoMin"/>
              <x14:cfvo type="autoMax"/>
              <x14:negativeFillColor rgb="FFFF0000"/>
              <x14:axisColor rgb="FF000000"/>
            </x14:dataBar>
          </x14:cfRule>
          <xm:sqref>K196</xm:sqref>
        </x14:conditionalFormatting>
        <x14:conditionalFormatting xmlns:xm="http://schemas.microsoft.com/office/excel/2006/main">
          <x14:cfRule type="dataBar" id="{C484C534-9628-4882-A22C-B61741BF5E04}">
            <x14:dataBar minLength="0" maxLength="100" gradient="0">
              <x14:cfvo type="autoMin"/>
              <x14:cfvo type="autoMax"/>
              <x14:negativeFillColor rgb="FFFF0000"/>
              <x14:axisColor rgb="FF000000"/>
            </x14:dataBar>
          </x14:cfRule>
          <xm:sqref>N539:O539</xm:sqref>
        </x14:conditionalFormatting>
        <x14:conditionalFormatting xmlns:xm="http://schemas.microsoft.com/office/excel/2006/main">
          <x14:cfRule type="dataBar" id="{84C7BC9F-4DD3-472E-9365-C87884B19B27}">
            <x14:dataBar minLength="0" maxLength="100" gradient="0">
              <x14:cfvo type="autoMin"/>
              <x14:cfvo type="autoMax"/>
              <x14:negativeFillColor rgb="FFFF0000"/>
              <x14:axisColor rgb="FF000000"/>
            </x14:dataBar>
          </x14:cfRule>
          <xm:sqref>N540:O540</xm:sqref>
        </x14:conditionalFormatting>
        <x14:conditionalFormatting xmlns:xm="http://schemas.microsoft.com/office/excel/2006/main">
          <x14:cfRule type="dataBar" id="{53DC8003-FBAA-4146-8DDE-ACD14CFFA6F1}">
            <x14:dataBar minLength="0" maxLength="100" gradient="0">
              <x14:cfvo type="autoMin"/>
              <x14:cfvo type="autoMax"/>
              <x14:negativeFillColor rgb="FFFF0000"/>
              <x14:axisColor rgb="FF000000"/>
            </x14:dataBar>
          </x14:cfRule>
          <xm:sqref>AC248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EEBD-FF8C-4BD2-A1BB-F38347D62643}">
  <sheetPr>
    <tabColor theme="8"/>
  </sheetPr>
  <dimension ref="A1:AO505"/>
  <sheetViews>
    <sheetView topLeftCell="A374" zoomScale="80" zoomScaleNormal="80" workbookViewId="0">
      <selection activeCell="C25" sqref="C25"/>
    </sheetView>
  </sheetViews>
  <sheetFormatPr defaultRowHeight="15"/>
  <cols>
    <col min="1" max="1" width="14.28515625" customWidth="1"/>
    <col min="2" max="3" width="21.85546875" customWidth="1"/>
    <col min="5" max="5" width="10.85546875" customWidth="1"/>
    <col min="7" max="7" width="17.5703125" customWidth="1"/>
    <col min="8" max="8" width="14.28515625" customWidth="1"/>
    <col min="9" max="9" width="9.85546875" customWidth="1"/>
    <col min="10" max="10" width="8.42578125" customWidth="1"/>
    <col min="11" max="11" width="9.28515625" customWidth="1"/>
    <col min="12" max="12" width="9" customWidth="1"/>
    <col min="13" max="13" width="8.85546875" customWidth="1"/>
    <col min="14" max="14" width="8.28515625" customWidth="1"/>
    <col min="15" max="15" width="8.85546875" customWidth="1"/>
    <col min="16" max="16" width="27.7109375" customWidth="1"/>
    <col min="17" max="17" width="15.140625" customWidth="1"/>
    <col min="22" max="22" width="9.85546875" bestFit="1" customWidth="1"/>
    <col min="23" max="23" width="10.7109375" bestFit="1" customWidth="1"/>
    <col min="24" max="24" width="12.5703125" bestFit="1" customWidth="1"/>
    <col min="26" max="26" width="9.5703125" customWidth="1"/>
    <col min="32" max="32" width="34.140625" customWidth="1"/>
    <col min="33" max="33" width="21.42578125" customWidth="1"/>
    <col min="34" max="34" width="110" customWidth="1"/>
    <col min="35" max="35" width="8" customWidth="1"/>
    <col min="36" max="36" width="9.140625" hidden="1" customWidth="1"/>
    <col min="37" max="37" width="10.85546875" hidden="1" customWidth="1"/>
    <col min="38" max="41" width="9.140625" hidden="1" customWidth="1"/>
    <col min="44" max="44" width="80.140625" bestFit="1" customWidth="1"/>
  </cols>
  <sheetData>
    <row r="1" spans="1:32" s="662" customFormat="1" ht="15" customHeight="1"/>
    <row r="2" spans="1:32" s="662" customFormat="1" ht="26.25">
      <c r="A2" s="808" t="s">
        <v>526</v>
      </c>
    </row>
    <row r="3" spans="1:32" s="660" customFormat="1" ht="15" customHeight="1">
      <c r="A3" s="1015" t="s">
        <v>180</v>
      </c>
      <c r="B3" s="1015"/>
      <c r="C3" s="1015"/>
      <c r="D3" s="1015"/>
      <c r="E3" s="1015"/>
      <c r="F3" s="1015"/>
      <c r="G3" s="1015"/>
      <c r="H3" s="1015"/>
      <c r="I3" s="1015"/>
      <c r="J3" s="1015"/>
      <c r="K3" s="1015"/>
      <c r="L3" s="1015"/>
      <c r="M3" s="1015"/>
      <c r="N3" s="1015"/>
      <c r="O3" s="1015"/>
      <c r="P3" s="1015"/>
      <c r="Q3" s="1016" t="s">
        <v>182</v>
      </c>
      <c r="R3" s="1016"/>
      <c r="S3" s="1016"/>
      <c r="T3" s="1016"/>
      <c r="U3" s="1016"/>
      <c r="V3" s="1016"/>
      <c r="W3" s="1016"/>
      <c r="X3" s="1016"/>
      <c r="Y3" s="1016"/>
      <c r="Z3" s="1016"/>
      <c r="AA3" s="1016"/>
      <c r="AB3" s="1016"/>
      <c r="AC3" s="1016"/>
      <c r="AD3" s="1016"/>
      <c r="AE3" s="1016"/>
      <c r="AF3" s="1016"/>
    </row>
    <row r="4" spans="1:32" ht="15" customHeight="1" thickBot="1">
      <c r="A4" s="1015"/>
      <c r="B4" s="1015"/>
      <c r="C4" s="1015"/>
      <c r="D4" s="1015"/>
      <c r="E4" s="1015"/>
      <c r="F4" s="1015"/>
      <c r="G4" s="1015"/>
      <c r="H4" s="1015"/>
      <c r="I4" s="1015"/>
      <c r="J4" s="1015"/>
      <c r="K4" s="1015"/>
      <c r="L4" s="1015"/>
      <c r="M4" s="1015"/>
      <c r="N4" s="1015"/>
      <c r="O4" s="1015"/>
      <c r="P4" s="1015"/>
      <c r="Q4" s="1016"/>
      <c r="R4" s="1016"/>
      <c r="S4" s="1016"/>
      <c r="T4" s="1016"/>
      <c r="U4" s="1016"/>
      <c r="V4" s="1016"/>
      <c r="W4" s="1016"/>
      <c r="X4" s="1016"/>
      <c r="Y4" s="1016"/>
      <c r="Z4" s="1016"/>
      <c r="AA4" s="1016"/>
      <c r="AB4" s="1016"/>
      <c r="AC4" s="1016"/>
      <c r="AD4" s="1016"/>
      <c r="AE4" s="1016"/>
      <c r="AF4" s="1016"/>
    </row>
    <row r="5" spans="1:32" ht="15.75" thickBot="1">
      <c r="A5" s="107" t="s">
        <v>101</v>
      </c>
      <c r="B5" s="663" t="s">
        <v>527</v>
      </c>
      <c r="C5" s="108" t="s">
        <v>102</v>
      </c>
      <c r="D5" s="663" t="s">
        <v>528</v>
      </c>
      <c r="E5" s="663" t="s">
        <v>245</v>
      </c>
      <c r="F5" s="663" t="s">
        <v>529</v>
      </c>
      <c r="G5" s="663" t="s">
        <v>530</v>
      </c>
      <c r="H5" s="663" t="s">
        <v>531</v>
      </c>
      <c r="I5" s="108" t="s">
        <v>104</v>
      </c>
      <c r="J5" s="425" t="s">
        <v>105</v>
      </c>
      <c r="K5" s="426" t="s">
        <v>65</v>
      </c>
      <c r="L5" s="426" t="s">
        <v>67</v>
      </c>
      <c r="M5" s="426" t="s">
        <v>73</v>
      </c>
      <c r="N5" s="427" t="s">
        <v>79</v>
      </c>
      <c r="O5" s="428" t="s">
        <v>106</v>
      </c>
      <c r="P5" s="429" t="s">
        <v>107</v>
      </c>
      <c r="Q5" s="107" t="s">
        <v>101</v>
      </c>
      <c r="R5" s="661" t="s">
        <v>527</v>
      </c>
      <c r="S5" s="108" t="s">
        <v>102</v>
      </c>
      <c r="T5" s="661" t="s">
        <v>528</v>
      </c>
      <c r="U5" s="661" t="s">
        <v>245</v>
      </c>
      <c r="V5" s="661" t="s">
        <v>529</v>
      </c>
      <c r="W5" s="661" t="s">
        <v>530</v>
      </c>
      <c r="X5" s="661" t="s">
        <v>531</v>
      </c>
      <c r="Y5" s="110" t="s">
        <v>104</v>
      </c>
      <c r="Z5" s="45" t="s">
        <v>105</v>
      </c>
      <c r="AA5" s="46" t="s">
        <v>65</v>
      </c>
      <c r="AB5" s="46" t="s">
        <v>67</v>
      </c>
      <c r="AC5" s="46" t="s">
        <v>73</v>
      </c>
      <c r="AD5" s="47" t="s">
        <v>79</v>
      </c>
      <c r="AE5" s="50" t="s">
        <v>106</v>
      </c>
      <c r="AF5" s="49" t="s">
        <v>123</v>
      </c>
    </row>
    <row r="6" spans="1:32">
      <c r="A6" s="227">
        <v>1995</v>
      </c>
      <c r="B6" s="227">
        <v>1435</v>
      </c>
      <c r="C6" s="227" t="s">
        <v>85</v>
      </c>
      <c r="D6" s="227">
        <v>415</v>
      </c>
      <c r="E6" s="227">
        <v>1675</v>
      </c>
      <c r="F6" s="227">
        <v>175</v>
      </c>
      <c r="G6" s="227">
        <v>0.90540540540540537</v>
      </c>
      <c r="H6" s="227">
        <v>9.4594594594594628E-2</v>
      </c>
      <c r="I6" s="312" t="s">
        <v>110</v>
      </c>
      <c r="J6" s="29">
        <v>1</v>
      </c>
      <c r="K6" s="9">
        <v>1</v>
      </c>
      <c r="L6" s="9">
        <v>1</v>
      </c>
      <c r="M6" s="9">
        <v>2</v>
      </c>
      <c r="N6" s="43">
        <v>2</v>
      </c>
      <c r="O6" s="265">
        <f t="shared" ref="O6" si="0">IF( OR( ISBLANK(J6),ISBLANK(K6), ISBLANK(L6), ISBLANK(M6), ISBLANK(N6) ), "", 1.5*SQRT(   EXP(2.21*(J6-1)) + EXP(2.21*(K6-1)) + EXP(2.21*(L6-1)) + EXP(2.21*(M6-1)) + EXP(2.21*N6)   )/100*2.45 )</f>
        <v>0.35859414261160716</v>
      </c>
      <c r="P6" s="164" t="s">
        <v>111</v>
      </c>
      <c r="Q6" s="227">
        <v>2003</v>
      </c>
      <c r="R6" s="227">
        <v>12268</v>
      </c>
      <c r="S6" s="227" t="s">
        <v>85</v>
      </c>
      <c r="T6" s="227">
        <v>3879</v>
      </c>
      <c r="U6" s="227">
        <v>2517</v>
      </c>
      <c r="V6" s="227">
        <v>13630</v>
      </c>
      <c r="W6" s="227">
        <v>0.15588034929089001</v>
      </c>
      <c r="X6" s="227">
        <v>0.84411965070910999</v>
      </c>
      <c r="Y6" s="100" t="s">
        <v>126</v>
      </c>
      <c r="Z6" s="29">
        <v>1</v>
      </c>
      <c r="AA6" s="9">
        <v>1</v>
      </c>
      <c r="AB6" s="9">
        <v>1</v>
      </c>
      <c r="AC6" s="9">
        <v>2</v>
      </c>
      <c r="AD6" s="43">
        <v>2</v>
      </c>
      <c r="AE6" s="55">
        <v>0.35859414261160716</v>
      </c>
      <c r="AF6" s="52" t="s">
        <v>111</v>
      </c>
    </row>
    <row r="7" spans="1:32">
      <c r="A7" s="227">
        <v>1995</v>
      </c>
      <c r="B7" s="227">
        <v>290</v>
      </c>
      <c r="C7" s="227" t="s">
        <v>86</v>
      </c>
      <c r="D7" s="227">
        <v>130</v>
      </c>
      <c r="E7" s="227">
        <v>311</v>
      </c>
      <c r="F7" s="227">
        <v>109</v>
      </c>
      <c r="G7" s="227">
        <v>0.74047619047619051</v>
      </c>
      <c r="H7" s="227">
        <v>0.25952380952380949</v>
      </c>
      <c r="I7" s="312" t="s">
        <v>110</v>
      </c>
      <c r="J7" s="29">
        <v>1</v>
      </c>
      <c r="K7" s="9">
        <v>1</v>
      </c>
      <c r="L7" s="9">
        <v>1</v>
      </c>
      <c r="M7" s="9">
        <v>2</v>
      </c>
      <c r="N7" s="43">
        <v>2</v>
      </c>
      <c r="O7" s="265">
        <f t="shared" ref="O7:O70" si="1">IF( OR( ISBLANK(J7),ISBLANK(K7), ISBLANK(L7), ISBLANK(M7), ISBLANK(N7) ), "", 1.5*SQRT(   EXP(2.21*(J7-1)) + EXP(2.21*(K7-1)) + EXP(2.21*(L7-1)) + EXP(2.21*(M7-1)) + EXP(2.21*N7)   )/100*2.45 )</f>
        <v>0.35859414261160716</v>
      </c>
      <c r="P7" s="164" t="s">
        <v>111</v>
      </c>
      <c r="Q7" s="227">
        <v>2003</v>
      </c>
      <c r="R7" s="227">
        <v>5967</v>
      </c>
      <c r="S7" s="227" t="s">
        <v>86</v>
      </c>
      <c r="T7" s="227">
        <v>1318</v>
      </c>
      <c r="U7" s="227">
        <v>1137</v>
      </c>
      <c r="V7" s="227">
        <v>6148</v>
      </c>
      <c r="W7" s="227">
        <v>0.1560741249142073</v>
      </c>
      <c r="X7" s="227">
        <v>0.84392587508579275</v>
      </c>
      <c r="Y7" s="100" t="s">
        <v>126</v>
      </c>
      <c r="Z7" s="29">
        <v>1</v>
      </c>
      <c r="AA7" s="9">
        <v>1</v>
      </c>
      <c r="AB7" s="9">
        <v>1</v>
      </c>
      <c r="AC7" s="9">
        <v>2</v>
      </c>
      <c r="AD7" s="43">
        <v>2</v>
      </c>
      <c r="AE7" s="55">
        <v>0.35859414261160716</v>
      </c>
      <c r="AF7" s="52" t="s">
        <v>111</v>
      </c>
    </row>
    <row r="8" spans="1:32">
      <c r="A8" s="227">
        <v>1995</v>
      </c>
      <c r="B8" s="227">
        <v>852</v>
      </c>
      <c r="C8" s="227" t="s">
        <v>87</v>
      </c>
      <c r="D8" s="227">
        <v>145</v>
      </c>
      <c r="E8" s="227">
        <v>511</v>
      </c>
      <c r="F8" s="227">
        <v>486</v>
      </c>
      <c r="G8" s="227">
        <v>0.51253761283851551</v>
      </c>
      <c r="H8" s="227">
        <v>0.48746238716148449</v>
      </c>
      <c r="I8" s="312" t="s">
        <v>110</v>
      </c>
      <c r="J8" s="29">
        <v>1</v>
      </c>
      <c r="K8" s="9">
        <v>1</v>
      </c>
      <c r="L8" s="9">
        <v>1</v>
      </c>
      <c r="M8" s="9">
        <v>2</v>
      </c>
      <c r="N8" s="43">
        <v>2</v>
      </c>
      <c r="O8" s="265">
        <f t="shared" si="1"/>
        <v>0.35859414261160716</v>
      </c>
      <c r="P8" s="164" t="s">
        <v>111</v>
      </c>
      <c r="Q8" s="227">
        <v>2003</v>
      </c>
      <c r="R8" s="227">
        <v>8573</v>
      </c>
      <c r="S8" s="227" t="s">
        <v>87</v>
      </c>
      <c r="T8" s="227">
        <v>900</v>
      </c>
      <c r="U8" s="227">
        <v>1064</v>
      </c>
      <c r="V8" s="227">
        <v>8409</v>
      </c>
      <c r="W8" s="227">
        <v>0.1123192230549984</v>
      </c>
      <c r="X8" s="227">
        <v>0.88768077694500158</v>
      </c>
      <c r="Y8" s="100" t="s">
        <v>126</v>
      </c>
      <c r="Z8" s="29">
        <v>1</v>
      </c>
      <c r="AA8" s="9">
        <v>1</v>
      </c>
      <c r="AB8" s="9">
        <v>1</v>
      </c>
      <c r="AC8" s="9">
        <v>2</v>
      </c>
      <c r="AD8" s="43">
        <v>2</v>
      </c>
      <c r="AE8" s="55">
        <v>0.35859414261160716</v>
      </c>
      <c r="AF8" s="52" t="s">
        <v>111</v>
      </c>
    </row>
    <row r="9" spans="1:32">
      <c r="A9" s="227">
        <v>1995</v>
      </c>
      <c r="B9" s="227">
        <v>4</v>
      </c>
      <c r="C9" s="227" t="s">
        <v>88</v>
      </c>
      <c r="D9" s="227">
        <v>103</v>
      </c>
      <c r="E9" s="227">
        <v>81</v>
      </c>
      <c r="F9" s="227">
        <v>26</v>
      </c>
      <c r="G9" s="227">
        <v>0.7570093457943925</v>
      </c>
      <c r="H9" s="227">
        <v>0.2429906542056075</v>
      </c>
      <c r="I9" s="312" t="s">
        <v>110</v>
      </c>
      <c r="J9" s="29">
        <v>1</v>
      </c>
      <c r="K9" s="9">
        <v>1</v>
      </c>
      <c r="L9" s="9">
        <v>1</v>
      </c>
      <c r="M9" s="9">
        <v>2</v>
      </c>
      <c r="N9" s="43">
        <v>2</v>
      </c>
      <c r="O9" s="265">
        <f t="shared" si="1"/>
        <v>0.35859414261160716</v>
      </c>
      <c r="P9" s="164" t="s">
        <v>111</v>
      </c>
      <c r="Q9" s="227">
        <v>2003</v>
      </c>
      <c r="R9" s="227">
        <v>1922</v>
      </c>
      <c r="S9" s="227" t="s">
        <v>88</v>
      </c>
      <c r="T9" s="227">
        <v>92</v>
      </c>
      <c r="U9" s="227">
        <v>266</v>
      </c>
      <c r="V9" s="227">
        <v>1748</v>
      </c>
      <c r="W9" s="227">
        <v>0.13207547169811321</v>
      </c>
      <c r="X9" s="227">
        <v>0.86792452830188682</v>
      </c>
      <c r="Y9" s="100" t="s">
        <v>126</v>
      </c>
      <c r="Z9" s="29">
        <v>1</v>
      </c>
      <c r="AA9" s="9">
        <v>1</v>
      </c>
      <c r="AB9" s="9">
        <v>1</v>
      </c>
      <c r="AC9" s="9">
        <v>2</v>
      </c>
      <c r="AD9" s="43">
        <v>2</v>
      </c>
      <c r="AE9" s="55">
        <v>0.35859414261160716</v>
      </c>
      <c r="AF9" s="52" t="s">
        <v>111</v>
      </c>
    </row>
    <row r="10" spans="1:32">
      <c r="A10" s="227">
        <v>1995</v>
      </c>
      <c r="B10" s="227">
        <v>191</v>
      </c>
      <c r="C10" s="227" t="s">
        <v>89</v>
      </c>
      <c r="D10" s="227">
        <v>29</v>
      </c>
      <c r="E10" s="227">
        <v>69</v>
      </c>
      <c r="F10" s="227">
        <v>151</v>
      </c>
      <c r="G10" s="227">
        <v>0.31363636363636371</v>
      </c>
      <c r="H10" s="227">
        <v>0.68636363636363629</v>
      </c>
      <c r="I10" s="312" t="s">
        <v>110</v>
      </c>
      <c r="J10" s="29">
        <v>1</v>
      </c>
      <c r="K10" s="9">
        <v>1</v>
      </c>
      <c r="L10" s="9">
        <v>1</v>
      </c>
      <c r="M10" s="9">
        <v>2</v>
      </c>
      <c r="N10" s="43">
        <v>2</v>
      </c>
      <c r="O10" s="265">
        <f t="shared" si="1"/>
        <v>0.35859414261160716</v>
      </c>
      <c r="P10" s="164" t="s">
        <v>111</v>
      </c>
      <c r="Q10" s="227">
        <v>2003</v>
      </c>
      <c r="R10" s="227">
        <v>1482</v>
      </c>
      <c r="S10" s="227" t="s">
        <v>89</v>
      </c>
      <c r="T10" s="227">
        <v>40</v>
      </c>
      <c r="U10" s="227">
        <v>162</v>
      </c>
      <c r="V10" s="227">
        <v>1360</v>
      </c>
      <c r="W10" s="227">
        <v>0.1064388961892247</v>
      </c>
      <c r="X10" s="227">
        <v>0.89356110381077525</v>
      </c>
      <c r="Y10" s="100" t="s">
        <v>126</v>
      </c>
      <c r="Z10" s="29">
        <v>1</v>
      </c>
      <c r="AA10" s="9">
        <v>1</v>
      </c>
      <c r="AB10" s="9">
        <v>1</v>
      </c>
      <c r="AC10" s="9">
        <v>2</v>
      </c>
      <c r="AD10" s="43">
        <v>2</v>
      </c>
      <c r="AE10" s="55">
        <v>0.35859414261160716</v>
      </c>
      <c r="AF10" s="52" t="s">
        <v>111</v>
      </c>
    </row>
    <row r="11" spans="1:32">
      <c r="A11" s="227">
        <v>1995</v>
      </c>
      <c r="B11" s="227">
        <v>610</v>
      </c>
      <c r="C11" s="227" t="s">
        <v>90</v>
      </c>
      <c r="D11" s="227">
        <v>213</v>
      </c>
      <c r="E11" s="227">
        <v>389</v>
      </c>
      <c r="F11" s="227">
        <v>434</v>
      </c>
      <c r="G11" s="227">
        <v>0.47266099635479952</v>
      </c>
      <c r="H11" s="227">
        <v>0.52733900364520048</v>
      </c>
      <c r="I11" s="312" t="s">
        <v>110</v>
      </c>
      <c r="J11" s="29">
        <v>1</v>
      </c>
      <c r="K11" s="9">
        <v>1</v>
      </c>
      <c r="L11" s="9">
        <v>1</v>
      </c>
      <c r="M11" s="9">
        <v>2</v>
      </c>
      <c r="N11" s="43">
        <v>2</v>
      </c>
      <c r="O11" s="265">
        <f t="shared" si="1"/>
        <v>0.35859414261160716</v>
      </c>
      <c r="P11" s="164" t="s">
        <v>111</v>
      </c>
      <c r="Q11" s="227">
        <v>2003</v>
      </c>
      <c r="R11" s="227">
        <v>6604</v>
      </c>
      <c r="S11" s="227" t="s">
        <v>90</v>
      </c>
      <c r="T11" s="227">
        <v>323</v>
      </c>
      <c r="U11" s="227">
        <v>1354</v>
      </c>
      <c r="V11" s="227">
        <v>5573</v>
      </c>
      <c r="W11" s="227">
        <v>0.19546701313700021</v>
      </c>
      <c r="X11" s="227">
        <v>0.80453298686299979</v>
      </c>
      <c r="Y11" s="100" t="s">
        <v>126</v>
      </c>
      <c r="Z11" s="29">
        <v>1</v>
      </c>
      <c r="AA11" s="9">
        <v>1</v>
      </c>
      <c r="AB11" s="9">
        <v>1</v>
      </c>
      <c r="AC11" s="9">
        <v>2</v>
      </c>
      <c r="AD11" s="43">
        <v>2</v>
      </c>
      <c r="AE11" s="55">
        <v>0.35859414261160716</v>
      </c>
      <c r="AF11" s="52" t="s">
        <v>111</v>
      </c>
    </row>
    <row r="12" spans="1:32">
      <c r="A12" s="227">
        <v>1995</v>
      </c>
      <c r="B12" s="227">
        <v>0</v>
      </c>
      <c r="C12" s="227" t="s">
        <v>91</v>
      </c>
      <c r="D12" s="227">
        <v>0</v>
      </c>
      <c r="E12" s="227">
        <v>0</v>
      </c>
      <c r="F12" s="227">
        <v>0</v>
      </c>
      <c r="G12" s="227"/>
      <c r="H12" s="227"/>
      <c r="I12" s="312" t="s">
        <v>110</v>
      </c>
      <c r="J12" s="29">
        <v>1</v>
      </c>
      <c r="K12" s="9">
        <v>1</v>
      </c>
      <c r="L12" s="9">
        <v>1</v>
      </c>
      <c r="M12" s="9">
        <v>2</v>
      </c>
      <c r="N12" s="43">
        <v>2</v>
      </c>
      <c r="O12" s="265">
        <f t="shared" si="1"/>
        <v>0.35859414261160716</v>
      </c>
      <c r="P12" s="164" t="s">
        <v>111</v>
      </c>
      <c r="Q12" s="227">
        <v>2003</v>
      </c>
      <c r="R12" s="227">
        <v>2697</v>
      </c>
      <c r="S12" s="227" t="s">
        <v>91</v>
      </c>
      <c r="T12" s="227">
        <v>863</v>
      </c>
      <c r="U12" s="227">
        <v>297</v>
      </c>
      <c r="V12" s="227">
        <v>3263</v>
      </c>
      <c r="W12" s="227">
        <v>8.3426966292134835E-2</v>
      </c>
      <c r="X12" s="227">
        <v>0.91657303370786514</v>
      </c>
      <c r="Y12" s="100" t="s">
        <v>126</v>
      </c>
      <c r="Z12" s="29">
        <v>1</v>
      </c>
      <c r="AA12" s="9">
        <v>1</v>
      </c>
      <c r="AB12" s="9">
        <v>1</v>
      </c>
      <c r="AC12" s="9">
        <v>2</v>
      </c>
      <c r="AD12" s="43">
        <v>2</v>
      </c>
      <c r="AE12" s="55">
        <v>0.35859414261160716</v>
      </c>
      <c r="AF12" s="52" t="s">
        <v>111</v>
      </c>
    </row>
    <row r="13" spans="1:32">
      <c r="A13" s="227">
        <v>1995</v>
      </c>
      <c r="B13" s="227">
        <v>144</v>
      </c>
      <c r="C13" s="227" t="s">
        <v>94</v>
      </c>
      <c r="D13" s="227">
        <v>17</v>
      </c>
      <c r="E13" s="227">
        <v>161</v>
      </c>
      <c r="F13" s="227">
        <v>0</v>
      </c>
      <c r="G13" s="227">
        <v>1</v>
      </c>
      <c r="H13" s="227">
        <v>0</v>
      </c>
      <c r="I13" s="312" t="s">
        <v>110</v>
      </c>
      <c r="J13" s="29">
        <v>1</v>
      </c>
      <c r="K13" s="9">
        <v>1</v>
      </c>
      <c r="L13" s="9">
        <v>1</v>
      </c>
      <c r="M13" s="9">
        <v>2</v>
      </c>
      <c r="N13" s="43">
        <v>2</v>
      </c>
      <c r="O13" s="265">
        <f t="shared" si="1"/>
        <v>0.35859414261160716</v>
      </c>
      <c r="P13" s="164" t="s">
        <v>111</v>
      </c>
      <c r="Q13" s="227">
        <v>2003</v>
      </c>
      <c r="R13" s="227">
        <v>613</v>
      </c>
      <c r="S13" s="227" t="s">
        <v>94</v>
      </c>
      <c r="T13" s="227">
        <v>157</v>
      </c>
      <c r="U13" s="227">
        <v>122</v>
      </c>
      <c r="V13" s="227">
        <v>648</v>
      </c>
      <c r="W13" s="227">
        <v>0.15844155844155841</v>
      </c>
      <c r="X13" s="227">
        <v>0.84155844155844162</v>
      </c>
      <c r="Y13" s="100" t="s">
        <v>126</v>
      </c>
      <c r="Z13" s="29">
        <v>1</v>
      </c>
      <c r="AA13" s="9">
        <v>1</v>
      </c>
      <c r="AB13" s="9">
        <v>1</v>
      </c>
      <c r="AC13" s="9">
        <v>2</v>
      </c>
      <c r="AD13" s="43">
        <v>2</v>
      </c>
      <c r="AE13" s="55">
        <v>0.35859414261160716</v>
      </c>
      <c r="AF13" s="52" t="s">
        <v>111</v>
      </c>
    </row>
    <row r="14" spans="1:32">
      <c r="A14" s="227">
        <v>1995</v>
      </c>
      <c r="B14" s="227">
        <v>337</v>
      </c>
      <c r="C14" s="227" t="s">
        <v>96</v>
      </c>
      <c r="D14" s="227">
        <v>38</v>
      </c>
      <c r="E14" s="227">
        <v>110</v>
      </c>
      <c r="F14" s="227">
        <v>265</v>
      </c>
      <c r="G14" s="227">
        <v>0.29333333333333328</v>
      </c>
      <c r="H14" s="227">
        <v>0.70666666666666667</v>
      </c>
      <c r="I14" s="312" t="s">
        <v>110</v>
      </c>
      <c r="J14" s="29">
        <v>1</v>
      </c>
      <c r="K14" s="9">
        <v>1</v>
      </c>
      <c r="L14" s="9">
        <v>1</v>
      </c>
      <c r="M14" s="9">
        <v>2</v>
      </c>
      <c r="N14" s="43">
        <v>2</v>
      </c>
      <c r="O14" s="265">
        <f t="shared" si="1"/>
        <v>0.35859414261160716</v>
      </c>
      <c r="P14" s="164" t="s">
        <v>111</v>
      </c>
      <c r="Q14" s="227">
        <v>2003</v>
      </c>
      <c r="R14" s="227">
        <v>1330</v>
      </c>
      <c r="S14" s="227" t="s">
        <v>96</v>
      </c>
      <c r="T14" s="227">
        <v>85</v>
      </c>
      <c r="U14" s="227">
        <v>130</v>
      </c>
      <c r="V14" s="227">
        <v>1285</v>
      </c>
      <c r="W14" s="227">
        <v>9.187279151943463E-2</v>
      </c>
      <c r="X14" s="227">
        <v>0.90812720848056538</v>
      </c>
      <c r="Y14" s="100" t="s">
        <v>126</v>
      </c>
      <c r="Z14" s="29">
        <v>1</v>
      </c>
      <c r="AA14" s="9">
        <v>1</v>
      </c>
      <c r="AB14" s="9">
        <v>1</v>
      </c>
      <c r="AC14" s="9">
        <v>2</v>
      </c>
      <c r="AD14" s="43">
        <v>2</v>
      </c>
      <c r="AE14" s="55">
        <v>0.35859414261160716</v>
      </c>
      <c r="AF14" s="52" t="s">
        <v>111</v>
      </c>
    </row>
    <row r="15" spans="1:32">
      <c r="A15" s="227">
        <v>1995</v>
      </c>
      <c r="B15" s="227">
        <v>233</v>
      </c>
      <c r="C15" s="227" t="s">
        <v>97</v>
      </c>
      <c r="D15" s="227">
        <v>84</v>
      </c>
      <c r="E15" s="227">
        <v>116</v>
      </c>
      <c r="F15" s="227">
        <v>201</v>
      </c>
      <c r="G15" s="227">
        <v>0.36593059936908517</v>
      </c>
      <c r="H15" s="227">
        <v>0.63406940063091488</v>
      </c>
      <c r="I15" s="312" t="s">
        <v>110</v>
      </c>
      <c r="J15" s="29">
        <v>1</v>
      </c>
      <c r="K15" s="9">
        <v>1</v>
      </c>
      <c r="L15" s="9">
        <v>1</v>
      </c>
      <c r="M15" s="9">
        <v>2</v>
      </c>
      <c r="N15" s="43">
        <v>2</v>
      </c>
      <c r="O15" s="265">
        <f t="shared" si="1"/>
        <v>0.35859414261160716</v>
      </c>
      <c r="P15" s="164" t="s">
        <v>111</v>
      </c>
      <c r="Q15" s="227">
        <v>2003</v>
      </c>
      <c r="R15" s="227">
        <v>3121</v>
      </c>
      <c r="S15" s="227" t="s">
        <v>97</v>
      </c>
      <c r="T15" s="227">
        <v>316</v>
      </c>
      <c r="U15" s="227">
        <v>614</v>
      </c>
      <c r="V15" s="227">
        <v>2823</v>
      </c>
      <c r="W15" s="227">
        <v>0.17864416642420719</v>
      </c>
      <c r="X15" s="227">
        <v>0.82135583357579289</v>
      </c>
      <c r="Y15" s="100" t="s">
        <v>126</v>
      </c>
      <c r="Z15" s="29">
        <v>1</v>
      </c>
      <c r="AA15" s="9">
        <v>1</v>
      </c>
      <c r="AB15" s="9">
        <v>1</v>
      </c>
      <c r="AC15" s="9">
        <v>2</v>
      </c>
      <c r="AD15" s="43">
        <v>2</v>
      </c>
      <c r="AE15" s="55">
        <v>0.35859414261160716</v>
      </c>
      <c r="AF15" s="52" t="s">
        <v>111</v>
      </c>
    </row>
    <row r="16" spans="1:32">
      <c r="A16" s="227">
        <v>1995</v>
      </c>
      <c r="B16" s="227">
        <v>200</v>
      </c>
      <c r="C16" s="227" t="s">
        <v>95</v>
      </c>
      <c r="D16" s="227">
        <v>142</v>
      </c>
      <c r="E16" s="227">
        <v>187</v>
      </c>
      <c r="F16" s="227">
        <v>155</v>
      </c>
      <c r="G16" s="227">
        <v>0.54678362573099415</v>
      </c>
      <c r="H16" s="227">
        <v>0.45321637426900591</v>
      </c>
      <c r="I16" s="312" t="s">
        <v>110</v>
      </c>
      <c r="J16" s="29">
        <v>1</v>
      </c>
      <c r="K16" s="9">
        <v>1</v>
      </c>
      <c r="L16" s="9">
        <v>1</v>
      </c>
      <c r="M16" s="9">
        <v>2</v>
      </c>
      <c r="N16" s="43">
        <v>2</v>
      </c>
      <c r="O16" s="265">
        <f t="shared" si="1"/>
        <v>0.35859414261160716</v>
      </c>
      <c r="P16" s="164" t="s">
        <v>111</v>
      </c>
      <c r="Q16" s="227">
        <v>2003</v>
      </c>
      <c r="R16" s="227">
        <v>2162</v>
      </c>
      <c r="S16" s="227" t="s">
        <v>95</v>
      </c>
      <c r="T16" s="227">
        <v>263</v>
      </c>
      <c r="U16" s="227">
        <v>180</v>
      </c>
      <c r="V16" s="227">
        <v>2245</v>
      </c>
      <c r="W16" s="227">
        <v>7.422680412371134E-2</v>
      </c>
      <c r="X16" s="227">
        <v>0.9257731958762887</v>
      </c>
      <c r="Y16" s="100" t="s">
        <v>126</v>
      </c>
      <c r="Z16" s="29">
        <v>1</v>
      </c>
      <c r="AA16" s="9">
        <v>1</v>
      </c>
      <c r="AB16" s="9">
        <v>1</v>
      </c>
      <c r="AC16" s="9">
        <v>2</v>
      </c>
      <c r="AD16" s="43">
        <v>2</v>
      </c>
      <c r="AE16" s="55">
        <v>0.35859414261160716</v>
      </c>
      <c r="AF16" s="52" t="s">
        <v>111</v>
      </c>
    </row>
    <row r="17" spans="1:32">
      <c r="A17" s="227">
        <v>1995</v>
      </c>
      <c r="B17" s="227">
        <v>98</v>
      </c>
      <c r="C17" s="227" t="s">
        <v>93</v>
      </c>
      <c r="D17" s="227">
        <v>19</v>
      </c>
      <c r="E17" s="227">
        <v>27</v>
      </c>
      <c r="F17" s="227">
        <v>90</v>
      </c>
      <c r="G17" s="227">
        <v>0.23076923076923081</v>
      </c>
      <c r="H17" s="227">
        <v>0.76923076923076916</v>
      </c>
      <c r="I17" s="312" t="s">
        <v>110</v>
      </c>
      <c r="J17" s="29">
        <v>1</v>
      </c>
      <c r="K17" s="9">
        <v>1</v>
      </c>
      <c r="L17" s="9">
        <v>1</v>
      </c>
      <c r="M17" s="9">
        <v>2</v>
      </c>
      <c r="N17" s="43">
        <v>2</v>
      </c>
      <c r="O17" s="265">
        <f t="shared" si="1"/>
        <v>0.35859414261160716</v>
      </c>
      <c r="P17" s="164" t="s">
        <v>111</v>
      </c>
      <c r="Q17" s="227">
        <v>2003</v>
      </c>
      <c r="R17" s="227">
        <v>3056</v>
      </c>
      <c r="S17" s="227" t="s">
        <v>93</v>
      </c>
      <c r="T17" s="227">
        <v>60</v>
      </c>
      <c r="U17" s="227">
        <v>289</v>
      </c>
      <c r="V17" s="227">
        <v>2827</v>
      </c>
      <c r="W17" s="227">
        <v>9.2747111681643138E-2</v>
      </c>
      <c r="X17" s="227">
        <v>0.90725288831835682</v>
      </c>
      <c r="Y17" s="100" t="s">
        <v>126</v>
      </c>
      <c r="Z17" s="29">
        <v>1</v>
      </c>
      <c r="AA17" s="9">
        <v>1</v>
      </c>
      <c r="AB17" s="9">
        <v>1</v>
      </c>
      <c r="AC17" s="9">
        <v>2</v>
      </c>
      <c r="AD17" s="43">
        <v>2</v>
      </c>
      <c r="AE17" s="55">
        <v>0.35859414261160716</v>
      </c>
      <c r="AF17" s="52" t="s">
        <v>111</v>
      </c>
    </row>
    <row r="18" spans="1:32">
      <c r="A18" s="227">
        <v>1995</v>
      </c>
      <c r="B18" s="227">
        <v>1106</v>
      </c>
      <c r="C18" s="227" t="s">
        <v>98</v>
      </c>
      <c r="D18" s="227">
        <v>540</v>
      </c>
      <c r="E18" s="227">
        <v>1187</v>
      </c>
      <c r="F18" s="227">
        <v>459</v>
      </c>
      <c r="G18" s="227">
        <v>0.72114216281895505</v>
      </c>
      <c r="H18" s="227">
        <v>0.27885783718104501</v>
      </c>
      <c r="I18" s="312" t="s">
        <v>110</v>
      </c>
      <c r="J18" s="29">
        <v>1</v>
      </c>
      <c r="K18" s="9">
        <v>1</v>
      </c>
      <c r="L18" s="9">
        <v>1</v>
      </c>
      <c r="M18" s="9">
        <v>2</v>
      </c>
      <c r="N18" s="43">
        <v>2</v>
      </c>
      <c r="O18" s="265">
        <f t="shared" si="1"/>
        <v>0.35859414261160716</v>
      </c>
      <c r="P18" s="164" t="s">
        <v>111</v>
      </c>
      <c r="Q18" s="227">
        <v>2003</v>
      </c>
      <c r="R18" s="227">
        <v>13324</v>
      </c>
      <c r="S18" s="227" t="s">
        <v>98</v>
      </c>
      <c r="T18" s="227">
        <v>2016</v>
      </c>
      <c r="U18" s="227">
        <v>3207</v>
      </c>
      <c r="V18" s="227">
        <v>12133</v>
      </c>
      <c r="W18" s="227">
        <v>0.20906127770534549</v>
      </c>
      <c r="X18" s="227">
        <v>0.79093872229465445</v>
      </c>
      <c r="Y18" s="100" t="s">
        <v>126</v>
      </c>
      <c r="Z18" s="29">
        <v>1</v>
      </c>
      <c r="AA18" s="9">
        <v>1</v>
      </c>
      <c r="AB18" s="9">
        <v>1</v>
      </c>
      <c r="AC18" s="9">
        <v>2</v>
      </c>
      <c r="AD18" s="43">
        <v>2</v>
      </c>
      <c r="AE18" s="55">
        <v>0.35859414261160716</v>
      </c>
      <c r="AF18" s="52" t="s">
        <v>111</v>
      </c>
    </row>
    <row r="19" spans="1:32">
      <c r="A19" s="227">
        <v>1996</v>
      </c>
      <c r="B19" s="227">
        <v>1435</v>
      </c>
      <c r="C19" s="227" t="s">
        <v>85</v>
      </c>
      <c r="D19" s="227">
        <v>368</v>
      </c>
      <c r="E19" s="227">
        <v>1653</v>
      </c>
      <c r="F19" s="227">
        <v>150</v>
      </c>
      <c r="G19" s="227">
        <v>0.91680532445923457</v>
      </c>
      <c r="H19" s="227">
        <v>8.3194675540765428E-2</v>
      </c>
      <c r="I19" s="312" t="s">
        <v>110</v>
      </c>
      <c r="J19" s="29">
        <v>1</v>
      </c>
      <c r="K19" s="9">
        <v>1</v>
      </c>
      <c r="L19" s="9">
        <v>1</v>
      </c>
      <c r="M19" s="9">
        <v>2</v>
      </c>
      <c r="N19" s="43">
        <v>2</v>
      </c>
      <c r="O19" s="265">
        <f t="shared" si="1"/>
        <v>0.35859414261160716</v>
      </c>
      <c r="P19" s="164" t="s">
        <v>111</v>
      </c>
      <c r="Q19" s="227">
        <v>2004</v>
      </c>
      <c r="R19" s="227">
        <v>12405</v>
      </c>
      <c r="S19" s="227" t="s">
        <v>85</v>
      </c>
      <c r="T19" s="227">
        <v>3129</v>
      </c>
      <c r="U19" s="227">
        <v>2739</v>
      </c>
      <c r="V19" s="227">
        <v>12795</v>
      </c>
      <c r="W19" s="227">
        <v>0.17632290459636929</v>
      </c>
      <c r="X19" s="227">
        <v>0.82367709540363077</v>
      </c>
      <c r="Y19" s="100" t="s">
        <v>126</v>
      </c>
      <c r="Z19" s="29">
        <v>1</v>
      </c>
      <c r="AA19" s="9">
        <v>1</v>
      </c>
      <c r="AB19" s="9">
        <v>1</v>
      </c>
      <c r="AC19" s="9">
        <v>2</v>
      </c>
      <c r="AD19" s="43">
        <v>2</v>
      </c>
      <c r="AE19" s="55">
        <v>0.35859414261160716</v>
      </c>
      <c r="AF19" s="52" t="s">
        <v>111</v>
      </c>
    </row>
    <row r="20" spans="1:32">
      <c r="A20" s="227">
        <v>1996</v>
      </c>
      <c r="B20" s="227">
        <v>290</v>
      </c>
      <c r="C20" s="227" t="s">
        <v>86</v>
      </c>
      <c r="D20" s="227">
        <v>134</v>
      </c>
      <c r="E20" s="227">
        <v>321</v>
      </c>
      <c r="F20" s="227">
        <v>103</v>
      </c>
      <c r="G20" s="227">
        <v>0.75707547169811318</v>
      </c>
      <c r="H20" s="227">
        <v>0.24292452830188679</v>
      </c>
      <c r="I20" s="312" t="s">
        <v>110</v>
      </c>
      <c r="J20" s="29">
        <v>1</v>
      </c>
      <c r="K20" s="9">
        <v>1</v>
      </c>
      <c r="L20" s="9">
        <v>1</v>
      </c>
      <c r="M20" s="9">
        <v>2</v>
      </c>
      <c r="N20" s="43">
        <v>2</v>
      </c>
      <c r="O20" s="265">
        <f t="shared" si="1"/>
        <v>0.35859414261160716</v>
      </c>
      <c r="P20" s="164" t="s">
        <v>111</v>
      </c>
      <c r="Q20" s="227">
        <v>2004</v>
      </c>
      <c r="R20" s="227">
        <v>5842</v>
      </c>
      <c r="S20" s="227" t="s">
        <v>86</v>
      </c>
      <c r="T20" s="227">
        <v>1188</v>
      </c>
      <c r="U20" s="227">
        <v>1213</v>
      </c>
      <c r="V20" s="227">
        <v>5817</v>
      </c>
      <c r="W20" s="227">
        <v>0.17254623044096731</v>
      </c>
      <c r="X20" s="227">
        <v>0.82745376955903271</v>
      </c>
      <c r="Y20" s="100" t="s">
        <v>126</v>
      </c>
      <c r="Z20" s="29">
        <v>1</v>
      </c>
      <c r="AA20" s="9">
        <v>1</v>
      </c>
      <c r="AB20" s="9">
        <v>1</v>
      </c>
      <c r="AC20" s="9">
        <v>2</v>
      </c>
      <c r="AD20" s="43">
        <v>2</v>
      </c>
      <c r="AE20" s="55">
        <v>0.35859414261160716</v>
      </c>
      <c r="AF20" s="52" t="s">
        <v>111</v>
      </c>
    </row>
    <row r="21" spans="1:32">
      <c r="A21" s="227">
        <v>1996</v>
      </c>
      <c r="B21" s="227">
        <v>852</v>
      </c>
      <c r="C21" s="227" t="s">
        <v>87</v>
      </c>
      <c r="D21" s="227">
        <v>168</v>
      </c>
      <c r="E21" s="227">
        <v>537</v>
      </c>
      <c r="F21" s="227">
        <v>483</v>
      </c>
      <c r="G21" s="227">
        <v>0.52647058823529413</v>
      </c>
      <c r="H21" s="227">
        <v>0.47352941176470592</v>
      </c>
      <c r="I21" s="312" t="s">
        <v>110</v>
      </c>
      <c r="J21" s="29">
        <v>1</v>
      </c>
      <c r="K21" s="9">
        <v>1</v>
      </c>
      <c r="L21" s="9">
        <v>1</v>
      </c>
      <c r="M21" s="9">
        <v>2</v>
      </c>
      <c r="N21" s="43">
        <v>2</v>
      </c>
      <c r="O21" s="265">
        <f t="shared" si="1"/>
        <v>0.35859414261160716</v>
      </c>
      <c r="P21" s="164" t="s">
        <v>111</v>
      </c>
      <c r="Q21" s="227">
        <v>2004</v>
      </c>
      <c r="R21" s="227">
        <v>9177</v>
      </c>
      <c r="S21" s="227" t="s">
        <v>87</v>
      </c>
      <c r="T21" s="227">
        <v>909</v>
      </c>
      <c r="U21" s="227">
        <v>1168</v>
      </c>
      <c r="V21" s="227">
        <v>8918</v>
      </c>
      <c r="W21" s="227">
        <v>0.11580408487011699</v>
      </c>
      <c r="X21" s="227">
        <v>0.88419591512988305</v>
      </c>
      <c r="Y21" s="100" t="s">
        <v>126</v>
      </c>
      <c r="Z21" s="29">
        <v>1</v>
      </c>
      <c r="AA21" s="9">
        <v>1</v>
      </c>
      <c r="AB21" s="9">
        <v>1</v>
      </c>
      <c r="AC21" s="9">
        <v>2</v>
      </c>
      <c r="AD21" s="43">
        <v>2</v>
      </c>
      <c r="AE21" s="55">
        <v>0.35859414261160716</v>
      </c>
      <c r="AF21" s="52" t="s">
        <v>111</v>
      </c>
    </row>
    <row r="22" spans="1:32">
      <c r="A22" s="227">
        <v>1996</v>
      </c>
      <c r="B22" s="227">
        <v>4</v>
      </c>
      <c r="C22" s="227" t="s">
        <v>88</v>
      </c>
      <c r="D22" s="227">
        <v>113</v>
      </c>
      <c r="E22" s="227">
        <v>106</v>
      </c>
      <c r="F22" s="227">
        <v>11</v>
      </c>
      <c r="G22" s="227">
        <v>0.90598290598290598</v>
      </c>
      <c r="H22" s="227">
        <v>9.4017094017094016E-2</v>
      </c>
      <c r="I22" s="312" t="s">
        <v>110</v>
      </c>
      <c r="J22" s="29">
        <v>1</v>
      </c>
      <c r="K22" s="9">
        <v>1</v>
      </c>
      <c r="L22" s="9">
        <v>1</v>
      </c>
      <c r="M22" s="9">
        <v>2</v>
      </c>
      <c r="N22" s="43">
        <v>2</v>
      </c>
      <c r="O22" s="265">
        <f t="shared" si="1"/>
        <v>0.35859414261160716</v>
      </c>
      <c r="P22" s="164" t="s">
        <v>111</v>
      </c>
      <c r="Q22" s="227">
        <v>2004</v>
      </c>
      <c r="R22" s="227">
        <v>1637</v>
      </c>
      <c r="S22" s="227" t="s">
        <v>88</v>
      </c>
      <c r="T22" s="227">
        <v>166</v>
      </c>
      <c r="U22" s="227">
        <v>291</v>
      </c>
      <c r="V22" s="227">
        <v>1512</v>
      </c>
      <c r="W22" s="227">
        <v>0.16139767054908491</v>
      </c>
      <c r="X22" s="227">
        <v>0.83860232945091517</v>
      </c>
      <c r="Y22" s="100" t="s">
        <v>126</v>
      </c>
      <c r="Z22" s="29">
        <v>1</v>
      </c>
      <c r="AA22" s="9">
        <v>1</v>
      </c>
      <c r="AB22" s="9">
        <v>1</v>
      </c>
      <c r="AC22" s="9">
        <v>2</v>
      </c>
      <c r="AD22" s="43">
        <v>2</v>
      </c>
      <c r="AE22" s="55">
        <v>0.35859414261160716</v>
      </c>
      <c r="AF22" s="52" t="s">
        <v>111</v>
      </c>
    </row>
    <row r="23" spans="1:32">
      <c r="A23" s="227">
        <v>1996</v>
      </c>
      <c r="B23" s="227">
        <v>191</v>
      </c>
      <c r="C23" s="227" t="s">
        <v>89</v>
      </c>
      <c r="D23" s="227">
        <v>45</v>
      </c>
      <c r="E23" s="227">
        <v>49</v>
      </c>
      <c r="F23" s="227">
        <v>187</v>
      </c>
      <c r="G23" s="227">
        <v>0.2076271186440678</v>
      </c>
      <c r="H23" s="227">
        <v>0.7923728813559322</v>
      </c>
      <c r="I23" s="312" t="s">
        <v>110</v>
      </c>
      <c r="J23" s="29">
        <v>1</v>
      </c>
      <c r="K23" s="9">
        <v>1</v>
      </c>
      <c r="L23" s="9">
        <v>1</v>
      </c>
      <c r="M23" s="9">
        <v>2</v>
      </c>
      <c r="N23" s="43">
        <v>2</v>
      </c>
      <c r="O23" s="265">
        <f t="shared" si="1"/>
        <v>0.35859414261160716</v>
      </c>
      <c r="P23" s="164" t="s">
        <v>111</v>
      </c>
      <c r="Q23" s="227">
        <v>2004</v>
      </c>
      <c r="R23" s="227">
        <v>1334</v>
      </c>
      <c r="S23" s="227" t="s">
        <v>89</v>
      </c>
      <c r="T23" s="227">
        <v>50</v>
      </c>
      <c r="U23" s="227">
        <v>134</v>
      </c>
      <c r="V23" s="227">
        <v>1250</v>
      </c>
      <c r="W23" s="227">
        <v>9.6820809248554907E-2</v>
      </c>
      <c r="X23" s="227">
        <v>0.90317919075144504</v>
      </c>
      <c r="Y23" s="100" t="s">
        <v>126</v>
      </c>
      <c r="Z23" s="29">
        <v>1</v>
      </c>
      <c r="AA23" s="9">
        <v>1</v>
      </c>
      <c r="AB23" s="9">
        <v>1</v>
      </c>
      <c r="AC23" s="9">
        <v>2</v>
      </c>
      <c r="AD23" s="43">
        <v>2</v>
      </c>
      <c r="AE23" s="55">
        <v>0.35859414261160716</v>
      </c>
      <c r="AF23" s="52" t="s">
        <v>111</v>
      </c>
    </row>
    <row r="24" spans="1:32">
      <c r="A24" s="227">
        <v>1996</v>
      </c>
      <c r="B24" s="227">
        <v>610</v>
      </c>
      <c r="C24" s="227" t="s">
        <v>90</v>
      </c>
      <c r="D24" s="227">
        <v>287</v>
      </c>
      <c r="E24" s="227">
        <v>433</v>
      </c>
      <c r="F24" s="227">
        <v>464</v>
      </c>
      <c r="G24" s="227">
        <v>0.48272017837235232</v>
      </c>
      <c r="H24" s="227">
        <v>0.51727982162764774</v>
      </c>
      <c r="I24" s="312" t="s">
        <v>110</v>
      </c>
      <c r="J24" s="29">
        <v>1</v>
      </c>
      <c r="K24" s="9">
        <v>1</v>
      </c>
      <c r="L24" s="9">
        <v>1</v>
      </c>
      <c r="M24" s="9">
        <v>2</v>
      </c>
      <c r="N24" s="43">
        <v>2</v>
      </c>
      <c r="O24" s="265">
        <f t="shared" si="1"/>
        <v>0.35859414261160716</v>
      </c>
      <c r="P24" s="164" t="s">
        <v>111</v>
      </c>
      <c r="Q24" s="227">
        <v>2004</v>
      </c>
      <c r="R24" s="227">
        <v>6777</v>
      </c>
      <c r="S24" s="227" t="s">
        <v>90</v>
      </c>
      <c r="T24" s="227">
        <v>409</v>
      </c>
      <c r="U24" s="227">
        <v>1430</v>
      </c>
      <c r="V24" s="227">
        <v>5756</v>
      </c>
      <c r="W24" s="227">
        <v>0.19899805176732541</v>
      </c>
      <c r="X24" s="227">
        <v>0.80100194823267468</v>
      </c>
      <c r="Y24" s="100" t="s">
        <v>126</v>
      </c>
      <c r="Z24" s="29">
        <v>1</v>
      </c>
      <c r="AA24" s="9">
        <v>1</v>
      </c>
      <c r="AB24" s="9">
        <v>1</v>
      </c>
      <c r="AC24" s="9">
        <v>2</v>
      </c>
      <c r="AD24" s="43">
        <v>2</v>
      </c>
      <c r="AE24" s="55">
        <v>0.35859414261160716</v>
      </c>
      <c r="AF24" s="52" t="s">
        <v>111</v>
      </c>
    </row>
    <row r="25" spans="1:32">
      <c r="A25" s="227">
        <v>1996</v>
      </c>
      <c r="B25" s="227">
        <v>0</v>
      </c>
      <c r="C25" s="227" t="s">
        <v>91</v>
      </c>
      <c r="D25" s="227">
        <v>0</v>
      </c>
      <c r="E25" s="227">
        <v>0</v>
      </c>
      <c r="F25" s="227">
        <v>0</v>
      </c>
      <c r="G25" s="227"/>
      <c r="H25" s="227"/>
      <c r="I25" s="312" t="s">
        <v>110</v>
      </c>
      <c r="J25" s="29">
        <v>1</v>
      </c>
      <c r="K25" s="9">
        <v>1</v>
      </c>
      <c r="L25" s="9">
        <v>1</v>
      </c>
      <c r="M25" s="9">
        <v>2</v>
      </c>
      <c r="N25" s="43">
        <v>2</v>
      </c>
      <c r="O25" s="265">
        <f t="shared" si="1"/>
        <v>0.35859414261160716</v>
      </c>
      <c r="P25" s="164" t="s">
        <v>111</v>
      </c>
      <c r="Q25" s="227">
        <v>2004</v>
      </c>
      <c r="R25" s="227">
        <v>2786</v>
      </c>
      <c r="S25" s="227" t="s">
        <v>91</v>
      </c>
      <c r="T25" s="227">
        <v>991</v>
      </c>
      <c r="U25" s="227">
        <v>296</v>
      </c>
      <c r="V25" s="227">
        <v>3481</v>
      </c>
      <c r="W25" s="227">
        <v>7.8369075986232453E-2</v>
      </c>
      <c r="X25" s="227">
        <v>0.92163092401376756</v>
      </c>
      <c r="Y25" s="100" t="s">
        <v>126</v>
      </c>
      <c r="Z25" s="29">
        <v>1</v>
      </c>
      <c r="AA25" s="9">
        <v>1</v>
      </c>
      <c r="AB25" s="9">
        <v>1</v>
      </c>
      <c r="AC25" s="9">
        <v>2</v>
      </c>
      <c r="AD25" s="43">
        <v>2</v>
      </c>
      <c r="AE25" s="55">
        <v>0.35859414261160716</v>
      </c>
      <c r="AF25" s="52" t="s">
        <v>111</v>
      </c>
    </row>
    <row r="26" spans="1:32">
      <c r="A26" s="227">
        <v>1996</v>
      </c>
      <c r="B26" s="227">
        <v>149</v>
      </c>
      <c r="C26" s="227" t="s">
        <v>94</v>
      </c>
      <c r="D26" s="227">
        <v>17</v>
      </c>
      <c r="E26" s="227">
        <v>166</v>
      </c>
      <c r="F26" s="227">
        <v>0</v>
      </c>
      <c r="G26" s="227">
        <v>1</v>
      </c>
      <c r="H26" s="227">
        <v>0</v>
      </c>
      <c r="I26" s="312" t="s">
        <v>110</v>
      </c>
      <c r="J26" s="29">
        <v>1</v>
      </c>
      <c r="K26" s="9">
        <v>1</v>
      </c>
      <c r="L26" s="9">
        <v>1</v>
      </c>
      <c r="M26" s="9">
        <v>2</v>
      </c>
      <c r="N26" s="43">
        <v>2</v>
      </c>
      <c r="O26" s="265">
        <f t="shared" si="1"/>
        <v>0.35859414261160716</v>
      </c>
      <c r="P26" s="164" t="s">
        <v>111</v>
      </c>
      <c r="Q26" s="227">
        <v>2004</v>
      </c>
      <c r="R26" s="227">
        <v>724</v>
      </c>
      <c r="S26" s="227" t="s">
        <v>94</v>
      </c>
      <c r="T26" s="227">
        <v>178</v>
      </c>
      <c r="U26" s="227">
        <v>141</v>
      </c>
      <c r="V26" s="227">
        <v>761</v>
      </c>
      <c r="W26" s="227">
        <v>0.15631929046563189</v>
      </c>
      <c r="X26" s="227">
        <v>0.84368070953436813</v>
      </c>
      <c r="Y26" s="100" t="s">
        <v>126</v>
      </c>
      <c r="Z26" s="29">
        <v>1</v>
      </c>
      <c r="AA26" s="9">
        <v>1</v>
      </c>
      <c r="AB26" s="9">
        <v>1</v>
      </c>
      <c r="AC26" s="9">
        <v>2</v>
      </c>
      <c r="AD26" s="43">
        <v>2</v>
      </c>
      <c r="AE26" s="55">
        <v>0.35859414261160716</v>
      </c>
      <c r="AF26" s="52" t="s">
        <v>111</v>
      </c>
    </row>
    <row r="27" spans="1:32">
      <c r="A27" s="227">
        <v>1996</v>
      </c>
      <c r="B27" s="227">
        <v>337</v>
      </c>
      <c r="C27" s="227" t="s">
        <v>96</v>
      </c>
      <c r="D27" s="227">
        <v>47</v>
      </c>
      <c r="E27" s="227">
        <v>142</v>
      </c>
      <c r="F27" s="227">
        <v>242</v>
      </c>
      <c r="G27" s="227">
        <v>0.36979166666666669</v>
      </c>
      <c r="H27" s="227">
        <v>0.63020833333333326</v>
      </c>
      <c r="I27" s="312" t="s">
        <v>110</v>
      </c>
      <c r="J27" s="29">
        <v>1</v>
      </c>
      <c r="K27" s="9">
        <v>1</v>
      </c>
      <c r="L27" s="9">
        <v>1</v>
      </c>
      <c r="M27" s="9">
        <v>2</v>
      </c>
      <c r="N27" s="43">
        <v>2</v>
      </c>
      <c r="O27" s="265">
        <f t="shared" si="1"/>
        <v>0.35859414261160716</v>
      </c>
      <c r="P27" s="164" t="s">
        <v>111</v>
      </c>
      <c r="Q27" s="227">
        <v>2004</v>
      </c>
      <c r="R27" s="227">
        <v>1138</v>
      </c>
      <c r="S27" s="227" t="s">
        <v>96</v>
      </c>
      <c r="T27" s="227">
        <v>84</v>
      </c>
      <c r="U27" s="227">
        <v>186</v>
      </c>
      <c r="V27" s="227">
        <v>1036</v>
      </c>
      <c r="W27" s="227">
        <v>0.15220949263502459</v>
      </c>
      <c r="X27" s="227">
        <v>0.84779050736497541</v>
      </c>
      <c r="Y27" s="100" t="s">
        <v>126</v>
      </c>
      <c r="Z27" s="29">
        <v>1</v>
      </c>
      <c r="AA27" s="9">
        <v>1</v>
      </c>
      <c r="AB27" s="9">
        <v>1</v>
      </c>
      <c r="AC27" s="9">
        <v>2</v>
      </c>
      <c r="AD27" s="43">
        <v>2</v>
      </c>
      <c r="AE27" s="55">
        <v>0.35859414261160716</v>
      </c>
      <c r="AF27" s="52" t="s">
        <v>111</v>
      </c>
    </row>
    <row r="28" spans="1:32">
      <c r="A28" s="227">
        <v>1996</v>
      </c>
      <c r="B28" s="227">
        <v>233</v>
      </c>
      <c r="C28" s="227" t="s">
        <v>97</v>
      </c>
      <c r="D28" s="227">
        <v>86</v>
      </c>
      <c r="E28" s="227">
        <v>114</v>
      </c>
      <c r="F28" s="227">
        <v>205</v>
      </c>
      <c r="G28" s="227">
        <v>0.35736677115987459</v>
      </c>
      <c r="H28" s="227">
        <v>0.64263322884012541</v>
      </c>
      <c r="I28" s="312" t="s">
        <v>110</v>
      </c>
      <c r="J28" s="29">
        <v>1</v>
      </c>
      <c r="K28" s="9">
        <v>1</v>
      </c>
      <c r="L28" s="9">
        <v>1</v>
      </c>
      <c r="M28" s="9">
        <v>2</v>
      </c>
      <c r="N28" s="43">
        <v>2</v>
      </c>
      <c r="O28" s="265">
        <f t="shared" si="1"/>
        <v>0.35859414261160716</v>
      </c>
      <c r="P28" s="164" t="s">
        <v>111</v>
      </c>
      <c r="Q28" s="227">
        <v>2004</v>
      </c>
      <c r="R28" s="227">
        <v>2951</v>
      </c>
      <c r="S28" s="227" t="s">
        <v>97</v>
      </c>
      <c r="T28" s="227">
        <v>353</v>
      </c>
      <c r="U28" s="227">
        <v>695</v>
      </c>
      <c r="V28" s="227">
        <v>2609</v>
      </c>
      <c r="W28" s="227">
        <v>0.2103510895883777</v>
      </c>
      <c r="X28" s="227">
        <v>0.78964891041162222</v>
      </c>
      <c r="Y28" s="100" t="s">
        <v>126</v>
      </c>
      <c r="Z28" s="29">
        <v>1</v>
      </c>
      <c r="AA28" s="9">
        <v>1</v>
      </c>
      <c r="AB28" s="9">
        <v>1</v>
      </c>
      <c r="AC28" s="9">
        <v>2</v>
      </c>
      <c r="AD28" s="43">
        <v>2</v>
      </c>
      <c r="AE28" s="55">
        <v>0.35859414261160716</v>
      </c>
      <c r="AF28" s="52" t="s">
        <v>111</v>
      </c>
    </row>
    <row r="29" spans="1:32">
      <c r="A29" s="227">
        <v>1996</v>
      </c>
      <c r="B29" s="227">
        <v>200</v>
      </c>
      <c r="C29" s="227" t="s">
        <v>95</v>
      </c>
      <c r="D29" s="227">
        <v>138</v>
      </c>
      <c r="E29" s="227">
        <v>200</v>
      </c>
      <c r="F29" s="227">
        <v>138</v>
      </c>
      <c r="G29" s="227">
        <v>0.59171597633136097</v>
      </c>
      <c r="H29" s="227">
        <v>0.40828402366863897</v>
      </c>
      <c r="I29" s="312" t="s">
        <v>110</v>
      </c>
      <c r="J29" s="29">
        <v>1</v>
      </c>
      <c r="K29" s="9">
        <v>1</v>
      </c>
      <c r="L29" s="9">
        <v>1</v>
      </c>
      <c r="M29" s="9">
        <v>2</v>
      </c>
      <c r="N29" s="43">
        <v>2</v>
      </c>
      <c r="O29" s="265">
        <f t="shared" si="1"/>
        <v>0.35859414261160716</v>
      </c>
      <c r="P29" s="164" t="s">
        <v>111</v>
      </c>
      <c r="Q29" s="227">
        <v>2004</v>
      </c>
      <c r="R29" s="227">
        <v>2007</v>
      </c>
      <c r="S29" s="227" t="s">
        <v>95</v>
      </c>
      <c r="T29" s="227">
        <v>283</v>
      </c>
      <c r="U29" s="227">
        <v>243</v>
      </c>
      <c r="V29" s="227">
        <v>2047</v>
      </c>
      <c r="W29" s="227">
        <v>0.1061135371179039</v>
      </c>
      <c r="X29" s="227">
        <v>0.89388646288209606</v>
      </c>
      <c r="Y29" s="100" t="s">
        <v>126</v>
      </c>
      <c r="Z29" s="29">
        <v>1</v>
      </c>
      <c r="AA29" s="9">
        <v>1</v>
      </c>
      <c r="AB29" s="9">
        <v>1</v>
      </c>
      <c r="AC29" s="9">
        <v>2</v>
      </c>
      <c r="AD29" s="43">
        <v>2</v>
      </c>
      <c r="AE29" s="55">
        <v>0.35859414261160716</v>
      </c>
      <c r="AF29" s="52" t="s">
        <v>111</v>
      </c>
    </row>
    <row r="30" spans="1:32">
      <c r="A30" s="227">
        <v>1996</v>
      </c>
      <c r="B30" s="227">
        <v>98</v>
      </c>
      <c r="C30" s="227" t="s">
        <v>93</v>
      </c>
      <c r="D30" s="227">
        <v>20</v>
      </c>
      <c r="E30" s="227">
        <v>28</v>
      </c>
      <c r="F30" s="227">
        <v>90</v>
      </c>
      <c r="G30" s="227">
        <v>0.23728813559322029</v>
      </c>
      <c r="H30" s="227">
        <v>0.76271186440677963</v>
      </c>
      <c r="I30" s="312" t="s">
        <v>110</v>
      </c>
      <c r="J30" s="29">
        <v>1</v>
      </c>
      <c r="K30" s="9">
        <v>1</v>
      </c>
      <c r="L30" s="9">
        <v>1</v>
      </c>
      <c r="M30" s="9">
        <v>2</v>
      </c>
      <c r="N30" s="43">
        <v>2</v>
      </c>
      <c r="O30" s="265">
        <f t="shared" si="1"/>
        <v>0.35859414261160716</v>
      </c>
      <c r="P30" s="164" t="s">
        <v>111</v>
      </c>
      <c r="Q30" s="227">
        <v>2004</v>
      </c>
      <c r="R30" s="227">
        <v>3101</v>
      </c>
      <c r="S30" s="227" t="s">
        <v>93</v>
      </c>
      <c r="T30" s="227">
        <v>66</v>
      </c>
      <c r="U30" s="227">
        <v>329</v>
      </c>
      <c r="V30" s="227">
        <v>2838</v>
      </c>
      <c r="W30" s="227">
        <v>0.1038838017050837</v>
      </c>
      <c r="X30" s="227">
        <v>0.89611619829491629</v>
      </c>
      <c r="Y30" s="100" t="s">
        <v>126</v>
      </c>
      <c r="Z30" s="29">
        <v>1</v>
      </c>
      <c r="AA30" s="9">
        <v>1</v>
      </c>
      <c r="AB30" s="9">
        <v>1</v>
      </c>
      <c r="AC30" s="9">
        <v>2</v>
      </c>
      <c r="AD30" s="43">
        <v>2</v>
      </c>
      <c r="AE30" s="55">
        <v>0.35859414261160716</v>
      </c>
      <c r="AF30" s="52" t="s">
        <v>111</v>
      </c>
    </row>
    <row r="31" spans="1:32">
      <c r="A31" s="227">
        <v>1996</v>
      </c>
      <c r="B31" s="227">
        <v>1106</v>
      </c>
      <c r="C31" s="227" t="s">
        <v>98</v>
      </c>
      <c r="D31" s="227">
        <v>502</v>
      </c>
      <c r="E31" s="227">
        <v>1469</v>
      </c>
      <c r="F31" s="227">
        <v>139</v>
      </c>
      <c r="G31" s="227">
        <v>0.91355721393034828</v>
      </c>
      <c r="H31" s="227">
        <v>8.6442786069651723E-2</v>
      </c>
      <c r="I31" s="312" t="s">
        <v>110</v>
      </c>
      <c r="J31" s="29">
        <v>1</v>
      </c>
      <c r="K31" s="9">
        <v>1</v>
      </c>
      <c r="L31" s="9">
        <v>1</v>
      </c>
      <c r="M31" s="9">
        <v>2</v>
      </c>
      <c r="N31" s="43">
        <v>2</v>
      </c>
      <c r="O31" s="265">
        <f t="shared" si="1"/>
        <v>0.35859414261160716</v>
      </c>
      <c r="P31" s="164" t="s">
        <v>111</v>
      </c>
      <c r="Q31" s="227">
        <v>2004</v>
      </c>
      <c r="R31" s="227">
        <v>12742</v>
      </c>
      <c r="S31" s="227" t="s">
        <v>98</v>
      </c>
      <c r="T31" s="227">
        <v>2264</v>
      </c>
      <c r="U31" s="227">
        <v>3673</v>
      </c>
      <c r="V31" s="227">
        <v>11333</v>
      </c>
      <c r="W31" s="227">
        <v>0.2447687591630015</v>
      </c>
      <c r="X31" s="227">
        <v>0.75523124083699855</v>
      </c>
      <c r="Y31" s="100" t="s">
        <v>126</v>
      </c>
      <c r="Z31" s="29">
        <v>1</v>
      </c>
      <c r="AA31" s="9">
        <v>1</v>
      </c>
      <c r="AB31" s="9">
        <v>1</v>
      </c>
      <c r="AC31" s="9">
        <v>2</v>
      </c>
      <c r="AD31" s="43">
        <v>2</v>
      </c>
      <c r="AE31" s="55">
        <v>0.35859414261160716</v>
      </c>
      <c r="AF31" s="52" t="s">
        <v>111</v>
      </c>
    </row>
    <row r="32" spans="1:32">
      <c r="A32" s="227">
        <v>1997</v>
      </c>
      <c r="B32" s="227">
        <v>1435</v>
      </c>
      <c r="C32" s="227" t="s">
        <v>85</v>
      </c>
      <c r="D32" s="227">
        <v>405</v>
      </c>
      <c r="E32" s="227">
        <v>1808</v>
      </c>
      <c r="F32" s="227">
        <v>32</v>
      </c>
      <c r="G32" s="227">
        <v>0.9826086956521739</v>
      </c>
      <c r="H32" s="227">
        <v>1.7391304347826101E-2</v>
      </c>
      <c r="I32" s="312" t="s">
        <v>110</v>
      </c>
      <c r="J32" s="29">
        <v>1</v>
      </c>
      <c r="K32" s="9">
        <v>1</v>
      </c>
      <c r="L32" s="9">
        <v>1</v>
      </c>
      <c r="M32" s="9">
        <v>2</v>
      </c>
      <c r="N32" s="43">
        <v>2</v>
      </c>
      <c r="O32" s="265">
        <f t="shared" si="1"/>
        <v>0.35859414261160716</v>
      </c>
      <c r="P32" s="164" t="s">
        <v>111</v>
      </c>
      <c r="Q32" s="227">
        <v>2005</v>
      </c>
      <c r="R32" s="227">
        <v>12454</v>
      </c>
      <c r="S32" s="227" t="s">
        <v>85</v>
      </c>
      <c r="T32" s="227">
        <v>3634</v>
      </c>
      <c r="U32" s="227">
        <v>2757</v>
      </c>
      <c r="V32" s="227">
        <v>13331</v>
      </c>
      <c r="W32" s="227">
        <v>0.17136996519144701</v>
      </c>
      <c r="X32" s="227">
        <v>0.82863003480855291</v>
      </c>
      <c r="Y32" s="100" t="s">
        <v>126</v>
      </c>
      <c r="Z32" s="29">
        <v>1</v>
      </c>
      <c r="AA32" s="9">
        <v>1</v>
      </c>
      <c r="AB32" s="9">
        <v>1</v>
      </c>
      <c r="AC32" s="9">
        <v>2</v>
      </c>
      <c r="AD32" s="43">
        <v>2</v>
      </c>
      <c r="AE32" s="55">
        <v>0.35859414261160716</v>
      </c>
      <c r="AF32" s="52" t="s">
        <v>111</v>
      </c>
    </row>
    <row r="33" spans="1:32">
      <c r="A33" s="227">
        <v>1997</v>
      </c>
      <c r="B33" s="227">
        <v>290</v>
      </c>
      <c r="C33" s="227" t="s">
        <v>86</v>
      </c>
      <c r="D33" s="227">
        <v>148</v>
      </c>
      <c r="E33" s="227">
        <v>366</v>
      </c>
      <c r="F33" s="227">
        <v>72</v>
      </c>
      <c r="G33" s="227">
        <v>0.83561643835616439</v>
      </c>
      <c r="H33" s="227">
        <v>0.16438356164383561</v>
      </c>
      <c r="I33" s="312" t="s">
        <v>110</v>
      </c>
      <c r="J33" s="29">
        <v>1</v>
      </c>
      <c r="K33" s="9">
        <v>1</v>
      </c>
      <c r="L33" s="9">
        <v>1</v>
      </c>
      <c r="M33" s="9">
        <v>2</v>
      </c>
      <c r="N33" s="43">
        <v>2</v>
      </c>
      <c r="O33" s="265">
        <f t="shared" si="1"/>
        <v>0.35859414261160716</v>
      </c>
      <c r="P33" s="164" t="s">
        <v>111</v>
      </c>
      <c r="Q33" s="227">
        <v>2005</v>
      </c>
      <c r="R33" s="227">
        <v>5841</v>
      </c>
      <c r="S33" s="227" t="s">
        <v>86</v>
      </c>
      <c r="T33" s="227">
        <v>1341</v>
      </c>
      <c r="U33" s="227">
        <v>1366</v>
      </c>
      <c r="V33" s="227">
        <v>5816</v>
      </c>
      <c r="W33" s="227">
        <v>0.190197716513506</v>
      </c>
      <c r="X33" s="227">
        <v>0.80980228348649397</v>
      </c>
      <c r="Y33" s="100" t="s">
        <v>126</v>
      </c>
      <c r="Z33" s="29">
        <v>1</v>
      </c>
      <c r="AA33" s="9">
        <v>1</v>
      </c>
      <c r="AB33" s="9">
        <v>1</v>
      </c>
      <c r="AC33" s="9">
        <v>2</v>
      </c>
      <c r="AD33" s="43">
        <v>2</v>
      </c>
      <c r="AE33" s="55">
        <v>0.35859414261160716</v>
      </c>
      <c r="AF33" s="52" t="s">
        <v>111</v>
      </c>
    </row>
    <row r="34" spans="1:32">
      <c r="A34" s="227">
        <v>1997</v>
      </c>
      <c r="B34" s="227">
        <v>852</v>
      </c>
      <c r="C34" s="227" t="s">
        <v>87</v>
      </c>
      <c r="D34" s="227">
        <v>199</v>
      </c>
      <c r="E34" s="227">
        <v>453</v>
      </c>
      <c r="F34" s="227">
        <v>598</v>
      </c>
      <c r="G34" s="227">
        <v>0.43101807802093239</v>
      </c>
      <c r="H34" s="227">
        <v>0.5689819219790675</v>
      </c>
      <c r="I34" s="312" t="s">
        <v>110</v>
      </c>
      <c r="J34" s="29">
        <v>1</v>
      </c>
      <c r="K34" s="9">
        <v>1</v>
      </c>
      <c r="L34" s="9">
        <v>1</v>
      </c>
      <c r="M34" s="9">
        <v>2</v>
      </c>
      <c r="N34" s="43">
        <v>2</v>
      </c>
      <c r="O34" s="265">
        <f t="shared" si="1"/>
        <v>0.35859414261160716</v>
      </c>
      <c r="P34" s="164" t="s">
        <v>111</v>
      </c>
      <c r="Q34" s="227">
        <v>2005</v>
      </c>
      <c r="R34" s="227">
        <v>9359</v>
      </c>
      <c r="S34" s="227" t="s">
        <v>87</v>
      </c>
      <c r="T34" s="227">
        <v>1094</v>
      </c>
      <c r="U34" s="227">
        <v>1077</v>
      </c>
      <c r="V34" s="227">
        <v>9376</v>
      </c>
      <c r="W34" s="227">
        <v>0.10303262221371851</v>
      </c>
      <c r="X34" s="227">
        <v>0.89696737778628144</v>
      </c>
      <c r="Y34" s="100" t="s">
        <v>126</v>
      </c>
      <c r="Z34" s="29">
        <v>1</v>
      </c>
      <c r="AA34" s="9">
        <v>1</v>
      </c>
      <c r="AB34" s="9">
        <v>1</v>
      </c>
      <c r="AC34" s="9">
        <v>2</v>
      </c>
      <c r="AD34" s="43">
        <v>2</v>
      </c>
      <c r="AE34" s="55">
        <v>0.35859414261160716</v>
      </c>
      <c r="AF34" s="52" t="s">
        <v>111</v>
      </c>
    </row>
    <row r="35" spans="1:32">
      <c r="A35" s="227">
        <v>1997</v>
      </c>
      <c r="B35" s="227">
        <v>38</v>
      </c>
      <c r="C35" s="227" t="s">
        <v>88</v>
      </c>
      <c r="D35" s="227">
        <v>77</v>
      </c>
      <c r="E35" s="227">
        <v>115</v>
      </c>
      <c r="F35" s="227">
        <v>0</v>
      </c>
      <c r="G35" s="227">
        <v>1</v>
      </c>
      <c r="H35" s="227">
        <v>0</v>
      </c>
      <c r="I35" s="312" t="s">
        <v>110</v>
      </c>
      <c r="J35" s="29">
        <v>1</v>
      </c>
      <c r="K35" s="9">
        <v>1</v>
      </c>
      <c r="L35" s="9">
        <v>1</v>
      </c>
      <c r="M35" s="9">
        <v>2</v>
      </c>
      <c r="N35" s="43">
        <v>2</v>
      </c>
      <c r="O35" s="265">
        <f t="shared" si="1"/>
        <v>0.35859414261160716</v>
      </c>
      <c r="P35" s="164" t="s">
        <v>111</v>
      </c>
      <c r="Q35" s="227">
        <v>2005</v>
      </c>
      <c r="R35" s="227">
        <v>1714</v>
      </c>
      <c r="S35" s="227" t="s">
        <v>88</v>
      </c>
      <c r="T35" s="227">
        <v>126</v>
      </c>
      <c r="U35" s="227">
        <v>306</v>
      </c>
      <c r="V35" s="227">
        <v>1534</v>
      </c>
      <c r="W35" s="227">
        <v>0.166304347826087</v>
      </c>
      <c r="X35" s="227">
        <v>0.83369565217391306</v>
      </c>
      <c r="Y35" s="100" t="s">
        <v>126</v>
      </c>
      <c r="Z35" s="29">
        <v>1</v>
      </c>
      <c r="AA35" s="9">
        <v>1</v>
      </c>
      <c r="AB35" s="9">
        <v>1</v>
      </c>
      <c r="AC35" s="9">
        <v>2</v>
      </c>
      <c r="AD35" s="43">
        <v>2</v>
      </c>
      <c r="AE35" s="55">
        <v>0.35859414261160716</v>
      </c>
      <c r="AF35" s="52" t="s">
        <v>111</v>
      </c>
    </row>
    <row r="36" spans="1:32">
      <c r="A36" s="227">
        <v>1997</v>
      </c>
      <c r="B36" s="227">
        <v>191</v>
      </c>
      <c r="C36" s="227" t="s">
        <v>89</v>
      </c>
      <c r="D36" s="227">
        <v>43</v>
      </c>
      <c r="E36" s="227">
        <v>45</v>
      </c>
      <c r="F36" s="227">
        <v>189</v>
      </c>
      <c r="G36" s="227">
        <v>0.19230769230769229</v>
      </c>
      <c r="H36" s="227">
        <v>0.80769230769230771</v>
      </c>
      <c r="I36" s="312" t="s">
        <v>110</v>
      </c>
      <c r="J36" s="29">
        <v>1</v>
      </c>
      <c r="K36" s="9">
        <v>1</v>
      </c>
      <c r="L36" s="9">
        <v>1</v>
      </c>
      <c r="M36" s="9">
        <v>2</v>
      </c>
      <c r="N36" s="43">
        <v>2</v>
      </c>
      <c r="O36" s="265">
        <f t="shared" si="1"/>
        <v>0.35859414261160716</v>
      </c>
      <c r="P36" s="164" t="s">
        <v>111</v>
      </c>
      <c r="Q36" s="227">
        <v>2005</v>
      </c>
      <c r="R36" s="227">
        <v>1178</v>
      </c>
      <c r="S36" s="227" t="s">
        <v>89</v>
      </c>
      <c r="T36" s="227">
        <v>51</v>
      </c>
      <c r="U36" s="227">
        <v>116</v>
      </c>
      <c r="V36" s="227">
        <v>1113</v>
      </c>
      <c r="W36" s="227">
        <v>9.4385679414157847E-2</v>
      </c>
      <c r="X36" s="227">
        <v>0.90561432058584213</v>
      </c>
      <c r="Y36" s="100" t="s">
        <v>126</v>
      </c>
      <c r="Z36" s="29">
        <v>1</v>
      </c>
      <c r="AA36" s="9">
        <v>1</v>
      </c>
      <c r="AB36" s="9">
        <v>1</v>
      </c>
      <c r="AC36" s="9">
        <v>2</v>
      </c>
      <c r="AD36" s="43">
        <v>2</v>
      </c>
      <c r="AE36" s="55">
        <v>0.35859414261160716</v>
      </c>
      <c r="AF36" s="52" t="s">
        <v>111</v>
      </c>
    </row>
    <row r="37" spans="1:32">
      <c r="A37" s="227">
        <v>1997</v>
      </c>
      <c r="B37" s="227">
        <v>610</v>
      </c>
      <c r="C37" s="227" t="s">
        <v>90</v>
      </c>
      <c r="D37" s="227">
        <v>210</v>
      </c>
      <c r="E37" s="227">
        <v>414</v>
      </c>
      <c r="F37" s="227">
        <v>406</v>
      </c>
      <c r="G37" s="227">
        <v>0.50487804878048781</v>
      </c>
      <c r="H37" s="227">
        <v>0.49512195121951219</v>
      </c>
      <c r="I37" s="312" t="s">
        <v>110</v>
      </c>
      <c r="J37" s="29">
        <v>1</v>
      </c>
      <c r="K37" s="9">
        <v>1</v>
      </c>
      <c r="L37" s="9">
        <v>1</v>
      </c>
      <c r="M37" s="9">
        <v>2</v>
      </c>
      <c r="N37" s="43">
        <v>2</v>
      </c>
      <c r="O37" s="265">
        <f t="shared" si="1"/>
        <v>0.35859414261160716</v>
      </c>
      <c r="P37" s="164" t="s">
        <v>111</v>
      </c>
      <c r="Q37" s="227">
        <v>2005</v>
      </c>
      <c r="R37" s="227">
        <v>6608</v>
      </c>
      <c r="S37" s="227" t="s">
        <v>90</v>
      </c>
      <c r="T37" s="227">
        <v>420</v>
      </c>
      <c r="U37" s="227">
        <v>1529</v>
      </c>
      <c r="V37" s="227">
        <v>5499</v>
      </c>
      <c r="W37" s="227">
        <v>0.2175583380762664</v>
      </c>
      <c r="X37" s="227">
        <v>0.78244166192373366</v>
      </c>
      <c r="Y37" s="100" t="s">
        <v>126</v>
      </c>
      <c r="Z37" s="29">
        <v>1</v>
      </c>
      <c r="AA37" s="9">
        <v>1</v>
      </c>
      <c r="AB37" s="9">
        <v>1</v>
      </c>
      <c r="AC37" s="9">
        <v>2</v>
      </c>
      <c r="AD37" s="43">
        <v>2</v>
      </c>
      <c r="AE37" s="55">
        <v>0.35859414261160716</v>
      </c>
      <c r="AF37" s="52" t="s">
        <v>111</v>
      </c>
    </row>
    <row r="38" spans="1:32">
      <c r="A38" s="227">
        <v>1997</v>
      </c>
      <c r="B38" s="227">
        <v>0</v>
      </c>
      <c r="C38" s="227" t="s">
        <v>91</v>
      </c>
      <c r="D38" s="227">
        <v>0</v>
      </c>
      <c r="E38" s="227">
        <v>0</v>
      </c>
      <c r="F38" s="227">
        <v>0</v>
      </c>
      <c r="G38" s="227"/>
      <c r="H38" s="227"/>
      <c r="I38" s="312" t="s">
        <v>110</v>
      </c>
      <c r="J38" s="29">
        <v>1</v>
      </c>
      <c r="K38" s="9">
        <v>1</v>
      </c>
      <c r="L38" s="9">
        <v>1</v>
      </c>
      <c r="M38" s="9">
        <v>2</v>
      </c>
      <c r="N38" s="43">
        <v>2</v>
      </c>
      <c r="O38" s="265">
        <f t="shared" si="1"/>
        <v>0.35859414261160716</v>
      </c>
      <c r="P38" s="164" t="s">
        <v>111</v>
      </c>
      <c r="Q38" s="227">
        <v>2005</v>
      </c>
      <c r="R38" s="227">
        <v>4447</v>
      </c>
      <c r="S38" s="227" t="s">
        <v>91</v>
      </c>
      <c r="T38" s="227">
        <v>895</v>
      </c>
      <c r="U38" s="227">
        <v>321</v>
      </c>
      <c r="V38" s="227">
        <v>5021</v>
      </c>
      <c r="W38" s="227">
        <v>6.0089853987270687E-2</v>
      </c>
      <c r="X38" s="227">
        <v>0.93991014601272926</v>
      </c>
      <c r="Y38" s="100" t="s">
        <v>126</v>
      </c>
      <c r="Z38" s="29">
        <v>1</v>
      </c>
      <c r="AA38" s="9">
        <v>1</v>
      </c>
      <c r="AB38" s="9">
        <v>1</v>
      </c>
      <c r="AC38" s="9">
        <v>2</v>
      </c>
      <c r="AD38" s="43">
        <v>2</v>
      </c>
      <c r="AE38" s="55">
        <v>0.35859414261160716</v>
      </c>
      <c r="AF38" s="52" t="s">
        <v>111</v>
      </c>
    </row>
    <row r="39" spans="1:32">
      <c r="A39" s="227">
        <v>1997</v>
      </c>
      <c r="B39" s="227">
        <v>155</v>
      </c>
      <c r="C39" s="227" t="s">
        <v>94</v>
      </c>
      <c r="D39" s="227">
        <v>28</v>
      </c>
      <c r="E39" s="227">
        <v>183</v>
      </c>
      <c r="F39" s="227">
        <v>0</v>
      </c>
      <c r="G39" s="227">
        <v>1</v>
      </c>
      <c r="H39" s="227">
        <v>0</v>
      </c>
      <c r="I39" s="312" t="s">
        <v>110</v>
      </c>
      <c r="J39" s="29">
        <v>1</v>
      </c>
      <c r="K39" s="9">
        <v>1</v>
      </c>
      <c r="L39" s="9">
        <v>1</v>
      </c>
      <c r="M39" s="9">
        <v>2</v>
      </c>
      <c r="N39" s="43">
        <v>2</v>
      </c>
      <c r="O39" s="265">
        <f t="shared" si="1"/>
        <v>0.35859414261160716</v>
      </c>
      <c r="P39" s="164" t="s">
        <v>111</v>
      </c>
      <c r="Q39" s="227">
        <v>2005</v>
      </c>
      <c r="R39" s="227">
        <v>702</v>
      </c>
      <c r="S39" s="227" t="s">
        <v>94</v>
      </c>
      <c r="T39" s="227">
        <v>207</v>
      </c>
      <c r="U39" s="227">
        <v>176</v>
      </c>
      <c r="V39" s="227">
        <v>733</v>
      </c>
      <c r="W39" s="227">
        <v>0.19361936193619361</v>
      </c>
      <c r="X39" s="227">
        <v>0.80638063806380633</v>
      </c>
      <c r="Y39" s="100" t="s">
        <v>126</v>
      </c>
      <c r="Z39" s="29">
        <v>1</v>
      </c>
      <c r="AA39" s="9">
        <v>1</v>
      </c>
      <c r="AB39" s="9">
        <v>1</v>
      </c>
      <c r="AC39" s="9">
        <v>2</v>
      </c>
      <c r="AD39" s="43">
        <v>2</v>
      </c>
      <c r="AE39" s="55">
        <v>0.35859414261160716</v>
      </c>
      <c r="AF39" s="52" t="s">
        <v>111</v>
      </c>
    </row>
    <row r="40" spans="1:32">
      <c r="A40" s="227">
        <v>1997</v>
      </c>
      <c r="B40" s="227">
        <v>337</v>
      </c>
      <c r="C40" s="227" t="s">
        <v>96</v>
      </c>
      <c r="D40" s="227">
        <v>47</v>
      </c>
      <c r="E40" s="227">
        <v>193</v>
      </c>
      <c r="F40" s="227">
        <v>191</v>
      </c>
      <c r="G40" s="227">
        <v>0.50260416666666663</v>
      </c>
      <c r="H40" s="227">
        <v>0.49739583333333343</v>
      </c>
      <c r="I40" s="312" t="s">
        <v>110</v>
      </c>
      <c r="J40" s="29">
        <v>1</v>
      </c>
      <c r="K40" s="9">
        <v>1</v>
      </c>
      <c r="L40" s="9">
        <v>1</v>
      </c>
      <c r="M40" s="9">
        <v>2</v>
      </c>
      <c r="N40" s="43">
        <v>2</v>
      </c>
      <c r="O40" s="265">
        <f t="shared" si="1"/>
        <v>0.35859414261160716</v>
      </c>
      <c r="P40" s="164" t="s">
        <v>111</v>
      </c>
      <c r="Q40" s="227">
        <v>2005</v>
      </c>
      <c r="R40" s="227">
        <v>1194</v>
      </c>
      <c r="S40" s="227" t="s">
        <v>96</v>
      </c>
      <c r="T40" s="227">
        <v>92</v>
      </c>
      <c r="U40" s="227">
        <v>266</v>
      </c>
      <c r="V40" s="227">
        <v>1020</v>
      </c>
      <c r="W40" s="227">
        <v>0.20684292379471231</v>
      </c>
      <c r="X40" s="227">
        <v>0.79315707620528775</v>
      </c>
      <c r="Y40" s="100" t="s">
        <v>126</v>
      </c>
      <c r="Z40" s="29">
        <v>1</v>
      </c>
      <c r="AA40" s="9">
        <v>1</v>
      </c>
      <c r="AB40" s="9">
        <v>1</v>
      </c>
      <c r="AC40" s="9">
        <v>2</v>
      </c>
      <c r="AD40" s="43">
        <v>2</v>
      </c>
      <c r="AE40" s="55">
        <v>0.35859414261160716</v>
      </c>
      <c r="AF40" s="52" t="s">
        <v>111</v>
      </c>
    </row>
    <row r="41" spans="1:32">
      <c r="A41" s="227">
        <v>1997</v>
      </c>
      <c r="B41" s="227">
        <v>233</v>
      </c>
      <c r="C41" s="227" t="s">
        <v>97</v>
      </c>
      <c r="D41" s="227">
        <v>104</v>
      </c>
      <c r="E41" s="227">
        <v>148</v>
      </c>
      <c r="F41" s="227">
        <v>189</v>
      </c>
      <c r="G41" s="227">
        <v>0.43916913946587538</v>
      </c>
      <c r="H41" s="227">
        <v>0.56083086053412456</v>
      </c>
      <c r="I41" s="312" t="s">
        <v>110</v>
      </c>
      <c r="J41" s="29">
        <v>1</v>
      </c>
      <c r="K41" s="9">
        <v>1</v>
      </c>
      <c r="L41" s="9">
        <v>1</v>
      </c>
      <c r="M41" s="9">
        <v>2</v>
      </c>
      <c r="N41" s="43">
        <v>2</v>
      </c>
      <c r="O41" s="265">
        <f t="shared" si="1"/>
        <v>0.35859414261160716</v>
      </c>
      <c r="P41" s="164" t="s">
        <v>111</v>
      </c>
      <c r="Q41" s="227">
        <v>2005</v>
      </c>
      <c r="R41" s="227">
        <v>3495</v>
      </c>
      <c r="S41" s="227" t="s">
        <v>97</v>
      </c>
      <c r="T41" s="227">
        <v>358</v>
      </c>
      <c r="U41" s="227">
        <v>902</v>
      </c>
      <c r="V41" s="227">
        <v>2951</v>
      </c>
      <c r="W41" s="227">
        <v>0.2341032961328835</v>
      </c>
      <c r="X41" s="227">
        <v>0.7658967038671165</v>
      </c>
      <c r="Y41" s="100" t="s">
        <v>126</v>
      </c>
      <c r="Z41" s="29">
        <v>1</v>
      </c>
      <c r="AA41" s="9">
        <v>1</v>
      </c>
      <c r="AB41" s="9">
        <v>1</v>
      </c>
      <c r="AC41" s="9">
        <v>2</v>
      </c>
      <c r="AD41" s="43">
        <v>2</v>
      </c>
      <c r="AE41" s="55">
        <v>0.35859414261160716</v>
      </c>
      <c r="AF41" s="52" t="s">
        <v>111</v>
      </c>
    </row>
    <row r="42" spans="1:32">
      <c r="A42" s="227">
        <v>1997</v>
      </c>
      <c r="B42" s="227">
        <v>200</v>
      </c>
      <c r="C42" s="227" t="s">
        <v>95</v>
      </c>
      <c r="D42" s="227">
        <v>135</v>
      </c>
      <c r="E42" s="227">
        <v>203</v>
      </c>
      <c r="F42" s="227">
        <v>132</v>
      </c>
      <c r="G42" s="227">
        <v>0.60597014925373138</v>
      </c>
      <c r="H42" s="227">
        <v>0.39402985074626862</v>
      </c>
      <c r="I42" s="312" t="s">
        <v>110</v>
      </c>
      <c r="J42" s="29">
        <v>1</v>
      </c>
      <c r="K42" s="9">
        <v>1</v>
      </c>
      <c r="L42" s="9">
        <v>1</v>
      </c>
      <c r="M42" s="9">
        <v>2</v>
      </c>
      <c r="N42" s="43">
        <v>2</v>
      </c>
      <c r="O42" s="265">
        <f t="shared" si="1"/>
        <v>0.35859414261160716</v>
      </c>
      <c r="P42" s="164" t="s">
        <v>111</v>
      </c>
      <c r="Q42" s="227">
        <v>2005</v>
      </c>
      <c r="R42" s="227">
        <v>2366</v>
      </c>
      <c r="S42" s="227" t="s">
        <v>95</v>
      </c>
      <c r="T42" s="227">
        <v>289</v>
      </c>
      <c r="U42" s="227">
        <v>517</v>
      </c>
      <c r="V42" s="227">
        <v>2138</v>
      </c>
      <c r="W42" s="227">
        <v>0.19472693032015059</v>
      </c>
      <c r="X42" s="227">
        <v>0.80527306967984935</v>
      </c>
      <c r="Y42" s="100" t="s">
        <v>126</v>
      </c>
      <c r="Z42" s="29">
        <v>1</v>
      </c>
      <c r="AA42" s="9">
        <v>1</v>
      </c>
      <c r="AB42" s="9">
        <v>1</v>
      </c>
      <c r="AC42" s="9">
        <v>2</v>
      </c>
      <c r="AD42" s="43">
        <v>2</v>
      </c>
      <c r="AE42" s="55">
        <v>0.35859414261160716</v>
      </c>
      <c r="AF42" s="52" t="s">
        <v>111</v>
      </c>
    </row>
    <row r="43" spans="1:32">
      <c r="A43" s="227">
        <v>1997</v>
      </c>
      <c r="B43" s="227">
        <v>98</v>
      </c>
      <c r="C43" s="227" t="s">
        <v>93</v>
      </c>
      <c r="D43" s="227">
        <v>17</v>
      </c>
      <c r="E43" s="227">
        <v>31</v>
      </c>
      <c r="F43" s="227">
        <v>84</v>
      </c>
      <c r="G43" s="227">
        <v>0.26956521739130429</v>
      </c>
      <c r="H43" s="227">
        <v>0.73043478260869565</v>
      </c>
      <c r="I43" s="312" t="s">
        <v>110</v>
      </c>
      <c r="J43" s="29">
        <v>1</v>
      </c>
      <c r="K43" s="9">
        <v>1</v>
      </c>
      <c r="L43" s="9">
        <v>1</v>
      </c>
      <c r="M43" s="9">
        <v>2</v>
      </c>
      <c r="N43" s="43">
        <v>2</v>
      </c>
      <c r="O43" s="265">
        <f t="shared" si="1"/>
        <v>0.35859414261160716</v>
      </c>
      <c r="P43" s="164" t="s">
        <v>111</v>
      </c>
      <c r="Q43" s="227">
        <v>2005</v>
      </c>
      <c r="R43" s="227">
        <v>3361</v>
      </c>
      <c r="S43" s="227" t="s">
        <v>93</v>
      </c>
      <c r="T43" s="227">
        <v>69</v>
      </c>
      <c r="U43" s="227">
        <v>420</v>
      </c>
      <c r="V43" s="227">
        <v>3010</v>
      </c>
      <c r="W43" s="227">
        <v>0.1224489795918367</v>
      </c>
      <c r="X43" s="227">
        <v>0.87755102040816324</v>
      </c>
      <c r="Y43" s="100" t="s">
        <v>126</v>
      </c>
      <c r="Z43" s="29">
        <v>1</v>
      </c>
      <c r="AA43" s="9">
        <v>1</v>
      </c>
      <c r="AB43" s="9">
        <v>1</v>
      </c>
      <c r="AC43" s="9">
        <v>2</v>
      </c>
      <c r="AD43" s="43">
        <v>2</v>
      </c>
      <c r="AE43" s="55">
        <v>0.35859414261160716</v>
      </c>
      <c r="AF43" s="52" t="s">
        <v>111</v>
      </c>
    </row>
    <row r="44" spans="1:32">
      <c r="A44" s="227">
        <v>1997</v>
      </c>
      <c r="B44" s="227">
        <v>1233</v>
      </c>
      <c r="C44" s="227" t="s">
        <v>98</v>
      </c>
      <c r="D44" s="227">
        <v>556</v>
      </c>
      <c r="E44" s="227">
        <v>1789</v>
      </c>
      <c r="F44" s="227">
        <v>0</v>
      </c>
      <c r="G44" s="227">
        <v>1</v>
      </c>
      <c r="H44" s="227">
        <v>0</v>
      </c>
      <c r="I44" s="312" t="s">
        <v>110</v>
      </c>
      <c r="J44" s="29">
        <v>1</v>
      </c>
      <c r="K44" s="9">
        <v>1</v>
      </c>
      <c r="L44" s="9">
        <v>1</v>
      </c>
      <c r="M44" s="9">
        <v>2</v>
      </c>
      <c r="N44" s="43">
        <v>2</v>
      </c>
      <c r="O44" s="265">
        <f t="shared" si="1"/>
        <v>0.35859414261160716</v>
      </c>
      <c r="P44" s="164" t="s">
        <v>111</v>
      </c>
      <c r="Q44" s="227">
        <v>2005</v>
      </c>
      <c r="R44" s="227">
        <v>14639</v>
      </c>
      <c r="S44" s="227" t="s">
        <v>98</v>
      </c>
      <c r="T44" s="227">
        <v>2432</v>
      </c>
      <c r="U44" s="227">
        <v>4742</v>
      </c>
      <c r="V44" s="227">
        <v>12329</v>
      </c>
      <c r="W44" s="227">
        <v>0.27778103215980321</v>
      </c>
      <c r="X44" s="227">
        <v>0.7222189678401969</v>
      </c>
      <c r="Y44" s="100" t="s">
        <v>126</v>
      </c>
      <c r="Z44" s="29">
        <v>1</v>
      </c>
      <c r="AA44" s="9">
        <v>1</v>
      </c>
      <c r="AB44" s="9">
        <v>1</v>
      </c>
      <c r="AC44" s="9">
        <v>2</v>
      </c>
      <c r="AD44" s="43">
        <v>2</v>
      </c>
      <c r="AE44" s="55">
        <v>0.35859414261160716</v>
      </c>
      <c r="AF44" s="52" t="s">
        <v>111</v>
      </c>
    </row>
    <row r="45" spans="1:32">
      <c r="A45" s="227">
        <v>1998</v>
      </c>
      <c r="B45" s="227">
        <v>1435</v>
      </c>
      <c r="C45" s="227" t="s">
        <v>85</v>
      </c>
      <c r="D45" s="227">
        <v>403</v>
      </c>
      <c r="E45" s="227">
        <v>1601</v>
      </c>
      <c r="F45" s="227">
        <v>237</v>
      </c>
      <c r="G45" s="227">
        <v>0.87105549510337321</v>
      </c>
      <c r="H45" s="227">
        <v>0.12894450489662679</v>
      </c>
      <c r="I45" s="312" t="s">
        <v>110</v>
      </c>
      <c r="J45" s="29">
        <v>1</v>
      </c>
      <c r="K45" s="9">
        <v>1</v>
      </c>
      <c r="L45" s="9">
        <v>1</v>
      </c>
      <c r="M45" s="9">
        <v>2</v>
      </c>
      <c r="N45" s="43">
        <v>2</v>
      </c>
      <c r="O45" s="265">
        <f t="shared" si="1"/>
        <v>0.35859414261160716</v>
      </c>
      <c r="P45" s="164" t="s">
        <v>111</v>
      </c>
      <c r="Q45" s="227">
        <v>2006</v>
      </c>
      <c r="R45" s="227">
        <v>12651</v>
      </c>
      <c r="S45" s="227" t="s">
        <v>85</v>
      </c>
      <c r="T45" s="227">
        <v>4450</v>
      </c>
      <c r="U45" s="227">
        <v>2736</v>
      </c>
      <c r="V45" s="227">
        <v>14365</v>
      </c>
      <c r="W45" s="227">
        <v>0.15999064382199871</v>
      </c>
      <c r="X45" s="227">
        <v>0.84000935617800132</v>
      </c>
      <c r="Y45" s="100" t="s">
        <v>126</v>
      </c>
      <c r="Z45" s="29">
        <v>1</v>
      </c>
      <c r="AA45" s="9">
        <v>1</v>
      </c>
      <c r="AB45" s="9">
        <v>1</v>
      </c>
      <c r="AC45" s="9">
        <v>2</v>
      </c>
      <c r="AD45" s="43">
        <v>2</v>
      </c>
      <c r="AE45" s="55">
        <v>0.35859414261160716</v>
      </c>
      <c r="AF45" s="52" t="s">
        <v>111</v>
      </c>
    </row>
    <row r="46" spans="1:32">
      <c r="A46" s="227">
        <v>1998</v>
      </c>
      <c r="B46" s="227">
        <v>290</v>
      </c>
      <c r="C46" s="227" t="s">
        <v>86</v>
      </c>
      <c r="D46" s="227">
        <v>195</v>
      </c>
      <c r="E46" s="227">
        <v>424</v>
      </c>
      <c r="F46" s="227">
        <v>61</v>
      </c>
      <c r="G46" s="227">
        <v>0.87422680412371134</v>
      </c>
      <c r="H46" s="227">
        <v>0.12577319587628871</v>
      </c>
      <c r="I46" s="312" t="s">
        <v>110</v>
      </c>
      <c r="J46" s="29">
        <v>1</v>
      </c>
      <c r="K46" s="9">
        <v>1</v>
      </c>
      <c r="L46" s="9">
        <v>1</v>
      </c>
      <c r="M46" s="9">
        <v>2</v>
      </c>
      <c r="N46" s="43">
        <v>2</v>
      </c>
      <c r="O46" s="265">
        <f t="shared" si="1"/>
        <v>0.35859414261160716</v>
      </c>
      <c r="P46" s="164" t="s">
        <v>111</v>
      </c>
      <c r="Q46" s="227">
        <v>2006</v>
      </c>
      <c r="R46" s="227">
        <v>5682</v>
      </c>
      <c r="S46" s="227" t="s">
        <v>86</v>
      </c>
      <c r="T46" s="227">
        <v>1652</v>
      </c>
      <c r="U46" s="227">
        <v>1342</v>
      </c>
      <c r="V46" s="227">
        <v>5992</v>
      </c>
      <c r="W46" s="227">
        <v>0.18298336514862279</v>
      </c>
      <c r="X46" s="227">
        <v>0.81701663485137721</v>
      </c>
      <c r="Y46" s="100" t="s">
        <v>126</v>
      </c>
      <c r="Z46" s="29">
        <v>1</v>
      </c>
      <c r="AA46" s="9">
        <v>1</v>
      </c>
      <c r="AB46" s="9">
        <v>1</v>
      </c>
      <c r="AC46" s="9">
        <v>2</v>
      </c>
      <c r="AD46" s="43">
        <v>2</v>
      </c>
      <c r="AE46" s="55">
        <v>0.35859414261160716</v>
      </c>
      <c r="AF46" s="52" t="s">
        <v>111</v>
      </c>
    </row>
    <row r="47" spans="1:32">
      <c r="A47" s="227">
        <v>1998</v>
      </c>
      <c r="B47" s="227">
        <v>852</v>
      </c>
      <c r="C47" s="227" t="s">
        <v>87</v>
      </c>
      <c r="D47" s="227">
        <v>167</v>
      </c>
      <c r="E47" s="227">
        <v>432</v>
      </c>
      <c r="F47" s="227">
        <v>587</v>
      </c>
      <c r="G47" s="227">
        <v>0.42394504416094209</v>
      </c>
      <c r="H47" s="227">
        <v>0.57605495583905797</v>
      </c>
      <c r="I47" s="312" t="s">
        <v>110</v>
      </c>
      <c r="J47" s="29">
        <v>1</v>
      </c>
      <c r="K47" s="9">
        <v>1</v>
      </c>
      <c r="L47" s="9">
        <v>1</v>
      </c>
      <c r="M47" s="9">
        <v>2</v>
      </c>
      <c r="N47" s="43">
        <v>2</v>
      </c>
      <c r="O47" s="265">
        <f t="shared" si="1"/>
        <v>0.35859414261160716</v>
      </c>
      <c r="P47" s="164" t="s">
        <v>111</v>
      </c>
      <c r="Q47" s="227">
        <v>2006</v>
      </c>
      <c r="R47" s="227">
        <v>9780</v>
      </c>
      <c r="S47" s="227" t="s">
        <v>87</v>
      </c>
      <c r="T47" s="227">
        <v>1293</v>
      </c>
      <c r="U47" s="227">
        <v>1286</v>
      </c>
      <c r="V47" s="227">
        <v>9787</v>
      </c>
      <c r="W47" s="227">
        <v>0.1161383545561275</v>
      </c>
      <c r="X47" s="227">
        <v>0.88386164544387247</v>
      </c>
      <c r="Y47" s="100" t="s">
        <v>126</v>
      </c>
      <c r="Z47" s="29">
        <v>1</v>
      </c>
      <c r="AA47" s="9">
        <v>1</v>
      </c>
      <c r="AB47" s="9">
        <v>1</v>
      </c>
      <c r="AC47" s="9">
        <v>2</v>
      </c>
      <c r="AD47" s="43">
        <v>2</v>
      </c>
      <c r="AE47" s="55">
        <v>0.35859414261160716</v>
      </c>
      <c r="AF47" s="52" t="s">
        <v>111</v>
      </c>
    </row>
    <row r="48" spans="1:32">
      <c r="A48" s="227">
        <v>1998</v>
      </c>
      <c r="B48" s="227">
        <v>33</v>
      </c>
      <c r="C48" s="227" t="s">
        <v>88</v>
      </c>
      <c r="D48" s="227">
        <v>79</v>
      </c>
      <c r="E48" s="227">
        <v>112</v>
      </c>
      <c r="F48" s="227">
        <v>0</v>
      </c>
      <c r="G48" s="227">
        <v>1</v>
      </c>
      <c r="H48" s="227">
        <v>0</v>
      </c>
      <c r="I48" s="312" t="s">
        <v>110</v>
      </c>
      <c r="J48" s="29">
        <v>1</v>
      </c>
      <c r="K48" s="9">
        <v>1</v>
      </c>
      <c r="L48" s="9">
        <v>1</v>
      </c>
      <c r="M48" s="9">
        <v>2</v>
      </c>
      <c r="N48" s="43">
        <v>2</v>
      </c>
      <c r="O48" s="265">
        <f t="shared" si="1"/>
        <v>0.35859414261160716</v>
      </c>
      <c r="P48" s="164" t="s">
        <v>111</v>
      </c>
      <c r="Q48" s="227">
        <v>2006</v>
      </c>
      <c r="R48" s="227">
        <v>2239</v>
      </c>
      <c r="S48" s="227" t="s">
        <v>88</v>
      </c>
      <c r="T48" s="227">
        <v>158</v>
      </c>
      <c r="U48" s="227">
        <v>293</v>
      </c>
      <c r="V48" s="227">
        <v>2104</v>
      </c>
      <c r="W48" s="227">
        <v>0.1222361284939508</v>
      </c>
      <c r="X48" s="227">
        <v>0.87776387150604918</v>
      </c>
      <c r="Y48" s="100" t="s">
        <v>126</v>
      </c>
      <c r="Z48" s="29">
        <v>1</v>
      </c>
      <c r="AA48" s="9">
        <v>1</v>
      </c>
      <c r="AB48" s="9">
        <v>1</v>
      </c>
      <c r="AC48" s="9">
        <v>2</v>
      </c>
      <c r="AD48" s="43">
        <v>2</v>
      </c>
      <c r="AE48" s="55">
        <v>0.35859414261160716</v>
      </c>
      <c r="AF48" s="52" t="s">
        <v>111</v>
      </c>
    </row>
    <row r="49" spans="1:32">
      <c r="A49" s="227">
        <v>1998</v>
      </c>
      <c r="B49" s="227">
        <v>191</v>
      </c>
      <c r="C49" s="227" t="s">
        <v>89</v>
      </c>
      <c r="D49" s="227">
        <v>36</v>
      </c>
      <c r="E49" s="227">
        <v>46</v>
      </c>
      <c r="F49" s="227">
        <v>181</v>
      </c>
      <c r="G49" s="227">
        <v>0.20264317180616739</v>
      </c>
      <c r="H49" s="227">
        <v>0.79735682819383258</v>
      </c>
      <c r="I49" s="312" t="s">
        <v>110</v>
      </c>
      <c r="J49" s="29">
        <v>1</v>
      </c>
      <c r="K49" s="9">
        <v>1</v>
      </c>
      <c r="L49" s="9">
        <v>1</v>
      </c>
      <c r="M49" s="9">
        <v>2</v>
      </c>
      <c r="N49" s="43">
        <v>2</v>
      </c>
      <c r="O49" s="265">
        <f t="shared" si="1"/>
        <v>0.35859414261160716</v>
      </c>
      <c r="P49" s="164" t="s">
        <v>111</v>
      </c>
      <c r="Q49" s="227">
        <v>2006</v>
      </c>
      <c r="R49" s="227">
        <v>1225</v>
      </c>
      <c r="S49" s="227" t="s">
        <v>89</v>
      </c>
      <c r="T49" s="227">
        <v>41</v>
      </c>
      <c r="U49" s="227">
        <v>125</v>
      </c>
      <c r="V49" s="227">
        <v>1141</v>
      </c>
      <c r="W49" s="227">
        <v>9.873617693522907E-2</v>
      </c>
      <c r="X49" s="227">
        <v>0.90126382306477093</v>
      </c>
      <c r="Y49" s="100" t="s">
        <v>126</v>
      </c>
      <c r="Z49" s="29">
        <v>1</v>
      </c>
      <c r="AA49" s="9">
        <v>1</v>
      </c>
      <c r="AB49" s="9">
        <v>1</v>
      </c>
      <c r="AC49" s="9">
        <v>2</v>
      </c>
      <c r="AD49" s="43">
        <v>2</v>
      </c>
      <c r="AE49" s="55">
        <v>0.35859414261160716</v>
      </c>
      <c r="AF49" s="52" t="s">
        <v>111</v>
      </c>
    </row>
    <row r="50" spans="1:32">
      <c r="A50" s="227">
        <v>1998</v>
      </c>
      <c r="B50" s="227">
        <v>610</v>
      </c>
      <c r="C50" s="227" t="s">
        <v>90</v>
      </c>
      <c r="D50" s="227">
        <v>219</v>
      </c>
      <c r="E50" s="227">
        <v>398</v>
      </c>
      <c r="F50" s="227">
        <v>431</v>
      </c>
      <c r="G50" s="227">
        <v>0.48009650180940888</v>
      </c>
      <c r="H50" s="227">
        <v>0.51990349819059101</v>
      </c>
      <c r="I50" s="312" t="s">
        <v>110</v>
      </c>
      <c r="J50" s="29">
        <v>1</v>
      </c>
      <c r="K50" s="9">
        <v>1</v>
      </c>
      <c r="L50" s="9">
        <v>1</v>
      </c>
      <c r="M50" s="9">
        <v>2</v>
      </c>
      <c r="N50" s="43">
        <v>2</v>
      </c>
      <c r="O50" s="265">
        <f t="shared" si="1"/>
        <v>0.35859414261160716</v>
      </c>
      <c r="P50" s="164" t="s">
        <v>111</v>
      </c>
      <c r="Q50" s="227">
        <v>2006</v>
      </c>
      <c r="R50" s="227">
        <v>6599</v>
      </c>
      <c r="S50" s="227" t="s">
        <v>90</v>
      </c>
      <c r="T50" s="227">
        <v>551</v>
      </c>
      <c r="U50" s="227">
        <v>1275</v>
      </c>
      <c r="V50" s="227">
        <v>5875</v>
      </c>
      <c r="W50" s="227">
        <v>0.17832167832167831</v>
      </c>
      <c r="X50" s="227">
        <v>0.82167832167832167</v>
      </c>
      <c r="Y50" s="100" t="s">
        <v>126</v>
      </c>
      <c r="Z50" s="29">
        <v>1</v>
      </c>
      <c r="AA50" s="9">
        <v>1</v>
      </c>
      <c r="AB50" s="9">
        <v>1</v>
      </c>
      <c r="AC50" s="9">
        <v>2</v>
      </c>
      <c r="AD50" s="43">
        <v>2</v>
      </c>
      <c r="AE50" s="55">
        <v>0.35859414261160716</v>
      </c>
      <c r="AF50" s="52" t="s">
        <v>111</v>
      </c>
    </row>
    <row r="51" spans="1:32">
      <c r="A51" s="227">
        <v>1998</v>
      </c>
      <c r="B51" s="227">
        <v>0</v>
      </c>
      <c r="C51" s="227" t="s">
        <v>91</v>
      </c>
      <c r="D51" s="227">
        <v>0</v>
      </c>
      <c r="E51" s="227">
        <v>0</v>
      </c>
      <c r="F51" s="227">
        <v>0</v>
      </c>
      <c r="G51" s="227"/>
      <c r="H51" s="227"/>
      <c r="I51" s="312" t="s">
        <v>110</v>
      </c>
      <c r="J51" s="29">
        <v>1</v>
      </c>
      <c r="K51" s="9">
        <v>1</v>
      </c>
      <c r="L51" s="9">
        <v>1</v>
      </c>
      <c r="M51" s="9">
        <v>2</v>
      </c>
      <c r="N51" s="43">
        <v>2</v>
      </c>
      <c r="O51" s="265">
        <f t="shared" si="1"/>
        <v>0.35859414261160716</v>
      </c>
      <c r="P51" s="164" t="s">
        <v>111</v>
      </c>
      <c r="Q51" s="227">
        <v>2006</v>
      </c>
      <c r="R51" s="227">
        <v>2931</v>
      </c>
      <c r="S51" s="227" t="s">
        <v>91</v>
      </c>
      <c r="T51" s="227">
        <v>988</v>
      </c>
      <c r="U51" s="227">
        <v>334</v>
      </c>
      <c r="V51" s="227">
        <v>3585</v>
      </c>
      <c r="W51" s="227">
        <v>8.5225822914008681E-2</v>
      </c>
      <c r="X51" s="227">
        <v>0.91477417708599129</v>
      </c>
      <c r="Y51" s="100" t="s">
        <v>126</v>
      </c>
      <c r="Z51" s="29">
        <v>1</v>
      </c>
      <c r="AA51" s="9">
        <v>1</v>
      </c>
      <c r="AB51" s="9">
        <v>1</v>
      </c>
      <c r="AC51" s="9">
        <v>2</v>
      </c>
      <c r="AD51" s="43">
        <v>2</v>
      </c>
      <c r="AE51" s="55">
        <v>0.35859414261160716</v>
      </c>
      <c r="AF51" s="52" t="s">
        <v>111</v>
      </c>
    </row>
    <row r="52" spans="1:32">
      <c r="A52" s="227">
        <v>1998</v>
      </c>
      <c r="B52" s="227">
        <v>144</v>
      </c>
      <c r="C52" s="227" t="s">
        <v>94</v>
      </c>
      <c r="D52" s="227">
        <v>20</v>
      </c>
      <c r="E52" s="227">
        <v>164</v>
      </c>
      <c r="F52" s="227">
        <v>0</v>
      </c>
      <c r="G52" s="227">
        <v>1</v>
      </c>
      <c r="H52" s="227">
        <v>0</v>
      </c>
      <c r="I52" s="312" t="s">
        <v>110</v>
      </c>
      <c r="J52" s="29">
        <v>1</v>
      </c>
      <c r="K52" s="9">
        <v>1</v>
      </c>
      <c r="L52" s="9">
        <v>1</v>
      </c>
      <c r="M52" s="9">
        <v>2</v>
      </c>
      <c r="N52" s="43">
        <v>2</v>
      </c>
      <c r="O52" s="265">
        <f t="shared" si="1"/>
        <v>0.35859414261160716</v>
      </c>
      <c r="P52" s="164" t="s">
        <v>111</v>
      </c>
      <c r="Q52" s="227">
        <v>2006</v>
      </c>
      <c r="R52" s="227">
        <v>736</v>
      </c>
      <c r="S52" s="227" t="s">
        <v>94</v>
      </c>
      <c r="T52" s="227">
        <v>243</v>
      </c>
      <c r="U52" s="227">
        <v>165</v>
      </c>
      <c r="V52" s="227">
        <v>814</v>
      </c>
      <c r="W52" s="227">
        <v>0.1685393258426966</v>
      </c>
      <c r="X52" s="227">
        <v>0.8314606741573034</v>
      </c>
      <c r="Y52" s="100" t="s">
        <v>126</v>
      </c>
      <c r="Z52" s="29">
        <v>1</v>
      </c>
      <c r="AA52" s="9">
        <v>1</v>
      </c>
      <c r="AB52" s="9">
        <v>1</v>
      </c>
      <c r="AC52" s="9">
        <v>2</v>
      </c>
      <c r="AD52" s="43">
        <v>2</v>
      </c>
      <c r="AE52" s="55">
        <v>0.35859414261160716</v>
      </c>
      <c r="AF52" s="52" t="s">
        <v>111</v>
      </c>
    </row>
    <row r="53" spans="1:32">
      <c r="A53" s="227">
        <v>1998</v>
      </c>
      <c r="B53" s="227">
        <v>337</v>
      </c>
      <c r="C53" s="227" t="s">
        <v>96</v>
      </c>
      <c r="D53" s="227">
        <v>67</v>
      </c>
      <c r="E53" s="227">
        <v>210</v>
      </c>
      <c r="F53" s="227">
        <v>194</v>
      </c>
      <c r="G53" s="227">
        <v>0.51980198019801982</v>
      </c>
      <c r="H53" s="227">
        <v>0.48019801980198018</v>
      </c>
      <c r="I53" s="312" t="s">
        <v>110</v>
      </c>
      <c r="J53" s="29">
        <v>1</v>
      </c>
      <c r="K53" s="9">
        <v>1</v>
      </c>
      <c r="L53" s="9">
        <v>1</v>
      </c>
      <c r="M53" s="9">
        <v>2</v>
      </c>
      <c r="N53" s="43">
        <v>2</v>
      </c>
      <c r="O53" s="265">
        <f t="shared" si="1"/>
        <v>0.35859414261160716</v>
      </c>
      <c r="P53" s="164" t="s">
        <v>111</v>
      </c>
      <c r="Q53" s="227">
        <v>2006</v>
      </c>
      <c r="R53" s="227">
        <v>1135</v>
      </c>
      <c r="S53" s="227" t="s">
        <v>96</v>
      </c>
      <c r="T53" s="227">
        <v>92</v>
      </c>
      <c r="U53" s="227">
        <v>286</v>
      </c>
      <c r="V53" s="227">
        <v>941</v>
      </c>
      <c r="W53" s="227">
        <v>0.23308883455582721</v>
      </c>
      <c r="X53" s="227">
        <v>0.76691116544417282</v>
      </c>
      <c r="Y53" s="100" t="s">
        <v>126</v>
      </c>
      <c r="Z53" s="29">
        <v>1</v>
      </c>
      <c r="AA53" s="9">
        <v>1</v>
      </c>
      <c r="AB53" s="9">
        <v>1</v>
      </c>
      <c r="AC53" s="9">
        <v>2</v>
      </c>
      <c r="AD53" s="43">
        <v>2</v>
      </c>
      <c r="AE53" s="55">
        <v>0.35859414261160716</v>
      </c>
      <c r="AF53" s="52" t="s">
        <v>111</v>
      </c>
    </row>
    <row r="54" spans="1:32">
      <c r="A54" s="227">
        <v>1998</v>
      </c>
      <c r="B54" s="227">
        <v>233</v>
      </c>
      <c r="C54" s="227" t="s">
        <v>97</v>
      </c>
      <c r="D54" s="227">
        <v>96</v>
      </c>
      <c r="E54" s="227">
        <v>145</v>
      </c>
      <c r="F54" s="227">
        <v>184</v>
      </c>
      <c r="G54" s="227">
        <v>0.44072948328267469</v>
      </c>
      <c r="H54" s="227">
        <v>0.55927051671732531</v>
      </c>
      <c r="I54" s="312" t="s">
        <v>110</v>
      </c>
      <c r="J54" s="29">
        <v>1</v>
      </c>
      <c r="K54" s="9">
        <v>1</v>
      </c>
      <c r="L54" s="9">
        <v>1</v>
      </c>
      <c r="M54" s="9">
        <v>2</v>
      </c>
      <c r="N54" s="43">
        <v>2</v>
      </c>
      <c r="O54" s="265">
        <f t="shared" si="1"/>
        <v>0.35859414261160716</v>
      </c>
      <c r="P54" s="164" t="s">
        <v>111</v>
      </c>
      <c r="Q54" s="227">
        <v>2006</v>
      </c>
      <c r="R54" s="227">
        <v>3259</v>
      </c>
      <c r="S54" s="227" t="s">
        <v>97</v>
      </c>
      <c r="T54" s="227">
        <v>414</v>
      </c>
      <c r="U54" s="227">
        <v>764</v>
      </c>
      <c r="V54" s="227">
        <v>2909</v>
      </c>
      <c r="W54" s="227">
        <v>0.20800435611216991</v>
      </c>
      <c r="X54" s="227">
        <v>0.79199564388783017</v>
      </c>
      <c r="Y54" s="100" t="s">
        <v>126</v>
      </c>
      <c r="Z54" s="29">
        <v>1</v>
      </c>
      <c r="AA54" s="9">
        <v>1</v>
      </c>
      <c r="AB54" s="9">
        <v>1</v>
      </c>
      <c r="AC54" s="9">
        <v>2</v>
      </c>
      <c r="AD54" s="43">
        <v>2</v>
      </c>
      <c r="AE54" s="55">
        <v>0.35859414261160716</v>
      </c>
      <c r="AF54" s="52" t="s">
        <v>111</v>
      </c>
    </row>
    <row r="55" spans="1:32">
      <c r="A55" s="227">
        <v>1998</v>
      </c>
      <c r="B55" s="227">
        <v>200</v>
      </c>
      <c r="C55" s="227" t="s">
        <v>95</v>
      </c>
      <c r="D55" s="227">
        <v>141</v>
      </c>
      <c r="E55" s="227">
        <v>180</v>
      </c>
      <c r="F55" s="227">
        <v>161</v>
      </c>
      <c r="G55" s="227">
        <v>0.52785923753665687</v>
      </c>
      <c r="H55" s="227">
        <v>0.47214076246334308</v>
      </c>
      <c r="I55" s="312" t="s">
        <v>110</v>
      </c>
      <c r="J55" s="29">
        <v>1</v>
      </c>
      <c r="K55" s="9">
        <v>1</v>
      </c>
      <c r="L55" s="9">
        <v>1</v>
      </c>
      <c r="M55" s="9">
        <v>2</v>
      </c>
      <c r="N55" s="43">
        <v>2</v>
      </c>
      <c r="O55" s="265">
        <f t="shared" si="1"/>
        <v>0.35859414261160716</v>
      </c>
      <c r="P55" s="164" t="s">
        <v>111</v>
      </c>
      <c r="Q55" s="227">
        <v>2006</v>
      </c>
      <c r="R55" s="227">
        <v>2440</v>
      </c>
      <c r="S55" s="227" t="s">
        <v>95</v>
      </c>
      <c r="T55" s="227">
        <v>307</v>
      </c>
      <c r="U55" s="227">
        <v>341</v>
      </c>
      <c r="V55" s="227">
        <v>2406</v>
      </c>
      <c r="W55" s="227">
        <v>0.1241354204586822</v>
      </c>
      <c r="X55" s="227">
        <v>0.8758645795413178</v>
      </c>
      <c r="Y55" s="100" t="s">
        <v>126</v>
      </c>
      <c r="Z55" s="29">
        <v>1</v>
      </c>
      <c r="AA55" s="9">
        <v>1</v>
      </c>
      <c r="AB55" s="9">
        <v>1</v>
      </c>
      <c r="AC55" s="9">
        <v>2</v>
      </c>
      <c r="AD55" s="43">
        <v>2</v>
      </c>
      <c r="AE55" s="55">
        <v>0.35859414261160716</v>
      </c>
      <c r="AF55" s="52" t="s">
        <v>111</v>
      </c>
    </row>
    <row r="56" spans="1:32">
      <c r="A56" s="227">
        <v>1998</v>
      </c>
      <c r="B56" s="227">
        <v>98</v>
      </c>
      <c r="C56" s="227" t="s">
        <v>93</v>
      </c>
      <c r="D56" s="227">
        <v>16</v>
      </c>
      <c r="E56" s="227">
        <v>33</v>
      </c>
      <c r="F56" s="227">
        <v>81</v>
      </c>
      <c r="G56" s="227">
        <v>0.28947368421052633</v>
      </c>
      <c r="H56" s="227">
        <v>0.71052631578947367</v>
      </c>
      <c r="I56" s="312" t="s">
        <v>110</v>
      </c>
      <c r="J56" s="29">
        <v>1</v>
      </c>
      <c r="K56" s="9">
        <v>1</v>
      </c>
      <c r="L56" s="9">
        <v>1</v>
      </c>
      <c r="M56" s="9">
        <v>2</v>
      </c>
      <c r="N56" s="43">
        <v>2</v>
      </c>
      <c r="O56" s="265">
        <f t="shared" si="1"/>
        <v>0.35859414261160716</v>
      </c>
      <c r="P56" s="164" t="s">
        <v>111</v>
      </c>
      <c r="Q56" s="227">
        <v>2006</v>
      </c>
      <c r="R56" s="227">
        <v>3363</v>
      </c>
      <c r="S56" s="227" t="s">
        <v>93</v>
      </c>
      <c r="T56" s="227">
        <v>65</v>
      </c>
      <c r="U56" s="227">
        <v>369</v>
      </c>
      <c r="V56" s="227">
        <v>3059</v>
      </c>
      <c r="W56" s="227">
        <v>0.1076429404900817</v>
      </c>
      <c r="X56" s="227">
        <v>0.89235705950991828</v>
      </c>
      <c r="Y56" s="100" t="s">
        <v>126</v>
      </c>
      <c r="Z56" s="29">
        <v>1</v>
      </c>
      <c r="AA56" s="9">
        <v>1</v>
      </c>
      <c r="AB56" s="9">
        <v>1</v>
      </c>
      <c r="AC56" s="9">
        <v>2</v>
      </c>
      <c r="AD56" s="43">
        <v>2</v>
      </c>
      <c r="AE56" s="55">
        <v>0.35859414261160716</v>
      </c>
      <c r="AF56" s="52" t="s">
        <v>111</v>
      </c>
    </row>
    <row r="57" spans="1:32">
      <c r="A57" s="227">
        <v>1998</v>
      </c>
      <c r="B57" s="227">
        <v>1521</v>
      </c>
      <c r="C57" s="227" t="s">
        <v>98</v>
      </c>
      <c r="D57" s="227">
        <v>544</v>
      </c>
      <c r="E57" s="227">
        <v>2065</v>
      </c>
      <c r="F57" s="227">
        <v>0</v>
      </c>
      <c r="G57" s="227">
        <v>1</v>
      </c>
      <c r="H57" s="227">
        <v>0</v>
      </c>
      <c r="I57" s="312" t="s">
        <v>110</v>
      </c>
      <c r="J57" s="29">
        <v>1</v>
      </c>
      <c r="K57" s="9">
        <v>1</v>
      </c>
      <c r="L57" s="9">
        <v>1</v>
      </c>
      <c r="M57" s="9">
        <v>2</v>
      </c>
      <c r="N57" s="43">
        <v>2</v>
      </c>
      <c r="O57" s="265">
        <f t="shared" si="1"/>
        <v>0.35859414261160716</v>
      </c>
      <c r="P57" s="164" t="s">
        <v>111</v>
      </c>
      <c r="Q57" s="227">
        <v>2006</v>
      </c>
      <c r="R57" s="227">
        <v>16073</v>
      </c>
      <c r="S57" s="227" t="s">
        <v>98</v>
      </c>
      <c r="T57" s="227">
        <v>2561</v>
      </c>
      <c r="U57" s="227">
        <v>3795</v>
      </c>
      <c r="V57" s="227">
        <v>14839</v>
      </c>
      <c r="W57" s="227">
        <v>0.20365997638724909</v>
      </c>
      <c r="X57" s="227">
        <v>0.79634002361275091</v>
      </c>
      <c r="Y57" s="100" t="s">
        <v>126</v>
      </c>
      <c r="Z57" s="29">
        <v>1</v>
      </c>
      <c r="AA57" s="9">
        <v>1</v>
      </c>
      <c r="AB57" s="9">
        <v>1</v>
      </c>
      <c r="AC57" s="9">
        <v>2</v>
      </c>
      <c r="AD57" s="43">
        <v>2</v>
      </c>
      <c r="AE57" s="55">
        <v>0.35859414261160716</v>
      </c>
      <c r="AF57" s="52" t="s">
        <v>111</v>
      </c>
    </row>
    <row r="58" spans="1:32">
      <c r="A58" s="227">
        <v>1999</v>
      </c>
      <c r="B58" s="227">
        <v>1435</v>
      </c>
      <c r="C58" s="227" t="s">
        <v>85</v>
      </c>
      <c r="D58" s="227">
        <v>379</v>
      </c>
      <c r="E58" s="227">
        <v>1573</v>
      </c>
      <c r="F58" s="227">
        <v>241</v>
      </c>
      <c r="G58" s="227">
        <v>0.86714443219404636</v>
      </c>
      <c r="H58" s="227">
        <v>0.13285556780595359</v>
      </c>
      <c r="I58" s="312" t="s">
        <v>110</v>
      </c>
      <c r="J58" s="29">
        <v>1</v>
      </c>
      <c r="K58" s="9">
        <v>1</v>
      </c>
      <c r="L58" s="9">
        <v>1</v>
      </c>
      <c r="M58" s="9">
        <v>2</v>
      </c>
      <c r="N58" s="43">
        <v>2</v>
      </c>
      <c r="O58" s="265">
        <f t="shared" si="1"/>
        <v>0.35859414261160716</v>
      </c>
      <c r="P58" s="164" t="s">
        <v>111</v>
      </c>
      <c r="Q58" s="227">
        <v>2007</v>
      </c>
      <c r="R58" s="227">
        <v>15972</v>
      </c>
      <c r="S58" s="227" t="s">
        <v>85</v>
      </c>
      <c r="T58" s="227">
        <v>4175</v>
      </c>
      <c r="U58" s="227">
        <v>2969</v>
      </c>
      <c r="V58" s="227">
        <v>17178</v>
      </c>
      <c r="W58" s="227">
        <v>0.14736685362585</v>
      </c>
      <c r="X58" s="227">
        <v>0.85263314637415</v>
      </c>
      <c r="Y58" s="100" t="s">
        <v>126</v>
      </c>
      <c r="Z58" s="29">
        <v>1</v>
      </c>
      <c r="AA58" s="9">
        <v>1</v>
      </c>
      <c r="AB58" s="9">
        <v>1</v>
      </c>
      <c r="AC58" s="9">
        <v>2</v>
      </c>
      <c r="AD58" s="43">
        <v>2</v>
      </c>
      <c r="AE58" s="55">
        <v>0.35859414261160716</v>
      </c>
      <c r="AF58" s="52" t="s">
        <v>111</v>
      </c>
    </row>
    <row r="59" spans="1:32">
      <c r="A59" s="227">
        <v>1999</v>
      </c>
      <c r="B59" s="227">
        <v>290</v>
      </c>
      <c r="C59" s="227" t="s">
        <v>86</v>
      </c>
      <c r="D59" s="227">
        <v>170</v>
      </c>
      <c r="E59" s="227">
        <v>390</v>
      </c>
      <c r="F59" s="227">
        <v>70</v>
      </c>
      <c r="G59" s="227">
        <v>0.84782608695652173</v>
      </c>
      <c r="H59" s="227">
        <v>0.1521739130434783</v>
      </c>
      <c r="I59" s="312" t="s">
        <v>110</v>
      </c>
      <c r="J59" s="29">
        <v>1</v>
      </c>
      <c r="K59" s="9">
        <v>1</v>
      </c>
      <c r="L59" s="9">
        <v>1</v>
      </c>
      <c r="M59" s="9">
        <v>2</v>
      </c>
      <c r="N59" s="43">
        <v>2</v>
      </c>
      <c r="O59" s="265">
        <f t="shared" si="1"/>
        <v>0.35859414261160716</v>
      </c>
      <c r="P59" s="164" t="s">
        <v>111</v>
      </c>
      <c r="Q59" s="227">
        <v>2007</v>
      </c>
      <c r="R59" s="227">
        <v>6232</v>
      </c>
      <c r="S59" s="227" t="s">
        <v>86</v>
      </c>
      <c r="T59" s="227">
        <v>1552</v>
      </c>
      <c r="U59" s="227">
        <v>1402</v>
      </c>
      <c r="V59" s="227">
        <v>6382</v>
      </c>
      <c r="W59" s="227">
        <v>0.18011305241521069</v>
      </c>
      <c r="X59" s="227">
        <v>0.81988694758478931</v>
      </c>
      <c r="Y59" s="100" t="s">
        <v>126</v>
      </c>
      <c r="Z59" s="29">
        <v>1</v>
      </c>
      <c r="AA59" s="9">
        <v>1</v>
      </c>
      <c r="AB59" s="9">
        <v>1</v>
      </c>
      <c r="AC59" s="9">
        <v>2</v>
      </c>
      <c r="AD59" s="43">
        <v>2</v>
      </c>
      <c r="AE59" s="55">
        <v>0.35859414261160716</v>
      </c>
      <c r="AF59" s="52" t="s">
        <v>111</v>
      </c>
    </row>
    <row r="60" spans="1:32">
      <c r="A60" s="227">
        <v>1999</v>
      </c>
      <c r="B60" s="227">
        <v>852</v>
      </c>
      <c r="C60" s="227" t="s">
        <v>87</v>
      </c>
      <c r="D60" s="227">
        <v>180</v>
      </c>
      <c r="E60" s="227">
        <v>390</v>
      </c>
      <c r="F60" s="227">
        <v>642</v>
      </c>
      <c r="G60" s="227">
        <v>0.37790697674418611</v>
      </c>
      <c r="H60" s="227">
        <v>0.62209302325581395</v>
      </c>
      <c r="I60" s="312" t="s">
        <v>110</v>
      </c>
      <c r="J60" s="29">
        <v>1</v>
      </c>
      <c r="K60" s="9">
        <v>1</v>
      </c>
      <c r="L60" s="9">
        <v>1</v>
      </c>
      <c r="M60" s="9">
        <v>2</v>
      </c>
      <c r="N60" s="43">
        <v>2</v>
      </c>
      <c r="O60" s="265">
        <f t="shared" si="1"/>
        <v>0.35859414261160716</v>
      </c>
      <c r="P60" s="164" t="s">
        <v>111</v>
      </c>
      <c r="Q60" s="227">
        <v>2007</v>
      </c>
      <c r="R60" s="227">
        <v>11254</v>
      </c>
      <c r="S60" s="227" t="s">
        <v>87</v>
      </c>
      <c r="T60" s="227">
        <v>1332</v>
      </c>
      <c r="U60" s="227">
        <v>1039</v>
      </c>
      <c r="V60" s="227">
        <v>11547</v>
      </c>
      <c r="W60" s="227">
        <v>8.2552041951374541E-2</v>
      </c>
      <c r="X60" s="227">
        <v>0.91744795804862544</v>
      </c>
      <c r="Y60" s="100" t="s">
        <v>126</v>
      </c>
      <c r="Z60" s="29">
        <v>1</v>
      </c>
      <c r="AA60" s="9">
        <v>1</v>
      </c>
      <c r="AB60" s="9">
        <v>1</v>
      </c>
      <c r="AC60" s="9">
        <v>2</v>
      </c>
      <c r="AD60" s="43">
        <v>2</v>
      </c>
      <c r="AE60" s="55">
        <v>0.35859414261160716</v>
      </c>
      <c r="AF60" s="52" t="s">
        <v>111</v>
      </c>
    </row>
    <row r="61" spans="1:32">
      <c r="A61" s="227">
        <v>1999</v>
      </c>
      <c r="B61" s="227">
        <v>38</v>
      </c>
      <c r="C61" s="227" t="s">
        <v>88</v>
      </c>
      <c r="D61" s="227">
        <v>80</v>
      </c>
      <c r="E61" s="227">
        <v>118</v>
      </c>
      <c r="F61" s="227">
        <v>0</v>
      </c>
      <c r="G61" s="227">
        <v>1</v>
      </c>
      <c r="H61" s="227">
        <v>0</v>
      </c>
      <c r="I61" s="312" t="s">
        <v>110</v>
      </c>
      <c r="J61" s="29">
        <v>1</v>
      </c>
      <c r="K61" s="9">
        <v>1</v>
      </c>
      <c r="L61" s="9">
        <v>1</v>
      </c>
      <c r="M61" s="9">
        <v>2</v>
      </c>
      <c r="N61" s="43">
        <v>2</v>
      </c>
      <c r="O61" s="265">
        <f t="shared" si="1"/>
        <v>0.35859414261160716</v>
      </c>
      <c r="P61" s="164" t="s">
        <v>111</v>
      </c>
      <c r="Q61" s="227">
        <v>2007</v>
      </c>
      <c r="R61" s="227">
        <v>1934</v>
      </c>
      <c r="S61" s="227" t="s">
        <v>88</v>
      </c>
      <c r="T61" s="227">
        <v>125</v>
      </c>
      <c r="U61" s="227">
        <v>341</v>
      </c>
      <c r="V61" s="227">
        <v>1718</v>
      </c>
      <c r="W61" s="227">
        <v>0.16561437591063621</v>
      </c>
      <c r="X61" s="227">
        <v>0.83438562408936379</v>
      </c>
      <c r="Y61" s="100" t="s">
        <v>126</v>
      </c>
      <c r="Z61" s="29">
        <v>1</v>
      </c>
      <c r="AA61" s="9">
        <v>1</v>
      </c>
      <c r="AB61" s="9">
        <v>1</v>
      </c>
      <c r="AC61" s="9">
        <v>2</v>
      </c>
      <c r="AD61" s="43">
        <v>2</v>
      </c>
      <c r="AE61" s="55">
        <v>0.35859414261160716</v>
      </c>
      <c r="AF61" s="52" t="s">
        <v>111</v>
      </c>
    </row>
    <row r="62" spans="1:32">
      <c r="A62" s="227">
        <v>1999</v>
      </c>
      <c r="B62" s="227">
        <v>191</v>
      </c>
      <c r="C62" s="227" t="s">
        <v>89</v>
      </c>
      <c r="D62" s="227">
        <v>26</v>
      </c>
      <c r="E62" s="227">
        <v>102</v>
      </c>
      <c r="F62" s="227">
        <v>115</v>
      </c>
      <c r="G62" s="227">
        <v>0.47004608294930877</v>
      </c>
      <c r="H62" s="227">
        <v>0.52995391705069128</v>
      </c>
      <c r="I62" s="312" t="s">
        <v>110</v>
      </c>
      <c r="J62" s="29">
        <v>1</v>
      </c>
      <c r="K62" s="9">
        <v>1</v>
      </c>
      <c r="L62" s="9">
        <v>1</v>
      </c>
      <c r="M62" s="9">
        <v>2</v>
      </c>
      <c r="N62" s="43">
        <v>2</v>
      </c>
      <c r="O62" s="265">
        <f t="shared" si="1"/>
        <v>0.35859414261160716</v>
      </c>
      <c r="P62" s="164" t="s">
        <v>111</v>
      </c>
      <c r="Q62" s="227">
        <v>2007</v>
      </c>
      <c r="R62" s="227">
        <v>1527</v>
      </c>
      <c r="S62" s="227" t="s">
        <v>89</v>
      </c>
      <c r="T62" s="227">
        <v>45</v>
      </c>
      <c r="U62" s="227">
        <v>109</v>
      </c>
      <c r="V62" s="227">
        <v>1463</v>
      </c>
      <c r="W62" s="227">
        <v>6.9338422391857502E-2</v>
      </c>
      <c r="X62" s="227">
        <v>0.9306615776081425</v>
      </c>
      <c r="Y62" s="100" t="s">
        <v>126</v>
      </c>
      <c r="Z62" s="29">
        <v>1</v>
      </c>
      <c r="AA62" s="9">
        <v>1</v>
      </c>
      <c r="AB62" s="9">
        <v>1</v>
      </c>
      <c r="AC62" s="9">
        <v>2</v>
      </c>
      <c r="AD62" s="43">
        <v>2</v>
      </c>
      <c r="AE62" s="55">
        <v>0.35859414261160716</v>
      </c>
      <c r="AF62" s="52" t="s">
        <v>111</v>
      </c>
    </row>
    <row r="63" spans="1:32">
      <c r="A63" s="227">
        <v>1999</v>
      </c>
      <c r="B63" s="227">
        <v>610</v>
      </c>
      <c r="C63" s="227" t="s">
        <v>90</v>
      </c>
      <c r="D63" s="227">
        <v>245</v>
      </c>
      <c r="E63" s="227">
        <v>464</v>
      </c>
      <c r="F63" s="227">
        <v>391</v>
      </c>
      <c r="G63" s="227">
        <v>0.54269005847953211</v>
      </c>
      <c r="H63" s="227">
        <v>0.45730994152046789</v>
      </c>
      <c r="I63" s="312" t="s">
        <v>110</v>
      </c>
      <c r="J63" s="29">
        <v>1</v>
      </c>
      <c r="K63" s="9">
        <v>1</v>
      </c>
      <c r="L63" s="9">
        <v>1</v>
      </c>
      <c r="M63" s="9">
        <v>2</v>
      </c>
      <c r="N63" s="43">
        <v>2</v>
      </c>
      <c r="O63" s="265">
        <f t="shared" si="1"/>
        <v>0.35859414261160716</v>
      </c>
      <c r="P63" s="164" t="s">
        <v>111</v>
      </c>
      <c r="Q63" s="227">
        <v>2007</v>
      </c>
      <c r="R63" s="227">
        <v>6337</v>
      </c>
      <c r="S63" s="227" t="s">
        <v>90</v>
      </c>
      <c r="T63" s="227">
        <v>553</v>
      </c>
      <c r="U63" s="227">
        <v>1271</v>
      </c>
      <c r="V63" s="227">
        <v>5619</v>
      </c>
      <c r="W63" s="227">
        <v>0.18447024673439771</v>
      </c>
      <c r="X63" s="227">
        <v>0.81552975326560229</v>
      </c>
      <c r="Y63" s="100" t="s">
        <v>126</v>
      </c>
      <c r="Z63" s="29">
        <v>1</v>
      </c>
      <c r="AA63" s="9">
        <v>1</v>
      </c>
      <c r="AB63" s="9">
        <v>1</v>
      </c>
      <c r="AC63" s="9">
        <v>2</v>
      </c>
      <c r="AD63" s="43">
        <v>2</v>
      </c>
      <c r="AE63" s="55">
        <v>0.35859414261160716</v>
      </c>
      <c r="AF63" s="52" t="s">
        <v>111</v>
      </c>
    </row>
    <row r="64" spans="1:32">
      <c r="A64" s="227">
        <v>1999</v>
      </c>
      <c r="B64" s="227">
        <v>0</v>
      </c>
      <c r="C64" s="227" t="s">
        <v>91</v>
      </c>
      <c r="D64" s="227">
        <v>0</v>
      </c>
      <c r="E64" s="227">
        <v>0</v>
      </c>
      <c r="F64" s="227">
        <v>0</v>
      </c>
      <c r="G64" s="227"/>
      <c r="H64" s="227"/>
      <c r="I64" s="312" t="s">
        <v>110</v>
      </c>
      <c r="J64" s="29">
        <v>1</v>
      </c>
      <c r="K64" s="9">
        <v>1</v>
      </c>
      <c r="L64" s="9">
        <v>1</v>
      </c>
      <c r="M64" s="9">
        <v>2</v>
      </c>
      <c r="N64" s="43">
        <v>2</v>
      </c>
      <c r="O64" s="265">
        <f t="shared" si="1"/>
        <v>0.35859414261160716</v>
      </c>
      <c r="P64" s="164" t="s">
        <v>111</v>
      </c>
      <c r="Q64" s="227">
        <v>2007</v>
      </c>
      <c r="R64" s="227">
        <v>2864</v>
      </c>
      <c r="S64" s="227" t="s">
        <v>91</v>
      </c>
      <c r="T64" s="227">
        <v>1108</v>
      </c>
      <c r="U64" s="227">
        <v>324</v>
      </c>
      <c r="V64" s="227">
        <v>3648</v>
      </c>
      <c r="W64" s="227">
        <v>8.1570996978851965E-2</v>
      </c>
      <c r="X64" s="227">
        <v>0.91842900302114805</v>
      </c>
      <c r="Y64" s="100" t="s">
        <v>126</v>
      </c>
      <c r="Z64" s="29">
        <v>1</v>
      </c>
      <c r="AA64" s="9">
        <v>1</v>
      </c>
      <c r="AB64" s="9">
        <v>1</v>
      </c>
      <c r="AC64" s="9">
        <v>2</v>
      </c>
      <c r="AD64" s="43">
        <v>2</v>
      </c>
      <c r="AE64" s="55">
        <v>0.35859414261160716</v>
      </c>
      <c r="AF64" s="52" t="s">
        <v>111</v>
      </c>
    </row>
    <row r="65" spans="1:32">
      <c r="A65" s="227">
        <v>1999</v>
      </c>
      <c r="B65" s="227">
        <v>108</v>
      </c>
      <c r="C65" s="227" t="s">
        <v>94</v>
      </c>
      <c r="D65" s="227">
        <v>15</v>
      </c>
      <c r="E65" s="227">
        <v>123</v>
      </c>
      <c r="F65" s="227">
        <v>0</v>
      </c>
      <c r="G65" s="227">
        <v>1</v>
      </c>
      <c r="H65" s="227">
        <v>0</v>
      </c>
      <c r="I65" s="312" t="s">
        <v>110</v>
      </c>
      <c r="J65" s="29">
        <v>1</v>
      </c>
      <c r="K65" s="9">
        <v>1</v>
      </c>
      <c r="L65" s="9">
        <v>1</v>
      </c>
      <c r="M65" s="9">
        <v>2</v>
      </c>
      <c r="N65" s="43">
        <v>2</v>
      </c>
      <c r="O65" s="265">
        <f t="shared" si="1"/>
        <v>0.35859414261160716</v>
      </c>
      <c r="P65" s="164" t="s">
        <v>111</v>
      </c>
      <c r="Q65" s="227">
        <v>2007</v>
      </c>
      <c r="R65" s="227">
        <v>969</v>
      </c>
      <c r="S65" s="227" t="s">
        <v>94</v>
      </c>
      <c r="T65" s="227">
        <v>245</v>
      </c>
      <c r="U65" s="227">
        <v>167</v>
      </c>
      <c r="V65" s="227">
        <v>1047</v>
      </c>
      <c r="W65" s="227">
        <v>0.13756177924217461</v>
      </c>
      <c r="X65" s="227">
        <v>0.86243822075782539</v>
      </c>
      <c r="Y65" s="100" t="s">
        <v>126</v>
      </c>
      <c r="Z65" s="29">
        <v>1</v>
      </c>
      <c r="AA65" s="9">
        <v>1</v>
      </c>
      <c r="AB65" s="9">
        <v>1</v>
      </c>
      <c r="AC65" s="9">
        <v>2</v>
      </c>
      <c r="AD65" s="43">
        <v>2</v>
      </c>
      <c r="AE65" s="55">
        <v>0.35859414261160716</v>
      </c>
      <c r="AF65" s="52" t="s">
        <v>111</v>
      </c>
    </row>
    <row r="66" spans="1:32">
      <c r="A66" s="227">
        <v>1999</v>
      </c>
      <c r="B66" s="227">
        <v>337</v>
      </c>
      <c r="C66" s="227" t="s">
        <v>96</v>
      </c>
      <c r="D66" s="227">
        <v>39</v>
      </c>
      <c r="E66" s="227">
        <v>152</v>
      </c>
      <c r="F66" s="227">
        <v>224</v>
      </c>
      <c r="G66" s="227">
        <v>0.40425531914893609</v>
      </c>
      <c r="H66" s="227">
        <v>0.5957446808510638</v>
      </c>
      <c r="I66" s="312" t="s">
        <v>110</v>
      </c>
      <c r="J66" s="29">
        <v>1</v>
      </c>
      <c r="K66" s="9">
        <v>1</v>
      </c>
      <c r="L66" s="9">
        <v>1</v>
      </c>
      <c r="M66" s="9">
        <v>2</v>
      </c>
      <c r="N66" s="43">
        <v>2</v>
      </c>
      <c r="O66" s="265">
        <f t="shared" si="1"/>
        <v>0.35859414261160716</v>
      </c>
      <c r="P66" s="164" t="s">
        <v>111</v>
      </c>
      <c r="Q66" s="227">
        <v>2007</v>
      </c>
      <c r="R66" s="227">
        <v>1461</v>
      </c>
      <c r="S66" s="227" t="s">
        <v>96</v>
      </c>
      <c r="T66" s="227">
        <v>83</v>
      </c>
      <c r="U66" s="227">
        <v>288</v>
      </c>
      <c r="V66" s="227">
        <v>1256</v>
      </c>
      <c r="W66" s="227">
        <v>0.18652849740932639</v>
      </c>
      <c r="X66" s="227">
        <v>0.81347150259067358</v>
      </c>
      <c r="Y66" s="100" t="s">
        <v>126</v>
      </c>
      <c r="Z66" s="29">
        <v>1</v>
      </c>
      <c r="AA66" s="9">
        <v>1</v>
      </c>
      <c r="AB66" s="9">
        <v>1</v>
      </c>
      <c r="AC66" s="9">
        <v>2</v>
      </c>
      <c r="AD66" s="43">
        <v>2</v>
      </c>
      <c r="AE66" s="55">
        <v>0.35859414261160716</v>
      </c>
      <c r="AF66" s="52" t="s">
        <v>111</v>
      </c>
    </row>
    <row r="67" spans="1:32">
      <c r="A67" s="227">
        <v>1999</v>
      </c>
      <c r="B67" s="227">
        <v>233</v>
      </c>
      <c r="C67" s="227" t="s">
        <v>97</v>
      </c>
      <c r="D67" s="227">
        <v>117</v>
      </c>
      <c r="E67" s="227">
        <v>164</v>
      </c>
      <c r="F67" s="227">
        <v>186</v>
      </c>
      <c r="G67" s="227">
        <v>0.46857142857142858</v>
      </c>
      <c r="H67" s="227">
        <v>0.53142857142857136</v>
      </c>
      <c r="I67" s="312" t="s">
        <v>110</v>
      </c>
      <c r="J67" s="29">
        <v>1</v>
      </c>
      <c r="K67" s="9">
        <v>1</v>
      </c>
      <c r="L67" s="9">
        <v>1</v>
      </c>
      <c r="M67" s="9">
        <v>2</v>
      </c>
      <c r="N67" s="43">
        <v>2</v>
      </c>
      <c r="O67" s="265">
        <f t="shared" si="1"/>
        <v>0.35859414261160716</v>
      </c>
      <c r="P67" s="164" t="s">
        <v>111</v>
      </c>
      <c r="Q67" s="227">
        <v>2007</v>
      </c>
      <c r="R67" s="227">
        <v>3778</v>
      </c>
      <c r="S67" s="227" t="s">
        <v>97</v>
      </c>
      <c r="T67" s="227">
        <v>451</v>
      </c>
      <c r="U67" s="227">
        <v>791</v>
      </c>
      <c r="V67" s="227">
        <v>3438</v>
      </c>
      <c r="W67" s="227">
        <v>0.18704185386616221</v>
      </c>
      <c r="X67" s="227">
        <v>0.81295814613383777</v>
      </c>
      <c r="Y67" s="100" t="s">
        <v>126</v>
      </c>
      <c r="Z67" s="29">
        <v>1</v>
      </c>
      <c r="AA67" s="9">
        <v>1</v>
      </c>
      <c r="AB67" s="9">
        <v>1</v>
      </c>
      <c r="AC67" s="9">
        <v>2</v>
      </c>
      <c r="AD67" s="43">
        <v>2</v>
      </c>
      <c r="AE67" s="55">
        <v>0.35859414261160716</v>
      </c>
      <c r="AF67" s="52" t="s">
        <v>111</v>
      </c>
    </row>
    <row r="68" spans="1:32">
      <c r="A68" s="227">
        <v>1999</v>
      </c>
      <c r="B68" s="227">
        <v>200</v>
      </c>
      <c r="C68" s="227" t="s">
        <v>95</v>
      </c>
      <c r="D68" s="227">
        <v>58</v>
      </c>
      <c r="E68" s="227">
        <v>188</v>
      </c>
      <c r="F68" s="227">
        <v>70</v>
      </c>
      <c r="G68" s="227">
        <v>0.72868217054263562</v>
      </c>
      <c r="H68" s="227">
        <v>0.27131782945736438</v>
      </c>
      <c r="I68" s="312" t="s">
        <v>110</v>
      </c>
      <c r="J68" s="29">
        <v>1</v>
      </c>
      <c r="K68" s="9">
        <v>1</v>
      </c>
      <c r="L68" s="9">
        <v>1</v>
      </c>
      <c r="M68" s="9">
        <v>2</v>
      </c>
      <c r="N68" s="43">
        <v>2</v>
      </c>
      <c r="O68" s="265">
        <f t="shared" si="1"/>
        <v>0.35859414261160716</v>
      </c>
      <c r="P68" s="164" t="s">
        <v>111</v>
      </c>
      <c r="Q68" s="227">
        <v>2007</v>
      </c>
      <c r="R68" s="227">
        <v>2709</v>
      </c>
      <c r="S68" s="227" t="s">
        <v>95</v>
      </c>
      <c r="T68" s="227">
        <v>342</v>
      </c>
      <c r="U68" s="227">
        <v>342</v>
      </c>
      <c r="V68" s="227">
        <v>2709</v>
      </c>
      <c r="W68" s="227">
        <v>0.112094395280236</v>
      </c>
      <c r="X68" s="227">
        <v>0.88790560471976399</v>
      </c>
      <c r="Y68" s="100" t="s">
        <v>126</v>
      </c>
      <c r="Z68" s="29">
        <v>1</v>
      </c>
      <c r="AA68" s="9">
        <v>1</v>
      </c>
      <c r="AB68" s="9">
        <v>1</v>
      </c>
      <c r="AC68" s="9">
        <v>2</v>
      </c>
      <c r="AD68" s="43">
        <v>2</v>
      </c>
      <c r="AE68" s="55">
        <v>0.35859414261160716</v>
      </c>
      <c r="AF68" s="52" t="s">
        <v>111</v>
      </c>
    </row>
    <row r="69" spans="1:32">
      <c r="A69" s="227">
        <v>1999</v>
      </c>
      <c r="B69" s="227">
        <v>98</v>
      </c>
      <c r="C69" s="227" t="s">
        <v>93</v>
      </c>
      <c r="D69" s="227">
        <v>20</v>
      </c>
      <c r="E69" s="227">
        <v>36</v>
      </c>
      <c r="F69" s="227">
        <v>82</v>
      </c>
      <c r="G69" s="227">
        <v>0.30508474576271188</v>
      </c>
      <c r="H69" s="227">
        <v>0.69491525423728806</v>
      </c>
      <c r="I69" s="312" t="s">
        <v>110</v>
      </c>
      <c r="J69" s="29">
        <v>1</v>
      </c>
      <c r="K69" s="9">
        <v>1</v>
      </c>
      <c r="L69" s="9">
        <v>1</v>
      </c>
      <c r="M69" s="9">
        <v>2</v>
      </c>
      <c r="N69" s="43">
        <v>2</v>
      </c>
      <c r="O69" s="265">
        <f t="shared" si="1"/>
        <v>0.35859414261160716</v>
      </c>
      <c r="P69" s="164" t="s">
        <v>111</v>
      </c>
      <c r="Q69" s="227">
        <v>2007</v>
      </c>
      <c r="R69" s="227">
        <v>2550</v>
      </c>
      <c r="S69" s="227" t="s">
        <v>93</v>
      </c>
      <c r="T69" s="227">
        <v>76</v>
      </c>
      <c r="U69" s="227">
        <v>393</v>
      </c>
      <c r="V69" s="227">
        <v>2233</v>
      </c>
      <c r="W69" s="227">
        <v>0.14965727341964971</v>
      </c>
      <c r="X69" s="227">
        <v>0.85034272658035037</v>
      </c>
      <c r="Y69" s="100" t="s">
        <v>126</v>
      </c>
      <c r="Z69" s="29">
        <v>1</v>
      </c>
      <c r="AA69" s="9">
        <v>1</v>
      </c>
      <c r="AB69" s="9">
        <v>1</v>
      </c>
      <c r="AC69" s="9">
        <v>2</v>
      </c>
      <c r="AD69" s="43">
        <v>2</v>
      </c>
      <c r="AE69" s="55">
        <v>0.35859414261160716</v>
      </c>
      <c r="AF69" s="52" t="s">
        <v>111</v>
      </c>
    </row>
    <row r="70" spans="1:32">
      <c r="A70" s="227">
        <v>1999</v>
      </c>
      <c r="B70" s="227">
        <v>1633</v>
      </c>
      <c r="C70" s="227" t="s">
        <v>98</v>
      </c>
      <c r="D70" s="227">
        <v>511</v>
      </c>
      <c r="E70" s="227">
        <v>2144</v>
      </c>
      <c r="F70" s="227">
        <v>0</v>
      </c>
      <c r="G70" s="227">
        <v>1</v>
      </c>
      <c r="H70" s="227">
        <v>0</v>
      </c>
      <c r="I70" s="312" t="s">
        <v>110</v>
      </c>
      <c r="J70" s="29">
        <v>1</v>
      </c>
      <c r="K70" s="9">
        <v>1</v>
      </c>
      <c r="L70" s="9">
        <v>1</v>
      </c>
      <c r="M70" s="9">
        <v>2</v>
      </c>
      <c r="N70" s="43">
        <v>2</v>
      </c>
      <c r="O70" s="265">
        <f t="shared" si="1"/>
        <v>0.35859414261160716</v>
      </c>
      <c r="P70" s="164" t="s">
        <v>111</v>
      </c>
      <c r="Q70" s="227">
        <v>2007</v>
      </c>
      <c r="R70" s="227">
        <v>15706</v>
      </c>
      <c r="S70" s="227" t="s">
        <v>98</v>
      </c>
      <c r="T70" s="227">
        <v>2912</v>
      </c>
      <c r="U70" s="227">
        <v>4025</v>
      </c>
      <c r="V70" s="227">
        <v>14593</v>
      </c>
      <c r="W70" s="227">
        <v>0.21618863465463531</v>
      </c>
      <c r="X70" s="227">
        <v>0.78381136534536466</v>
      </c>
      <c r="Y70" s="100" t="s">
        <v>126</v>
      </c>
      <c r="Z70" s="29">
        <v>1</v>
      </c>
      <c r="AA70" s="9">
        <v>1</v>
      </c>
      <c r="AB70" s="9">
        <v>1</v>
      </c>
      <c r="AC70" s="9">
        <v>2</v>
      </c>
      <c r="AD70" s="43">
        <v>2</v>
      </c>
      <c r="AE70" s="55">
        <v>0.35859414261160716</v>
      </c>
      <c r="AF70" s="52" t="s">
        <v>111</v>
      </c>
    </row>
    <row r="71" spans="1:32">
      <c r="A71" s="227">
        <v>2000</v>
      </c>
      <c r="B71" s="227">
        <v>1435</v>
      </c>
      <c r="C71" s="227" t="s">
        <v>85</v>
      </c>
      <c r="D71" s="227">
        <v>388</v>
      </c>
      <c r="E71" s="227">
        <v>1012</v>
      </c>
      <c r="F71" s="227">
        <v>811</v>
      </c>
      <c r="G71" s="227">
        <v>0.55512890839275919</v>
      </c>
      <c r="H71" s="227">
        <v>0.44487109160724081</v>
      </c>
      <c r="I71" s="312" t="s">
        <v>110</v>
      </c>
      <c r="J71" s="29">
        <v>1</v>
      </c>
      <c r="K71" s="9">
        <v>1</v>
      </c>
      <c r="L71" s="9">
        <v>1</v>
      </c>
      <c r="M71" s="9">
        <v>2</v>
      </c>
      <c r="N71" s="43">
        <v>2</v>
      </c>
      <c r="O71" s="265">
        <f t="shared" ref="O71:O134" si="2">IF( OR( ISBLANK(J71),ISBLANK(K71), ISBLANK(L71), ISBLANK(M71), ISBLANK(N71) ), "", 1.5*SQRT(   EXP(2.21*(J71-1)) + EXP(2.21*(K71-1)) + EXP(2.21*(L71-1)) + EXP(2.21*(M71-1)) + EXP(2.21*N71)   )/100*2.45 )</f>
        <v>0.35859414261160716</v>
      </c>
      <c r="P71" s="164" t="s">
        <v>111</v>
      </c>
      <c r="Q71" s="227">
        <v>2008</v>
      </c>
      <c r="R71" s="227">
        <v>12855</v>
      </c>
      <c r="S71" s="227" t="s">
        <v>85</v>
      </c>
      <c r="T71" s="227">
        <v>3692</v>
      </c>
      <c r="U71" s="227">
        <v>2777</v>
      </c>
      <c r="V71" s="227">
        <v>13770</v>
      </c>
      <c r="W71" s="227">
        <v>0.1678249833806732</v>
      </c>
      <c r="X71" s="227">
        <v>0.8321750166193268</v>
      </c>
      <c r="Y71" s="100" t="s">
        <v>126</v>
      </c>
      <c r="Z71" s="29">
        <v>1</v>
      </c>
      <c r="AA71" s="9">
        <v>1</v>
      </c>
      <c r="AB71" s="9">
        <v>1</v>
      </c>
      <c r="AC71" s="9">
        <v>2</v>
      </c>
      <c r="AD71" s="43">
        <v>2</v>
      </c>
      <c r="AE71" s="55">
        <v>0.35859414261160716</v>
      </c>
      <c r="AF71" s="52" t="s">
        <v>111</v>
      </c>
    </row>
    <row r="72" spans="1:32">
      <c r="A72" s="227">
        <v>2000</v>
      </c>
      <c r="B72" s="227">
        <v>290</v>
      </c>
      <c r="C72" s="227" t="s">
        <v>86</v>
      </c>
      <c r="D72" s="227">
        <v>167</v>
      </c>
      <c r="E72" s="227">
        <v>278</v>
      </c>
      <c r="F72" s="227">
        <v>179</v>
      </c>
      <c r="G72" s="227">
        <v>0.60831509846827136</v>
      </c>
      <c r="H72" s="227">
        <v>0.39168490153172858</v>
      </c>
      <c r="I72" s="312" t="s">
        <v>110</v>
      </c>
      <c r="J72" s="29">
        <v>1</v>
      </c>
      <c r="K72" s="9">
        <v>1</v>
      </c>
      <c r="L72" s="9">
        <v>1</v>
      </c>
      <c r="M72" s="9">
        <v>2</v>
      </c>
      <c r="N72" s="43">
        <v>2</v>
      </c>
      <c r="O72" s="265">
        <f t="shared" si="2"/>
        <v>0.35859414261160716</v>
      </c>
      <c r="P72" s="164" t="s">
        <v>111</v>
      </c>
      <c r="Q72" s="227">
        <v>2008</v>
      </c>
      <c r="R72" s="227">
        <v>5693</v>
      </c>
      <c r="S72" s="227" t="s">
        <v>86</v>
      </c>
      <c r="T72" s="227">
        <v>1598</v>
      </c>
      <c r="U72" s="227">
        <v>1363</v>
      </c>
      <c r="V72" s="227">
        <v>5928</v>
      </c>
      <c r="W72" s="227">
        <v>0.18694280619942391</v>
      </c>
      <c r="X72" s="227">
        <v>0.81305719380057606</v>
      </c>
      <c r="Y72" s="100" t="s">
        <v>126</v>
      </c>
      <c r="Z72" s="29">
        <v>1</v>
      </c>
      <c r="AA72" s="9">
        <v>1</v>
      </c>
      <c r="AB72" s="9">
        <v>1</v>
      </c>
      <c r="AC72" s="9">
        <v>2</v>
      </c>
      <c r="AD72" s="43">
        <v>2</v>
      </c>
      <c r="AE72" s="55">
        <v>0.35859414261160716</v>
      </c>
      <c r="AF72" s="52" t="s">
        <v>111</v>
      </c>
    </row>
    <row r="73" spans="1:32">
      <c r="A73" s="227">
        <v>2000</v>
      </c>
      <c r="B73" s="227">
        <v>852</v>
      </c>
      <c r="C73" s="227" t="s">
        <v>87</v>
      </c>
      <c r="D73" s="227">
        <v>176</v>
      </c>
      <c r="E73" s="227">
        <v>396</v>
      </c>
      <c r="F73" s="227">
        <v>632</v>
      </c>
      <c r="G73" s="227">
        <v>0.38521400778210119</v>
      </c>
      <c r="H73" s="227">
        <v>0.61478599221789887</v>
      </c>
      <c r="I73" s="312" t="s">
        <v>110</v>
      </c>
      <c r="J73" s="29">
        <v>1</v>
      </c>
      <c r="K73" s="9">
        <v>1</v>
      </c>
      <c r="L73" s="9">
        <v>1</v>
      </c>
      <c r="M73" s="9">
        <v>2</v>
      </c>
      <c r="N73" s="43">
        <v>2</v>
      </c>
      <c r="O73" s="265">
        <f t="shared" si="2"/>
        <v>0.35859414261160716</v>
      </c>
      <c r="P73" s="164" t="s">
        <v>111</v>
      </c>
      <c r="Q73" s="227">
        <v>2008</v>
      </c>
      <c r="R73" s="227">
        <v>9960</v>
      </c>
      <c r="S73" s="227" t="s">
        <v>87</v>
      </c>
      <c r="T73" s="227">
        <v>1292</v>
      </c>
      <c r="U73" s="227">
        <v>1062</v>
      </c>
      <c r="V73" s="227">
        <v>10190</v>
      </c>
      <c r="W73" s="227">
        <v>9.4383220760753644E-2</v>
      </c>
      <c r="X73" s="227">
        <v>0.90561677923924633</v>
      </c>
      <c r="Y73" s="100" t="s">
        <v>126</v>
      </c>
      <c r="Z73" s="29">
        <v>1</v>
      </c>
      <c r="AA73" s="9">
        <v>1</v>
      </c>
      <c r="AB73" s="9">
        <v>1</v>
      </c>
      <c r="AC73" s="9">
        <v>2</v>
      </c>
      <c r="AD73" s="43">
        <v>2</v>
      </c>
      <c r="AE73" s="55">
        <v>0.35859414261160716</v>
      </c>
      <c r="AF73" s="52" t="s">
        <v>111</v>
      </c>
    </row>
    <row r="74" spans="1:32">
      <c r="A74" s="227">
        <v>2000</v>
      </c>
      <c r="B74" s="227">
        <v>18</v>
      </c>
      <c r="C74" s="227" t="s">
        <v>88</v>
      </c>
      <c r="D74" s="227">
        <v>76</v>
      </c>
      <c r="E74" s="227">
        <v>94</v>
      </c>
      <c r="F74" s="227">
        <v>0</v>
      </c>
      <c r="G74" s="227">
        <v>1</v>
      </c>
      <c r="H74" s="227">
        <v>0</v>
      </c>
      <c r="I74" s="312" t="s">
        <v>110</v>
      </c>
      <c r="J74" s="29">
        <v>1</v>
      </c>
      <c r="K74" s="9">
        <v>1</v>
      </c>
      <c r="L74" s="9">
        <v>1</v>
      </c>
      <c r="M74" s="9">
        <v>2</v>
      </c>
      <c r="N74" s="43">
        <v>2</v>
      </c>
      <c r="O74" s="265">
        <f t="shared" si="2"/>
        <v>0.35859414261160716</v>
      </c>
      <c r="P74" s="164" t="s">
        <v>111</v>
      </c>
      <c r="Q74" s="227">
        <v>2008</v>
      </c>
      <c r="R74" s="227">
        <v>1783</v>
      </c>
      <c r="S74" s="227" t="s">
        <v>88</v>
      </c>
      <c r="T74" s="227">
        <v>114</v>
      </c>
      <c r="U74" s="227">
        <v>282</v>
      </c>
      <c r="V74" s="227">
        <v>1615</v>
      </c>
      <c r="W74" s="227">
        <v>0.14865577227200841</v>
      </c>
      <c r="X74" s="227">
        <v>0.85134422772799156</v>
      </c>
      <c r="Y74" s="100" t="s">
        <v>126</v>
      </c>
      <c r="Z74" s="29">
        <v>1</v>
      </c>
      <c r="AA74" s="9">
        <v>1</v>
      </c>
      <c r="AB74" s="9">
        <v>1</v>
      </c>
      <c r="AC74" s="9">
        <v>2</v>
      </c>
      <c r="AD74" s="43">
        <v>2</v>
      </c>
      <c r="AE74" s="55">
        <v>0.35859414261160716</v>
      </c>
      <c r="AF74" s="52" t="s">
        <v>111</v>
      </c>
    </row>
    <row r="75" spans="1:32">
      <c r="A75" s="227">
        <v>2000</v>
      </c>
      <c r="B75" s="227">
        <v>191</v>
      </c>
      <c r="C75" s="227" t="s">
        <v>89</v>
      </c>
      <c r="D75" s="227">
        <v>17</v>
      </c>
      <c r="E75" s="227">
        <v>69</v>
      </c>
      <c r="F75" s="227">
        <v>139</v>
      </c>
      <c r="G75" s="227">
        <v>0.33173076923076922</v>
      </c>
      <c r="H75" s="227">
        <v>0.66826923076923084</v>
      </c>
      <c r="I75" s="312" t="s">
        <v>110</v>
      </c>
      <c r="J75" s="29">
        <v>1</v>
      </c>
      <c r="K75" s="9">
        <v>1</v>
      </c>
      <c r="L75" s="9">
        <v>1</v>
      </c>
      <c r="M75" s="9">
        <v>2</v>
      </c>
      <c r="N75" s="43">
        <v>2</v>
      </c>
      <c r="O75" s="265">
        <f t="shared" si="2"/>
        <v>0.35859414261160716</v>
      </c>
      <c r="P75" s="164" t="s">
        <v>111</v>
      </c>
      <c r="Q75" s="227">
        <v>2008</v>
      </c>
      <c r="R75" s="227">
        <v>1487</v>
      </c>
      <c r="S75" s="227" t="s">
        <v>89</v>
      </c>
      <c r="T75" s="227">
        <v>84</v>
      </c>
      <c r="U75" s="227">
        <v>105</v>
      </c>
      <c r="V75" s="227">
        <v>1466</v>
      </c>
      <c r="W75" s="227">
        <v>6.6836409929980897E-2</v>
      </c>
      <c r="X75" s="227">
        <v>0.93316359007001914</v>
      </c>
      <c r="Y75" s="100" t="s">
        <v>126</v>
      </c>
      <c r="Z75" s="29">
        <v>1</v>
      </c>
      <c r="AA75" s="9">
        <v>1</v>
      </c>
      <c r="AB75" s="9">
        <v>1</v>
      </c>
      <c r="AC75" s="9">
        <v>2</v>
      </c>
      <c r="AD75" s="43">
        <v>2</v>
      </c>
      <c r="AE75" s="55">
        <v>0.35859414261160716</v>
      </c>
      <c r="AF75" s="52" t="s">
        <v>111</v>
      </c>
    </row>
    <row r="76" spans="1:32">
      <c r="A76" s="227">
        <v>2000</v>
      </c>
      <c r="B76" s="227">
        <v>610</v>
      </c>
      <c r="C76" s="227" t="s">
        <v>90</v>
      </c>
      <c r="D76" s="227">
        <v>204</v>
      </c>
      <c r="E76" s="227">
        <v>472</v>
      </c>
      <c r="F76" s="227">
        <v>342</v>
      </c>
      <c r="G76" s="227">
        <v>0.57985257985257987</v>
      </c>
      <c r="H76" s="227">
        <v>0.42014742014742013</v>
      </c>
      <c r="I76" s="312" t="s">
        <v>110</v>
      </c>
      <c r="J76" s="29">
        <v>1</v>
      </c>
      <c r="K76" s="9">
        <v>1</v>
      </c>
      <c r="L76" s="9">
        <v>1</v>
      </c>
      <c r="M76" s="9">
        <v>2</v>
      </c>
      <c r="N76" s="43">
        <v>2</v>
      </c>
      <c r="O76" s="265">
        <f t="shared" si="2"/>
        <v>0.35859414261160716</v>
      </c>
      <c r="P76" s="164" t="s">
        <v>111</v>
      </c>
      <c r="Q76" s="227">
        <v>2008</v>
      </c>
      <c r="R76" s="227">
        <v>5913</v>
      </c>
      <c r="S76" s="227" t="s">
        <v>90</v>
      </c>
      <c r="T76" s="227">
        <v>669</v>
      </c>
      <c r="U76" s="227">
        <v>1369</v>
      </c>
      <c r="V76" s="227">
        <v>5213</v>
      </c>
      <c r="W76" s="227">
        <v>0.20799149194773631</v>
      </c>
      <c r="X76" s="227">
        <v>0.79200850805226375</v>
      </c>
      <c r="Y76" s="100" t="s">
        <v>126</v>
      </c>
      <c r="Z76" s="29">
        <v>1</v>
      </c>
      <c r="AA76" s="9">
        <v>1</v>
      </c>
      <c r="AB76" s="9">
        <v>1</v>
      </c>
      <c r="AC76" s="9">
        <v>2</v>
      </c>
      <c r="AD76" s="43">
        <v>2</v>
      </c>
      <c r="AE76" s="55">
        <v>0.35859414261160716</v>
      </c>
      <c r="AF76" s="52" t="s">
        <v>111</v>
      </c>
    </row>
    <row r="77" spans="1:32">
      <c r="A77" s="227">
        <v>2000</v>
      </c>
      <c r="B77" s="227">
        <v>149</v>
      </c>
      <c r="C77" s="227" t="s">
        <v>91</v>
      </c>
      <c r="D77" s="227">
        <v>115</v>
      </c>
      <c r="E77" s="227">
        <v>264</v>
      </c>
      <c r="F77" s="227">
        <v>0</v>
      </c>
      <c r="G77" s="227">
        <v>1</v>
      </c>
      <c r="H77" s="227">
        <v>0</v>
      </c>
      <c r="I77" s="312" t="s">
        <v>110</v>
      </c>
      <c r="J77" s="29">
        <v>1</v>
      </c>
      <c r="K77" s="9">
        <v>1</v>
      </c>
      <c r="L77" s="9">
        <v>1</v>
      </c>
      <c r="M77" s="9">
        <v>2</v>
      </c>
      <c r="N77" s="43">
        <v>2</v>
      </c>
      <c r="O77" s="265">
        <f t="shared" si="2"/>
        <v>0.35859414261160716</v>
      </c>
      <c r="P77" s="164" t="s">
        <v>111</v>
      </c>
      <c r="Q77" s="227">
        <v>2008</v>
      </c>
      <c r="R77" s="227">
        <v>3018</v>
      </c>
      <c r="S77" s="227" t="s">
        <v>91</v>
      </c>
      <c r="T77" s="227">
        <v>1161</v>
      </c>
      <c r="U77" s="227">
        <v>292</v>
      </c>
      <c r="V77" s="227">
        <v>3887</v>
      </c>
      <c r="W77" s="227">
        <v>6.9873175400813586E-2</v>
      </c>
      <c r="X77" s="227">
        <v>0.93012682459918639</v>
      </c>
      <c r="Y77" s="100" t="s">
        <v>126</v>
      </c>
      <c r="Z77" s="29">
        <v>1</v>
      </c>
      <c r="AA77" s="9">
        <v>1</v>
      </c>
      <c r="AB77" s="9">
        <v>1</v>
      </c>
      <c r="AC77" s="9">
        <v>2</v>
      </c>
      <c r="AD77" s="43">
        <v>2</v>
      </c>
      <c r="AE77" s="55">
        <v>0.35859414261160716</v>
      </c>
      <c r="AF77" s="52" t="s">
        <v>111</v>
      </c>
    </row>
    <row r="78" spans="1:32">
      <c r="A78" s="227">
        <v>2000</v>
      </c>
      <c r="B78" s="227">
        <v>109</v>
      </c>
      <c r="C78" s="227" t="s">
        <v>94</v>
      </c>
      <c r="D78" s="227">
        <v>16</v>
      </c>
      <c r="E78" s="227">
        <v>125</v>
      </c>
      <c r="F78" s="227">
        <v>0</v>
      </c>
      <c r="G78" s="227">
        <v>1</v>
      </c>
      <c r="H78" s="227">
        <v>0</v>
      </c>
      <c r="I78" s="312" t="s">
        <v>110</v>
      </c>
      <c r="J78" s="29">
        <v>1</v>
      </c>
      <c r="K78" s="9">
        <v>1</v>
      </c>
      <c r="L78" s="9">
        <v>1</v>
      </c>
      <c r="M78" s="9">
        <v>2</v>
      </c>
      <c r="N78" s="43">
        <v>2</v>
      </c>
      <c r="O78" s="265">
        <f t="shared" si="2"/>
        <v>0.35859414261160716</v>
      </c>
      <c r="P78" s="164" t="s">
        <v>111</v>
      </c>
      <c r="Q78" s="227">
        <v>2008</v>
      </c>
      <c r="R78" s="227">
        <v>860</v>
      </c>
      <c r="S78" s="227" t="s">
        <v>94</v>
      </c>
      <c r="T78" s="227">
        <v>257</v>
      </c>
      <c r="U78" s="227">
        <v>148</v>
      </c>
      <c r="V78" s="227">
        <v>969</v>
      </c>
      <c r="W78" s="227">
        <v>0.13249776186213069</v>
      </c>
      <c r="X78" s="227">
        <v>0.86750223813786931</v>
      </c>
      <c r="Y78" s="100" t="s">
        <v>126</v>
      </c>
      <c r="Z78" s="29">
        <v>1</v>
      </c>
      <c r="AA78" s="9">
        <v>1</v>
      </c>
      <c r="AB78" s="9">
        <v>1</v>
      </c>
      <c r="AC78" s="9">
        <v>2</v>
      </c>
      <c r="AD78" s="43">
        <v>2</v>
      </c>
      <c r="AE78" s="55">
        <v>0.35859414261160716</v>
      </c>
      <c r="AF78" s="52" t="s">
        <v>111</v>
      </c>
    </row>
    <row r="79" spans="1:32">
      <c r="A79" s="227">
        <v>2000</v>
      </c>
      <c r="B79" s="227">
        <v>337</v>
      </c>
      <c r="C79" s="227" t="s">
        <v>96</v>
      </c>
      <c r="D79" s="227">
        <v>49</v>
      </c>
      <c r="E79" s="227">
        <v>186</v>
      </c>
      <c r="F79" s="227">
        <v>200</v>
      </c>
      <c r="G79" s="227">
        <v>0.48186528497409331</v>
      </c>
      <c r="H79" s="227">
        <v>0.5181347150259068</v>
      </c>
      <c r="I79" s="312" t="s">
        <v>110</v>
      </c>
      <c r="J79" s="29">
        <v>1</v>
      </c>
      <c r="K79" s="9">
        <v>1</v>
      </c>
      <c r="L79" s="9">
        <v>1</v>
      </c>
      <c r="M79" s="9">
        <v>2</v>
      </c>
      <c r="N79" s="43">
        <v>2</v>
      </c>
      <c r="O79" s="265">
        <f t="shared" si="2"/>
        <v>0.35859414261160716</v>
      </c>
      <c r="P79" s="164" t="s">
        <v>111</v>
      </c>
      <c r="Q79" s="227">
        <v>2008</v>
      </c>
      <c r="R79" s="227">
        <v>1425</v>
      </c>
      <c r="S79" s="227" t="s">
        <v>96</v>
      </c>
      <c r="T79" s="227">
        <v>86</v>
      </c>
      <c r="U79" s="227">
        <v>275</v>
      </c>
      <c r="V79" s="227">
        <v>1236</v>
      </c>
      <c r="W79" s="227">
        <v>0.18199867637326281</v>
      </c>
      <c r="X79" s="227">
        <v>0.81800132362673728</v>
      </c>
      <c r="Y79" s="100" t="s">
        <v>126</v>
      </c>
      <c r="Z79" s="29">
        <v>1</v>
      </c>
      <c r="AA79" s="9">
        <v>1</v>
      </c>
      <c r="AB79" s="9">
        <v>1</v>
      </c>
      <c r="AC79" s="9">
        <v>2</v>
      </c>
      <c r="AD79" s="43">
        <v>2</v>
      </c>
      <c r="AE79" s="55">
        <v>0.35859414261160716</v>
      </c>
      <c r="AF79" s="52" t="s">
        <v>111</v>
      </c>
    </row>
    <row r="80" spans="1:32">
      <c r="A80" s="227">
        <v>2000</v>
      </c>
      <c r="B80" s="227">
        <v>233</v>
      </c>
      <c r="C80" s="227" t="s">
        <v>97</v>
      </c>
      <c r="D80" s="227">
        <v>116</v>
      </c>
      <c r="E80" s="227">
        <v>183</v>
      </c>
      <c r="F80" s="227">
        <v>166</v>
      </c>
      <c r="G80" s="227">
        <v>0.52435530085959881</v>
      </c>
      <c r="H80" s="227">
        <v>0.47564469914040119</v>
      </c>
      <c r="I80" s="312" t="s">
        <v>110</v>
      </c>
      <c r="J80" s="29">
        <v>1</v>
      </c>
      <c r="K80" s="9">
        <v>1</v>
      </c>
      <c r="L80" s="9">
        <v>1</v>
      </c>
      <c r="M80" s="9">
        <v>2</v>
      </c>
      <c r="N80" s="43">
        <v>2</v>
      </c>
      <c r="O80" s="265">
        <f t="shared" si="2"/>
        <v>0.35859414261160716</v>
      </c>
      <c r="P80" s="164" t="s">
        <v>111</v>
      </c>
      <c r="Q80" s="227">
        <v>2008</v>
      </c>
      <c r="R80" s="227">
        <v>4175</v>
      </c>
      <c r="S80" s="227" t="s">
        <v>97</v>
      </c>
      <c r="T80" s="227">
        <v>444</v>
      </c>
      <c r="U80" s="227">
        <v>786</v>
      </c>
      <c r="V80" s="227">
        <v>3833</v>
      </c>
      <c r="W80" s="227">
        <v>0.1701667027495129</v>
      </c>
      <c r="X80" s="227">
        <v>0.82983329725048716</v>
      </c>
      <c r="Y80" s="100" t="s">
        <v>126</v>
      </c>
      <c r="Z80" s="29">
        <v>1</v>
      </c>
      <c r="AA80" s="9">
        <v>1</v>
      </c>
      <c r="AB80" s="9">
        <v>1</v>
      </c>
      <c r="AC80" s="9">
        <v>2</v>
      </c>
      <c r="AD80" s="43">
        <v>2</v>
      </c>
      <c r="AE80" s="55">
        <v>0.35859414261160716</v>
      </c>
      <c r="AF80" s="52" t="s">
        <v>111</v>
      </c>
    </row>
    <row r="81" spans="1:32">
      <c r="A81" s="227">
        <v>2000</v>
      </c>
      <c r="B81" s="227">
        <v>200</v>
      </c>
      <c r="C81" s="227" t="s">
        <v>95</v>
      </c>
      <c r="D81" s="227">
        <v>57</v>
      </c>
      <c r="E81" s="227">
        <v>195</v>
      </c>
      <c r="F81" s="227">
        <v>62</v>
      </c>
      <c r="G81" s="227">
        <v>0.75875486381322954</v>
      </c>
      <c r="H81" s="227">
        <v>0.24124513618677049</v>
      </c>
      <c r="I81" s="312" t="s">
        <v>110</v>
      </c>
      <c r="J81" s="29">
        <v>1</v>
      </c>
      <c r="K81" s="9">
        <v>1</v>
      </c>
      <c r="L81" s="9">
        <v>1</v>
      </c>
      <c r="M81" s="9">
        <v>2</v>
      </c>
      <c r="N81" s="43">
        <v>2</v>
      </c>
      <c r="O81" s="265">
        <f t="shared" si="2"/>
        <v>0.35859414261160716</v>
      </c>
      <c r="P81" s="164" t="s">
        <v>111</v>
      </c>
      <c r="Q81" s="227">
        <v>2008</v>
      </c>
      <c r="R81" s="227">
        <v>2497</v>
      </c>
      <c r="S81" s="227" t="s">
        <v>95</v>
      </c>
      <c r="T81" s="227">
        <v>361</v>
      </c>
      <c r="U81" s="227">
        <v>304</v>
      </c>
      <c r="V81" s="227">
        <v>2554</v>
      </c>
      <c r="W81" s="227">
        <v>0.1063680895731281</v>
      </c>
      <c r="X81" s="227">
        <v>0.89363191042687196</v>
      </c>
      <c r="Y81" s="100" t="s">
        <v>126</v>
      </c>
      <c r="Z81" s="29">
        <v>1</v>
      </c>
      <c r="AA81" s="9">
        <v>1</v>
      </c>
      <c r="AB81" s="9">
        <v>1</v>
      </c>
      <c r="AC81" s="9">
        <v>2</v>
      </c>
      <c r="AD81" s="43">
        <v>2</v>
      </c>
      <c r="AE81" s="55">
        <v>0.35859414261160716</v>
      </c>
      <c r="AF81" s="52" t="s">
        <v>111</v>
      </c>
    </row>
    <row r="82" spans="1:32">
      <c r="A82" s="227">
        <v>2000</v>
      </c>
      <c r="B82" s="227">
        <v>98</v>
      </c>
      <c r="C82" s="227" t="s">
        <v>93</v>
      </c>
      <c r="D82" s="227">
        <v>26</v>
      </c>
      <c r="E82" s="227">
        <v>38</v>
      </c>
      <c r="F82" s="227">
        <v>86</v>
      </c>
      <c r="G82" s="227">
        <v>0.30645161290322581</v>
      </c>
      <c r="H82" s="227">
        <v>0.69354838709677424</v>
      </c>
      <c r="I82" s="312" t="s">
        <v>110</v>
      </c>
      <c r="J82" s="29">
        <v>1</v>
      </c>
      <c r="K82" s="9">
        <v>1</v>
      </c>
      <c r="L82" s="9">
        <v>1</v>
      </c>
      <c r="M82" s="9">
        <v>2</v>
      </c>
      <c r="N82" s="43">
        <v>2</v>
      </c>
      <c r="O82" s="265">
        <f t="shared" si="2"/>
        <v>0.35859414261160716</v>
      </c>
      <c r="P82" s="164" t="s">
        <v>111</v>
      </c>
      <c r="Q82" s="227">
        <v>2008</v>
      </c>
      <c r="R82" s="227">
        <v>2860</v>
      </c>
      <c r="S82" s="227" t="s">
        <v>93</v>
      </c>
      <c r="T82" s="227">
        <v>80</v>
      </c>
      <c r="U82" s="227">
        <v>399</v>
      </c>
      <c r="V82" s="227">
        <v>2541</v>
      </c>
      <c r="W82" s="227">
        <v>0.1357142857142857</v>
      </c>
      <c r="X82" s="227">
        <v>0.86428571428571432</v>
      </c>
      <c r="Y82" s="100" t="s">
        <v>126</v>
      </c>
      <c r="Z82" s="29">
        <v>1</v>
      </c>
      <c r="AA82" s="9">
        <v>1</v>
      </c>
      <c r="AB82" s="9">
        <v>1</v>
      </c>
      <c r="AC82" s="9">
        <v>2</v>
      </c>
      <c r="AD82" s="43">
        <v>2</v>
      </c>
      <c r="AE82" s="55">
        <v>0.35859414261160716</v>
      </c>
      <c r="AF82" s="52" t="s">
        <v>111</v>
      </c>
    </row>
    <row r="83" spans="1:32">
      <c r="A83" s="227">
        <v>2000</v>
      </c>
      <c r="B83" s="227">
        <v>1381</v>
      </c>
      <c r="C83" s="227" t="s">
        <v>98</v>
      </c>
      <c r="D83" s="227">
        <v>546</v>
      </c>
      <c r="E83" s="227">
        <v>1927</v>
      </c>
      <c r="F83" s="227">
        <v>0</v>
      </c>
      <c r="G83" s="227">
        <v>1</v>
      </c>
      <c r="H83" s="227">
        <v>0</v>
      </c>
      <c r="I83" s="312" t="s">
        <v>110</v>
      </c>
      <c r="J83" s="29">
        <v>1</v>
      </c>
      <c r="K83" s="9">
        <v>1</v>
      </c>
      <c r="L83" s="9">
        <v>1</v>
      </c>
      <c r="M83" s="9">
        <v>2</v>
      </c>
      <c r="N83" s="43">
        <v>2</v>
      </c>
      <c r="O83" s="265">
        <f t="shared" si="2"/>
        <v>0.35859414261160716</v>
      </c>
      <c r="P83" s="164" t="s">
        <v>111</v>
      </c>
      <c r="Q83" s="227">
        <v>2008</v>
      </c>
      <c r="R83" s="227">
        <v>15108</v>
      </c>
      <c r="S83" s="227" t="s">
        <v>98</v>
      </c>
      <c r="T83" s="227">
        <v>3399</v>
      </c>
      <c r="U83" s="227">
        <v>3914</v>
      </c>
      <c r="V83" s="227">
        <v>14593</v>
      </c>
      <c r="W83" s="227">
        <v>0.21148754525314739</v>
      </c>
      <c r="X83" s="227">
        <v>0.7885124547468525</v>
      </c>
      <c r="Y83" s="100" t="s">
        <v>126</v>
      </c>
      <c r="Z83" s="29">
        <v>1</v>
      </c>
      <c r="AA83" s="9">
        <v>1</v>
      </c>
      <c r="AB83" s="9">
        <v>1</v>
      </c>
      <c r="AC83" s="9">
        <v>2</v>
      </c>
      <c r="AD83" s="43">
        <v>2</v>
      </c>
      <c r="AE83" s="55">
        <v>0.35859414261160716</v>
      </c>
      <c r="AF83" s="52" t="s">
        <v>111</v>
      </c>
    </row>
    <row r="84" spans="1:32">
      <c r="A84" s="227">
        <v>2001</v>
      </c>
      <c r="B84" s="227">
        <v>1435</v>
      </c>
      <c r="C84" s="227" t="s">
        <v>85</v>
      </c>
      <c r="D84" s="227">
        <v>404</v>
      </c>
      <c r="E84" s="227">
        <v>1563</v>
      </c>
      <c r="F84" s="227">
        <v>276</v>
      </c>
      <c r="G84" s="227">
        <v>0.84991843393148447</v>
      </c>
      <c r="H84" s="227">
        <v>0.1500815660685155</v>
      </c>
      <c r="I84" s="312" t="s">
        <v>110</v>
      </c>
      <c r="J84" s="29">
        <v>1</v>
      </c>
      <c r="K84" s="9">
        <v>1</v>
      </c>
      <c r="L84" s="9">
        <v>1</v>
      </c>
      <c r="M84" s="9">
        <v>2</v>
      </c>
      <c r="N84" s="43">
        <v>2</v>
      </c>
      <c r="O84" s="265">
        <f t="shared" si="2"/>
        <v>0.35859414261160716</v>
      </c>
      <c r="P84" s="164" t="s">
        <v>111</v>
      </c>
      <c r="Q84" s="227">
        <v>2009</v>
      </c>
      <c r="R84" s="227">
        <v>11289</v>
      </c>
      <c r="S84" s="227" t="s">
        <v>85</v>
      </c>
      <c r="T84" s="227">
        <v>3276</v>
      </c>
      <c r="U84" s="227">
        <v>3152</v>
      </c>
      <c r="V84" s="227">
        <v>11413</v>
      </c>
      <c r="W84" s="227">
        <v>0.21640920013731549</v>
      </c>
      <c r="X84" s="227">
        <v>0.78359079986268454</v>
      </c>
      <c r="Y84" s="100" t="s">
        <v>126</v>
      </c>
      <c r="Z84" s="29">
        <v>1</v>
      </c>
      <c r="AA84" s="9">
        <v>1</v>
      </c>
      <c r="AB84" s="9">
        <v>1</v>
      </c>
      <c r="AC84" s="9">
        <v>2</v>
      </c>
      <c r="AD84" s="43">
        <v>2</v>
      </c>
      <c r="AE84" s="55">
        <v>0.35859414261160716</v>
      </c>
      <c r="AF84" s="52" t="s">
        <v>111</v>
      </c>
    </row>
    <row r="85" spans="1:32">
      <c r="A85" s="227">
        <v>2001</v>
      </c>
      <c r="B85" s="227">
        <v>290</v>
      </c>
      <c r="C85" s="227" t="s">
        <v>86</v>
      </c>
      <c r="D85" s="227">
        <v>135</v>
      </c>
      <c r="E85" s="227">
        <v>351</v>
      </c>
      <c r="F85" s="227">
        <v>74</v>
      </c>
      <c r="G85" s="227">
        <v>0.82588235294117651</v>
      </c>
      <c r="H85" s="227">
        <v>0.17411764705882349</v>
      </c>
      <c r="I85" s="312" t="s">
        <v>110</v>
      </c>
      <c r="J85" s="29">
        <v>1</v>
      </c>
      <c r="K85" s="9">
        <v>1</v>
      </c>
      <c r="L85" s="9">
        <v>1</v>
      </c>
      <c r="M85" s="9">
        <v>2</v>
      </c>
      <c r="N85" s="43">
        <v>2</v>
      </c>
      <c r="O85" s="265">
        <f t="shared" si="2"/>
        <v>0.35859414261160716</v>
      </c>
      <c r="P85" s="164" t="s">
        <v>111</v>
      </c>
      <c r="Q85" s="227">
        <v>2009</v>
      </c>
      <c r="R85" s="227">
        <v>5551</v>
      </c>
      <c r="S85" s="227" t="s">
        <v>86</v>
      </c>
      <c r="T85" s="227">
        <v>1953</v>
      </c>
      <c r="U85" s="227">
        <v>1625</v>
      </c>
      <c r="V85" s="227">
        <v>5879</v>
      </c>
      <c r="W85" s="227">
        <v>0.21655117270788909</v>
      </c>
      <c r="X85" s="227">
        <v>0.78344882729211085</v>
      </c>
      <c r="Y85" s="100" t="s">
        <v>126</v>
      </c>
      <c r="Z85" s="29">
        <v>1</v>
      </c>
      <c r="AA85" s="9">
        <v>1</v>
      </c>
      <c r="AB85" s="9">
        <v>1</v>
      </c>
      <c r="AC85" s="9">
        <v>2</v>
      </c>
      <c r="AD85" s="43">
        <v>2</v>
      </c>
      <c r="AE85" s="55">
        <v>0.35859414261160716</v>
      </c>
      <c r="AF85" s="52" t="s">
        <v>111</v>
      </c>
    </row>
    <row r="86" spans="1:32">
      <c r="A86" s="227">
        <v>2001</v>
      </c>
      <c r="B86" s="227">
        <v>852</v>
      </c>
      <c r="C86" s="227" t="s">
        <v>87</v>
      </c>
      <c r="D86" s="227">
        <v>169</v>
      </c>
      <c r="E86" s="227">
        <v>307</v>
      </c>
      <c r="F86" s="227">
        <v>714</v>
      </c>
      <c r="G86" s="227">
        <v>0.30068560235063663</v>
      </c>
      <c r="H86" s="227">
        <v>0.69931439764936343</v>
      </c>
      <c r="I86" s="312" t="s">
        <v>110</v>
      </c>
      <c r="J86" s="29">
        <v>1</v>
      </c>
      <c r="K86" s="9">
        <v>1</v>
      </c>
      <c r="L86" s="9">
        <v>1</v>
      </c>
      <c r="M86" s="9">
        <v>2</v>
      </c>
      <c r="N86" s="43">
        <v>2</v>
      </c>
      <c r="O86" s="265">
        <f t="shared" si="2"/>
        <v>0.35859414261160716</v>
      </c>
      <c r="P86" s="164" t="s">
        <v>111</v>
      </c>
      <c r="Q86" s="227">
        <v>2009</v>
      </c>
      <c r="R86" s="227">
        <v>9674</v>
      </c>
      <c r="S86" s="227" t="s">
        <v>87</v>
      </c>
      <c r="T86" s="227">
        <v>1367</v>
      </c>
      <c r="U86" s="227">
        <v>1369</v>
      </c>
      <c r="V86" s="227">
        <v>9672</v>
      </c>
      <c r="W86" s="227">
        <v>0.12399239199347881</v>
      </c>
      <c r="X86" s="227">
        <v>0.87600760800652111</v>
      </c>
      <c r="Y86" s="100" t="s">
        <v>126</v>
      </c>
      <c r="Z86" s="29">
        <v>1</v>
      </c>
      <c r="AA86" s="9">
        <v>1</v>
      </c>
      <c r="AB86" s="9">
        <v>1</v>
      </c>
      <c r="AC86" s="9">
        <v>2</v>
      </c>
      <c r="AD86" s="43">
        <v>2</v>
      </c>
      <c r="AE86" s="55">
        <v>0.35859414261160716</v>
      </c>
      <c r="AF86" s="52" t="s">
        <v>111</v>
      </c>
    </row>
    <row r="87" spans="1:32">
      <c r="A87" s="227">
        <v>2001</v>
      </c>
      <c r="B87" s="227">
        <v>4</v>
      </c>
      <c r="C87" s="227" t="s">
        <v>88</v>
      </c>
      <c r="D87" s="227">
        <v>75</v>
      </c>
      <c r="E87" s="227">
        <v>36</v>
      </c>
      <c r="F87" s="227">
        <v>43</v>
      </c>
      <c r="G87" s="227">
        <v>0.45569620253164561</v>
      </c>
      <c r="H87" s="227">
        <v>0.54430379746835444</v>
      </c>
      <c r="I87" s="312" t="s">
        <v>110</v>
      </c>
      <c r="J87" s="29">
        <v>1</v>
      </c>
      <c r="K87" s="9">
        <v>1</v>
      </c>
      <c r="L87" s="9">
        <v>1</v>
      </c>
      <c r="M87" s="9">
        <v>2</v>
      </c>
      <c r="N87" s="43">
        <v>2</v>
      </c>
      <c r="O87" s="265">
        <f t="shared" si="2"/>
        <v>0.35859414261160716</v>
      </c>
      <c r="P87" s="164" t="s">
        <v>111</v>
      </c>
      <c r="Q87" s="227">
        <v>2009</v>
      </c>
      <c r="R87" s="227">
        <v>1738</v>
      </c>
      <c r="S87" s="227" t="s">
        <v>88</v>
      </c>
      <c r="T87" s="227">
        <v>199</v>
      </c>
      <c r="U87" s="227">
        <v>332</v>
      </c>
      <c r="V87" s="227">
        <v>1605</v>
      </c>
      <c r="W87" s="227">
        <v>0.17139907072792979</v>
      </c>
      <c r="X87" s="227">
        <v>0.82860092927207019</v>
      </c>
      <c r="Y87" s="100" t="s">
        <v>126</v>
      </c>
      <c r="Z87" s="29">
        <v>1</v>
      </c>
      <c r="AA87" s="9">
        <v>1</v>
      </c>
      <c r="AB87" s="9">
        <v>1</v>
      </c>
      <c r="AC87" s="9">
        <v>2</v>
      </c>
      <c r="AD87" s="43">
        <v>2</v>
      </c>
      <c r="AE87" s="55">
        <v>0.35859414261160716</v>
      </c>
      <c r="AF87" s="52" t="s">
        <v>111</v>
      </c>
    </row>
    <row r="88" spans="1:32">
      <c r="A88" s="227">
        <v>2001</v>
      </c>
      <c r="B88" s="227">
        <v>191</v>
      </c>
      <c r="C88" s="227" t="s">
        <v>89</v>
      </c>
      <c r="D88" s="227">
        <v>27</v>
      </c>
      <c r="E88" s="227">
        <v>82</v>
      </c>
      <c r="F88" s="227">
        <v>136</v>
      </c>
      <c r="G88" s="227">
        <v>0.37614678899082571</v>
      </c>
      <c r="H88" s="227">
        <v>0.62385321100917435</v>
      </c>
      <c r="I88" s="312" t="s">
        <v>110</v>
      </c>
      <c r="J88" s="29">
        <v>1</v>
      </c>
      <c r="K88" s="9">
        <v>1</v>
      </c>
      <c r="L88" s="9">
        <v>1</v>
      </c>
      <c r="M88" s="9">
        <v>2</v>
      </c>
      <c r="N88" s="43">
        <v>2</v>
      </c>
      <c r="O88" s="265">
        <f t="shared" si="2"/>
        <v>0.35859414261160716</v>
      </c>
      <c r="P88" s="164" t="s">
        <v>111</v>
      </c>
      <c r="Q88" s="227">
        <v>2009</v>
      </c>
      <c r="R88" s="227">
        <v>1646</v>
      </c>
      <c r="S88" s="227" t="s">
        <v>89</v>
      </c>
      <c r="T88" s="227">
        <v>101</v>
      </c>
      <c r="U88" s="227">
        <v>115</v>
      </c>
      <c r="V88" s="227">
        <v>1632</v>
      </c>
      <c r="W88" s="227">
        <v>6.5827132226674301E-2</v>
      </c>
      <c r="X88" s="227">
        <v>0.93417286777332564</v>
      </c>
      <c r="Y88" s="100" t="s">
        <v>126</v>
      </c>
      <c r="Z88" s="29">
        <v>1</v>
      </c>
      <c r="AA88" s="9">
        <v>1</v>
      </c>
      <c r="AB88" s="9">
        <v>1</v>
      </c>
      <c r="AC88" s="9">
        <v>2</v>
      </c>
      <c r="AD88" s="43">
        <v>2</v>
      </c>
      <c r="AE88" s="55">
        <v>0.35859414261160716</v>
      </c>
      <c r="AF88" s="52" t="s">
        <v>111</v>
      </c>
    </row>
    <row r="89" spans="1:32">
      <c r="A89" s="227">
        <v>2001</v>
      </c>
      <c r="B89" s="227">
        <v>610</v>
      </c>
      <c r="C89" s="227" t="s">
        <v>90</v>
      </c>
      <c r="D89" s="227">
        <v>198</v>
      </c>
      <c r="E89" s="227">
        <v>449</v>
      </c>
      <c r="F89" s="227">
        <v>359</v>
      </c>
      <c r="G89" s="227">
        <v>0.55569306930693074</v>
      </c>
      <c r="H89" s="227">
        <v>0.44430693069306931</v>
      </c>
      <c r="I89" s="312" t="s">
        <v>110</v>
      </c>
      <c r="J89" s="29">
        <v>1</v>
      </c>
      <c r="K89" s="9">
        <v>1</v>
      </c>
      <c r="L89" s="9">
        <v>1</v>
      </c>
      <c r="M89" s="9">
        <v>2</v>
      </c>
      <c r="N89" s="43">
        <v>2</v>
      </c>
      <c r="O89" s="265">
        <f t="shared" si="2"/>
        <v>0.35859414261160716</v>
      </c>
      <c r="P89" s="164" t="s">
        <v>111</v>
      </c>
      <c r="Q89" s="227">
        <v>2009</v>
      </c>
      <c r="R89" s="227">
        <v>6033</v>
      </c>
      <c r="S89" s="227" t="s">
        <v>90</v>
      </c>
      <c r="T89" s="227">
        <v>580</v>
      </c>
      <c r="U89" s="227">
        <v>1284</v>
      </c>
      <c r="V89" s="227">
        <v>5329</v>
      </c>
      <c r="W89" s="227">
        <v>0.19416301224860119</v>
      </c>
      <c r="X89" s="227">
        <v>0.80583698775139878</v>
      </c>
      <c r="Y89" s="100" t="s">
        <v>126</v>
      </c>
      <c r="Z89" s="29">
        <v>1</v>
      </c>
      <c r="AA89" s="9">
        <v>1</v>
      </c>
      <c r="AB89" s="9">
        <v>1</v>
      </c>
      <c r="AC89" s="9">
        <v>2</v>
      </c>
      <c r="AD89" s="43">
        <v>2</v>
      </c>
      <c r="AE89" s="55">
        <v>0.35859414261160716</v>
      </c>
      <c r="AF89" s="52" t="s">
        <v>111</v>
      </c>
    </row>
    <row r="90" spans="1:32">
      <c r="A90" s="227">
        <v>2001</v>
      </c>
      <c r="B90" s="227">
        <v>129</v>
      </c>
      <c r="C90" s="227" t="s">
        <v>91</v>
      </c>
      <c r="D90" s="227">
        <v>126</v>
      </c>
      <c r="E90" s="227">
        <v>255</v>
      </c>
      <c r="F90" s="227">
        <v>0</v>
      </c>
      <c r="G90" s="227">
        <v>1</v>
      </c>
      <c r="H90" s="227">
        <v>0</v>
      </c>
      <c r="I90" s="312" t="s">
        <v>110</v>
      </c>
      <c r="J90" s="29">
        <v>1</v>
      </c>
      <c r="K90" s="9">
        <v>1</v>
      </c>
      <c r="L90" s="9">
        <v>1</v>
      </c>
      <c r="M90" s="9">
        <v>2</v>
      </c>
      <c r="N90" s="43">
        <v>2</v>
      </c>
      <c r="O90" s="265">
        <f t="shared" si="2"/>
        <v>0.35859414261160716</v>
      </c>
      <c r="P90" s="164" t="s">
        <v>111</v>
      </c>
      <c r="Q90" s="227">
        <v>2009</v>
      </c>
      <c r="R90" s="227">
        <v>2917</v>
      </c>
      <c r="S90" s="227" t="s">
        <v>91</v>
      </c>
      <c r="T90" s="227">
        <v>1397</v>
      </c>
      <c r="U90" s="227">
        <v>339</v>
      </c>
      <c r="V90" s="227">
        <v>3975</v>
      </c>
      <c r="W90" s="227">
        <v>7.8581363004172455E-2</v>
      </c>
      <c r="X90" s="227">
        <v>0.92141863699582749</v>
      </c>
      <c r="Y90" s="100" t="s">
        <v>126</v>
      </c>
      <c r="Z90" s="29">
        <v>1</v>
      </c>
      <c r="AA90" s="9">
        <v>1</v>
      </c>
      <c r="AB90" s="9">
        <v>1</v>
      </c>
      <c r="AC90" s="9">
        <v>2</v>
      </c>
      <c r="AD90" s="43">
        <v>2</v>
      </c>
      <c r="AE90" s="55">
        <v>0.35859414261160716</v>
      </c>
      <c r="AF90" s="52" t="s">
        <v>111</v>
      </c>
    </row>
    <row r="91" spans="1:32">
      <c r="A91" s="227">
        <v>2001</v>
      </c>
      <c r="B91" s="227">
        <v>88</v>
      </c>
      <c r="C91" s="227" t="s">
        <v>94</v>
      </c>
      <c r="D91" s="227">
        <v>19</v>
      </c>
      <c r="E91" s="227">
        <v>107</v>
      </c>
      <c r="F91" s="227">
        <v>0</v>
      </c>
      <c r="G91" s="227">
        <v>1</v>
      </c>
      <c r="H91" s="227">
        <v>0</v>
      </c>
      <c r="I91" s="312" t="s">
        <v>110</v>
      </c>
      <c r="J91" s="29">
        <v>1</v>
      </c>
      <c r="K91" s="9">
        <v>1</v>
      </c>
      <c r="L91" s="9">
        <v>1</v>
      </c>
      <c r="M91" s="9">
        <v>2</v>
      </c>
      <c r="N91" s="43">
        <v>2</v>
      </c>
      <c r="O91" s="265">
        <f t="shared" si="2"/>
        <v>0.35859414261160716</v>
      </c>
      <c r="P91" s="164" t="s">
        <v>111</v>
      </c>
      <c r="Q91" s="227">
        <v>2009</v>
      </c>
      <c r="R91" s="227">
        <v>698</v>
      </c>
      <c r="S91" s="227" t="s">
        <v>94</v>
      </c>
      <c r="T91" s="227">
        <v>238</v>
      </c>
      <c r="U91" s="227">
        <v>173</v>
      </c>
      <c r="V91" s="227">
        <v>763</v>
      </c>
      <c r="W91" s="227">
        <v>0.18482905982905981</v>
      </c>
      <c r="X91" s="227">
        <v>0.81517094017094016</v>
      </c>
      <c r="Y91" s="100" t="s">
        <v>126</v>
      </c>
      <c r="Z91" s="29">
        <v>1</v>
      </c>
      <c r="AA91" s="9">
        <v>1</v>
      </c>
      <c r="AB91" s="9">
        <v>1</v>
      </c>
      <c r="AC91" s="9">
        <v>2</v>
      </c>
      <c r="AD91" s="43">
        <v>2</v>
      </c>
      <c r="AE91" s="55">
        <v>0.35859414261160716</v>
      </c>
      <c r="AF91" s="52" t="s">
        <v>111</v>
      </c>
    </row>
    <row r="92" spans="1:32">
      <c r="A92" s="227">
        <v>2001</v>
      </c>
      <c r="B92" s="227">
        <v>337</v>
      </c>
      <c r="C92" s="227" t="s">
        <v>96</v>
      </c>
      <c r="D92" s="227">
        <v>54</v>
      </c>
      <c r="E92" s="227">
        <v>162</v>
      </c>
      <c r="F92" s="227">
        <v>229</v>
      </c>
      <c r="G92" s="227">
        <v>0.41432225063938621</v>
      </c>
      <c r="H92" s="227">
        <v>0.58567774936061379</v>
      </c>
      <c r="I92" s="312" t="s">
        <v>110</v>
      </c>
      <c r="J92" s="29">
        <v>1</v>
      </c>
      <c r="K92" s="9">
        <v>1</v>
      </c>
      <c r="L92" s="9">
        <v>1</v>
      </c>
      <c r="M92" s="9">
        <v>2</v>
      </c>
      <c r="N92" s="43">
        <v>2</v>
      </c>
      <c r="O92" s="265">
        <f t="shared" si="2"/>
        <v>0.35859414261160716</v>
      </c>
      <c r="P92" s="164" t="s">
        <v>111</v>
      </c>
      <c r="Q92" s="227">
        <v>2009</v>
      </c>
      <c r="R92" s="227">
        <v>1344</v>
      </c>
      <c r="S92" s="227" t="s">
        <v>96</v>
      </c>
      <c r="T92" s="227">
        <v>91</v>
      </c>
      <c r="U92" s="227">
        <v>352</v>
      </c>
      <c r="V92" s="227">
        <v>1083</v>
      </c>
      <c r="W92" s="227">
        <v>0.24529616724738679</v>
      </c>
      <c r="X92" s="227">
        <v>0.75470383275261321</v>
      </c>
      <c r="Y92" s="100" t="s">
        <v>126</v>
      </c>
      <c r="Z92" s="29">
        <v>1</v>
      </c>
      <c r="AA92" s="9">
        <v>1</v>
      </c>
      <c r="AB92" s="9">
        <v>1</v>
      </c>
      <c r="AC92" s="9">
        <v>2</v>
      </c>
      <c r="AD92" s="43">
        <v>2</v>
      </c>
      <c r="AE92" s="55">
        <v>0.35859414261160716</v>
      </c>
      <c r="AF92" s="52" t="s">
        <v>111</v>
      </c>
    </row>
    <row r="93" spans="1:32">
      <c r="A93" s="227">
        <v>2001</v>
      </c>
      <c r="B93" s="227">
        <v>233</v>
      </c>
      <c r="C93" s="227" t="s">
        <v>97</v>
      </c>
      <c r="D93" s="227">
        <v>102</v>
      </c>
      <c r="E93" s="227">
        <v>180</v>
      </c>
      <c r="F93" s="227">
        <v>155</v>
      </c>
      <c r="G93" s="227">
        <v>0.53731343283582089</v>
      </c>
      <c r="H93" s="227">
        <v>0.46268656716417911</v>
      </c>
      <c r="I93" s="312" t="s">
        <v>110</v>
      </c>
      <c r="J93" s="29">
        <v>1</v>
      </c>
      <c r="K93" s="9">
        <v>1</v>
      </c>
      <c r="L93" s="9">
        <v>1</v>
      </c>
      <c r="M93" s="9">
        <v>2</v>
      </c>
      <c r="N93" s="43">
        <v>2</v>
      </c>
      <c r="O93" s="265">
        <f t="shared" si="2"/>
        <v>0.35859414261160716</v>
      </c>
      <c r="P93" s="164" t="s">
        <v>111</v>
      </c>
      <c r="Q93" s="227">
        <v>2009</v>
      </c>
      <c r="R93" s="227">
        <v>3427</v>
      </c>
      <c r="S93" s="227" t="s">
        <v>97</v>
      </c>
      <c r="T93" s="227">
        <v>464</v>
      </c>
      <c r="U93" s="227">
        <v>734</v>
      </c>
      <c r="V93" s="227">
        <v>3157</v>
      </c>
      <c r="W93" s="227">
        <v>0.1886404523258802</v>
      </c>
      <c r="X93" s="227">
        <v>0.81135954767411977</v>
      </c>
      <c r="Y93" s="100" t="s">
        <v>126</v>
      </c>
      <c r="Z93" s="29">
        <v>1</v>
      </c>
      <c r="AA93" s="9">
        <v>1</v>
      </c>
      <c r="AB93" s="9">
        <v>1</v>
      </c>
      <c r="AC93" s="9">
        <v>2</v>
      </c>
      <c r="AD93" s="43">
        <v>2</v>
      </c>
      <c r="AE93" s="55">
        <v>0.35859414261160716</v>
      </c>
      <c r="AF93" s="52" t="s">
        <v>111</v>
      </c>
    </row>
    <row r="94" spans="1:32">
      <c r="A94" s="227">
        <v>2001</v>
      </c>
      <c r="B94" s="227">
        <v>200</v>
      </c>
      <c r="C94" s="227" t="s">
        <v>95</v>
      </c>
      <c r="D94" s="227">
        <v>43</v>
      </c>
      <c r="E94" s="227">
        <v>176</v>
      </c>
      <c r="F94" s="227">
        <v>67</v>
      </c>
      <c r="G94" s="227">
        <v>0.72427983539094654</v>
      </c>
      <c r="H94" s="227">
        <v>0.27572016460905352</v>
      </c>
      <c r="I94" s="312" t="s">
        <v>110</v>
      </c>
      <c r="J94" s="29">
        <v>1</v>
      </c>
      <c r="K94" s="9">
        <v>1</v>
      </c>
      <c r="L94" s="9">
        <v>1</v>
      </c>
      <c r="M94" s="9">
        <v>2</v>
      </c>
      <c r="N94" s="43">
        <v>2</v>
      </c>
      <c r="O94" s="265">
        <f t="shared" si="2"/>
        <v>0.35859414261160716</v>
      </c>
      <c r="P94" s="164" t="s">
        <v>111</v>
      </c>
      <c r="Q94" s="227">
        <v>2009</v>
      </c>
      <c r="R94" s="227">
        <v>2127</v>
      </c>
      <c r="S94" s="227" t="s">
        <v>95</v>
      </c>
      <c r="T94" s="227">
        <v>325</v>
      </c>
      <c r="U94" s="227">
        <v>535</v>
      </c>
      <c r="V94" s="227">
        <v>1917</v>
      </c>
      <c r="W94" s="227">
        <v>0.21818923327895601</v>
      </c>
      <c r="X94" s="227">
        <v>0.7818107667210441</v>
      </c>
      <c r="Y94" s="100" t="s">
        <v>126</v>
      </c>
      <c r="Z94" s="29">
        <v>1</v>
      </c>
      <c r="AA94" s="9">
        <v>1</v>
      </c>
      <c r="AB94" s="9">
        <v>1</v>
      </c>
      <c r="AC94" s="9">
        <v>2</v>
      </c>
      <c r="AD94" s="43">
        <v>2</v>
      </c>
      <c r="AE94" s="55">
        <v>0.35859414261160716</v>
      </c>
      <c r="AF94" s="52" t="s">
        <v>111</v>
      </c>
    </row>
    <row r="95" spans="1:32">
      <c r="A95" s="227">
        <v>2001</v>
      </c>
      <c r="B95" s="227">
        <v>98</v>
      </c>
      <c r="C95" s="227" t="s">
        <v>93</v>
      </c>
      <c r="D95" s="227">
        <v>23</v>
      </c>
      <c r="E95" s="227">
        <v>38</v>
      </c>
      <c r="F95" s="227">
        <v>83</v>
      </c>
      <c r="G95" s="227">
        <v>0.31404958677685951</v>
      </c>
      <c r="H95" s="227">
        <v>0.68595041322314043</v>
      </c>
      <c r="I95" s="312" t="s">
        <v>110</v>
      </c>
      <c r="J95" s="29">
        <v>1</v>
      </c>
      <c r="K95" s="9">
        <v>1</v>
      </c>
      <c r="L95" s="9">
        <v>1</v>
      </c>
      <c r="M95" s="9">
        <v>2</v>
      </c>
      <c r="N95" s="43">
        <v>2</v>
      </c>
      <c r="O95" s="265">
        <f t="shared" si="2"/>
        <v>0.35859414261160716</v>
      </c>
      <c r="P95" s="164" t="s">
        <v>111</v>
      </c>
      <c r="Q95" s="227">
        <v>2009</v>
      </c>
      <c r="R95" s="227">
        <v>2344</v>
      </c>
      <c r="S95" s="227" t="s">
        <v>93</v>
      </c>
      <c r="T95" s="227">
        <v>82</v>
      </c>
      <c r="U95" s="227">
        <v>345</v>
      </c>
      <c r="V95" s="227">
        <v>2081</v>
      </c>
      <c r="W95" s="227">
        <v>0.14220939818631489</v>
      </c>
      <c r="X95" s="227">
        <v>0.85779060181368505</v>
      </c>
      <c r="Y95" s="100" t="s">
        <v>126</v>
      </c>
      <c r="Z95" s="29">
        <v>1</v>
      </c>
      <c r="AA95" s="9">
        <v>1</v>
      </c>
      <c r="AB95" s="9">
        <v>1</v>
      </c>
      <c r="AC95" s="9">
        <v>2</v>
      </c>
      <c r="AD95" s="43">
        <v>2</v>
      </c>
      <c r="AE95" s="55">
        <v>0.35859414261160716</v>
      </c>
      <c r="AF95" s="52" t="s">
        <v>111</v>
      </c>
    </row>
    <row r="96" spans="1:32">
      <c r="A96" s="227">
        <v>2001</v>
      </c>
      <c r="B96" s="227">
        <v>1473</v>
      </c>
      <c r="C96" s="227" t="s">
        <v>98</v>
      </c>
      <c r="D96" s="227">
        <v>600</v>
      </c>
      <c r="E96" s="227">
        <v>2073</v>
      </c>
      <c r="F96" s="227">
        <v>0</v>
      </c>
      <c r="G96" s="227">
        <v>1</v>
      </c>
      <c r="H96" s="227">
        <v>0</v>
      </c>
      <c r="I96" s="312" t="s">
        <v>110</v>
      </c>
      <c r="J96" s="29">
        <v>1</v>
      </c>
      <c r="K96" s="9">
        <v>1</v>
      </c>
      <c r="L96" s="9">
        <v>1</v>
      </c>
      <c r="M96" s="9">
        <v>2</v>
      </c>
      <c r="N96" s="43">
        <v>2</v>
      </c>
      <c r="O96" s="265">
        <f t="shared" si="2"/>
        <v>0.35859414261160716</v>
      </c>
      <c r="P96" s="164" t="s">
        <v>111</v>
      </c>
      <c r="Q96" s="227">
        <v>2009</v>
      </c>
      <c r="R96" s="227">
        <v>15165</v>
      </c>
      <c r="S96" s="227" t="s">
        <v>98</v>
      </c>
      <c r="T96" s="227">
        <v>3768</v>
      </c>
      <c r="U96" s="227">
        <v>4126</v>
      </c>
      <c r="V96" s="227">
        <v>14807</v>
      </c>
      <c r="W96" s="227">
        <v>0.217926371943168</v>
      </c>
      <c r="X96" s="227">
        <v>0.782073628056832</v>
      </c>
      <c r="Y96" s="100" t="s">
        <v>126</v>
      </c>
      <c r="Z96" s="29">
        <v>1</v>
      </c>
      <c r="AA96" s="9">
        <v>1</v>
      </c>
      <c r="AB96" s="9">
        <v>1</v>
      </c>
      <c r="AC96" s="9">
        <v>2</v>
      </c>
      <c r="AD96" s="43">
        <v>2</v>
      </c>
      <c r="AE96" s="55">
        <v>0.35859414261160716</v>
      </c>
      <c r="AF96" s="52" t="s">
        <v>111</v>
      </c>
    </row>
    <row r="97" spans="1:32">
      <c r="A97" s="227">
        <v>2002</v>
      </c>
      <c r="B97" s="227">
        <v>1435</v>
      </c>
      <c r="C97" s="227" t="s">
        <v>85</v>
      </c>
      <c r="D97" s="227">
        <v>494</v>
      </c>
      <c r="E97" s="227">
        <v>1580</v>
      </c>
      <c r="F97" s="227">
        <v>349</v>
      </c>
      <c r="G97" s="227">
        <v>0.8190772420943494</v>
      </c>
      <c r="H97" s="227">
        <v>0.1809227579056506</v>
      </c>
      <c r="I97" s="312" t="s">
        <v>110</v>
      </c>
      <c r="J97" s="29">
        <v>1</v>
      </c>
      <c r="K97" s="9">
        <v>1</v>
      </c>
      <c r="L97" s="9">
        <v>1</v>
      </c>
      <c r="M97" s="9">
        <v>2</v>
      </c>
      <c r="N97" s="43">
        <v>2</v>
      </c>
      <c r="O97" s="265">
        <f t="shared" si="2"/>
        <v>0.35859414261160716</v>
      </c>
      <c r="P97" s="164" t="s">
        <v>111</v>
      </c>
      <c r="Q97" s="227">
        <v>2010</v>
      </c>
      <c r="R97" s="227">
        <v>12078</v>
      </c>
      <c r="S97" s="227" t="s">
        <v>85</v>
      </c>
      <c r="T97" s="227">
        <v>2773</v>
      </c>
      <c r="U97" s="227">
        <v>3048</v>
      </c>
      <c r="V97" s="227">
        <v>11803</v>
      </c>
      <c r="W97" s="227">
        <v>0.20523870446434581</v>
      </c>
      <c r="X97" s="227">
        <v>0.79476129553565422</v>
      </c>
      <c r="Y97" s="100" t="s">
        <v>126</v>
      </c>
      <c r="Z97" s="29">
        <v>1</v>
      </c>
      <c r="AA97" s="9">
        <v>1</v>
      </c>
      <c r="AB97" s="9">
        <v>1</v>
      </c>
      <c r="AC97" s="9">
        <v>2</v>
      </c>
      <c r="AD97" s="43">
        <v>2</v>
      </c>
      <c r="AE97" s="55">
        <v>0.35859414261160716</v>
      </c>
      <c r="AF97" s="52" t="s">
        <v>111</v>
      </c>
    </row>
    <row r="98" spans="1:32">
      <c r="A98" s="227">
        <v>2002</v>
      </c>
      <c r="B98" s="227">
        <v>290</v>
      </c>
      <c r="C98" s="227" t="s">
        <v>86</v>
      </c>
      <c r="D98" s="227">
        <v>146</v>
      </c>
      <c r="E98" s="227">
        <v>322</v>
      </c>
      <c r="F98" s="227">
        <v>114</v>
      </c>
      <c r="G98" s="227">
        <v>0.73853211009174313</v>
      </c>
      <c r="H98" s="227">
        <v>0.26146788990825692</v>
      </c>
      <c r="I98" s="312" t="s">
        <v>110</v>
      </c>
      <c r="J98" s="29">
        <v>1</v>
      </c>
      <c r="K98" s="9">
        <v>1</v>
      </c>
      <c r="L98" s="9">
        <v>1</v>
      </c>
      <c r="M98" s="9">
        <v>2</v>
      </c>
      <c r="N98" s="43">
        <v>2</v>
      </c>
      <c r="O98" s="265">
        <f t="shared" si="2"/>
        <v>0.35859414261160716</v>
      </c>
      <c r="P98" s="164" t="s">
        <v>111</v>
      </c>
      <c r="Q98" s="227">
        <v>2010</v>
      </c>
      <c r="R98" s="227">
        <v>5687</v>
      </c>
      <c r="S98" s="227" t="s">
        <v>86</v>
      </c>
      <c r="T98" s="227">
        <v>1804</v>
      </c>
      <c r="U98" s="227">
        <v>1572</v>
      </c>
      <c r="V98" s="227">
        <v>5919</v>
      </c>
      <c r="W98" s="227">
        <v>0.20985182218662399</v>
      </c>
      <c r="X98" s="227">
        <v>0.7901481778133761</v>
      </c>
      <c r="Y98" s="100" t="s">
        <v>126</v>
      </c>
      <c r="Z98" s="29">
        <v>1</v>
      </c>
      <c r="AA98" s="9">
        <v>1</v>
      </c>
      <c r="AB98" s="9">
        <v>1</v>
      </c>
      <c r="AC98" s="9">
        <v>2</v>
      </c>
      <c r="AD98" s="43">
        <v>2</v>
      </c>
      <c r="AE98" s="55">
        <v>0.35859414261160716</v>
      </c>
      <c r="AF98" s="52" t="s">
        <v>111</v>
      </c>
    </row>
    <row r="99" spans="1:32">
      <c r="A99" s="227">
        <v>2002</v>
      </c>
      <c r="B99" s="227">
        <v>852</v>
      </c>
      <c r="C99" s="227" t="s">
        <v>87</v>
      </c>
      <c r="D99" s="227">
        <v>243</v>
      </c>
      <c r="E99" s="227">
        <v>470</v>
      </c>
      <c r="F99" s="227">
        <v>625</v>
      </c>
      <c r="G99" s="227">
        <v>0.42922374429223742</v>
      </c>
      <c r="H99" s="227">
        <v>0.57077625570776258</v>
      </c>
      <c r="I99" s="312" t="s">
        <v>110</v>
      </c>
      <c r="J99" s="29">
        <v>1</v>
      </c>
      <c r="K99" s="9">
        <v>1</v>
      </c>
      <c r="L99" s="9">
        <v>1</v>
      </c>
      <c r="M99" s="9">
        <v>2</v>
      </c>
      <c r="N99" s="43">
        <v>2</v>
      </c>
      <c r="O99" s="265">
        <f t="shared" si="2"/>
        <v>0.35859414261160716</v>
      </c>
      <c r="P99" s="164" t="s">
        <v>111</v>
      </c>
      <c r="Q99" s="227">
        <v>2010</v>
      </c>
      <c r="R99" s="227">
        <v>9333</v>
      </c>
      <c r="S99" s="227" t="s">
        <v>87</v>
      </c>
      <c r="T99" s="227">
        <v>1342</v>
      </c>
      <c r="U99" s="227">
        <v>976</v>
      </c>
      <c r="V99" s="227">
        <v>9699</v>
      </c>
      <c r="W99" s="227">
        <v>9.1428571428571428E-2</v>
      </c>
      <c r="X99" s="227">
        <v>0.90857142857142859</v>
      </c>
      <c r="Y99" s="100" t="s">
        <v>126</v>
      </c>
      <c r="Z99" s="29">
        <v>1</v>
      </c>
      <c r="AA99" s="9">
        <v>1</v>
      </c>
      <c r="AB99" s="9">
        <v>1</v>
      </c>
      <c r="AC99" s="9">
        <v>2</v>
      </c>
      <c r="AD99" s="43">
        <v>2</v>
      </c>
      <c r="AE99" s="55">
        <v>0.35859414261160716</v>
      </c>
      <c r="AF99" s="52" t="s">
        <v>111</v>
      </c>
    </row>
    <row r="100" spans="1:32">
      <c r="A100" s="227">
        <v>2002</v>
      </c>
      <c r="B100" s="227">
        <v>19</v>
      </c>
      <c r="C100" s="227" t="s">
        <v>88</v>
      </c>
      <c r="D100" s="227">
        <v>73</v>
      </c>
      <c r="E100" s="227">
        <v>92</v>
      </c>
      <c r="F100" s="227">
        <v>0</v>
      </c>
      <c r="G100" s="227">
        <v>1</v>
      </c>
      <c r="H100" s="227">
        <v>0</v>
      </c>
      <c r="I100" s="312" t="s">
        <v>110</v>
      </c>
      <c r="J100" s="29">
        <v>1</v>
      </c>
      <c r="K100" s="9">
        <v>1</v>
      </c>
      <c r="L100" s="9">
        <v>1</v>
      </c>
      <c r="M100" s="9">
        <v>2</v>
      </c>
      <c r="N100" s="43">
        <v>2</v>
      </c>
      <c r="O100" s="265">
        <f t="shared" si="2"/>
        <v>0.35859414261160716</v>
      </c>
      <c r="P100" s="164" t="s">
        <v>111</v>
      </c>
      <c r="Q100" s="227">
        <v>2010</v>
      </c>
      <c r="R100" s="227">
        <v>1567</v>
      </c>
      <c r="S100" s="227" t="s">
        <v>88</v>
      </c>
      <c r="T100" s="227">
        <v>93</v>
      </c>
      <c r="U100" s="227">
        <v>321</v>
      </c>
      <c r="V100" s="227">
        <v>1339</v>
      </c>
      <c r="W100" s="227">
        <v>0.19337349397590359</v>
      </c>
      <c r="X100" s="227">
        <v>0.80662650602409636</v>
      </c>
      <c r="Y100" s="100" t="s">
        <v>126</v>
      </c>
      <c r="Z100" s="29">
        <v>1</v>
      </c>
      <c r="AA100" s="9">
        <v>1</v>
      </c>
      <c r="AB100" s="9">
        <v>1</v>
      </c>
      <c r="AC100" s="9">
        <v>2</v>
      </c>
      <c r="AD100" s="43">
        <v>2</v>
      </c>
      <c r="AE100" s="55">
        <v>0.35859414261160716</v>
      </c>
      <c r="AF100" s="52" t="s">
        <v>111</v>
      </c>
    </row>
    <row r="101" spans="1:32">
      <c r="A101" s="227">
        <v>2002</v>
      </c>
      <c r="B101" s="227">
        <v>191</v>
      </c>
      <c r="C101" s="227" t="s">
        <v>89</v>
      </c>
      <c r="D101" s="227">
        <v>30</v>
      </c>
      <c r="E101" s="227">
        <v>131</v>
      </c>
      <c r="F101" s="227">
        <v>90</v>
      </c>
      <c r="G101" s="227">
        <v>0.59276018099547512</v>
      </c>
      <c r="H101" s="227">
        <v>0.40723981900452488</v>
      </c>
      <c r="I101" s="312" t="s">
        <v>110</v>
      </c>
      <c r="J101" s="29">
        <v>1</v>
      </c>
      <c r="K101" s="9">
        <v>1</v>
      </c>
      <c r="L101" s="9">
        <v>1</v>
      </c>
      <c r="M101" s="9">
        <v>2</v>
      </c>
      <c r="N101" s="43">
        <v>2</v>
      </c>
      <c r="O101" s="265">
        <f t="shared" si="2"/>
        <v>0.35859414261160716</v>
      </c>
      <c r="P101" s="164" t="s">
        <v>111</v>
      </c>
      <c r="Q101" s="227">
        <v>2010</v>
      </c>
      <c r="R101" s="227">
        <v>1634</v>
      </c>
      <c r="S101" s="227" t="s">
        <v>89</v>
      </c>
      <c r="T101" s="227">
        <v>112</v>
      </c>
      <c r="U101" s="227">
        <v>126</v>
      </c>
      <c r="V101" s="227">
        <v>1620</v>
      </c>
      <c r="W101" s="227">
        <v>7.2164948453608241E-2</v>
      </c>
      <c r="X101" s="227">
        <v>0.92783505154639179</v>
      </c>
      <c r="Y101" s="100" t="s">
        <v>126</v>
      </c>
      <c r="Z101" s="29">
        <v>1</v>
      </c>
      <c r="AA101" s="9">
        <v>1</v>
      </c>
      <c r="AB101" s="9">
        <v>1</v>
      </c>
      <c r="AC101" s="9">
        <v>2</v>
      </c>
      <c r="AD101" s="43">
        <v>2</v>
      </c>
      <c r="AE101" s="55">
        <v>0.35859414261160716</v>
      </c>
      <c r="AF101" s="52" t="s">
        <v>111</v>
      </c>
    </row>
    <row r="102" spans="1:32">
      <c r="A102" s="227">
        <v>2002</v>
      </c>
      <c r="B102" s="227">
        <v>610</v>
      </c>
      <c r="C102" s="227" t="s">
        <v>90</v>
      </c>
      <c r="D102" s="227">
        <v>197</v>
      </c>
      <c r="E102" s="227">
        <v>474</v>
      </c>
      <c r="F102" s="227">
        <v>333</v>
      </c>
      <c r="G102" s="227">
        <v>0.58736059479553904</v>
      </c>
      <c r="H102" s="227">
        <v>0.41263940520446102</v>
      </c>
      <c r="I102" s="312" t="s">
        <v>110</v>
      </c>
      <c r="J102" s="29">
        <v>1</v>
      </c>
      <c r="K102" s="9">
        <v>1</v>
      </c>
      <c r="L102" s="9">
        <v>1</v>
      </c>
      <c r="M102" s="9">
        <v>2</v>
      </c>
      <c r="N102" s="43">
        <v>2</v>
      </c>
      <c r="O102" s="265">
        <f t="shared" si="2"/>
        <v>0.35859414261160716</v>
      </c>
      <c r="P102" s="164" t="s">
        <v>111</v>
      </c>
      <c r="Q102" s="227">
        <v>2010</v>
      </c>
      <c r="R102" s="227">
        <v>5949</v>
      </c>
      <c r="S102" s="227" t="s">
        <v>90</v>
      </c>
      <c r="T102" s="227">
        <v>444</v>
      </c>
      <c r="U102" s="227">
        <v>1461</v>
      </c>
      <c r="V102" s="227">
        <v>4932</v>
      </c>
      <c r="W102" s="227">
        <v>0.2285312060065697</v>
      </c>
      <c r="X102" s="227">
        <v>0.77146879399343038</v>
      </c>
      <c r="Y102" s="100" t="s">
        <v>126</v>
      </c>
      <c r="Z102" s="29">
        <v>1</v>
      </c>
      <c r="AA102" s="9">
        <v>1</v>
      </c>
      <c r="AB102" s="9">
        <v>1</v>
      </c>
      <c r="AC102" s="9">
        <v>2</v>
      </c>
      <c r="AD102" s="43">
        <v>2</v>
      </c>
      <c r="AE102" s="55">
        <v>0.35859414261160716</v>
      </c>
      <c r="AF102" s="52" t="s">
        <v>111</v>
      </c>
    </row>
    <row r="103" spans="1:32">
      <c r="A103" s="227">
        <v>2002</v>
      </c>
      <c r="B103" s="227">
        <v>144</v>
      </c>
      <c r="C103" s="227" t="s">
        <v>91</v>
      </c>
      <c r="D103" s="227">
        <v>118</v>
      </c>
      <c r="E103" s="227">
        <v>262</v>
      </c>
      <c r="F103" s="227">
        <v>0</v>
      </c>
      <c r="G103" s="227">
        <v>1</v>
      </c>
      <c r="H103" s="227">
        <v>0</v>
      </c>
      <c r="I103" s="312" t="s">
        <v>110</v>
      </c>
      <c r="J103" s="29">
        <v>1</v>
      </c>
      <c r="K103" s="9">
        <v>1</v>
      </c>
      <c r="L103" s="9">
        <v>1</v>
      </c>
      <c r="M103" s="9">
        <v>2</v>
      </c>
      <c r="N103" s="43">
        <v>2</v>
      </c>
      <c r="O103" s="265">
        <f t="shared" si="2"/>
        <v>0.35859414261160716</v>
      </c>
      <c r="P103" s="164" t="s">
        <v>111</v>
      </c>
      <c r="Q103" s="227">
        <v>2010</v>
      </c>
      <c r="R103" s="227">
        <v>3001</v>
      </c>
      <c r="S103" s="227" t="s">
        <v>91</v>
      </c>
      <c r="T103" s="227">
        <v>1193</v>
      </c>
      <c r="U103" s="227">
        <v>382</v>
      </c>
      <c r="V103" s="227">
        <v>3812</v>
      </c>
      <c r="W103" s="227">
        <v>9.1082498807820697E-2</v>
      </c>
      <c r="X103" s="227">
        <v>0.90891750119217929</v>
      </c>
      <c r="Y103" s="100" t="s">
        <v>126</v>
      </c>
      <c r="Z103" s="29">
        <v>1</v>
      </c>
      <c r="AA103" s="9">
        <v>1</v>
      </c>
      <c r="AB103" s="9">
        <v>1</v>
      </c>
      <c r="AC103" s="9">
        <v>2</v>
      </c>
      <c r="AD103" s="43">
        <v>2</v>
      </c>
      <c r="AE103" s="55">
        <v>0.35859414261160716</v>
      </c>
      <c r="AF103" s="52" t="s">
        <v>111</v>
      </c>
    </row>
    <row r="104" spans="1:32">
      <c r="A104" s="227">
        <v>2002</v>
      </c>
      <c r="B104" s="227">
        <v>68</v>
      </c>
      <c r="C104" s="227" t="s">
        <v>94</v>
      </c>
      <c r="D104" s="227">
        <v>30</v>
      </c>
      <c r="E104" s="227">
        <v>98</v>
      </c>
      <c r="F104" s="227">
        <v>0</v>
      </c>
      <c r="G104" s="227">
        <v>1</v>
      </c>
      <c r="H104" s="227">
        <v>0</v>
      </c>
      <c r="I104" s="312" t="s">
        <v>110</v>
      </c>
      <c r="J104" s="29">
        <v>1</v>
      </c>
      <c r="K104" s="9">
        <v>1</v>
      </c>
      <c r="L104" s="9">
        <v>1</v>
      </c>
      <c r="M104" s="9">
        <v>2</v>
      </c>
      <c r="N104" s="43">
        <v>2</v>
      </c>
      <c r="O104" s="265">
        <f t="shared" si="2"/>
        <v>0.35859414261160716</v>
      </c>
      <c r="P104" s="164" t="s">
        <v>111</v>
      </c>
      <c r="Q104" s="227">
        <v>2010</v>
      </c>
      <c r="R104" s="227">
        <v>691</v>
      </c>
      <c r="S104" s="227" t="s">
        <v>94</v>
      </c>
      <c r="T104" s="227">
        <v>182</v>
      </c>
      <c r="U104" s="227">
        <v>197</v>
      </c>
      <c r="V104" s="227">
        <v>676</v>
      </c>
      <c r="W104" s="227">
        <v>0.22565864833906071</v>
      </c>
      <c r="X104" s="227">
        <v>0.77434135166093931</v>
      </c>
      <c r="Y104" s="100" t="s">
        <v>126</v>
      </c>
      <c r="Z104" s="29">
        <v>1</v>
      </c>
      <c r="AA104" s="9">
        <v>1</v>
      </c>
      <c r="AB104" s="9">
        <v>1</v>
      </c>
      <c r="AC104" s="9">
        <v>2</v>
      </c>
      <c r="AD104" s="43">
        <v>2</v>
      </c>
      <c r="AE104" s="55">
        <v>0.35859414261160716</v>
      </c>
      <c r="AF104" s="52" t="s">
        <v>111</v>
      </c>
    </row>
    <row r="105" spans="1:32">
      <c r="A105" s="227">
        <v>2002</v>
      </c>
      <c r="B105" s="227">
        <v>337</v>
      </c>
      <c r="C105" s="227" t="s">
        <v>96</v>
      </c>
      <c r="D105" s="227">
        <v>62</v>
      </c>
      <c r="E105" s="227">
        <v>211</v>
      </c>
      <c r="F105" s="227">
        <v>188</v>
      </c>
      <c r="G105" s="227">
        <v>0.52882205513784464</v>
      </c>
      <c r="H105" s="227">
        <v>0.47117794486215542</v>
      </c>
      <c r="I105" s="312" t="s">
        <v>110</v>
      </c>
      <c r="J105" s="29">
        <v>1</v>
      </c>
      <c r="K105" s="9">
        <v>1</v>
      </c>
      <c r="L105" s="9">
        <v>1</v>
      </c>
      <c r="M105" s="9">
        <v>2</v>
      </c>
      <c r="N105" s="43">
        <v>2</v>
      </c>
      <c r="O105" s="265">
        <f t="shared" si="2"/>
        <v>0.35859414261160716</v>
      </c>
      <c r="P105" s="164" t="s">
        <v>111</v>
      </c>
      <c r="Q105" s="227">
        <v>2010</v>
      </c>
      <c r="R105" s="227">
        <v>1317</v>
      </c>
      <c r="S105" s="227" t="s">
        <v>96</v>
      </c>
      <c r="T105" s="227">
        <v>102</v>
      </c>
      <c r="U105" s="227">
        <v>335</v>
      </c>
      <c r="V105" s="227">
        <v>1084</v>
      </c>
      <c r="W105" s="227">
        <v>0.2360817477096547</v>
      </c>
      <c r="X105" s="227">
        <v>0.76391825229034538</v>
      </c>
      <c r="Y105" s="100" t="s">
        <v>126</v>
      </c>
      <c r="Z105" s="29">
        <v>1</v>
      </c>
      <c r="AA105" s="9">
        <v>1</v>
      </c>
      <c r="AB105" s="9">
        <v>1</v>
      </c>
      <c r="AC105" s="9">
        <v>2</v>
      </c>
      <c r="AD105" s="43">
        <v>2</v>
      </c>
      <c r="AE105" s="55">
        <v>0.35859414261160716</v>
      </c>
      <c r="AF105" s="52" t="s">
        <v>111</v>
      </c>
    </row>
    <row r="106" spans="1:32">
      <c r="A106" s="227">
        <v>2002</v>
      </c>
      <c r="B106" s="227">
        <v>233</v>
      </c>
      <c r="C106" s="227" t="s">
        <v>97</v>
      </c>
      <c r="D106" s="227">
        <v>179</v>
      </c>
      <c r="E106" s="227">
        <v>200</v>
      </c>
      <c r="F106" s="227">
        <v>212</v>
      </c>
      <c r="G106" s="227">
        <v>0.4854368932038835</v>
      </c>
      <c r="H106" s="227">
        <v>0.5145631067961165</v>
      </c>
      <c r="I106" s="312" t="s">
        <v>110</v>
      </c>
      <c r="J106" s="29">
        <v>1</v>
      </c>
      <c r="K106" s="9">
        <v>1</v>
      </c>
      <c r="L106" s="9">
        <v>1</v>
      </c>
      <c r="M106" s="9">
        <v>2</v>
      </c>
      <c r="N106" s="43">
        <v>2</v>
      </c>
      <c r="O106" s="265">
        <f t="shared" si="2"/>
        <v>0.35859414261160716</v>
      </c>
      <c r="P106" s="164" t="s">
        <v>111</v>
      </c>
      <c r="Q106" s="227">
        <v>2010</v>
      </c>
      <c r="R106" s="227">
        <v>3357</v>
      </c>
      <c r="S106" s="227" t="s">
        <v>97</v>
      </c>
      <c r="T106" s="227">
        <v>525</v>
      </c>
      <c r="U106" s="227">
        <v>916</v>
      </c>
      <c r="V106" s="227">
        <v>2966</v>
      </c>
      <c r="W106" s="227">
        <v>0.2359608449252962</v>
      </c>
      <c r="X106" s="227">
        <v>0.76403915507470377</v>
      </c>
      <c r="Y106" s="100" t="s">
        <v>126</v>
      </c>
      <c r="Z106" s="29">
        <v>1</v>
      </c>
      <c r="AA106" s="9">
        <v>1</v>
      </c>
      <c r="AB106" s="9">
        <v>1</v>
      </c>
      <c r="AC106" s="9">
        <v>2</v>
      </c>
      <c r="AD106" s="43">
        <v>2</v>
      </c>
      <c r="AE106" s="55">
        <v>0.35859414261160716</v>
      </c>
      <c r="AF106" s="52" t="s">
        <v>111</v>
      </c>
    </row>
    <row r="107" spans="1:32">
      <c r="A107" s="227">
        <v>2002</v>
      </c>
      <c r="B107" s="227">
        <v>200</v>
      </c>
      <c r="C107" s="227" t="s">
        <v>95</v>
      </c>
      <c r="D107" s="227">
        <v>44</v>
      </c>
      <c r="E107" s="227">
        <v>187</v>
      </c>
      <c r="F107" s="227">
        <v>57</v>
      </c>
      <c r="G107" s="227">
        <v>0.76639344262295084</v>
      </c>
      <c r="H107" s="227">
        <v>0.23360655737704919</v>
      </c>
      <c r="I107" s="312" t="s">
        <v>110</v>
      </c>
      <c r="J107" s="29">
        <v>1</v>
      </c>
      <c r="K107" s="9">
        <v>1</v>
      </c>
      <c r="L107" s="9">
        <v>1</v>
      </c>
      <c r="M107" s="9">
        <v>2</v>
      </c>
      <c r="N107" s="43">
        <v>2</v>
      </c>
      <c r="O107" s="265">
        <f t="shared" si="2"/>
        <v>0.35859414261160716</v>
      </c>
      <c r="P107" s="164" t="s">
        <v>111</v>
      </c>
      <c r="Q107" s="227">
        <v>2010</v>
      </c>
      <c r="R107" s="227">
        <v>2566</v>
      </c>
      <c r="S107" s="227" t="s">
        <v>95</v>
      </c>
      <c r="T107" s="227">
        <v>286</v>
      </c>
      <c r="U107" s="227">
        <v>639</v>
      </c>
      <c r="V107" s="227">
        <v>2213</v>
      </c>
      <c r="W107" s="227">
        <v>0.22405329593267881</v>
      </c>
      <c r="X107" s="227">
        <v>0.77594670406732114</v>
      </c>
      <c r="Y107" s="100" t="s">
        <v>126</v>
      </c>
      <c r="Z107" s="29">
        <v>1</v>
      </c>
      <c r="AA107" s="9">
        <v>1</v>
      </c>
      <c r="AB107" s="9">
        <v>1</v>
      </c>
      <c r="AC107" s="9">
        <v>2</v>
      </c>
      <c r="AD107" s="43">
        <v>2</v>
      </c>
      <c r="AE107" s="55">
        <v>0.35859414261160716</v>
      </c>
      <c r="AF107" s="52" t="s">
        <v>111</v>
      </c>
    </row>
    <row r="108" spans="1:32">
      <c r="A108" s="227">
        <v>2002</v>
      </c>
      <c r="B108" s="227">
        <v>98</v>
      </c>
      <c r="C108" s="227" t="s">
        <v>93</v>
      </c>
      <c r="D108" s="227">
        <v>20</v>
      </c>
      <c r="E108" s="227">
        <v>39</v>
      </c>
      <c r="F108" s="227">
        <v>79</v>
      </c>
      <c r="G108" s="227">
        <v>0.33050847457627119</v>
      </c>
      <c r="H108" s="227">
        <v>0.66949152542372881</v>
      </c>
      <c r="I108" s="312" t="s">
        <v>110</v>
      </c>
      <c r="J108" s="29">
        <v>1</v>
      </c>
      <c r="K108" s="9">
        <v>1</v>
      </c>
      <c r="L108" s="9">
        <v>1</v>
      </c>
      <c r="M108" s="9">
        <v>2</v>
      </c>
      <c r="N108" s="43">
        <v>2</v>
      </c>
      <c r="O108" s="265">
        <f t="shared" si="2"/>
        <v>0.35859414261160716</v>
      </c>
      <c r="P108" s="164" t="s">
        <v>111</v>
      </c>
      <c r="Q108" s="227">
        <v>2010</v>
      </c>
      <c r="R108" s="227">
        <v>2100</v>
      </c>
      <c r="S108" s="227" t="s">
        <v>93</v>
      </c>
      <c r="T108" s="227">
        <v>77</v>
      </c>
      <c r="U108" s="227">
        <v>424</v>
      </c>
      <c r="V108" s="227">
        <v>1753</v>
      </c>
      <c r="W108" s="227">
        <v>0.19476343592099221</v>
      </c>
      <c r="X108" s="227">
        <v>0.80523656407900779</v>
      </c>
      <c r="Y108" s="100" t="s">
        <v>126</v>
      </c>
      <c r="Z108" s="29">
        <v>1</v>
      </c>
      <c r="AA108" s="9">
        <v>1</v>
      </c>
      <c r="AB108" s="9">
        <v>1</v>
      </c>
      <c r="AC108" s="9">
        <v>2</v>
      </c>
      <c r="AD108" s="43">
        <v>2</v>
      </c>
      <c r="AE108" s="55">
        <v>0.35859414261160716</v>
      </c>
      <c r="AF108" s="52" t="s">
        <v>111</v>
      </c>
    </row>
    <row r="109" spans="1:32">
      <c r="A109" s="227">
        <v>2002</v>
      </c>
      <c r="B109" s="227">
        <v>1400</v>
      </c>
      <c r="C109" s="227" t="s">
        <v>98</v>
      </c>
      <c r="D109" s="227">
        <v>723</v>
      </c>
      <c r="E109" s="227">
        <v>2123</v>
      </c>
      <c r="F109" s="227">
        <v>0</v>
      </c>
      <c r="G109" s="227">
        <v>1</v>
      </c>
      <c r="H109" s="227">
        <v>0</v>
      </c>
      <c r="I109" s="312" t="s">
        <v>110</v>
      </c>
      <c r="J109" s="29">
        <v>1</v>
      </c>
      <c r="K109" s="9">
        <v>1</v>
      </c>
      <c r="L109" s="9">
        <v>1</v>
      </c>
      <c r="M109" s="9">
        <v>2</v>
      </c>
      <c r="N109" s="43">
        <v>2</v>
      </c>
      <c r="O109" s="265">
        <f t="shared" si="2"/>
        <v>0.35859414261160716</v>
      </c>
      <c r="P109" s="164" t="s">
        <v>111</v>
      </c>
      <c r="Q109" s="227">
        <v>2010</v>
      </c>
      <c r="R109" s="227">
        <v>14402</v>
      </c>
      <c r="S109" s="227" t="s">
        <v>98</v>
      </c>
      <c r="T109" s="227">
        <v>3675</v>
      </c>
      <c r="U109" s="227">
        <v>4621</v>
      </c>
      <c r="V109" s="227">
        <v>13456</v>
      </c>
      <c r="W109" s="227">
        <v>0.25562869945234268</v>
      </c>
      <c r="X109" s="227">
        <v>0.74437130054765732</v>
      </c>
      <c r="Y109" s="100" t="s">
        <v>126</v>
      </c>
      <c r="Z109" s="29">
        <v>1</v>
      </c>
      <c r="AA109" s="9">
        <v>1</v>
      </c>
      <c r="AB109" s="9">
        <v>1</v>
      </c>
      <c r="AC109" s="9">
        <v>2</v>
      </c>
      <c r="AD109" s="43">
        <v>2</v>
      </c>
      <c r="AE109" s="55">
        <v>0.35859414261160716</v>
      </c>
      <c r="AF109" s="52" t="s">
        <v>111</v>
      </c>
    </row>
    <row r="110" spans="1:32">
      <c r="A110" s="227">
        <v>2003</v>
      </c>
      <c r="B110" s="227">
        <v>1435</v>
      </c>
      <c r="C110" s="227" t="s">
        <v>85</v>
      </c>
      <c r="D110" s="227">
        <v>534</v>
      </c>
      <c r="E110" s="227">
        <v>1680</v>
      </c>
      <c r="F110" s="227">
        <v>289</v>
      </c>
      <c r="G110" s="227">
        <v>0.85322498730319962</v>
      </c>
      <c r="H110" s="227">
        <v>0.14677501269680041</v>
      </c>
      <c r="I110" s="312" t="s">
        <v>110</v>
      </c>
      <c r="J110" s="29">
        <v>1</v>
      </c>
      <c r="K110" s="9">
        <v>1</v>
      </c>
      <c r="L110" s="9">
        <v>1</v>
      </c>
      <c r="M110" s="9">
        <v>2</v>
      </c>
      <c r="N110" s="43">
        <v>2</v>
      </c>
      <c r="O110" s="265">
        <f t="shared" si="2"/>
        <v>0.35859414261160716</v>
      </c>
      <c r="P110" s="164" t="s">
        <v>111</v>
      </c>
      <c r="Q110" s="227">
        <v>2011</v>
      </c>
      <c r="R110" s="227">
        <v>12709</v>
      </c>
      <c r="S110" s="227" t="s">
        <v>85</v>
      </c>
      <c r="T110" s="227">
        <v>3130</v>
      </c>
      <c r="U110" s="227">
        <v>2773</v>
      </c>
      <c r="V110" s="227">
        <v>13066</v>
      </c>
      <c r="W110" s="227">
        <v>0.17507418397626109</v>
      </c>
      <c r="X110" s="227">
        <v>0.82492581602373893</v>
      </c>
      <c r="Y110" s="100" t="s">
        <v>126</v>
      </c>
      <c r="Z110" s="29">
        <v>1</v>
      </c>
      <c r="AA110" s="9">
        <v>1</v>
      </c>
      <c r="AB110" s="9">
        <v>1</v>
      </c>
      <c r="AC110" s="9">
        <v>2</v>
      </c>
      <c r="AD110" s="43">
        <v>2</v>
      </c>
      <c r="AE110" s="55">
        <v>0.35859414261160716</v>
      </c>
      <c r="AF110" s="52" t="s">
        <v>111</v>
      </c>
    </row>
    <row r="111" spans="1:32">
      <c r="A111" s="227">
        <v>2003</v>
      </c>
      <c r="B111" s="227">
        <v>290</v>
      </c>
      <c r="C111" s="227" t="s">
        <v>86</v>
      </c>
      <c r="D111" s="227">
        <v>157</v>
      </c>
      <c r="E111" s="227">
        <v>344</v>
      </c>
      <c r="F111" s="227">
        <v>103</v>
      </c>
      <c r="G111" s="227">
        <v>0.76957494407158833</v>
      </c>
      <c r="H111" s="227">
        <v>0.2304250559284117</v>
      </c>
      <c r="I111" s="312" t="s">
        <v>110</v>
      </c>
      <c r="J111" s="29">
        <v>1</v>
      </c>
      <c r="K111" s="9">
        <v>1</v>
      </c>
      <c r="L111" s="9">
        <v>1</v>
      </c>
      <c r="M111" s="9">
        <v>2</v>
      </c>
      <c r="N111" s="43">
        <v>2</v>
      </c>
      <c r="O111" s="265">
        <f t="shared" si="2"/>
        <v>0.35859414261160716</v>
      </c>
      <c r="P111" s="164" t="s">
        <v>111</v>
      </c>
      <c r="Q111" s="227">
        <v>2011</v>
      </c>
      <c r="R111" s="227">
        <v>5883</v>
      </c>
      <c r="S111" s="227" t="s">
        <v>86</v>
      </c>
      <c r="T111" s="227">
        <v>1771</v>
      </c>
      <c r="U111" s="227">
        <v>1337</v>
      </c>
      <c r="V111" s="227">
        <v>6317</v>
      </c>
      <c r="W111" s="227">
        <v>0.17467990593153909</v>
      </c>
      <c r="X111" s="227">
        <v>0.82532009406846096</v>
      </c>
      <c r="Y111" s="100" t="s">
        <v>126</v>
      </c>
      <c r="Z111" s="29">
        <v>1</v>
      </c>
      <c r="AA111" s="9">
        <v>1</v>
      </c>
      <c r="AB111" s="9">
        <v>1</v>
      </c>
      <c r="AC111" s="9">
        <v>2</v>
      </c>
      <c r="AD111" s="43">
        <v>2</v>
      </c>
      <c r="AE111" s="55">
        <v>0.35859414261160716</v>
      </c>
      <c r="AF111" s="52" t="s">
        <v>111</v>
      </c>
    </row>
    <row r="112" spans="1:32">
      <c r="A112" s="227">
        <v>2003</v>
      </c>
      <c r="B112" s="227">
        <v>852</v>
      </c>
      <c r="C112" s="227" t="s">
        <v>87</v>
      </c>
      <c r="D112" s="227">
        <v>190</v>
      </c>
      <c r="E112" s="227">
        <v>389</v>
      </c>
      <c r="F112" s="227">
        <v>653</v>
      </c>
      <c r="G112" s="227">
        <v>0.37332053742802301</v>
      </c>
      <c r="H112" s="227">
        <v>0.62667946257197693</v>
      </c>
      <c r="I112" s="312" t="s">
        <v>110</v>
      </c>
      <c r="J112" s="29">
        <v>1</v>
      </c>
      <c r="K112" s="9">
        <v>1</v>
      </c>
      <c r="L112" s="9">
        <v>1</v>
      </c>
      <c r="M112" s="9">
        <v>2</v>
      </c>
      <c r="N112" s="43">
        <v>2</v>
      </c>
      <c r="O112" s="265">
        <f t="shared" si="2"/>
        <v>0.35859414261160716</v>
      </c>
      <c r="P112" s="164" t="s">
        <v>111</v>
      </c>
      <c r="Q112" s="227">
        <v>2011</v>
      </c>
      <c r="R112" s="227">
        <v>10120</v>
      </c>
      <c r="S112" s="227" t="s">
        <v>87</v>
      </c>
      <c r="T112" s="227">
        <v>1720</v>
      </c>
      <c r="U112" s="227">
        <v>918</v>
      </c>
      <c r="V112" s="227">
        <v>10922</v>
      </c>
      <c r="W112" s="227">
        <v>7.7533783783783783E-2</v>
      </c>
      <c r="X112" s="227">
        <v>0.92246621621621627</v>
      </c>
      <c r="Y112" s="100" t="s">
        <v>126</v>
      </c>
      <c r="Z112" s="29">
        <v>1</v>
      </c>
      <c r="AA112" s="9">
        <v>1</v>
      </c>
      <c r="AB112" s="9">
        <v>1</v>
      </c>
      <c r="AC112" s="9">
        <v>2</v>
      </c>
      <c r="AD112" s="43">
        <v>2</v>
      </c>
      <c r="AE112" s="55">
        <v>0.35859414261160716</v>
      </c>
      <c r="AF112" s="52" t="s">
        <v>111</v>
      </c>
    </row>
    <row r="113" spans="1:32">
      <c r="A113" s="227">
        <v>2003</v>
      </c>
      <c r="B113" s="227">
        <v>4</v>
      </c>
      <c r="C113" s="227" t="s">
        <v>88</v>
      </c>
      <c r="D113" s="227">
        <v>68</v>
      </c>
      <c r="E113" s="227">
        <v>53</v>
      </c>
      <c r="F113" s="227">
        <v>19</v>
      </c>
      <c r="G113" s="227">
        <v>0.73611111111111116</v>
      </c>
      <c r="H113" s="227">
        <v>0.26388888888888878</v>
      </c>
      <c r="I113" s="312" t="s">
        <v>110</v>
      </c>
      <c r="J113" s="29">
        <v>1</v>
      </c>
      <c r="K113" s="9">
        <v>1</v>
      </c>
      <c r="L113" s="9">
        <v>1</v>
      </c>
      <c r="M113" s="9">
        <v>2</v>
      </c>
      <c r="N113" s="43">
        <v>2</v>
      </c>
      <c r="O113" s="265">
        <f t="shared" si="2"/>
        <v>0.35859414261160716</v>
      </c>
      <c r="P113" s="164" t="s">
        <v>111</v>
      </c>
      <c r="Q113" s="227">
        <v>2011</v>
      </c>
      <c r="R113" s="227">
        <v>1771</v>
      </c>
      <c r="S113" s="227" t="s">
        <v>88</v>
      </c>
      <c r="T113" s="227">
        <v>83</v>
      </c>
      <c r="U113" s="227">
        <v>283</v>
      </c>
      <c r="V113" s="227">
        <v>1571</v>
      </c>
      <c r="W113" s="227">
        <v>0.15264293419633229</v>
      </c>
      <c r="X113" s="227">
        <v>0.84735706580366776</v>
      </c>
      <c r="Y113" s="100" t="s">
        <v>126</v>
      </c>
      <c r="Z113" s="29">
        <v>1</v>
      </c>
      <c r="AA113" s="9">
        <v>1</v>
      </c>
      <c r="AB113" s="9">
        <v>1</v>
      </c>
      <c r="AC113" s="9">
        <v>2</v>
      </c>
      <c r="AD113" s="43">
        <v>2</v>
      </c>
      <c r="AE113" s="55">
        <v>0.35859414261160716</v>
      </c>
      <c r="AF113" s="52" t="s">
        <v>111</v>
      </c>
    </row>
    <row r="114" spans="1:32">
      <c r="A114" s="227">
        <v>2003</v>
      </c>
      <c r="B114" s="227">
        <v>191</v>
      </c>
      <c r="C114" s="227" t="s">
        <v>89</v>
      </c>
      <c r="D114" s="227">
        <v>34</v>
      </c>
      <c r="E114" s="227">
        <v>134</v>
      </c>
      <c r="F114" s="227">
        <v>91</v>
      </c>
      <c r="G114" s="227">
        <v>0.5955555555555555</v>
      </c>
      <c r="H114" s="227">
        <v>0.4044444444444445</v>
      </c>
      <c r="I114" s="312" t="s">
        <v>110</v>
      </c>
      <c r="J114" s="29">
        <v>1</v>
      </c>
      <c r="K114" s="9">
        <v>1</v>
      </c>
      <c r="L114" s="9">
        <v>1</v>
      </c>
      <c r="M114" s="9">
        <v>2</v>
      </c>
      <c r="N114" s="43">
        <v>2</v>
      </c>
      <c r="O114" s="265">
        <f t="shared" si="2"/>
        <v>0.35859414261160716</v>
      </c>
      <c r="P114" s="164" t="s">
        <v>111</v>
      </c>
      <c r="Q114" s="227">
        <v>2011</v>
      </c>
      <c r="R114" s="227">
        <v>1540</v>
      </c>
      <c r="S114" s="227" t="s">
        <v>89</v>
      </c>
      <c r="T114" s="227">
        <v>173</v>
      </c>
      <c r="U114" s="227">
        <v>107</v>
      </c>
      <c r="V114" s="227">
        <v>1606</v>
      </c>
      <c r="W114" s="227">
        <v>6.2463514302393462E-2</v>
      </c>
      <c r="X114" s="227">
        <v>0.9375364856976065</v>
      </c>
      <c r="Y114" s="100" t="s">
        <v>126</v>
      </c>
      <c r="Z114" s="29">
        <v>1</v>
      </c>
      <c r="AA114" s="9">
        <v>1</v>
      </c>
      <c r="AB114" s="9">
        <v>1</v>
      </c>
      <c r="AC114" s="9">
        <v>2</v>
      </c>
      <c r="AD114" s="43">
        <v>2</v>
      </c>
      <c r="AE114" s="55">
        <v>0.35859414261160716</v>
      </c>
      <c r="AF114" s="52" t="s">
        <v>111</v>
      </c>
    </row>
    <row r="115" spans="1:32">
      <c r="A115" s="227">
        <v>2003</v>
      </c>
      <c r="B115" s="227">
        <v>610</v>
      </c>
      <c r="C115" s="227" t="s">
        <v>90</v>
      </c>
      <c r="D115" s="227">
        <v>151</v>
      </c>
      <c r="E115" s="227">
        <v>517</v>
      </c>
      <c r="F115" s="227">
        <v>244</v>
      </c>
      <c r="G115" s="227">
        <v>0.67936925098554535</v>
      </c>
      <c r="H115" s="227">
        <v>0.32063074901445471</v>
      </c>
      <c r="I115" s="312" t="s">
        <v>110</v>
      </c>
      <c r="J115" s="29">
        <v>1</v>
      </c>
      <c r="K115" s="9">
        <v>1</v>
      </c>
      <c r="L115" s="9">
        <v>1</v>
      </c>
      <c r="M115" s="9">
        <v>2</v>
      </c>
      <c r="N115" s="43">
        <v>2</v>
      </c>
      <c r="O115" s="265">
        <f t="shared" si="2"/>
        <v>0.35859414261160716</v>
      </c>
      <c r="P115" s="164" t="s">
        <v>111</v>
      </c>
      <c r="Q115" s="227">
        <v>2011</v>
      </c>
      <c r="R115" s="227">
        <v>6241</v>
      </c>
      <c r="S115" s="227" t="s">
        <v>90</v>
      </c>
      <c r="T115" s="227">
        <v>599</v>
      </c>
      <c r="U115" s="227">
        <v>1652</v>
      </c>
      <c r="V115" s="227">
        <v>5188</v>
      </c>
      <c r="W115" s="227">
        <v>0.2415204678362573</v>
      </c>
      <c r="X115" s="227">
        <v>0.75847953216374275</v>
      </c>
      <c r="Y115" s="100" t="s">
        <v>126</v>
      </c>
      <c r="Z115" s="29">
        <v>1</v>
      </c>
      <c r="AA115" s="9">
        <v>1</v>
      </c>
      <c r="AB115" s="9">
        <v>1</v>
      </c>
      <c r="AC115" s="9">
        <v>2</v>
      </c>
      <c r="AD115" s="43">
        <v>2</v>
      </c>
      <c r="AE115" s="55">
        <v>0.35859414261160716</v>
      </c>
      <c r="AF115" s="52" t="s">
        <v>111</v>
      </c>
    </row>
    <row r="116" spans="1:32">
      <c r="A116" s="227">
        <v>2003</v>
      </c>
      <c r="B116" s="227">
        <v>167</v>
      </c>
      <c r="C116" s="227" t="s">
        <v>91</v>
      </c>
      <c r="D116" s="227">
        <v>119</v>
      </c>
      <c r="E116" s="227">
        <v>286</v>
      </c>
      <c r="F116" s="227">
        <v>0</v>
      </c>
      <c r="G116" s="227">
        <v>1</v>
      </c>
      <c r="H116" s="227">
        <v>0</v>
      </c>
      <c r="I116" s="312" t="s">
        <v>110</v>
      </c>
      <c r="J116" s="29">
        <v>1</v>
      </c>
      <c r="K116" s="9">
        <v>1</v>
      </c>
      <c r="L116" s="9">
        <v>1</v>
      </c>
      <c r="M116" s="9">
        <v>2</v>
      </c>
      <c r="N116" s="43">
        <v>2</v>
      </c>
      <c r="O116" s="265">
        <f t="shared" si="2"/>
        <v>0.35859414261160716</v>
      </c>
      <c r="P116" s="164" t="s">
        <v>111</v>
      </c>
      <c r="Q116" s="227">
        <v>2011</v>
      </c>
      <c r="R116" s="227">
        <v>2968</v>
      </c>
      <c r="S116" s="227" t="s">
        <v>91</v>
      </c>
      <c r="T116" s="227">
        <v>1095</v>
      </c>
      <c r="U116" s="227">
        <v>279</v>
      </c>
      <c r="V116" s="227">
        <v>3784</v>
      </c>
      <c r="W116" s="227">
        <v>6.8668471572729511E-2</v>
      </c>
      <c r="X116" s="227">
        <v>0.93133152842727052</v>
      </c>
      <c r="Y116" s="100" t="s">
        <v>126</v>
      </c>
      <c r="Z116" s="29">
        <v>1</v>
      </c>
      <c r="AA116" s="9">
        <v>1</v>
      </c>
      <c r="AB116" s="9">
        <v>1</v>
      </c>
      <c r="AC116" s="9">
        <v>2</v>
      </c>
      <c r="AD116" s="43">
        <v>2</v>
      </c>
      <c r="AE116" s="55">
        <v>0.35859414261160716</v>
      </c>
      <c r="AF116" s="52" t="s">
        <v>111</v>
      </c>
    </row>
    <row r="117" spans="1:32">
      <c r="A117" s="227">
        <v>2003</v>
      </c>
      <c r="B117" s="227">
        <v>83</v>
      </c>
      <c r="C117" s="227" t="s">
        <v>94</v>
      </c>
      <c r="D117" s="227">
        <v>31</v>
      </c>
      <c r="E117" s="227">
        <v>114</v>
      </c>
      <c r="F117" s="227">
        <v>0</v>
      </c>
      <c r="G117" s="227">
        <v>1</v>
      </c>
      <c r="H117" s="227">
        <v>0</v>
      </c>
      <c r="I117" s="312" t="s">
        <v>110</v>
      </c>
      <c r="J117" s="29">
        <v>1</v>
      </c>
      <c r="K117" s="9">
        <v>1</v>
      </c>
      <c r="L117" s="9">
        <v>1</v>
      </c>
      <c r="M117" s="9">
        <v>2</v>
      </c>
      <c r="N117" s="43">
        <v>2</v>
      </c>
      <c r="O117" s="265">
        <f t="shared" si="2"/>
        <v>0.35859414261160716</v>
      </c>
      <c r="P117" s="164" t="s">
        <v>111</v>
      </c>
      <c r="Q117" s="227">
        <v>2011</v>
      </c>
      <c r="R117" s="227">
        <v>790</v>
      </c>
      <c r="S117" s="227" t="s">
        <v>94</v>
      </c>
      <c r="T117" s="227">
        <v>225</v>
      </c>
      <c r="U117" s="227">
        <v>191</v>
      </c>
      <c r="V117" s="227">
        <v>824</v>
      </c>
      <c r="W117" s="227">
        <v>0.18817733990147781</v>
      </c>
      <c r="X117" s="227">
        <v>0.81182266009852211</v>
      </c>
      <c r="Y117" s="100" t="s">
        <v>126</v>
      </c>
      <c r="Z117" s="29">
        <v>1</v>
      </c>
      <c r="AA117" s="9">
        <v>1</v>
      </c>
      <c r="AB117" s="9">
        <v>1</v>
      </c>
      <c r="AC117" s="9">
        <v>2</v>
      </c>
      <c r="AD117" s="43">
        <v>2</v>
      </c>
      <c r="AE117" s="55">
        <v>0.35859414261160716</v>
      </c>
      <c r="AF117" s="52" t="s">
        <v>111</v>
      </c>
    </row>
    <row r="118" spans="1:32">
      <c r="A118" s="227">
        <v>2003</v>
      </c>
      <c r="B118" s="227">
        <v>337</v>
      </c>
      <c r="C118" s="227" t="s">
        <v>96</v>
      </c>
      <c r="D118" s="227">
        <v>78</v>
      </c>
      <c r="E118" s="227">
        <v>230</v>
      </c>
      <c r="F118" s="227">
        <v>185</v>
      </c>
      <c r="G118" s="227">
        <v>0.55421686746987953</v>
      </c>
      <c r="H118" s="227">
        <v>0.44578313253012047</v>
      </c>
      <c r="I118" s="312" t="s">
        <v>110</v>
      </c>
      <c r="J118" s="29">
        <v>1</v>
      </c>
      <c r="K118" s="9">
        <v>1</v>
      </c>
      <c r="L118" s="9">
        <v>1</v>
      </c>
      <c r="M118" s="9">
        <v>2</v>
      </c>
      <c r="N118" s="43">
        <v>2</v>
      </c>
      <c r="O118" s="265">
        <f t="shared" si="2"/>
        <v>0.35859414261160716</v>
      </c>
      <c r="P118" s="164" t="s">
        <v>111</v>
      </c>
      <c r="Q118" s="227">
        <v>2011</v>
      </c>
      <c r="R118" s="227">
        <v>1520</v>
      </c>
      <c r="S118" s="227" t="s">
        <v>96</v>
      </c>
      <c r="T118" s="227">
        <v>142</v>
      </c>
      <c r="U118" s="227">
        <v>282</v>
      </c>
      <c r="V118" s="227">
        <v>1380</v>
      </c>
      <c r="W118" s="227">
        <v>0.16967509025270761</v>
      </c>
      <c r="X118" s="227">
        <v>0.83032490974729245</v>
      </c>
      <c r="Y118" s="100" t="s">
        <v>126</v>
      </c>
      <c r="Z118" s="29">
        <v>1</v>
      </c>
      <c r="AA118" s="9">
        <v>1</v>
      </c>
      <c r="AB118" s="9">
        <v>1</v>
      </c>
      <c r="AC118" s="9">
        <v>2</v>
      </c>
      <c r="AD118" s="43">
        <v>2</v>
      </c>
      <c r="AE118" s="55">
        <v>0.35859414261160716</v>
      </c>
      <c r="AF118" s="52" t="s">
        <v>111</v>
      </c>
    </row>
    <row r="119" spans="1:32">
      <c r="A119" s="227">
        <v>2003</v>
      </c>
      <c r="B119" s="227">
        <v>233</v>
      </c>
      <c r="C119" s="227" t="s">
        <v>97</v>
      </c>
      <c r="D119" s="227">
        <v>117</v>
      </c>
      <c r="E119" s="227">
        <v>195</v>
      </c>
      <c r="F119" s="227">
        <v>155</v>
      </c>
      <c r="G119" s="227">
        <v>0.55714285714285716</v>
      </c>
      <c r="H119" s="227">
        <v>0.44285714285714278</v>
      </c>
      <c r="I119" s="312" t="s">
        <v>110</v>
      </c>
      <c r="J119" s="29">
        <v>1</v>
      </c>
      <c r="K119" s="9">
        <v>1</v>
      </c>
      <c r="L119" s="9">
        <v>1</v>
      </c>
      <c r="M119" s="9">
        <v>2</v>
      </c>
      <c r="N119" s="43">
        <v>2</v>
      </c>
      <c r="O119" s="265">
        <f t="shared" si="2"/>
        <v>0.35859414261160716</v>
      </c>
      <c r="P119" s="164" t="s">
        <v>111</v>
      </c>
      <c r="Q119" s="227">
        <v>2011</v>
      </c>
      <c r="R119" s="227">
        <v>3791</v>
      </c>
      <c r="S119" s="227" t="s">
        <v>97</v>
      </c>
      <c r="T119" s="227">
        <v>545</v>
      </c>
      <c r="U119" s="227">
        <v>886</v>
      </c>
      <c r="V119" s="227">
        <v>3450</v>
      </c>
      <c r="W119" s="227">
        <v>0.20433579335793359</v>
      </c>
      <c r="X119" s="227">
        <v>0.79566420664206639</v>
      </c>
      <c r="Y119" s="100" t="s">
        <v>126</v>
      </c>
      <c r="Z119" s="29">
        <v>1</v>
      </c>
      <c r="AA119" s="9">
        <v>1</v>
      </c>
      <c r="AB119" s="9">
        <v>1</v>
      </c>
      <c r="AC119" s="9">
        <v>2</v>
      </c>
      <c r="AD119" s="43">
        <v>2</v>
      </c>
      <c r="AE119" s="55">
        <v>0.35859414261160716</v>
      </c>
      <c r="AF119" s="52" t="s">
        <v>111</v>
      </c>
    </row>
    <row r="120" spans="1:32">
      <c r="A120" s="227">
        <v>2003</v>
      </c>
      <c r="B120" s="227">
        <v>200</v>
      </c>
      <c r="C120" s="227" t="s">
        <v>95</v>
      </c>
      <c r="D120" s="227">
        <v>57</v>
      </c>
      <c r="E120" s="227">
        <v>230</v>
      </c>
      <c r="F120" s="227">
        <v>27</v>
      </c>
      <c r="G120" s="227">
        <v>0.89494163424124518</v>
      </c>
      <c r="H120" s="227">
        <v>0.1050583657587548</v>
      </c>
      <c r="I120" s="312" t="s">
        <v>110</v>
      </c>
      <c r="J120" s="29">
        <v>1</v>
      </c>
      <c r="K120" s="9">
        <v>1</v>
      </c>
      <c r="L120" s="9">
        <v>1</v>
      </c>
      <c r="M120" s="9">
        <v>2</v>
      </c>
      <c r="N120" s="43">
        <v>2</v>
      </c>
      <c r="O120" s="265">
        <f t="shared" si="2"/>
        <v>0.35859414261160716</v>
      </c>
      <c r="P120" s="164" t="s">
        <v>111</v>
      </c>
      <c r="Q120" s="227">
        <v>2011</v>
      </c>
      <c r="R120" s="227">
        <v>2300</v>
      </c>
      <c r="S120" s="227" t="s">
        <v>95</v>
      </c>
      <c r="T120" s="227">
        <v>339</v>
      </c>
      <c r="U120" s="227">
        <v>578</v>
      </c>
      <c r="V120" s="227">
        <v>2061</v>
      </c>
      <c r="W120" s="227">
        <v>0.21902235695339139</v>
      </c>
      <c r="X120" s="227">
        <v>0.78097764304660855</v>
      </c>
      <c r="Y120" s="100" t="s">
        <v>126</v>
      </c>
      <c r="Z120" s="29">
        <v>1</v>
      </c>
      <c r="AA120" s="9">
        <v>1</v>
      </c>
      <c r="AB120" s="9">
        <v>1</v>
      </c>
      <c r="AC120" s="9">
        <v>2</v>
      </c>
      <c r="AD120" s="43">
        <v>2</v>
      </c>
      <c r="AE120" s="55">
        <v>0.35859414261160716</v>
      </c>
      <c r="AF120" s="52" t="s">
        <v>111</v>
      </c>
    </row>
    <row r="121" spans="1:32">
      <c r="A121" s="227">
        <v>2003</v>
      </c>
      <c r="B121" s="227">
        <v>98</v>
      </c>
      <c r="C121" s="227" t="s">
        <v>93</v>
      </c>
      <c r="D121" s="227">
        <v>19</v>
      </c>
      <c r="E121" s="227">
        <v>39</v>
      </c>
      <c r="F121" s="227">
        <v>78</v>
      </c>
      <c r="G121" s="227">
        <v>0.33333333333333331</v>
      </c>
      <c r="H121" s="227">
        <v>0.66666666666666674</v>
      </c>
      <c r="I121" s="312" t="s">
        <v>110</v>
      </c>
      <c r="J121" s="29">
        <v>1</v>
      </c>
      <c r="K121" s="9">
        <v>1</v>
      </c>
      <c r="L121" s="9">
        <v>1</v>
      </c>
      <c r="M121" s="9">
        <v>2</v>
      </c>
      <c r="N121" s="43">
        <v>2</v>
      </c>
      <c r="O121" s="265">
        <f t="shared" si="2"/>
        <v>0.35859414261160716</v>
      </c>
      <c r="P121" s="164" t="s">
        <v>111</v>
      </c>
      <c r="Q121" s="227">
        <v>2011</v>
      </c>
      <c r="R121" s="227">
        <v>2100</v>
      </c>
      <c r="S121" s="227" t="s">
        <v>93</v>
      </c>
      <c r="T121" s="227">
        <v>82</v>
      </c>
      <c r="U121" s="227">
        <v>402</v>
      </c>
      <c r="V121" s="227">
        <v>1780</v>
      </c>
      <c r="W121" s="227">
        <v>0.1842346471127406</v>
      </c>
      <c r="X121" s="227">
        <v>0.81576535288725938</v>
      </c>
      <c r="Y121" s="100" t="s">
        <v>126</v>
      </c>
      <c r="Z121" s="29">
        <v>1</v>
      </c>
      <c r="AA121" s="9">
        <v>1</v>
      </c>
      <c r="AB121" s="9">
        <v>1</v>
      </c>
      <c r="AC121" s="9">
        <v>2</v>
      </c>
      <c r="AD121" s="43">
        <v>2</v>
      </c>
      <c r="AE121" s="55">
        <v>0.35859414261160716</v>
      </c>
      <c r="AF121" s="52" t="s">
        <v>111</v>
      </c>
    </row>
    <row r="122" spans="1:32">
      <c r="A122" s="227">
        <v>2003</v>
      </c>
      <c r="B122" s="227">
        <v>1732</v>
      </c>
      <c r="C122" s="227" t="s">
        <v>98</v>
      </c>
      <c r="D122" s="227">
        <v>698</v>
      </c>
      <c r="E122" s="227">
        <v>2430</v>
      </c>
      <c r="F122" s="227">
        <v>0</v>
      </c>
      <c r="G122" s="227">
        <v>1</v>
      </c>
      <c r="H122" s="227">
        <v>0</v>
      </c>
      <c r="I122" s="312" t="s">
        <v>110</v>
      </c>
      <c r="J122" s="29">
        <v>1</v>
      </c>
      <c r="K122" s="9">
        <v>1</v>
      </c>
      <c r="L122" s="9">
        <v>1</v>
      </c>
      <c r="M122" s="9">
        <v>2</v>
      </c>
      <c r="N122" s="43">
        <v>2</v>
      </c>
      <c r="O122" s="265">
        <f t="shared" si="2"/>
        <v>0.35859414261160716</v>
      </c>
      <c r="P122" s="164" t="s">
        <v>111</v>
      </c>
      <c r="Q122" s="227">
        <v>2011</v>
      </c>
      <c r="R122" s="227">
        <v>14987</v>
      </c>
      <c r="S122" s="227" t="s">
        <v>98</v>
      </c>
      <c r="T122" s="227">
        <v>3989</v>
      </c>
      <c r="U122" s="227">
        <v>4694</v>
      </c>
      <c r="V122" s="227">
        <v>14282</v>
      </c>
      <c r="W122" s="227">
        <v>0.24736509274873519</v>
      </c>
      <c r="X122" s="227">
        <v>0.75263490725126481</v>
      </c>
      <c r="Y122" s="100" t="s">
        <v>126</v>
      </c>
      <c r="Z122" s="29">
        <v>1</v>
      </c>
      <c r="AA122" s="9">
        <v>1</v>
      </c>
      <c r="AB122" s="9">
        <v>1</v>
      </c>
      <c r="AC122" s="9">
        <v>2</v>
      </c>
      <c r="AD122" s="43">
        <v>2</v>
      </c>
      <c r="AE122" s="55">
        <v>0.35859414261160716</v>
      </c>
      <c r="AF122" s="52" t="s">
        <v>111</v>
      </c>
    </row>
    <row r="123" spans="1:32">
      <c r="A123" s="227">
        <v>2004</v>
      </c>
      <c r="B123" s="227">
        <v>1435</v>
      </c>
      <c r="C123" s="227" t="s">
        <v>85</v>
      </c>
      <c r="D123" s="227">
        <v>602</v>
      </c>
      <c r="E123" s="227">
        <v>1968</v>
      </c>
      <c r="F123" s="227">
        <v>69</v>
      </c>
      <c r="G123" s="227">
        <v>0.96612665684830634</v>
      </c>
      <c r="H123" s="227">
        <v>3.3873343151693658E-2</v>
      </c>
      <c r="I123" s="312" t="s">
        <v>110</v>
      </c>
      <c r="J123" s="29">
        <v>1</v>
      </c>
      <c r="K123" s="9">
        <v>1</v>
      </c>
      <c r="L123" s="9">
        <v>1</v>
      </c>
      <c r="M123" s="9">
        <v>2</v>
      </c>
      <c r="N123" s="43">
        <v>2</v>
      </c>
      <c r="O123" s="265">
        <f t="shared" si="2"/>
        <v>0.35859414261160716</v>
      </c>
      <c r="P123" s="164" t="s">
        <v>111</v>
      </c>
      <c r="Q123" s="227">
        <v>2012</v>
      </c>
      <c r="R123" s="227">
        <v>14019</v>
      </c>
      <c r="S123" s="227" t="s">
        <v>85</v>
      </c>
      <c r="T123" s="227">
        <v>2747</v>
      </c>
      <c r="U123" s="227">
        <v>2421</v>
      </c>
      <c r="V123" s="227">
        <v>14345</v>
      </c>
      <c r="W123" s="227">
        <v>0.14439937969700581</v>
      </c>
      <c r="X123" s="227">
        <v>0.85560062030299422</v>
      </c>
      <c r="Y123" s="100" t="s">
        <v>126</v>
      </c>
      <c r="Z123" s="29">
        <v>1</v>
      </c>
      <c r="AA123" s="9">
        <v>1</v>
      </c>
      <c r="AB123" s="9">
        <v>1</v>
      </c>
      <c r="AC123" s="9">
        <v>2</v>
      </c>
      <c r="AD123" s="43">
        <v>2</v>
      </c>
      <c r="AE123" s="55">
        <v>0.35859414261160716</v>
      </c>
      <c r="AF123" s="52" t="s">
        <v>111</v>
      </c>
    </row>
    <row r="124" spans="1:32">
      <c r="A124" s="227">
        <v>2004</v>
      </c>
      <c r="B124" s="227">
        <v>290</v>
      </c>
      <c r="C124" s="227" t="s">
        <v>86</v>
      </c>
      <c r="D124" s="227">
        <v>162</v>
      </c>
      <c r="E124" s="227">
        <v>328</v>
      </c>
      <c r="F124" s="227">
        <v>124</v>
      </c>
      <c r="G124" s="227">
        <v>0.72566371681415931</v>
      </c>
      <c r="H124" s="227">
        <v>0.27433628318584069</v>
      </c>
      <c r="I124" s="312" t="s">
        <v>110</v>
      </c>
      <c r="J124" s="29">
        <v>1</v>
      </c>
      <c r="K124" s="9">
        <v>1</v>
      </c>
      <c r="L124" s="9">
        <v>1</v>
      </c>
      <c r="M124" s="9">
        <v>2</v>
      </c>
      <c r="N124" s="43">
        <v>2</v>
      </c>
      <c r="O124" s="265">
        <f t="shared" si="2"/>
        <v>0.35859414261160716</v>
      </c>
      <c r="P124" s="164" t="s">
        <v>111</v>
      </c>
      <c r="Q124" s="227">
        <v>2012</v>
      </c>
      <c r="R124" s="227">
        <v>6391</v>
      </c>
      <c r="S124" s="227" t="s">
        <v>86</v>
      </c>
      <c r="T124" s="227">
        <v>918</v>
      </c>
      <c r="U124" s="227">
        <v>1412</v>
      </c>
      <c r="V124" s="227">
        <v>5897</v>
      </c>
      <c r="W124" s="227">
        <v>0.19318648241893549</v>
      </c>
      <c r="X124" s="227">
        <v>0.80681351758106445</v>
      </c>
      <c r="Y124" s="100" t="s">
        <v>126</v>
      </c>
      <c r="Z124" s="29">
        <v>1</v>
      </c>
      <c r="AA124" s="9">
        <v>1</v>
      </c>
      <c r="AB124" s="9">
        <v>1</v>
      </c>
      <c r="AC124" s="9">
        <v>2</v>
      </c>
      <c r="AD124" s="43">
        <v>2</v>
      </c>
      <c r="AE124" s="55">
        <v>0.35859414261160716</v>
      </c>
      <c r="AF124" s="52" t="s">
        <v>111</v>
      </c>
    </row>
    <row r="125" spans="1:32">
      <c r="A125" s="227">
        <v>2004</v>
      </c>
      <c r="B125" s="227">
        <v>852</v>
      </c>
      <c r="C125" s="227" t="s">
        <v>87</v>
      </c>
      <c r="D125" s="227">
        <v>190</v>
      </c>
      <c r="E125" s="227">
        <v>423</v>
      </c>
      <c r="F125" s="227">
        <v>619</v>
      </c>
      <c r="G125" s="227">
        <v>0.40595009596928983</v>
      </c>
      <c r="H125" s="227">
        <v>0.59404990403071012</v>
      </c>
      <c r="I125" s="312" t="s">
        <v>110</v>
      </c>
      <c r="J125" s="29">
        <v>1</v>
      </c>
      <c r="K125" s="9">
        <v>1</v>
      </c>
      <c r="L125" s="9">
        <v>1</v>
      </c>
      <c r="M125" s="9">
        <v>2</v>
      </c>
      <c r="N125" s="43">
        <v>2</v>
      </c>
      <c r="O125" s="265">
        <f t="shared" si="2"/>
        <v>0.35859414261160716</v>
      </c>
      <c r="P125" s="164" t="s">
        <v>111</v>
      </c>
      <c r="Q125" s="227">
        <v>2012</v>
      </c>
      <c r="R125" s="227">
        <v>9437</v>
      </c>
      <c r="S125" s="227" t="s">
        <v>87</v>
      </c>
      <c r="T125" s="227">
        <v>571</v>
      </c>
      <c r="U125" s="227">
        <v>993</v>
      </c>
      <c r="V125" s="227">
        <v>9015</v>
      </c>
      <c r="W125" s="227">
        <v>9.9220623501199035E-2</v>
      </c>
      <c r="X125" s="227">
        <v>0.90077937649880102</v>
      </c>
      <c r="Y125" s="100" t="s">
        <v>126</v>
      </c>
      <c r="Z125" s="29">
        <v>1</v>
      </c>
      <c r="AA125" s="9">
        <v>1</v>
      </c>
      <c r="AB125" s="9">
        <v>1</v>
      </c>
      <c r="AC125" s="9">
        <v>2</v>
      </c>
      <c r="AD125" s="43">
        <v>2</v>
      </c>
      <c r="AE125" s="55">
        <v>0.35859414261160716</v>
      </c>
      <c r="AF125" s="52" t="s">
        <v>111</v>
      </c>
    </row>
    <row r="126" spans="1:32">
      <c r="A126" s="227">
        <v>2004</v>
      </c>
      <c r="B126" s="227">
        <v>11</v>
      </c>
      <c r="C126" s="227" t="s">
        <v>88</v>
      </c>
      <c r="D126" s="227">
        <v>69</v>
      </c>
      <c r="E126" s="227">
        <v>80</v>
      </c>
      <c r="F126" s="227">
        <v>0</v>
      </c>
      <c r="G126" s="227">
        <v>1</v>
      </c>
      <c r="H126" s="227">
        <v>0</v>
      </c>
      <c r="I126" s="312" t="s">
        <v>110</v>
      </c>
      <c r="J126" s="29">
        <v>1</v>
      </c>
      <c r="K126" s="9">
        <v>1</v>
      </c>
      <c r="L126" s="9">
        <v>1</v>
      </c>
      <c r="M126" s="9">
        <v>2</v>
      </c>
      <c r="N126" s="43">
        <v>2</v>
      </c>
      <c r="O126" s="265">
        <f t="shared" si="2"/>
        <v>0.35859414261160716</v>
      </c>
      <c r="P126" s="164" t="s">
        <v>111</v>
      </c>
      <c r="Q126" s="227">
        <v>2012</v>
      </c>
      <c r="R126" s="227">
        <v>1864</v>
      </c>
      <c r="S126" s="227" t="s">
        <v>88</v>
      </c>
      <c r="T126" s="227">
        <v>128</v>
      </c>
      <c r="U126" s="227">
        <v>313</v>
      </c>
      <c r="V126" s="227">
        <v>1679</v>
      </c>
      <c r="W126" s="227">
        <v>0.15712851405622491</v>
      </c>
      <c r="X126" s="227">
        <v>0.84287148594377514</v>
      </c>
      <c r="Y126" s="100" t="s">
        <v>126</v>
      </c>
      <c r="Z126" s="29">
        <v>1</v>
      </c>
      <c r="AA126" s="9">
        <v>1</v>
      </c>
      <c r="AB126" s="9">
        <v>1</v>
      </c>
      <c r="AC126" s="9">
        <v>2</v>
      </c>
      <c r="AD126" s="43">
        <v>2</v>
      </c>
      <c r="AE126" s="55">
        <v>0.35859414261160716</v>
      </c>
      <c r="AF126" s="52" t="s">
        <v>111</v>
      </c>
    </row>
    <row r="127" spans="1:32">
      <c r="A127" s="227">
        <v>2004</v>
      </c>
      <c r="B127" s="227">
        <v>191</v>
      </c>
      <c r="C127" s="227" t="s">
        <v>89</v>
      </c>
      <c r="D127" s="227">
        <v>40</v>
      </c>
      <c r="E127" s="227">
        <v>154</v>
      </c>
      <c r="F127" s="227">
        <v>77</v>
      </c>
      <c r="G127" s="227">
        <v>0.66666666666666663</v>
      </c>
      <c r="H127" s="227">
        <v>0.33333333333333343</v>
      </c>
      <c r="I127" s="312" t="s">
        <v>110</v>
      </c>
      <c r="J127" s="29">
        <v>1</v>
      </c>
      <c r="K127" s="9">
        <v>1</v>
      </c>
      <c r="L127" s="9">
        <v>1</v>
      </c>
      <c r="M127" s="9">
        <v>2</v>
      </c>
      <c r="N127" s="43">
        <v>2</v>
      </c>
      <c r="O127" s="265">
        <f t="shared" si="2"/>
        <v>0.35859414261160716</v>
      </c>
      <c r="P127" s="164" t="s">
        <v>111</v>
      </c>
      <c r="Q127" s="227">
        <v>2012</v>
      </c>
      <c r="R127" s="227">
        <v>1872</v>
      </c>
      <c r="S127" s="227" t="s">
        <v>89</v>
      </c>
      <c r="T127" s="227">
        <v>95</v>
      </c>
      <c r="U127" s="227">
        <v>123</v>
      </c>
      <c r="V127" s="227">
        <v>1844</v>
      </c>
      <c r="W127" s="227">
        <v>6.2531774275546514E-2</v>
      </c>
      <c r="X127" s="227">
        <v>0.93746822572445354</v>
      </c>
      <c r="Y127" s="100" t="s">
        <v>126</v>
      </c>
      <c r="Z127" s="29">
        <v>1</v>
      </c>
      <c r="AA127" s="9">
        <v>1</v>
      </c>
      <c r="AB127" s="9">
        <v>1</v>
      </c>
      <c r="AC127" s="9">
        <v>2</v>
      </c>
      <c r="AD127" s="43">
        <v>2</v>
      </c>
      <c r="AE127" s="55">
        <v>0.35859414261160716</v>
      </c>
      <c r="AF127" s="52" t="s">
        <v>111</v>
      </c>
    </row>
    <row r="128" spans="1:32">
      <c r="A128" s="227">
        <v>2004</v>
      </c>
      <c r="B128" s="227">
        <v>610</v>
      </c>
      <c r="C128" s="227" t="s">
        <v>90</v>
      </c>
      <c r="D128" s="227">
        <v>162</v>
      </c>
      <c r="E128" s="227">
        <v>498</v>
      </c>
      <c r="F128" s="227">
        <v>274</v>
      </c>
      <c r="G128" s="227">
        <v>0.64507772020725385</v>
      </c>
      <c r="H128" s="227">
        <v>0.35492227979274621</v>
      </c>
      <c r="I128" s="312" t="s">
        <v>110</v>
      </c>
      <c r="J128" s="29">
        <v>1</v>
      </c>
      <c r="K128" s="9">
        <v>1</v>
      </c>
      <c r="L128" s="9">
        <v>1</v>
      </c>
      <c r="M128" s="9">
        <v>2</v>
      </c>
      <c r="N128" s="43">
        <v>2</v>
      </c>
      <c r="O128" s="265">
        <f t="shared" si="2"/>
        <v>0.35859414261160716</v>
      </c>
      <c r="P128" s="164" t="s">
        <v>111</v>
      </c>
      <c r="Q128" s="227">
        <v>2012</v>
      </c>
      <c r="R128" s="227">
        <v>8310</v>
      </c>
      <c r="S128" s="227" t="s">
        <v>90</v>
      </c>
      <c r="T128" s="227">
        <v>408</v>
      </c>
      <c r="U128" s="227">
        <v>1616</v>
      </c>
      <c r="V128" s="227">
        <v>7102</v>
      </c>
      <c r="W128" s="227">
        <v>0.18536361550814409</v>
      </c>
      <c r="X128" s="227">
        <v>0.81463638449185594</v>
      </c>
      <c r="Y128" s="100" t="s">
        <v>126</v>
      </c>
      <c r="Z128" s="29">
        <v>1</v>
      </c>
      <c r="AA128" s="9">
        <v>1</v>
      </c>
      <c r="AB128" s="9">
        <v>1</v>
      </c>
      <c r="AC128" s="9">
        <v>2</v>
      </c>
      <c r="AD128" s="43">
        <v>2</v>
      </c>
      <c r="AE128" s="55">
        <v>0.35859414261160716</v>
      </c>
      <c r="AF128" s="52" t="s">
        <v>111</v>
      </c>
    </row>
    <row r="129" spans="1:32">
      <c r="A129" s="227">
        <v>2004</v>
      </c>
      <c r="B129" s="227">
        <v>0</v>
      </c>
      <c r="C129" s="227" t="s">
        <v>91</v>
      </c>
      <c r="D129" s="227">
        <v>107</v>
      </c>
      <c r="E129" s="227">
        <v>101</v>
      </c>
      <c r="F129" s="227">
        <v>6</v>
      </c>
      <c r="G129" s="227">
        <v>0.94392523364485981</v>
      </c>
      <c r="H129" s="227">
        <v>5.6074766355140193E-2</v>
      </c>
      <c r="I129" s="312" t="s">
        <v>110</v>
      </c>
      <c r="J129" s="29">
        <v>1</v>
      </c>
      <c r="K129" s="9">
        <v>1</v>
      </c>
      <c r="L129" s="9">
        <v>1</v>
      </c>
      <c r="M129" s="9">
        <v>2</v>
      </c>
      <c r="N129" s="43">
        <v>2</v>
      </c>
      <c r="O129" s="265">
        <f t="shared" si="2"/>
        <v>0.35859414261160716</v>
      </c>
      <c r="P129" s="164" t="s">
        <v>111</v>
      </c>
      <c r="Q129" s="227">
        <v>2012</v>
      </c>
      <c r="R129" s="227">
        <v>2381</v>
      </c>
      <c r="S129" s="227" t="s">
        <v>91</v>
      </c>
      <c r="T129" s="227">
        <v>879</v>
      </c>
      <c r="U129" s="227">
        <v>227</v>
      </c>
      <c r="V129" s="227">
        <v>3033</v>
      </c>
      <c r="W129" s="227">
        <v>6.9631901840490798E-2</v>
      </c>
      <c r="X129" s="227">
        <v>0.93036809815950916</v>
      </c>
      <c r="Y129" s="100" t="s">
        <v>126</v>
      </c>
      <c r="Z129" s="29">
        <v>1</v>
      </c>
      <c r="AA129" s="9">
        <v>1</v>
      </c>
      <c r="AB129" s="9">
        <v>1</v>
      </c>
      <c r="AC129" s="9">
        <v>2</v>
      </c>
      <c r="AD129" s="43">
        <v>2</v>
      </c>
      <c r="AE129" s="55">
        <v>0.35859414261160716</v>
      </c>
      <c r="AF129" s="52" t="s">
        <v>111</v>
      </c>
    </row>
    <row r="130" spans="1:32">
      <c r="A130" s="227">
        <v>2004</v>
      </c>
      <c r="B130" s="227">
        <v>67</v>
      </c>
      <c r="C130" s="227" t="s">
        <v>94</v>
      </c>
      <c r="D130" s="227">
        <v>16</v>
      </c>
      <c r="E130" s="227">
        <v>83</v>
      </c>
      <c r="F130" s="227">
        <v>0</v>
      </c>
      <c r="G130" s="227">
        <v>1</v>
      </c>
      <c r="H130" s="227">
        <v>0</v>
      </c>
      <c r="I130" s="312" t="s">
        <v>110</v>
      </c>
      <c r="J130" s="29">
        <v>1</v>
      </c>
      <c r="K130" s="9">
        <v>1</v>
      </c>
      <c r="L130" s="9">
        <v>1</v>
      </c>
      <c r="M130" s="9">
        <v>2</v>
      </c>
      <c r="N130" s="43">
        <v>2</v>
      </c>
      <c r="O130" s="265">
        <f t="shared" si="2"/>
        <v>0.35859414261160716</v>
      </c>
      <c r="P130" s="164" t="s">
        <v>111</v>
      </c>
      <c r="Q130" s="227">
        <v>2012</v>
      </c>
      <c r="R130" s="227">
        <v>624</v>
      </c>
      <c r="S130" s="227" t="s">
        <v>94</v>
      </c>
      <c r="T130" s="227">
        <v>237</v>
      </c>
      <c r="U130" s="227">
        <v>157</v>
      </c>
      <c r="V130" s="227">
        <v>704</v>
      </c>
      <c r="W130" s="227">
        <v>0.1823461091753775</v>
      </c>
      <c r="X130" s="227">
        <v>0.81765389082462248</v>
      </c>
      <c r="Y130" s="100" t="s">
        <v>126</v>
      </c>
      <c r="Z130" s="29">
        <v>1</v>
      </c>
      <c r="AA130" s="9">
        <v>1</v>
      </c>
      <c r="AB130" s="9">
        <v>1</v>
      </c>
      <c r="AC130" s="9">
        <v>2</v>
      </c>
      <c r="AD130" s="43">
        <v>2</v>
      </c>
      <c r="AE130" s="55">
        <v>0.35859414261160716</v>
      </c>
      <c r="AF130" s="52" t="s">
        <v>111</v>
      </c>
    </row>
    <row r="131" spans="1:32">
      <c r="A131" s="227">
        <v>2004</v>
      </c>
      <c r="B131" s="227">
        <v>337</v>
      </c>
      <c r="C131" s="227" t="s">
        <v>96</v>
      </c>
      <c r="D131" s="227">
        <v>82</v>
      </c>
      <c r="E131" s="227">
        <v>265</v>
      </c>
      <c r="F131" s="227">
        <v>154</v>
      </c>
      <c r="G131" s="227">
        <v>0.63245823389021483</v>
      </c>
      <c r="H131" s="227">
        <v>0.36754176610978517</v>
      </c>
      <c r="I131" s="312" t="s">
        <v>110</v>
      </c>
      <c r="J131" s="29">
        <v>1</v>
      </c>
      <c r="K131" s="9">
        <v>1</v>
      </c>
      <c r="L131" s="9">
        <v>1</v>
      </c>
      <c r="M131" s="9">
        <v>2</v>
      </c>
      <c r="N131" s="43">
        <v>2</v>
      </c>
      <c r="O131" s="265">
        <f t="shared" si="2"/>
        <v>0.35859414261160716</v>
      </c>
      <c r="P131" s="164" t="s">
        <v>111</v>
      </c>
      <c r="Q131" s="227">
        <v>2012</v>
      </c>
      <c r="R131" s="227">
        <v>894</v>
      </c>
      <c r="S131" s="227" t="s">
        <v>96</v>
      </c>
      <c r="T131" s="227">
        <v>109</v>
      </c>
      <c r="U131" s="227">
        <v>296</v>
      </c>
      <c r="V131" s="227">
        <v>707</v>
      </c>
      <c r="W131" s="227">
        <v>0.29511465603190429</v>
      </c>
      <c r="X131" s="227">
        <v>0.70488534396809577</v>
      </c>
      <c r="Y131" s="100" t="s">
        <v>126</v>
      </c>
      <c r="Z131" s="29">
        <v>1</v>
      </c>
      <c r="AA131" s="9">
        <v>1</v>
      </c>
      <c r="AB131" s="9">
        <v>1</v>
      </c>
      <c r="AC131" s="9">
        <v>2</v>
      </c>
      <c r="AD131" s="43">
        <v>2</v>
      </c>
      <c r="AE131" s="55">
        <v>0.35859414261160716</v>
      </c>
      <c r="AF131" s="52" t="s">
        <v>111</v>
      </c>
    </row>
    <row r="132" spans="1:32">
      <c r="A132" s="227">
        <v>2004</v>
      </c>
      <c r="B132" s="227">
        <v>233</v>
      </c>
      <c r="C132" s="227" t="s">
        <v>97</v>
      </c>
      <c r="D132" s="227">
        <v>192</v>
      </c>
      <c r="E132" s="227">
        <v>275</v>
      </c>
      <c r="F132" s="227">
        <v>150</v>
      </c>
      <c r="G132" s="227">
        <v>0.6470588235294118</v>
      </c>
      <c r="H132" s="227">
        <v>0.3529411764705882</v>
      </c>
      <c r="I132" s="312" t="s">
        <v>110</v>
      </c>
      <c r="J132" s="29">
        <v>1</v>
      </c>
      <c r="K132" s="9">
        <v>1</v>
      </c>
      <c r="L132" s="9">
        <v>1</v>
      </c>
      <c r="M132" s="9">
        <v>2</v>
      </c>
      <c r="N132" s="43">
        <v>2</v>
      </c>
      <c r="O132" s="265">
        <f t="shared" si="2"/>
        <v>0.35859414261160716</v>
      </c>
      <c r="P132" s="164" t="s">
        <v>111</v>
      </c>
      <c r="Q132" s="227">
        <v>2012</v>
      </c>
      <c r="R132" s="227">
        <v>2542</v>
      </c>
      <c r="S132" s="227" t="s">
        <v>97</v>
      </c>
      <c r="T132" s="227">
        <v>348</v>
      </c>
      <c r="U132" s="227">
        <v>922</v>
      </c>
      <c r="V132" s="227">
        <v>1968</v>
      </c>
      <c r="W132" s="227">
        <v>0.31903114186851211</v>
      </c>
      <c r="X132" s="227">
        <v>0.68096885813148789</v>
      </c>
      <c r="Y132" s="100" t="s">
        <v>126</v>
      </c>
      <c r="Z132" s="29">
        <v>1</v>
      </c>
      <c r="AA132" s="9">
        <v>1</v>
      </c>
      <c r="AB132" s="9">
        <v>1</v>
      </c>
      <c r="AC132" s="9">
        <v>2</v>
      </c>
      <c r="AD132" s="43">
        <v>2</v>
      </c>
      <c r="AE132" s="55">
        <v>0.35859414261160716</v>
      </c>
      <c r="AF132" s="52" t="s">
        <v>111</v>
      </c>
    </row>
    <row r="133" spans="1:32">
      <c r="A133" s="227">
        <v>2004</v>
      </c>
      <c r="B133" s="227">
        <v>200</v>
      </c>
      <c r="C133" s="227" t="s">
        <v>95</v>
      </c>
      <c r="D133" s="227">
        <v>75</v>
      </c>
      <c r="E133" s="227">
        <v>247</v>
      </c>
      <c r="F133" s="227">
        <v>28</v>
      </c>
      <c r="G133" s="227">
        <v>0.89818181818181819</v>
      </c>
      <c r="H133" s="227">
        <v>0.10181818181818179</v>
      </c>
      <c r="I133" s="312" t="s">
        <v>110</v>
      </c>
      <c r="J133" s="29">
        <v>1</v>
      </c>
      <c r="K133" s="9">
        <v>1</v>
      </c>
      <c r="L133" s="9">
        <v>1</v>
      </c>
      <c r="M133" s="9">
        <v>2</v>
      </c>
      <c r="N133" s="43">
        <v>2</v>
      </c>
      <c r="O133" s="265">
        <f t="shared" si="2"/>
        <v>0.35859414261160716</v>
      </c>
      <c r="P133" s="164" t="s">
        <v>111</v>
      </c>
      <c r="Q133" s="227">
        <v>2012</v>
      </c>
      <c r="R133" s="227">
        <v>1900</v>
      </c>
      <c r="S133" s="227" t="s">
        <v>95</v>
      </c>
      <c r="T133" s="227">
        <v>311</v>
      </c>
      <c r="U133" s="227">
        <v>587</v>
      </c>
      <c r="V133" s="227">
        <v>1624</v>
      </c>
      <c r="W133" s="227">
        <v>0.26549072817729541</v>
      </c>
      <c r="X133" s="227">
        <v>0.73450927182270465</v>
      </c>
      <c r="Y133" s="100" t="s">
        <v>126</v>
      </c>
      <c r="Z133" s="29">
        <v>1</v>
      </c>
      <c r="AA133" s="9">
        <v>1</v>
      </c>
      <c r="AB133" s="9">
        <v>1</v>
      </c>
      <c r="AC133" s="9">
        <v>2</v>
      </c>
      <c r="AD133" s="43">
        <v>2</v>
      </c>
      <c r="AE133" s="55">
        <v>0.35859414261160716</v>
      </c>
      <c r="AF133" s="52" t="s">
        <v>111</v>
      </c>
    </row>
    <row r="134" spans="1:32">
      <c r="A134" s="227">
        <v>2004</v>
      </c>
      <c r="B134" s="227">
        <v>98</v>
      </c>
      <c r="C134" s="227" t="s">
        <v>93</v>
      </c>
      <c r="D134" s="227">
        <v>21</v>
      </c>
      <c r="E134" s="227">
        <v>40</v>
      </c>
      <c r="F134" s="227">
        <v>79</v>
      </c>
      <c r="G134" s="227">
        <v>0.33613445378151258</v>
      </c>
      <c r="H134" s="227">
        <v>0.66386554621848737</v>
      </c>
      <c r="I134" s="312" t="s">
        <v>110</v>
      </c>
      <c r="J134" s="29">
        <v>1</v>
      </c>
      <c r="K134" s="9">
        <v>1</v>
      </c>
      <c r="L134" s="9">
        <v>1</v>
      </c>
      <c r="M134" s="9">
        <v>2</v>
      </c>
      <c r="N134" s="43">
        <v>2</v>
      </c>
      <c r="O134" s="265">
        <f t="shared" si="2"/>
        <v>0.35859414261160716</v>
      </c>
      <c r="P134" s="164" t="s">
        <v>111</v>
      </c>
      <c r="Q134" s="227">
        <v>2012</v>
      </c>
      <c r="R134" s="227">
        <v>3589</v>
      </c>
      <c r="S134" s="227" t="s">
        <v>93</v>
      </c>
      <c r="T134" s="227">
        <v>80</v>
      </c>
      <c r="U134" s="227">
        <v>401</v>
      </c>
      <c r="V134" s="227">
        <v>3268</v>
      </c>
      <c r="W134" s="227">
        <v>0.1092940855819024</v>
      </c>
      <c r="X134" s="227">
        <v>0.89070591441809754</v>
      </c>
      <c r="Y134" s="100" t="s">
        <v>126</v>
      </c>
      <c r="Z134" s="29">
        <v>1</v>
      </c>
      <c r="AA134" s="9">
        <v>1</v>
      </c>
      <c r="AB134" s="9">
        <v>1</v>
      </c>
      <c r="AC134" s="9">
        <v>2</v>
      </c>
      <c r="AD134" s="43">
        <v>2</v>
      </c>
      <c r="AE134" s="55">
        <v>0.35859414261160716</v>
      </c>
      <c r="AF134" s="52" t="s">
        <v>111</v>
      </c>
    </row>
    <row r="135" spans="1:32">
      <c r="A135" s="227">
        <v>2004</v>
      </c>
      <c r="B135" s="227">
        <v>2287</v>
      </c>
      <c r="C135" s="227" t="s">
        <v>98</v>
      </c>
      <c r="D135" s="227">
        <v>802</v>
      </c>
      <c r="E135" s="227">
        <v>3089</v>
      </c>
      <c r="F135" s="227">
        <v>0</v>
      </c>
      <c r="G135" s="227">
        <v>1</v>
      </c>
      <c r="H135" s="227">
        <v>0</v>
      </c>
      <c r="I135" s="312" t="s">
        <v>110</v>
      </c>
      <c r="J135" s="29">
        <v>1</v>
      </c>
      <c r="K135" s="9">
        <v>1</v>
      </c>
      <c r="L135" s="9">
        <v>1</v>
      </c>
      <c r="M135" s="9">
        <v>2</v>
      </c>
      <c r="N135" s="43">
        <v>2</v>
      </c>
      <c r="O135" s="265">
        <f t="shared" ref="O135:O198" si="3">IF( OR( ISBLANK(J135),ISBLANK(K135), ISBLANK(L135), ISBLANK(M135), ISBLANK(N135) ), "", 1.5*SQRT(   EXP(2.21*(J135-1)) + EXP(2.21*(K135-1)) + EXP(2.21*(L135-1)) + EXP(2.21*(M135-1)) + EXP(2.21*N135)   )/100*2.45 )</f>
        <v>0.35859414261160716</v>
      </c>
      <c r="P135" s="164" t="s">
        <v>111</v>
      </c>
      <c r="Q135" s="227">
        <v>2012</v>
      </c>
      <c r="R135" s="227">
        <v>13706</v>
      </c>
      <c r="S135" s="227" t="s">
        <v>98</v>
      </c>
      <c r="T135" s="227">
        <v>1624</v>
      </c>
      <c r="U135" s="227">
        <v>4808</v>
      </c>
      <c r="V135" s="227">
        <v>10522</v>
      </c>
      <c r="W135" s="227">
        <v>0.31363339856490541</v>
      </c>
      <c r="X135" s="227">
        <v>0.68636660143509465</v>
      </c>
      <c r="Y135" s="100" t="s">
        <v>126</v>
      </c>
      <c r="Z135" s="29">
        <v>1</v>
      </c>
      <c r="AA135" s="9">
        <v>1</v>
      </c>
      <c r="AB135" s="9">
        <v>1</v>
      </c>
      <c r="AC135" s="9">
        <v>2</v>
      </c>
      <c r="AD135" s="43">
        <v>2</v>
      </c>
      <c r="AE135" s="55">
        <v>0.35859414261160716</v>
      </c>
      <c r="AF135" s="52" t="s">
        <v>111</v>
      </c>
    </row>
    <row r="136" spans="1:32">
      <c r="A136" s="227">
        <v>2005</v>
      </c>
      <c r="B136" s="227">
        <v>1435</v>
      </c>
      <c r="C136" s="227" t="s">
        <v>85</v>
      </c>
      <c r="D136" s="227">
        <v>700</v>
      </c>
      <c r="E136" s="227">
        <v>2019</v>
      </c>
      <c r="F136" s="227">
        <v>116</v>
      </c>
      <c r="G136" s="227">
        <v>0.94566744730679153</v>
      </c>
      <c r="H136" s="227">
        <v>5.4332552693208469E-2</v>
      </c>
      <c r="I136" s="312" t="s">
        <v>110</v>
      </c>
      <c r="J136" s="29">
        <v>1</v>
      </c>
      <c r="K136" s="9">
        <v>1</v>
      </c>
      <c r="L136" s="9">
        <v>1</v>
      </c>
      <c r="M136" s="9">
        <v>2</v>
      </c>
      <c r="N136" s="43">
        <v>2</v>
      </c>
      <c r="O136" s="265">
        <f t="shared" si="3"/>
        <v>0.35859414261160716</v>
      </c>
      <c r="P136" s="164" t="s">
        <v>111</v>
      </c>
      <c r="Q136" s="227">
        <v>2013</v>
      </c>
      <c r="R136" s="227">
        <v>12784</v>
      </c>
      <c r="S136" s="227" t="s">
        <v>85</v>
      </c>
      <c r="T136" s="227">
        <v>2361</v>
      </c>
      <c r="U136" s="227">
        <v>2472</v>
      </c>
      <c r="V136" s="227">
        <v>12673</v>
      </c>
      <c r="W136" s="227">
        <v>0.1632221855397821</v>
      </c>
      <c r="X136" s="227">
        <v>0.83677781446021793</v>
      </c>
      <c r="Y136" s="100" t="s">
        <v>126</v>
      </c>
      <c r="Z136" s="29">
        <v>1</v>
      </c>
      <c r="AA136" s="9">
        <v>1</v>
      </c>
      <c r="AB136" s="9">
        <v>1</v>
      </c>
      <c r="AC136" s="9">
        <v>2</v>
      </c>
      <c r="AD136" s="43">
        <v>2</v>
      </c>
      <c r="AE136" s="55">
        <v>0.35859414261160716</v>
      </c>
      <c r="AF136" s="52" t="s">
        <v>111</v>
      </c>
    </row>
    <row r="137" spans="1:32">
      <c r="A137" s="227">
        <v>2005</v>
      </c>
      <c r="B137" s="227">
        <v>290</v>
      </c>
      <c r="C137" s="227" t="s">
        <v>86</v>
      </c>
      <c r="D137" s="227">
        <v>172</v>
      </c>
      <c r="E137" s="227">
        <v>360</v>
      </c>
      <c r="F137" s="227">
        <v>102</v>
      </c>
      <c r="G137" s="227">
        <v>0.77922077922077926</v>
      </c>
      <c r="H137" s="227">
        <v>0.22077922077922069</v>
      </c>
      <c r="I137" s="312" t="s">
        <v>110</v>
      </c>
      <c r="J137" s="29">
        <v>1</v>
      </c>
      <c r="K137" s="9">
        <v>1</v>
      </c>
      <c r="L137" s="9">
        <v>1</v>
      </c>
      <c r="M137" s="9">
        <v>2</v>
      </c>
      <c r="N137" s="43">
        <v>2</v>
      </c>
      <c r="O137" s="265">
        <f t="shared" si="3"/>
        <v>0.35859414261160716</v>
      </c>
      <c r="P137" s="164" t="s">
        <v>111</v>
      </c>
      <c r="Q137" s="227">
        <v>2013</v>
      </c>
      <c r="R137" s="227">
        <v>6464</v>
      </c>
      <c r="S137" s="227" t="s">
        <v>86</v>
      </c>
      <c r="T137" s="227">
        <v>998</v>
      </c>
      <c r="U137" s="227">
        <v>1411</v>
      </c>
      <c r="V137" s="227">
        <v>6051</v>
      </c>
      <c r="W137" s="227">
        <v>0.18909139640846959</v>
      </c>
      <c r="X137" s="227">
        <v>0.81090860359153039</v>
      </c>
      <c r="Y137" s="100" t="s">
        <v>126</v>
      </c>
      <c r="Z137" s="29">
        <v>1</v>
      </c>
      <c r="AA137" s="9">
        <v>1</v>
      </c>
      <c r="AB137" s="9">
        <v>1</v>
      </c>
      <c r="AC137" s="9">
        <v>2</v>
      </c>
      <c r="AD137" s="43">
        <v>2</v>
      </c>
      <c r="AE137" s="55">
        <v>0.35859414261160716</v>
      </c>
      <c r="AF137" s="52" t="s">
        <v>111</v>
      </c>
    </row>
    <row r="138" spans="1:32">
      <c r="A138" s="227">
        <v>2005</v>
      </c>
      <c r="B138" s="227">
        <v>852</v>
      </c>
      <c r="C138" s="227" t="s">
        <v>87</v>
      </c>
      <c r="D138" s="227">
        <v>214</v>
      </c>
      <c r="E138" s="227">
        <v>510</v>
      </c>
      <c r="F138" s="227">
        <v>556</v>
      </c>
      <c r="G138" s="227">
        <v>0.47842401500938092</v>
      </c>
      <c r="H138" s="227">
        <v>0.52157598499061919</v>
      </c>
      <c r="I138" s="312" t="s">
        <v>110</v>
      </c>
      <c r="J138" s="29">
        <v>1</v>
      </c>
      <c r="K138" s="9">
        <v>1</v>
      </c>
      <c r="L138" s="9">
        <v>1</v>
      </c>
      <c r="M138" s="9">
        <v>2</v>
      </c>
      <c r="N138" s="43">
        <v>2</v>
      </c>
      <c r="O138" s="265">
        <f t="shared" si="3"/>
        <v>0.35859414261160716</v>
      </c>
      <c r="P138" s="164" t="s">
        <v>111</v>
      </c>
      <c r="Q138" s="227">
        <v>2013</v>
      </c>
      <c r="R138" s="227">
        <v>9631</v>
      </c>
      <c r="S138" s="227" t="s">
        <v>87</v>
      </c>
      <c r="T138" s="227">
        <v>487</v>
      </c>
      <c r="U138" s="227">
        <v>1134</v>
      </c>
      <c r="V138" s="227">
        <v>8984</v>
      </c>
      <c r="W138" s="227">
        <v>0.1120774856691046</v>
      </c>
      <c r="X138" s="227">
        <v>0.88792251433089542</v>
      </c>
      <c r="Y138" s="100" t="s">
        <v>126</v>
      </c>
      <c r="Z138" s="29">
        <v>1</v>
      </c>
      <c r="AA138" s="9">
        <v>1</v>
      </c>
      <c r="AB138" s="9">
        <v>1</v>
      </c>
      <c r="AC138" s="9">
        <v>2</v>
      </c>
      <c r="AD138" s="43">
        <v>2</v>
      </c>
      <c r="AE138" s="55">
        <v>0.35859414261160716</v>
      </c>
      <c r="AF138" s="52" t="s">
        <v>111</v>
      </c>
    </row>
    <row r="139" spans="1:32">
      <c r="A139" s="227">
        <v>2005</v>
      </c>
      <c r="B139" s="227">
        <v>4</v>
      </c>
      <c r="C139" s="227" t="s">
        <v>88</v>
      </c>
      <c r="D139" s="227">
        <v>96</v>
      </c>
      <c r="E139" s="227">
        <v>80</v>
      </c>
      <c r="F139" s="227">
        <v>20</v>
      </c>
      <c r="G139" s="227">
        <v>0.8</v>
      </c>
      <c r="H139" s="227">
        <v>0.2</v>
      </c>
      <c r="I139" s="312" t="s">
        <v>110</v>
      </c>
      <c r="J139" s="29">
        <v>1</v>
      </c>
      <c r="K139" s="9">
        <v>1</v>
      </c>
      <c r="L139" s="9">
        <v>1</v>
      </c>
      <c r="M139" s="9">
        <v>2</v>
      </c>
      <c r="N139" s="43">
        <v>2</v>
      </c>
      <c r="O139" s="265">
        <f t="shared" si="3"/>
        <v>0.35859414261160716</v>
      </c>
      <c r="P139" s="164" t="s">
        <v>111</v>
      </c>
      <c r="Q139" s="227">
        <v>2013</v>
      </c>
      <c r="R139" s="227">
        <v>1752</v>
      </c>
      <c r="S139" s="227" t="s">
        <v>88</v>
      </c>
      <c r="T139" s="227">
        <v>97</v>
      </c>
      <c r="U139" s="227">
        <v>326</v>
      </c>
      <c r="V139" s="227">
        <v>1523</v>
      </c>
      <c r="W139" s="227">
        <v>0.17631151974040021</v>
      </c>
      <c r="X139" s="227">
        <v>0.82368848025959984</v>
      </c>
      <c r="Y139" s="100" t="s">
        <v>126</v>
      </c>
      <c r="Z139" s="29">
        <v>1</v>
      </c>
      <c r="AA139" s="9">
        <v>1</v>
      </c>
      <c r="AB139" s="9">
        <v>1</v>
      </c>
      <c r="AC139" s="9">
        <v>2</v>
      </c>
      <c r="AD139" s="43">
        <v>2</v>
      </c>
      <c r="AE139" s="55">
        <v>0.35859414261160716</v>
      </c>
      <c r="AF139" s="52" t="s">
        <v>111</v>
      </c>
    </row>
    <row r="140" spans="1:32">
      <c r="A140" s="227">
        <v>2005</v>
      </c>
      <c r="B140" s="227">
        <v>191</v>
      </c>
      <c r="C140" s="227" t="s">
        <v>89</v>
      </c>
      <c r="D140" s="227">
        <v>32</v>
      </c>
      <c r="E140" s="227">
        <v>158</v>
      </c>
      <c r="F140" s="227">
        <v>65</v>
      </c>
      <c r="G140" s="227">
        <v>0.70852017937219736</v>
      </c>
      <c r="H140" s="227">
        <v>0.29147982062780259</v>
      </c>
      <c r="I140" s="312" t="s">
        <v>110</v>
      </c>
      <c r="J140" s="29">
        <v>1</v>
      </c>
      <c r="K140" s="9">
        <v>1</v>
      </c>
      <c r="L140" s="9">
        <v>1</v>
      </c>
      <c r="M140" s="9">
        <v>2</v>
      </c>
      <c r="N140" s="43">
        <v>2</v>
      </c>
      <c r="O140" s="265">
        <f t="shared" si="3"/>
        <v>0.35859414261160716</v>
      </c>
      <c r="P140" s="164" t="s">
        <v>111</v>
      </c>
      <c r="Q140" s="227">
        <v>2013</v>
      </c>
      <c r="R140" s="227">
        <v>1875</v>
      </c>
      <c r="S140" s="227" t="s">
        <v>89</v>
      </c>
      <c r="T140" s="227">
        <v>71</v>
      </c>
      <c r="U140" s="227">
        <v>140</v>
      </c>
      <c r="V140" s="227">
        <v>1806</v>
      </c>
      <c r="W140" s="227">
        <v>7.1942446043165464E-2</v>
      </c>
      <c r="X140" s="227">
        <v>0.92805755395683454</v>
      </c>
      <c r="Y140" s="100" t="s">
        <v>126</v>
      </c>
      <c r="Z140" s="29">
        <v>1</v>
      </c>
      <c r="AA140" s="9">
        <v>1</v>
      </c>
      <c r="AB140" s="9">
        <v>1</v>
      </c>
      <c r="AC140" s="9">
        <v>2</v>
      </c>
      <c r="AD140" s="43">
        <v>2</v>
      </c>
      <c r="AE140" s="55">
        <v>0.35859414261160716</v>
      </c>
      <c r="AF140" s="52" t="s">
        <v>111</v>
      </c>
    </row>
    <row r="141" spans="1:32">
      <c r="A141" s="227">
        <v>2005</v>
      </c>
      <c r="B141" s="227">
        <v>610</v>
      </c>
      <c r="C141" s="227" t="s">
        <v>90</v>
      </c>
      <c r="D141" s="227">
        <v>134</v>
      </c>
      <c r="E141" s="227">
        <v>496</v>
      </c>
      <c r="F141" s="227">
        <v>248</v>
      </c>
      <c r="G141" s="227">
        <v>0.66666666666666663</v>
      </c>
      <c r="H141" s="227">
        <v>0.33333333333333343</v>
      </c>
      <c r="I141" s="312" t="s">
        <v>110</v>
      </c>
      <c r="J141" s="29">
        <v>1</v>
      </c>
      <c r="K141" s="9">
        <v>1</v>
      </c>
      <c r="L141" s="9">
        <v>1</v>
      </c>
      <c r="M141" s="9">
        <v>2</v>
      </c>
      <c r="N141" s="43">
        <v>2</v>
      </c>
      <c r="O141" s="265">
        <f t="shared" si="3"/>
        <v>0.35859414261160716</v>
      </c>
      <c r="P141" s="164" t="s">
        <v>111</v>
      </c>
      <c r="Q141" s="227">
        <v>2013</v>
      </c>
      <c r="R141" s="227">
        <v>6758</v>
      </c>
      <c r="S141" s="227" t="s">
        <v>90</v>
      </c>
      <c r="T141" s="227">
        <v>392</v>
      </c>
      <c r="U141" s="227">
        <v>1631</v>
      </c>
      <c r="V141" s="227">
        <v>5519</v>
      </c>
      <c r="W141" s="227">
        <v>0.22811188811188809</v>
      </c>
      <c r="X141" s="227">
        <v>0.77188811188811191</v>
      </c>
      <c r="Y141" s="100" t="s">
        <v>126</v>
      </c>
      <c r="Z141" s="29">
        <v>1</v>
      </c>
      <c r="AA141" s="9">
        <v>1</v>
      </c>
      <c r="AB141" s="9">
        <v>1</v>
      </c>
      <c r="AC141" s="9">
        <v>2</v>
      </c>
      <c r="AD141" s="43">
        <v>2</v>
      </c>
      <c r="AE141" s="55">
        <v>0.35859414261160716</v>
      </c>
      <c r="AF141" s="52" t="s">
        <v>111</v>
      </c>
    </row>
    <row r="142" spans="1:32">
      <c r="A142" s="227">
        <v>2005</v>
      </c>
      <c r="B142" s="227">
        <v>156</v>
      </c>
      <c r="C142" s="227" t="s">
        <v>91</v>
      </c>
      <c r="D142" s="227">
        <v>161</v>
      </c>
      <c r="E142" s="227">
        <v>317</v>
      </c>
      <c r="F142" s="227">
        <v>0</v>
      </c>
      <c r="G142" s="227">
        <v>1</v>
      </c>
      <c r="H142" s="227">
        <v>0</v>
      </c>
      <c r="I142" s="312" t="s">
        <v>110</v>
      </c>
      <c r="J142" s="29">
        <v>1</v>
      </c>
      <c r="K142" s="9">
        <v>1</v>
      </c>
      <c r="L142" s="9">
        <v>1</v>
      </c>
      <c r="M142" s="9">
        <v>2</v>
      </c>
      <c r="N142" s="43">
        <v>2</v>
      </c>
      <c r="O142" s="265">
        <f t="shared" si="3"/>
        <v>0.35859414261160716</v>
      </c>
      <c r="P142" s="164" t="s">
        <v>111</v>
      </c>
      <c r="Q142" s="227">
        <v>2013</v>
      </c>
      <c r="R142" s="227">
        <v>2397</v>
      </c>
      <c r="S142" s="227" t="s">
        <v>91</v>
      </c>
      <c r="T142" s="227">
        <v>1106</v>
      </c>
      <c r="U142" s="227">
        <v>217</v>
      </c>
      <c r="V142" s="227">
        <v>3286</v>
      </c>
      <c r="W142" s="227">
        <v>6.1946902654867263E-2</v>
      </c>
      <c r="X142" s="227">
        <v>0.93805309734513276</v>
      </c>
      <c r="Y142" s="100" t="s">
        <v>126</v>
      </c>
      <c r="Z142" s="29">
        <v>1</v>
      </c>
      <c r="AA142" s="9">
        <v>1</v>
      </c>
      <c r="AB142" s="9">
        <v>1</v>
      </c>
      <c r="AC142" s="9">
        <v>2</v>
      </c>
      <c r="AD142" s="43">
        <v>2</v>
      </c>
      <c r="AE142" s="55">
        <v>0.35859414261160716</v>
      </c>
      <c r="AF142" s="52" t="s">
        <v>111</v>
      </c>
    </row>
    <row r="143" spans="1:32">
      <c r="A143" s="227">
        <v>2005</v>
      </c>
      <c r="B143" s="227">
        <v>78</v>
      </c>
      <c r="C143" s="227" t="s">
        <v>94</v>
      </c>
      <c r="D143" s="227">
        <v>16</v>
      </c>
      <c r="E143" s="227">
        <v>94</v>
      </c>
      <c r="F143" s="227">
        <v>0</v>
      </c>
      <c r="G143" s="227">
        <v>1</v>
      </c>
      <c r="H143" s="227">
        <v>0</v>
      </c>
      <c r="I143" s="312" t="s">
        <v>110</v>
      </c>
      <c r="J143" s="29">
        <v>1</v>
      </c>
      <c r="K143" s="9">
        <v>1</v>
      </c>
      <c r="L143" s="9">
        <v>1</v>
      </c>
      <c r="M143" s="9">
        <v>2</v>
      </c>
      <c r="N143" s="43">
        <v>2</v>
      </c>
      <c r="O143" s="265">
        <f t="shared" si="3"/>
        <v>0.35859414261160716</v>
      </c>
      <c r="P143" s="164" t="s">
        <v>111</v>
      </c>
      <c r="Q143" s="227">
        <v>2013</v>
      </c>
      <c r="R143" s="227">
        <v>468</v>
      </c>
      <c r="S143" s="227" t="s">
        <v>94</v>
      </c>
      <c r="T143" s="227">
        <v>172</v>
      </c>
      <c r="U143" s="227">
        <v>147</v>
      </c>
      <c r="V143" s="227">
        <v>493</v>
      </c>
      <c r="W143" s="227">
        <v>0.22968749999999999</v>
      </c>
      <c r="X143" s="227">
        <v>0.77031249999999996</v>
      </c>
      <c r="Y143" s="100" t="s">
        <v>126</v>
      </c>
      <c r="Z143" s="29">
        <v>1</v>
      </c>
      <c r="AA143" s="9">
        <v>1</v>
      </c>
      <c r="AB143" s="9">
        <v>1</v>
      </c>
      <c r="AC143" s="9">
        <v>2</v>
      </c>
      <c r="AD143" s="43">
        <v>2</v>
      </c>
      <c r="AE143" s="55">
        <v>0.35859414261160716</v>
      </c>
      <c r="AF143" s="52" t="s">
        <v>111</v>
      </c>
    </row>
    <row r="144" spans="1:32">
      <c r="A144" s="227">
        <v>2005</v>
      </c>
      <c r="B144" s="227">
        <v>337</v>
      </c>
      <c r="C144" s="227" t="s">
        <v>96</v>
      </c>
      <c r="D144" s="227">
        <v>84</v>
      </c>
      <c r="E144" s="227">
        <v>211</v>
      </c>
      <c r="F144" s="227">
        <v>210</v>
      </c>
      <c r="G144" s="227">
        <v>0.50118764845605701</v>
      </c>
      <c r="H144" s="227">
        <v>0.49881235154394299</v>
      </c>
      <c r="I144" s="312" t="s">
        <v>110</v>
      </c>
      <c r="J144" s="29">
        <v>1</v>
      </c>
      <c r="K144" s="9">
        <v>1</v>
      </c>
      <c r="L144" s="9">
        <v>1</v>
      </c>
      <c r="M144" s="9">
        <v>2</v>
      </c>
      <c r="N144" s="43">
        <v>2</v>
      </c>
      <c r="O144" s="265">
        <f t="shared" si="3"/>
        <v>0.35859414261160716</v>
      </c>
      <c r="P144" s="164" t="s">
        <v>111</v>
      </c>
      <c r="Q144" s="227">
        <v>2013</v>
      </c>
      <c r="R144" s="227">
        <v>837</v>
      </c>
      <c r="S144" s="227" t="s">
        <v>96</v>
      </c>
      <c r="T144" s="227">
        <v>65</v>
      </c>
      <c r="U144" s="227">
        <v>287</v>
      </c>
      <c r="V144" s="227">
        <v>615</v>
      </c>
      <c r="W144" s="227">
        <v>0.31818181818181818</v>
      </c>
      <c r="X144" s="227">
        <v>0.68181818181818188</v>
      </c>
      <c r="Y144" s="100" t="s">
        <v>126</v>
      </c>
      <c r="Z144" s="29">
        <v>1</v>
      </c>
      <c r="AA144" s="9">
        <v>1</v>
      </c>
      <c r="AB144" s="9">
        <v>1</v>
      </c>
      <c r="AC144" s="9">
        <v>2</v>
      </c>
      <c r="AD144" s="43">
        <v>2</v>
      </c>
      <c r="AE144" s="55">
        <v>0.35859414261160716</v>
      </c>
      <c r="AF144" s="52" t="s">
        <v>111</v>
      </c>
    </row>
    <row r="145" spans="1:32">
      <c r="A145" s="227">
        <v>2005</v>
      </c>
      <c r="B145" s="227">
        <v>233</v>
      </c>
      <c r="C145" s="227" t="s">
        <v>97</v>
      </c>
      <c r="D145" s="227">
        <v>187</v>
      </c>
      <c r="E145" s="227">
        <v>273</v>
      </c>
      <c r="F145" s="227">
        <v>147</v>
      </c>
      <c r="G145" s="227">
        <v>0.65</v>
      </c>
      <c r="H145" s="227">
        <v>0.35</v>
      </c>
      <c r="I145" s="312" t="s">
        <v>110</v>
      </c>
      <c r="J145" s="29">
        <v>1</v>
      </c>
      <c r="K145" s="9">
        <v>1</v>
      </c>
      <c r="L145" s="9">
        <v>1</v>
      </c>
      <c r="M145" s="9">
        <v>2</v>
      </c>
      <c r="N145" s="43">
        <v>2</v>
      </c>
      <c r="O145" s="265">
        <f t="shared" si="3"/>
        <v>0.35859414261160716</v>
      </c>
      <c r="P145" s="164" t="s">
        <v>111</v>
      </c>
      <c r="Q145" s="227">
        <v>2013</v>
      </c>
      <c r="R145" s="227">
        <v>2280</v>
      </c>
      <c r="S145" s="227" t="s">
        <v>97</v>
      </c>
      <c r="T145" s="227">
        <v>285</v>
      </c>
      <c r="U145" s="227">
        <v>944</v>
      </c>
      <c r="V145" s="227">
        <v>1621</v>
      </c>
      <c r="W145" s="227">
        <v>0.36803118908382071</v>
      </c>
      <c r="X145" s="227">
        <v>0.6319688109161794</v>
      </c>
      <c r="Y145" s="100" t="s">
        <v>126</v>
      </c>
      <c r="Z145" s="29">
        <v>1</v>
      </c>
      <c r="AA145" s="9">
        <v>1</v>
      </c>
      <c r="AB145" s="9">
        <v>1</v>
      </c>
      <c r="AC145" s="9">
        <v>2</v>
      </c>
      <c r="AD145" s="43">
        <v>2</v>
      </c>
      <c r="AE145" s="55">
        <v>0.35859414261160716</v>
      </c>
      <c r="AF145" s="52" t="s">
        <v>111</v>
      </c>
    </row>
    <row r="146" spans="1:32">
      <c r="A146" s="227">
        <v>2005</v>
      </c>
      <c r="B146" s="227">
        <v>200</v>
      </c>
      <c r="C146" s="227" t="s">
        <v>95</v>
      </c>
      <c r="D146" s="227">
        <v>111</v>
      </c>
      <c r="E146" s="227">
        <v>240</v>
      </c>
      <c r="F146" s="227">
        <v>71</v>
      </c>
      <c r="G146" s="227">
        <v>0.77170418006430863</v>
      </c>
      <c r="H146" s="227">
        <v>0.2282958199356914</v>
      </c>
      <c r="I146" s="312" t="s">
        <v>110</v>
      </c>
      <c r="J146" s="29">
        <v>1</v>
      </c>
      <c r="K146" s="9">
        <v>1</v>
      </c>
      <c r="L146" s="9">
        <v>1</v>
      </c>
      <c r="M146" s="9">
        <v>2</v>
      </c>
      <c r="N146" s="43">
        <v>2</v>
      </c>
      <c r="O146" s="265">
        <f t="shared" si="3"/>
        <v>0.35859414261160716</v>
      </c>
      <c r="P146" s="164" t="s">
        <v>111</v>
      </c>
      <c r="Q146" s="227">
        <v>2013</v>
      </c>
      <c r="R146" s="227">
        <v>1837</v>
      </c>
      <c r="S146" s="227" t="s">
        <v>95</v>
      </c>
      <c r="T146" s="227">
        <v>169</v>
      </c>
      <c r="U146" s="227">
        <v>549</v>
      </c>
      <c r="V146" s="227">
        <v>1457</v>
      </c>
      <c r="W146" s="227">
        <v>0.27367896311066803</v>
      </c>
      <c r="X146" s="227">
        <v>0.72632103688933203</v>
      </c>
      <c r="Y146" s="100" t="s">
        <v>126</v>
      </c>
      <c r="Z146" s="29">
        <v>1</v>
      </c>
      <c r="AA146" s="9">
        <v>1</v>
      </c>
      <c r="AB146" s="9">
        <v>1</v>
      </c>
      <c r="AC146" s="9">
        <v>2</v>
      </c>
      <c r="AD146" s="43">
        <v>2</v>
      </c>
      <c r="AE146" s="55">
        <v>0.35859414261160716</v>
      </c>
      <c r="AF146" s="52" t="s">
        <v>111</v>
      </c>
    </row>
    <row r="147" spans="1:32">
      <c r="A147" s="227">
        <v>2005</v>
      </c>
      <c r="B147" s="227">
        <v>98</v>
      </c>
      <c r="C147" s="227" t="s">
        <v>93</v>
      </c>
      <c r="D147" s="227">
        <v>65</v>
      </c>
      <c r="E147" s="227">
        <v>35</v>
      </c>
      <c r="F147" s="227">
        <v>128</v>
      </c>
      <c r="G147" s="227">
        <v>0.21472392638036811</v>
      </c>
      <c r="H147" s="227">
        <v>0.78527607361963192</v>
      </c>
      <c r="I147" s="312" t="s">
        <v>110</v>
      </c>
      <c r="J147" s="29">
        <v>1</v>
      </c>
      <c r="K147" s="9">
        <v>1</v>
      </c>
      <c r="L147" s="9">
        <v>1</v>
      </c>
      <c r="M147" s="9">
        <v>2</v>
      </c>
      <c r="N147" s="43">
        <v>2</v>
      </c>
      <c r="O147" s="265">
        <f t="shared" si="3"/>
        <v>0.35859414261160716</v>
      </c>
      <c r="P147" s="164" t="s">
        <v>111</v>
      </c>
      <c r="Q147" s="227">
        <v>2013</v>
      </c>
      <c r="R147" s="227">
        <v>2327</v>
      </c>
      <c r="S147" s="227" t="s">
        <v>93</v>
      </c>
      <c r="T147" s="227">
        <v>61</v>
      </c>
      <c r="U147" s="227">
        <v>404</v>
      </c>
      <c r="V147" s="227">
        <v>1984</v>
      </c>
      <c r="W147" s="227">
        <v>0.16917922948073699</v>
      </c>
      <c r="X147" s="227">
        <v>0.83082077051926295</v>
      </c>
      <c r="Y147" s="100" t="s">
        <v>126</v>
      </c>
      <c r="Z147" s="29">
        <v>1</v>
      </c>
      <c r="AA147" s="9">
        <v>1</v>
      </c>
      <c r="AB147" s="9">
        <v>1</v>
      </c>
      <c r="AC147" s="9">
        <v>2</v>
      </c>
      <c r="AD147" s="43">
        <v>2</v>
      </c>
      <c r="AE147" s="55">
        <v>0.35859414261160716</v>
      </c>
      <c r="AF147" s="52" t="s">
        <v>111</v>
      </c>
    </row>
    <row r="148" spans="1:32">
      <c r="A148" s="227">
        <v>2005</v>
      </c>
      <c r="B148" s="227">
        <v>2309</v>
      </c>
      <c r="C148" s="227" t="s">
        <v>98</v>
      </c>
      <c r="D148" s="227">
        <v>783</v>
      </c>
      <c r="E148" s="227">
        <v>3092</v>
      </c>
      <c r="F148" s="227">
        <v>0</v>
      </c>
      <c r="G148" s="227">
        <v>1</v>
      </c>
      <c r="H148" s="227">
        <v>0</v>
      </c>
      <c r="I148" s="312" t="s">
        <v>110</v>
      </c>
      <c r="J148" s="29">
        <v>1</v>
      </c>
      <c r="K148" s="9">
        <v>1</v>
      </c>
      <c r="L148" s="9">
        <v>1</v>
      </c>
      <c r="M148" s="9">
        <v>2</v>
      </c>
      <c r="N148" s="43">
        <v>2</v>
      </c>
      <c r="O148" s="265">
        <f t="shared" si="3"/>
        <v>0.35859414261160716</v>
      </c>
      <c r="P148" s="164" t="s">
        <v>111</v>
      </c>
      <c r="Q148" s="227">
        <v>2013</v>
      </c>
      <c r="R148" s="227">
        <v>11075</v>
      </c>
      <c r="S148" s="227" t="s">
        <v>98</v>
      </c>
      <c r="T148" s="227">
        <v>1270</v>
      </c>
      <c r="U148" s="227">
        <v>4844</v>
      </c>
      <c r="V148" s="227">
        <v>7501</v>
      </c>
      <c r="W148" s="227">
        <v>0.39238558120696643</v>
      </c>
      <c r="X148" s="227">
        <v>0.60761441879303368</v>
      </c>
      <c r="Y148" s="100" t="s">
        <v>126</v>
      </c>
      <c r="Z148" s="29">
        <v>1</v>
      </c>
      <c r="AA148" s="9">
        <v>1</v>
      </c>
      <c r="AB148" s="9">
        <v>1</v>
      </c>
      <c r="AC148" s="9">
        <v>2</v>
      </c>
      <c r="AD148" s="43">
        <v>2</v>
      </c>
      <c r="AE148" s="55">
        <v>0.35859414261160716</v>
      </c>
      <c r="AF148" s="52" t="s">
        <v>111</v>
      </c>
    </row>
    <row r="149" spans="1:32">
      <c r="A149" s="227">
        <v>2006</v>
      </c>
      <c r="B149" s="227">
        <v>1448</v>
      </c>
      <c r="C149" s="227" t="s">
        <v>85</v>
      </c>
      <c r="D149" s="227">
        <v>601</v>
      </c>
      <c r="E149" s="227">
        <v>2048</v>
      </c>
      <c r="F149" s="227">
        <v>1</v>
      </c>
      <c r="G149" s="227">
        <v>0.99951195705222062</v>
      </c>
      <c r="H149" s="227">
        <v>4.8804294777937679E-4</v>
      </c>
      <c r="I149" s="312" t="s">
        <v>110</v>
      </c>
      <c r="J149" s="29">
        <v>1</v>
      </c>
      <c r="K149" s="9">
        <v>1</v>
      </c>
      <c r="L149" s="9">
        <v>1</v>
      </c>
      <c r="M149" s="9">
        <v>2</v>
      </c>
      <c r="N149" s="43">
        <v>2</v>
      </c>
      <c r="O149" s="265">
        <f t="shared" si="3"/>
        <v>0.35859414261160716</v>
      </c>
      <c r="P149" s="164" t="s">
        <v>111</v>
      </c>
      <c r="Q149" s="227">
        <v>2014</v>
      </c>
      <c r="R149" s="227">
        <v>12281</v>
      </c>
      <c r="S149" s="227" t="s">
        <v>85</v>
      </c>
      <c r="T149" s="227">
        <v>3216</v>
      </c>
      <c r="U149" s="227">
        <v>2757</v>
      </c>
      <c r="V149" s="227">
        <v>12740</v>
      </c>
      <c r="W149" s="227">
        <v>0.17790540104536359</v>
      </c>
      <c r="X149" s="227">
        <v>0.82209459895463644</v>
      </c>
      <c r="Y149" s="100" t="s">
        <v>126</v>
      </c>
      <c r="Z149" s="29">
        <v>1</v>
      </c>
      <c r="AA149" s="9">
        <v>1</v>
      </c>
      <c r="AB149" s="9">
        <v>1</v>
      </c>
      <c r="AC149" s="9">
        <v>2</v>
      </c>
      <c r="AD149" s="43">
        <v>2</v>
      </c>
      <c r="AE149" s="55">
        <v>0.35859414261160716</v>
      </c>
      <c r="AF149" s="52" t="s">
        <v>111</v>
      </c>
    </row>
    <row r="150" spans="1:32">
      <c r="A150" s="227">
        <v>2006</v>
      </c>
      <c r="B150" s="227">
        <v>290</v>
      </c>
      <c r="C150" s="227" t="s">
        <v>86</v>
      </c>
      <c r="D150" s="227">
        <v>161</v>
      </c>
      <c r="E150" s="227">
        <v>351</v>
      </c>
      <c r="F150" s="227">
        <v>100</v>
      </c>
      <c r="G150" s="227">
        <v>0.7782705099778271</v>
      </c>
      <c r="H150" s="227">
        <v>0.2217294900221729</v>
      </c>
      <c r="I150" s="312" t="s">
        <v>110</v>
      </c>
      <c r="J150" s="29">
        <v>1</v>
      </c>
      <c r="K150" s="9">
        <v>1</v>
      </c>
      <c r="L150" s="9">
        <v>1</v>
      </c>
      <c r="M150" s="9">
        <v>2</v>
      </c>
      <c r="N150" s="43">
        <v>2</v>
      </c>
      <c r="O150" s="265">
        <f t="shared" si="3"/>
        <v>0.35859414261160716</v>
      </c>
      <c r="P150" s="164" t="s">
        <v>111</v>
      </c>
      <c r="Q150" s="227">
        <v>2014</v>
      </c>
      <c r="R150" s="227">
        <v>6150</v>
      </c>
      <c r="S150" s="227" t="s">
        <v>86</v>
      </c>
      <c r="T150" s="227">
        <v>1112</v>
      </c>
      <c r="U150" s="227">
        <v>1589</v>
      </c>
      <c r="V150" s="227">
        <v>5673</v>
      </c>
      <c r="W150" s="227">
        <v>0.21881024511153949</v>
      </c>
      <c r="X150" s="227">
        <v>0.78118975488846054</v>
      </c>
      <c r="Y150" s="100" t="s">
        <v>126</v>
      </c>
      <c r="Z150" s="29">
        <v>1</v>
      </c>
      <c r="AA150" s="9">
        <v>1</v>
      </c>
      <c r="AB150" s="9">
        <v>1</v>
      </c>
      <c r="AC150" s="9">
        <v>2</v>
      </c>
      <c r="AD150" s="43">
        <v>2</v>
      </c>
      <c r="AE150" s="55">
        <v>0.35859414261160716</v>
      </c>
      <c r="AF150" s="52" t="s">
        <v>111</v>
      </c>
    </row>
    <row r="151" spans="1:32">
      <c r="A151" s="227">
        <v>2006</v>
      </c>
      <c r="B151" s="227">
        <v>955</v>
      </c>
      <c r="C151" s="227" t="s">
        <v>87</v>
      </c>
      <c r="D151" s="227">
        <v>251</v>
      </c>
      <c r="E151" s="227">
        <v>418</v>
      </c>
      <c r="F151" s="227">
        <v>788</v>
      </c>
      <c r="G151" s="227">
        <v>0.34660033167495852</v>
      </c>
      <c r="H151" s="227">
        <v>0.65339966832504148</v>
      </c>
      <c r="I151" s="312" t="s">
        <v>110</v>
      </c>
      <c r="J151" s="29">
        <v>1</v>
      </c>
      <c r="K151" s="9">
        <v>1</v>
      </c>
      <c r="L151" s="9">
        <v>1</v>
      </c>
      <c r="M151" s="9">
        <v>2</v>
      </c>
      <c r="N151" s="43">
        <v>2</v>
      </c>
      <c r="O151" s="265">
        <f t="shared" si="3"/>
        <v>0.35859414261160716</v>
      </c>
      <c r="P151" s="164" t="s">
        <v>111</v>
      </c>
      <c r="Q151" s="227">
        <v>2014</v>
      </c>
      <c r="R151" s="227">
        <v>8482</v>
      </c>
      <c r="S151" s="227" t="s">
        <v>87</v>
      </c>
      <c r="T151" s="227">
        <v>718</v>
      </c>
      <c r="U151" s="227">
        <v>1051</v>
      </c>
      <c r="V151" s="227">
        <v>8149</v>
      </c>
      <c r="W151" s="227">
        <v>0.11423913043478259</v>
      </c>
      <c r="X151" s="227">
        <v>0.88576086956521738</v>
      </c>
      <c r="Y151" s="100" t="s">
        <v>126</v>
      </c>
      <c r="Z151" s="29">
        <v>1</v>
      </c>
      <c r="AA151" s="9">
        <v>1</v>
      </c>
      <c r="AB151" s="9">
        <v>1</v>
      </c>
      <c r="AC151" s="9">
        <v>2</v>
      </c>
      <c r="AD151" s="43">
        <v>2</v>
      </c>
      <c r="AE151" s="55">
        <v>0.35859414261160716</v>
      </c>
      <c r="AF151" s="52" t="s">
        <v>111</v>
      </c>
    </row>
    <row r="152" spans="1:32">
      <c r="A152" s="227">
        <v>2006</v>
      </c>
      <c r="B152" s="227">
        <v>13</v>
      </c>
      <c r="C152" s="227" t="s">
        <v>88</v>
      </c>
      <c r="D152" s="227">
        <v>52</v>
      </c>
      <c r="E152" s="227">
        <v>65</v>
      </c>
      <c r="F152" s="227">
        <v>0</v>
      </c>
      <c r="G152" s="227">
        <v>1</v>
      </c>
      <c r="H152" s="227">
        <v>0</v>
      </c>
      <c r="I152" s="312" t="s">
        <v>110</v>
      </c>
      <c r="J152" s="29">
        <v>1</v>
      </c>
      <c r="K152" s="9">
        <v>1</v>
      </c>
      <c r="L152" s="9">
        <v>1</v>
      </c>
      <c r="M152" s="9">
        <v>2</v>
      </c>
      <c r="N152" s="43">
        <v>2</v>
      </c>
      <c r="O152" s="265">
        <f t="shared" si="3"/>
        <v>0.35859414261160716</v>
      </c>
      <c r="P152" s="164" t="s">
        <v>111</v>
      </c>
      <c r="Q152" s="227">
        <v>2014</v>
      </c>
      <c r="R152" s="227">
        <v>1721</v>
      </c>
      <c r="S152" s="227" t="s">
        <v>88</v>
      </c>
      <c r="T152" s="227">
        <v>68</v>
      </c>
      <c r="U152" s="227">
        <v>282</v>
      </c>
      <c r="V152" s="227">
        <v>1507</v>
      </c>
      <c r="W152" s="227">
        <v>0.15762996087199549</v>
      </c>
      <c r="X152" s="227">
        <v>0.84237003912800446</v>
      </c>
      <c r="Y152" s="100" t="s">
        <v>126</v>
      </c>
      <c r="Z152" s="29">
        <v>1</v>
      </c>
      <c r="AA152" s="9">
        <v>1</v>
      </c>
      <c r="AB152" s="9">
        <v>1</v>
      </c>
      <c r="AC152" s="9">
        <v>2</v>
      </c>
      <c r="AD152" s="43">
        <v>2</v>
      </c>
      <c r="AE152" s="55">
        <v>0.35859414261160716</v>
      </c>
      <c r="AF152" s="52" t="s">
        <v>111</v>
      </c>
    </row>
    <row r="153" spans="1:32">
      <c r="A153" s="227">
        <v>2006</v>
      </c>
      <c r="B153" s="227">
        <v>191</v>
      </c>
      <c r="C153" s="227" t="s">
        <v>89</v>
      </c>
      <c r="D153" s="227">
        <v>41</v>
      </c>
      <c r="E153" s="227">
        <v>172</v>
      </c>
      <c r="F153" s="227">
        <v>60</v>
      </c>
      <c r="G153" s="227">
        <v>0.74137931034482762</v>
      </c>
      <c r="H153" s="227">
        <v>0.25862068965517238</v>
      </c>
      <c r="I153" s="312" t="s">
        <v>110</v>
      </c>
      <c r="J153" s="29">
        <v>1</v>
      </c>
      <c r="K153" s="9">
        <v>1</v>
      </c>
      <c r="L153" s="9">
        <v>1</v>
      </c>
      <c r="M153" s="9">
        <v>2</v>
      </c>
      <c r="N153" s="43">
        <v>2</v>
      </c>
      <c r="O153" s="265">
        <f t="shared" si="3"/>
        <v>0.35859414261160716</v>
      </c>
      <c r="P153" s="164" t="s">
        <v>111</v>
      </c>
      <c r="Q153" s="227">
        <v>2014</v>
      </c>
      <c r="R153" s="227">
        <v>2023</v>
      </c>
      <c r="S153" s="227" t="s">
        <v>89</v>
      </c>
      <c r="T153" s="227">
        <v>58</v>
      </c>
      <c r="U153" s="227">
        <v>130</v>
      </c>
      <c r="V153" s="227">
        <v>1951</v>
      </c>
      <c r="W153" s="227">
        <v>6.2469966362325803E-2</v>
      </c>
      <c r="X153" s="227">
        <v>0.93753003363767418</v>
      </c>
      <c r="Y153" s="100" t="s">
        <v>126</v>
      </c>
      <c r="Z153" s="29">
        <v>1</v>
      </c>
      <c r="AA153" s="9">
        <v>1</v>
      </c>
      <c r="AB153" s="9">
        <v>1</v>
      </c>
      <c r="AC153" s="9">
        <v>2</v>
      </c>
      <c r="AD153" s="43">
        <v>2</v>
      </c>
      <c r="AE153" s="55">
        <v>0.35859414261160716</v>
      </c>
      <c r="AF153" s="52" t="s">
        <v>111</v>
      </c>
    </row>
    <row r="154" spans="1:32">
      <c r="A154" s="227">
        <v>2006</v>
      </c>
      <c r="B154" s="227">
        <v>610</v>
      </c>
      <c r="C154" s="227" t="s">
        <v>90</v>
      </c>
      <c r="D154" s="227">
        <v>130</v>
      </c>
      <c r="E154" s="227">
        <v>533</v>
      </c>
      <c r="F154" s="227">
        <v>207</v>
      </c>
      <c r="G154" s="227">
        <v>0.72027027027027024</v>
      </c>
      <c r="H154" s="227">
        <v>0.27972972972972981</v>
      </c>
      <c r="I154" s="312" t="s">
        <v>110</v>
      </c>
      <c r="J154" s="29">
        <v>1</v>
      </c>
      <c r="K154" s="9">
        <v>1</v>
      </c>
      <c r="L154" s="9">
        <v>1</v>
      </c>
      <c r="M154" s="9">
        <v>2</v>
      </c>
      <c r="N154" s="43">
        <v>2</v>
      </c>
      <c r="O154" s="265">
        <f t="shared" si="3"/>
        <v>0.35859414261160716</v>
      </c>
      <c r="P154" s="164" t="s">
        <v>111</v>
      </c>
      <c r="Q154" s="227">
        <v>2014</v>
      </c>
      <c r="R154" s="227">
        <v>7535</v>
      </c>
      <c r="S154" s="227" t="s">
        <v>90</v>
      </c>
      <c r="T154" s="227">
        <v>378</v>
      </c>
      <c r="U154" s="227">
        <v>1847</v>
      </c>
      <c r="V154" s="227">
        <v>6066</v>
      </c>
      <c r="W154" s="227">
        <v>0.23341337040313409</v>
      </c>
      <c r="X154" s="227">
        <v>0.76658662959686596</v>
      </c>
      <c r="Y154" s="100" t="s">
        <v>126</v>
      </c>
      <c r="Z154" s="29">
        <v>1</v>
      </c>
      <c r="AA154" s="9">
        <v>1</v>
      </c>
      <c r="AB154" s="9">
        <v>1</v>
      </c>
      <c r="AC154" s="9">
        <v>2</v>
      </c>
      <c r="AD154" s="43">
        <v>2</v>
      </c>
      <c r="AE154" s="55">
        <v>0.35859414261160716</v>
      </c>
      <c r="AF154" s="52" t="s">
        <v>111</v>
      </c>
    </row>
    <row r="155" spans="1:32">
      <c r="A155" s="227">
        <v>2006</v>
      </c>
      <c r="B155" s="227">
        <v>177</v>
      </c>
      <c r="C155" s="227" t="s">
        <v>91</v>
      </c>
      <c r="D155" s="227">
        <v>157</v>
      </c>
      <c r="E155" s="227">
        <v>334</v>
      </c>
      <c r="F155" s="227">
        <v>0</v>
      </c>
      <c r="G155" s="227">
        <v>1</v>
      </c>
      <c r="H155" s="227">
        <v>0</v>
      </c>
      <c r="I155" s="312" t="s">
        <v>110</v>
      </c>
      <c r="J155" s="29">
        <v>1</v>
      </c>
      <c r="K155" s="9">
        <v>1</v>
      </c>
      <c r="L155" s="9">
        <v>1</v>
      </c>
      <c r="M155" s="9">
        <v>2</v>
      </c>
      <c r="N155" s="43">
        <v>2</v>
      </c>
      <c r="O155" s="265">
        <f t="shared" si="3"/>
        <v>0.35859414261160716</v>
      </c>
      <c r="P155" s="164" t="s">
        <v>111</v>
      </c>
      <c r="Q155" s="227">
        <v>2014</v>
      </c>
      <c r="R155" s="227">
        <v>2830</v>
      </c>
      <c r="S155" s="227" t="s">
        <v>91</v>
      </c>
      <c r="T155" s="227">
        <v>960</v>
      </c>
      <c r="U155" s="227">
        <v>280</v>
      </c>
      <c r="V155" s="227">
        <v>3510</v>
      </c>
      <c r="W155" s="227">
        <v>7.3878627968337732E-2</v>
      </c>
      <c r="X155" s="227">
        <v>0.92612137203166223</v>
      </c>
      <c r="Y155" s="100" t="s">
        <v>126</v>
      </c>
      <c r="Z155" s="29">
        <v>1</v>
      </c>
      <c r="AA155" s="9">
        <v>1</v>
      </c>
      <c r="AB155" s="9">
        <v>1</v>
      </c>
      <c r="AC155" s="9">
        <v>2</v>
      </c>
      <c r="AD155" s="43">
        <v>2</v>
      </c>
      <c r="AE155" s="55">
        <v>0.35859414261160716</v>
      </c>
      <c r="AF155" s="52" t="s">
        <v>111</v>
      </c>
    </row>
    <row r="156" spans="1:32">
      <c r="A156" s="227">
        <v>2006</v>
      </c>
      <c r="B156" s="227">
        <v>122</v>
      </c>
      <c r="C156" s="227" t="s">
        <v>94</v>
      </c>
      <c r="D156" s="227">
        <v>15</v>
      </c>
      <c r="E156" s="227">
        <v>137</v>
      </c>
      <c r="F156" s="227">
        <v>0</v>
      </c>
      <c r="G156" s="227">
        <v>1</v>
      </c>
      <c r="H156" s="227">
        <v>0</v>
      </c>
      <c r="I156" s="312" t="s">
        <v>110</v>
      </c>
      <c r="J156" s="29">
        <v>1</v>
      </c>
      <c r="K156" s="9">
        <v>1</v>
      </c>
      <c r="L156" s="9">
        <v>1</v>
      </c>
      <c r="M156" s="9">
        <v>2</v>
      </c>
      <c r="N156" s="43">
        <v>2</v>
      </c>
      <c r="O156" s="265">
        <f t="shared" si="3"/>
        <v>0.35859414261160716</v>
      </c>
      <c r="P156" s="164" t="s">
        <v>111</v>
      </c>
      <c r="Q156" s="227">
        <v>2014</v>
      </c>
      <c r="R156" s="227">
        <v>737</v>
      </c>
      <c r="S156" s="227" t="s">
        <v>94</v>
      </c>
      <c r="T156" s="227">
        <v>179</v>
      </c>
      <c r="U156" s="227">
        <v>160</v>
      </c>
      <c r="V156" s="227">
        <v>756</v>
      </c>
      <c r="W156" s="227">
        <v>0.1746724890829694</v>
      </c>
      <c r="X156" s="227">
        <v>0.8253275109170306</v>
      </c>
      <c r="Y156" s="100" t="s">
        <v>126</v>
      </c>
      <c r="Z156" s="29">
        <v>1</v>
      </c>
      <c r="AA156" s="9">
        <v>1</v>
      </c>
      <c r="AB156" s="9">
        <v>1</v>
      </c>
      <c r="AC156" s="9">
        <v>2</v>
      </c>
      <c r="AD156" s="43">
        <v>2</v>
      </c>
      <c r="AE156" s="55">
        <v>0.35859414261160716</v>
      </c>
      <c r="AF156" s="52" t="s">
        <v>111</v>
      </c>
    </row>
    <row r="157" spans="1:32">
      <c r="A157" s="227">
        <v>2006</v>
      </c>
      <c r="B157" s="227">
        <v>204</v>
      </c>
      <c r="C157" s="227" t="s">
        <v>96</v>
      </c>
      <c r="D157" s="227">
        <v>75</v>
      </c>
      <c r="E157" s="227">
        <v>214</v>
      </c>
      <c r="F157" s="227">
        <v>65</v>
      </c>
      <c r="G157" s="227">
        <v>0.76702508960573479</v>
      </c>
      <c r="H157" s="227">
        <v>0.23297491039426521</v>
      </c>
      <c r="I157" s="312" t="s">
        <v>110</v>
      </c>
      <c r="J157" s="29">
        <v>1</v>
      </c>
      <c r="K157" s="9">
        <v>1</v>
      </c>
      <c r="L157" s="9">
        <v>1</v>
      </c>
      <c r="M157" s="9">
        <v>2</v>
      </c>
      <c r="N157" s="43">
        <v>2</v>
      </c>
      <c r="O157" s="265">
        <f t="shared" si="3"/>
        <v>0.35859414261160716</v>
      </c>
      <c r="P157" s="164" t="s">
        <v>111</v>
      </c>
      <c r="Q157" s="227">
        <v>2014</v>
      </c>
      <c r="R157" s="227">
        <v>1092</v>
      </c>
      <c r="S157" s="227" t="s">
        <v>96</v>
      </c>
      <c r="T157" s="227">
        <v>95</v>
      </c>
      <c r="U157" s="227">
        <v>290</v>
      </c>
      <c r="V157" s="227">
        <v>897</v>
      </c>
      <c r="W157" s="227">
        <v>0.2443133951137321</v>
      </c>
      <c r="X157" s="227">
        <v>0.75568660488626793</v>
      </c>
      <c r="Y157" s="100" t="s">
        <v>126</v>
      </c>
      <c r="Z157" s="29">
        <v>1</v>
      </c>
      <c r="AA157" s="9">
        <v>1</v>
      </c>
      <c r="AB157" s="9">
        <v>1</v>
      </c>
      <c r="AC157" s="9">
        <v>2</v>
      </c>
      <c r="AD157" s="43">
        <v>2</v>
      </c>
      <c r="AE157" s="55">
        <v>0.35859414261160716</v>
      </c>
      <c r="AF157" s="52" t="s">
        <v>111</v>
      </c>
    </row>
    <row r="158" spans="1:32">
      <c r="A158" s="227">
        <v>2006</v>
      </c>
      <c r="B158" s="227">
        <v>126</v>
      </c>
      <c r="C158" s="227" t="s">
        <v>97</v>
      </c>
      <c r="D158" s="227">
        <v>202</v>
      </c>
      <c r="E158" s="227">
        <v>288</v>
      </c>
      <c r="F158" s="227">
        <v>40</v>
      </c>
      <c r="G158" s="227">
        <v>0.87804878048780488</v>
      </c>
      <c r="H158" s="227">
        <v>0.12195121951219511</v>
      </c>
      <c r="I158" s="312" t="s">
        <v>110</v>
      </c>
      <c r="J158" s="29">
        <v>1</v>
      </c>
      <c r="K158" s="9">
        <v>1</v>
      </c>
      <c r="L158" s="9">
        <v>1</v>
      </c>
      <c r="M158" s="9">
        <v>2</v>
      </c>
      <c r="N158" s="43">
        <v>2</v>
      </c>
      <c r="O158" s="265">
        <f t="shared" si="3"/>
        <v>0.35859414261160716</v>
      </c>
      <c r="P158" s="164" t="s">
        <v>111</v>
      </c>
      <c r="Q158" s="227">
        <v>2014</v>
      </c>
      <c r="R158" s="227">
        <v>3176</v>
      </c>
      <c r="S158" s="227" t="s">
        <v>97</v>
      </c>
      <c r="T158" s="227">
        <v>329</v>
      </c>
      <c r="U158" s="227">
        <v>907</v>
      </c>
      <c r="V158" s="227">
        <v>2598</v>
      </c>
      <c r="W158" s="227">
        <v>0.2587731811697575</v>
      </c>
      <c r="X158" s="227">
        <v>0.74122681883024244</v>
      </c>
      <c r="Y158" s="100" t="s">
        <v>126</v>
      </c>
      <c r="Z158" s="29">
        <v>1</v>
      </c>
      <c r="AA158" s="9">
        <v>1</v>
      </c>
      <c r="AB158" s="9">
        <v>1</v>
      </c>
      <c r="AC158" s="9">
        <v>2</v>
      </c>
      <c r="AD158" s="43">
        <v>2</v>
      </c>
      <c r="AE158" s="55">
        <v>0.35859414261160716</v>
      </c>
      <c r="AF158" s="52" t="s">
        <v>111</v>
      </c>
    </row>
    <row r="159" spans="1:32">
      <c r="A159" s="227">
        <v>2006</v>
      </c>
      <c r="B159" s="227">
        <v>241</v>
      </c>
      <c r="C159" s="227" t="s">
        <v>95</v>
      </c>
      <c r="D159" s="227">
        <v>81</v>
      </c>
      <c r="E159" s="227">
        <v>272</v>
      </c>
      <c r="F159" s="227">
        <v>50</v>
      </c>
      <c r="G159" s="227">
        <v>0.84472049689440998</v>
      </c>
      <c r="H159" s="227">
        <v>0.15527950310558999</v>
      </c>
      <c r="I159" s="312" t="s">
        <v>110</v>
      </c>
      <c r="J159" s="29">
        <v>1</v>
      </c>
      <c r="K159" s="9">
        <v>1</v>
      </c>
      <c r="L159" s="9">
        <v>1</v>
      </c>
      <c r="M159" s="9">
        <v>2</v>
      </c>
      <c r="N159" s="43">
        <v>2</v>
      </c>
      <c r="O159" s="265">
        <f t="shared" si="3"/>
        <v>0.35859414261160716</v>
      </c>
      <c r="P159" s="164" t="s">
        <v>111</v>
      </c>
      <c r="Q159" s="227">
        <v>2014</v>
      </c>
      <c r="R159" s="227">
        <v>2491</v>
      </c>
      <c r="S159" s="227" t="s">
        <v>95</v>
      </c>
      <c r="T159" s="227">
        <v>214</v>
      </c>
      <c r="U159" s="227">
        <v>600</v>
      </c>
      <c r="V159" s="227">
        <v>2105</v>
      </c>
      <c r="W159" s="227">
        <v>0.22181146025878001</v>
      </c>
      <c r="X159" s="227">
        <v>0.77818853974121993</v>
      </c>
      <c r="Y159" s="100" t="s">
        <v>126</v>
      </c>
      <c r="Z159" s="29">
        <v>1</v>
      </c>
      <c r="AA159" s="9">
        <v>1</v>
      </c>
      <c r="AB159" s="9">
        <v>1</v>
      </c>
      <c r="AC159" s="9">
        <v>2</v>
      </c>
      <c r="AD159" s="43">
        <v>2</v>
      </c>
      <c r="AE159" s="55">
        <v>0.35859414261160716</v>
      </c>
      <c r="AF159" s="52" t="s">
        <v>111</v>
      </c>
    </row>
    <row r="160" spans="1:32">
      <c r="A160" s="227">
        <v>2006</v>
      </c>
      <c r="B160" s="227">
        <v>98</v>
      </c>
      <c r="C160" s="227" t="s">
        <v>93</v>
      </c>
      <c r="D160" s="227">
        <v>60</v>
      </c>
      <c r="E160" s="227">
        <v>46</v>
      </c>
      <c r="F160" s="227">
        <v>112</v>
      </c>
      <c r="G160" s="227">
        <v>0.29113924050632911</v>
      </c>
      <c r="H160" s="227">
        <v>0.70886075949367089</v>
      </c>
      <c r="I160" s="312" t="s">
        <v>110</v>
      </c>
      <c r="J160" s="29">
        <v>1</v>
      </c>
      <c r="K160" s="9">
        <v>1</v>
      </c>
      <c r="L160" s="9">
        <v>1</v>
      </c>
      <c r="M160" s="9">
        <v>2</v>
      </c>
      <c r="N160" s="43">
        <v>2</v>
      </c>
      <c r="O160" s="265">
        <f t="shared" si="3"/>
        <v>0.35859414261160716</v>
      </c>
      <c r="P160" s="164" t="s">
        <v>111</v>
      </c>
      <c r="Q160" s="227">
        <v>2014</v>
      </c>
      <c r="R160" s="227">
        <v>3000</v>
      </c>
      <c r="S160" s="227" t="s">
        <v>93</v>
      </c>
      <c r="T160" s="227">
        <v>66</v>
      </c>
      <c r="U160" s="227">
        <v>426</v>
      </c>
      <c r="V160" s="227">
        <v>2640</v>
      </c>
      <c r="W160" s="227">
        <v>0.13894324853228959</v>
      </c>
      <c r="X160" s="227">
        <v>0.86105675146771032</v>
      </c>
      <c r="Y160" s="100" t="s">
        <v>126</v>
      </c>
      <c r="Z160" s="29">
        <v>1</v>
      </c>
      <c r="AA160" s="9">
        <v>1</v>
      </c>
      <c r="AB160" s="9">
        <v>1</v>
      </c>
      <c r="AC160" s="9">
        <v>2</v>
      </c>
      <c r="AD160" s="43">
        <v>2</v>
      </c>
      <c r="AE160" s="55">
        <v>0.35859414261160716</v>
      </c>
      <c r="AF160" s="52" t="s">
        <v>111</v>
      </c>
    </row>
    <row r="161" spans="1:32">
      <c r="A161" s="227">
        <v>2006</v>
      </c>
      <c r="B161" s="227">
        <v>2399</v>
      </c>
      <c r="C161" s="227" t="s">
        <v>98</v>
      </c>
      <c r="D161" s="227">
        <v>841</v>
      </c>
      <c r="E161" s="227">
        <v>3240</v>
      </c>
      <c r="F161" s="227">
        <v>0</v>
      </c>
      <c r="G161" s="227">
        <v>1</v>
      </c>
      <c r="H161" s="227">
        <v>0</v>
      </c>
      <c r="I161" s="312" t="s">
        <v>110</v>
      </c>
      <c r="J161" s="29">
        <v>1</v>
      </c>
      <c r="K161" s="9">
        <v>1</v>
      </c>
      <c r="L161" s="9">
        <v>1</v>
      </c>
      <c r="M161" s="9">
        <v>2</v>
      </c>
      <c r="N161" s="43">
        <v>2</v>
      </c>
      <c r="O161" s="265">
        <f t="shared" si="3"/>
        <v>0.35859414261160716</v>
      </c>
      <c r="P161" s="164" t="s">
        <v>111</v>
      </c>
      <c r="Q161" s="227">
        <v>2014</v>
      </c>
      <c r="R161" s="227">
        <v>13212</v>
      </c>
      <c r="S161" s="227" t="s">
        <v>98</v>
      </c>
      <c r="T161" s="227">
        <v>1633</v>
      </c>
      <c r="U161" s="227">
        <v>4942</v>
      </c>
      <c r="V161" s="227">
        <v>9903</v>
      </c>
      <c r="W161" s="227">
        <v>0.33290670259346578</v>
      </c>
      <c r="X161" s="227">
        <v>0.66709329740653422</v>
      </c>
      <c r="Y161" s="100" t="s">
        <v>126</v>
      </c>
      <c r="Z161" s="29">
        <v>1</v>
      </c>
      <c r="AA161" s="9">
        <v>1</v>
      </c>
      <c r="AB161" s="9">
        <v>1</v>
      </c>
      <c r="AC161" s="9">
        <v>2</v>
      </c>
      <c r="AD161" s="43">
        <v>2</v>
      </c>
      <c r="AE161" s="55">
        <v>0.35859414261160716</v>
      </c>
      <c r="AF161" s="52" t="s">
        <v>111</v>
      </c>
    </row>
    <row r="162" spans="1:32">
      <c r="A162" s="227">
        <v>2007</v>
      </c>
      <c r="B162" s="227">
        <v>1685</v>
      </c>
      <c r="C162" s="227" t="s">
        <v>85</v>
      </c>
      <c r="D162" s="227">
        <v>651</v>
      </c>
      <c r="E162" s="227">
        <v>2114</v>
      </c>
      <c r="F162" s="227">
        <v>222</v>
      </c>
      <c r="G162" s="227">
        <v>0.90496575342465757</v>
      </c>
      <c r="H162" s="227">
        <v>9.5034246575342429E-2</v>
      </c>
      <c r="I162" s="312" t="s">
        <v>110</v>
      </c>
      <c r="J162" s="29">
        <v>1</v>
      </c>
      <c r="K162" s="9">
        <v>1</v>
      </c>
      <c r="L162" s="9">
        <v>1</v>
      </c>
      <c r="M162" s="9">
        <v>2</v>
      </c>
      <c r="N162" s="43">
        <v>2</v>
      </c>
      <c r="O162" s="265">
        <f t="shared" si="3"/>
        <v>0.35859414261160716</v>
      </c>
      <c r="P162" s="164" t="s">
        <v>111</v>
      </c>
      <c r="Q162" s="227">
        <v>2015</v>
      </c>
      <c r="R162" s="227">
        <v>12194</v>
      </c>
      <c r="S162" s="227" t="s">
        <v>85</v>
      </c>
      <c r="T162" s="227">
        <v>3427</v>
      </c>
      <c r="U162" s="227">
        <v>2694</v>
      </c>
      <c r="V162" s="227">
        <v>12927</v>
      </c>
      <c r="W162" s="227">
        <v>0.17246014979834839</v>
      </c>
      <c r="X162" s="227">
        <v>0.82753985020165166</v>
      </c>
      <c r="Y162" s="100" t="s">
        <v>126</v>
      </c>
      <c r="Z162" s="29">
        <v>1</v>
      </c>
      <c r="AA162" s="9">
        <v>1</v>
      </c>
      <c r="AB162" s="9">
        <v>1</v>
      </c>
      <c r="AC162" s="9">
        <v>2</v>
      </c>
      <c r="AD162" s="43">
        <v>2</v>
      </c>
      <c r="AE162" s="55">
        <v>0.35859414261160716</v>
      </c>
      <c r="AF162" s="52" t="s">
        <v>111</v>
      </c>
    </row>
    <row r="163" spans="1:32">
      <c r="A163" s="227">
        <v>2007</v>
      </c>
      <c r="B163" s="227">
        <v>290</v>
      </c>
      <c r="C163" s="227" t="s">
        <v>86</v>
      </c>
      <c r="D163" s="227">
        <v>160</v>
      </c>
      <c r="E163" s="227">
        <v>380</v>
      </c>
      <c r="F163" s="227">
        <v>70</v>
      </c>
      <c r="G163" s="227">
        <v>0.84444444444444444</v>
      </c>
      <c r="H163" s="227">
        <v>0.15555555555555561</v>
      </c>
      <c r="I163" s="312" t="s">
        <v>110</v>
      </c>
      <c r="J163" s="29">
        <v>1</v>
      </c>
      <c r="K163" s="9">
        <v>1</v>
      </c>
      <c r="L163" s="9">
        <v>1</v>
      </c>
      <c r="M163" s="9">
        <v>2</v>
      </c>
      <c r="N163" s="43">
        <v>2</v>
      </c>
      <c r="O163" s="265">
        <f t="shared" si="3"/>
        <v>0.35859414261160716</v>
      </c>
      <c r="P163" s="164" t="s">
        <v>111</v>
      </c>
      <c r="Q163" s="227">
        <v>2015</v>
      </c>
      <c r="R163" s="227">
        <v>5847</v>
      </c>
      <c r="S163" s="227" t="s">
        <v>86</v>
      </c>
      <c r="T163" s="227">
        <v>1146</v>
      </c>
      <c r="U163" s="227">
        <v>1354</v>
      </c>
      <c r="V163" s="227">
        <v>5639</v>
      </c>
      <c r="W163" s="227">
        <v>0.1936221936221936</v>
      </c>
      <c r="X163" s="227">
        <v>0.80637780637780643</v>
      </c>
      <c r="Y163" s="100" t="s">
        <v>126</v>
      </c>
      <c r="Z163" s="29">
        <v>1</v>
      </c>
      <c r="AA163" s="9">
        <v>1</v>
      </c>
      <c r="AB163" s="9">
        <v>1</v>
      </c>
      <c r="AC163" s="9">
        <v>2</v>
      </c>
      <c r="AD163" s="43">
        <v>2</v>
      </c>
      <c r="AE163" s="55">
        <v>0.35859414261160716</v>
      </c>
      <c r="AF163" s="52" t="s">
        <v>111</v>
      </c>
    </row>
    <row r="164" spans="1:32">
      <c r="A164" s="227">
        <v>2007</v>
      </c>
      <c r="B164" s="227">
        <v>1021</v>
      </c>
      <c r="C164" s="227" t="s">
        <v>87</v>
      </c>
      <c r="D164" s="227">
        <v>239</v>
      </c>
      <c r="E164" s="227">
        <v>313</v>
      </c>
      <c r="F164" s="227">
        <v>947</v>
      </c>
      <c r="G164" s="227">
        <v>0.24841269841269839</v>
      </c>
      <c r="H164" s="227">
        <v>0.75158730158730158</v>
      </c>
      <c r="I164" s="312" t="s">
        <v>110</v>
      </c>
      <c r="J164" s="29">
        <v>1</v>
      </c>
      <c r="K164" s="9">
        <v>1</v>
      </c>
      <c r="L164" s="9">
        <v>1</v>
      </c>
      <c r="M164" s="9">
        <v>2</v>
      </c>
      <c r="N164" s="43">
        <v>2</v>
      </c>
      <c r="O164" s="265">
        <f t="shared" si="3"/>
        <v>0.35859414261160716</v>
      </c>
      <c r="P164" s="164" t="s">
        <v>111</v>
      </c>
      <c r="Q164" s="227">
        <v>2015</v>
      </c>
      <c r="R164" s="227">
        <v>8085</v>
      </c>
      <c r="S164" s="227" t="s">
        <v>87</v>
      </c>
      <c r="T164" s="227">
        <v>886</v>
      </c>
      <c r="U164" s="227">
        <v>1027</v>
      </c>
      <c r="V164" s="227">
        <v>7944</v>
      </c>
      <c r="W164" s="227">
        <v>0.11447999108237659</v>
      </c>
      <c r="X164" s="227">
        <v>0.88552000891762339</v>
      </c>
      <c r="Y164" s="100" t="s">
        <v>126</v>
      </c>
      <c r="Z164" s="29">
        <v>1</v>
      </c>
      <c r="AA164" s="9">
        <v>1</v>
      </c>
      <c r="AB164" s="9">
        <v>1</v>
      </c>
      <c r="AC164" s="9">
        <v>2</v>
      </c>
      <c r="AD164" s="43">
        <v>2</v>
      </c>
      <c r="AE164" s="55">
        <v>0.35859414261160716</v>
      </c>
      <c r="AF164" s="52" t="s">
        <v>111</v>
      </c>
    </row>
    <row r="165" spans="1:32">
      <c r="A165" s="227">
        <v>2007</v>
      </c>
      <c r="B165" s="227">
        <v>8</v>
      </c>
      <c r="C165" s="227" t="s">
        <v>88</v>
      </c>
      <c r="D165" s="227">
        <v>58</v>
      </c>
      <c r="E165" s="227">
        <v>66</v>
      </c>
      <c r="F165" s="227">
        <v>0</v>
      </c>
      <c r="G165" s="227">
        <v>1</v>
      </c>
      <c r="H165" s="227">
        <v>0</v>
      </c>
      <c r="I165" s="312" t="s">
        <v>110</v>
      </c>
      <c r="J165" s="29">
        <v>1</v>
      </c>
      <c r="K165" s="9">
        <v>1</v>
      </c>
      <c r="L165" s="9">
        <v>1</v>
      </c>
      <c r="M165" s="9">
        <v>2</v>
      </c>
      <c r="N165" s="43">
        <v>2</v>
      </c>
      <c r="O165" s="265">
        <f t="shared" si="3"/>
        <v>0.35859414261160716</v>
      </c>
      <c r="P165" s="164" t="s">
        <v>111</v>
      </c>
      <c r="Q165" s="227">
        <v>2015</v>
      </c>
      <c r="R165" s="227">
        <v>1554</v>
      </c>
      <c r="S165" s="227" t="s">
        <v>88</v>
      </c>
      <c r="T165" s="227">
        <v>93</v>
      </c>
      <c r="U165" s="227">
        <v>288</v>
      </c>
      <c r="V165" s="227">
        <v>1359</v>
      </c>
      <c r="W165" s="227">
        <v>0.1748633879781421</v>
      </c>
      <c r="X165" s="227">
        <v>0.82513661202185795</v>
      </c>
      <c r="Y165" s="100" t="s">
        <v>126</v>
      </c>
      <c r="Z165" s="29">
        <v>1</v>
      </c>
      <c r="AA165" s="9">
        <v>1</v>
      </c>
      <c r="AB165" s="9">
        <v>1</v>
      </c>
      <c r="AC165" s="9">
        <v>2</v>
      </c>
      <c r="AD165" s="43">
        <v>2</v>
      </c>
      <c r="AE165" s="55">
        <v>0.35859414261160716</v>
      </c>
      <c r="AF165" s="52" t="s">
        <v>111</v>
      </c>
    </row>
    <row r="166" spans="1:32">
      <c r="A166" s="227">
        <v>2007</v>
      </c>
      <c r="B166" s="227">
        <v>191</v>
      </c>
      <c r="C166" s="227" t="s">
        <v>89</v>
      </c>
      <c r="D166" s="227">
        <v>41</v>
      </c>
      <c r="E166" s="227">
        <v>152</v>
      </c>
      <c r="F166" s="227">
        <v>80</v>
      </c>
      <c r="G166" s="227">
        <v>0.65517241379310343</v>
      </c>
      <c r="H166" s="227">
        <v>0.34482758620689657</v>
      </c>
      <c r="I166" s="312" t="s">
        <v>110</v>
      </c>
      <c r="J166" s="29">
        <v>1</v>
      </c>
      <c r="K166" s="9">
        <v>1</v>
      </c>
      <c r="L166" s="9">
        <v>1</v>
      </c>
      <c r="M166" s="9">
        <v>2</v>
      </c>
      <c r="N166" s="43">
        <v>2</v>
      </c>
      <c r="O166" s="265">
        <f t="shared" si="3"/>
        <v>0.35859414261160716</v>
      </c>
      <c r="P166" s="164" t="s">
        <v>111</v>
      </c>
      <c r="Q166" s="227">
        <v>2015</v>
      </c>
      <c r="R166" s="227">
        <v>1624</v>
      </c>
      <c r="S166" s="227" t="s">
        <v>89</v>
      </c>
      <c r="T166" s="227">
        <v>72</v>
      </c>
      <c r="U166" s="227">
        <v>127</v>
      </c>
      <c r="V166" s="227">
        <v>1569</v>
      </c>
      <c r="W166" s="227">
        <v>7.4882075471698117E-2</v>
      </c>
      <c r="X166" s="227">
        <v>0.92511792452830188</v>
      </c>
      <c r="Y166" s="100" t="s">
        <v>126</v>
      </c>
      <c r="Z166" s="29">
        <v>1</v>
      </c>
      <c r="AA166" s="9">
        <v>1</v>
      </c>
      <c r="AB166" s="9">
        <v>1</v>
      </c>
      <c r="AC166" s="9">
        <v>2</v>
      </c>
      <c r="AD166" s="43">
        <v>2</v>
      </c>
      <c r="AE166" s="55">
        <v>0.35859414261160716</v>
      </c>
      <c r="AF166" s="52" t="s">
        <v>111</v>
      </c>
    </row>
    <row r="167" spans="1:32">
      <c r="A167" s="227">
        <v>2007</v>
      </c>
      <c r="B167" s="227">
        <v>610</v>
      </c>
      <c r="C167" s="227" t="s">
        <v>90</v>
      </c>
      <c r="D167" s="227">
        <v>148</v>
      </c>
      <c r="E167" s="227">
        <v>651</v>
      </c>
      <c r="F167" s="227">
        <v>107</v>
      </c>
      <c r="G167" s="227">
        <v>0.85883905013192607</v>
      </c>
      <c r="H167" s="227">
        <v>0.1411609498680739</v>
      </c>
      <c r="I167" s="312" t="s">
        <v>110</v>
      </c>
      <c r="J167" s="29">
        <v>1</v>
      </c>
      <c r="K167" s="9">
        <v>1</v>
      </c>
      <c r="L167" s="9">
        <v>1</v>
      </c>
      <c r="M167" s="9">
        <v>2</v>
      </c>
      <c r="N167" s="43">
        <v>2</v>
      </c>
      <c r="O167" s="265">
        <f t="shared" si="3"/>
        <v>0.35859414261160716</v>
      </c>
      <c r="P167" s="164" t="s">
        <v>111</v>
      </c>
      <c r="Q167" s="227">
        <v>2015</v>
      </c>
      <c r="R167" s="227">
        <v>7154</v>
      </c>
      <c r="S167" s="227" t="s">
        <v>90</v>
      </c>
      <c r="T167" s="227">
        <v>388</v>
      </c>
      <c r="U167" s="227">
        <v>1655</v>
      </c>
      <c r="V167" s="227">
        <v>5887</v>
      </c>
      <c r="W167" s="227">
        <v>0.21943781490320871</v>
      </c>
      <c r="X167" s="227">
        <v>0.78056218509679132</v>
      </c>
      <c r="Y167" s="100" t="s">
        <v>126</v>
      </c>
      <c r="Z167" s="29">
        <v>1</v>
      </c>
      <c r="AA167" s="9">
        <v>1</v>
      </c>
      <c r="AB167" s="9">
        <v>1</v>
      </c>
      <c r="AC167" s="9">
        <v>2</v>
      </c>
      <c r="AD167" s="43">
        <v>2</v>
      </c>
      <c r="AE167" s="55">
        <v>0.35859414261160716</v>
      </c>
      <c r="AF167" s="52" t="s">
        <v>111</v>
      </c>
    </row>
    <row r="168" spans="1:32">
      <c r="A168" s="227">
        <v>2007</v>
      </c>
      <c r="B168" s="227">
        <v>209</v>
      </c>
      <c r="C168" s="227" t="s">
        <v>91</v>
      </c>
      <c r="D168" s="227">
        <v>116</v>
      </c>
      <c r="E168" s="227">
        <v>325</v>
      </c>
      <c r="F168" s="227">
        <v>0</v>
      </c>
      <c r="G168" s="227">
        <v>1</v>
      </c>
      <c r="H168" s="227">
        <v>0</v>
      </c>
      <c r="I168" s="312" t="s">
        <v>110</v>
      </c>
      <c r="J168" s="29">
        <v>1</v>
      </c>
      <c r="K168" s="9">
        <v>1</v>
      </c>
      <c r="L168" s="9">
        <v>1</v>
      </c>
      <c r="M168" s="9">
        <v>2</v>
      </c>
      <c r="N168" s="43">
        <v>2</v>
      </c>
      <c r="O168" s="265">
        <f t="shared" si="3"/>
        <v>0.35859414261160716</v>
      </c>
      <c r="P168" s="164" t="s">
        <v>111</v>
      </c>
      <c r="Q168" s="227">
        <v>2015</v>
      </c>
      <c r="R168" s="227">
        <v>2872</v>
      </c>
      <c r="S168" s="227" t="s">
        <v>91</v>
      </c>
      <c r="T168" s="227">
        <v>871</v>
      </c>
      <c r="U168" s="227">
        <v>326</v>
      </c>
      <c r="V168" s="227">
        <v>3417</v>
      </c>
      <c r="W168" s="227">
        <v>8.7095912369756875E-2</v>
      </c>
      <c r="X168" s="227">
        <v>0.91290408763024311</v>
      </c>
      <c r="Y168" s="100" t="s">
        <v>126</v>
      </c>
      <c r="Z168" s="29">
        <v>1</v>
      </c>
      <c r="AA168" s="9">
        <v>1</v>
      </c>
      <c r="AB168" s="9">
        <v>1</v>
      </c>
      <c r="AC168" s="9">
        <v>2</v>
      </c>
      <c r="AD168" s="43">
        <v>2</v>
      </c>
      <c r="AE168" s="55">
        <v>0.35859414261160716</v>
      </c>
      <c r="AF168" s="52" t="s">
        <v>111</v>
      </c>
    </row>
    <row r="169" spans="1:32">
      <c r="A169" s="227">
        <v>2007</v>
      </c>
      <c r="B169" s="227">
        <v>140</v>
      </c>
      <c r="C169" s="227" t="s">
        <v>94</v>
      </c>
      <c r="D169" s="227">
        <v>18</v>
      </c>
      <c r="E169" s="227">
        <v>158</v>
      </c>
      <c r="F169" s="227">
        <v>0</v>
      </c>
      <c r="G169" s="227">
        <v>1</v>
      </c>
      <c r="H169" s="227">
        <v>0</v>
      </c>
      <c r="I169" s="312" t="s">
        <v>110</v>
      </c>
      <c r="J169" s="29">
        <v>1</v>
      </c>
      <c r="K169" s="9">
        <v>1</v>
      </c>
      <c r="L169" s="9">
        <v>1</v>
      </c>
      <c r="M169" s="9">
        <v>2</v>
      </c>
      <c r="N169" s="43">
        <v>2</v>
      </c>
      <c r="O169" s="265">
        <f t="shared" si="3"/>
        <v>0.35859414261160716</v>
      </c>
      <c r="P169" s="164" t="s">
        <v>111</v>
      </c>
      <c r="Q169" s="227">
        <v>2015</v>
      </c>
      <c r="R169" s="227">
        <v>400</v>
      </c>
      <c r="S169" s="227" t="s">
        <v>94</v>
      </c>
      <c r="T169" s="227">
        <v>163</v>
      </c>
      <c r="U169" s="227">
        <v>156</v>
      </c>
      <c r="V169" s="227">
        <v>407</v>
      </c>
      <c r="W169" s="227">
        <v>0.27708703374777982</v>
      </c>
      <c r="X169" s="227">
        <v>0.72291296625222023</v>
      </c>
      <c r="Y169" s="100" t="s">
        <v>126</v>
      </c>
      <c r="Z169" s="29">
        <v>1</v>
      </c>
      <c r="AA169" s="9">
        <v>1</v>
      </c>
      <c r="AB169" s="9">
        <v>1</v>
      </c>
      <c r="AC169" s="9">
        <v>2</v>
      </c>
      <c r="AD169" s="43">
        <v>2</v>
      </c>
      <c r="AE169" s="55">
        <v>0.35859414261160716</v>
      </c>
      <c r="AF169" s="52" t="s">
        <v>111</v>
      </c>
    </row>
    <row r="170" spans="1:32">
      <c r="A170" s="227">
        <v>2007</v>
      </c>
      <c r="B170" s="227">
        <v>337</v>
      </c>
      <c r="C170" s="227" t="s">
        <v>96</v>
      </c>
      <c r="D170" s="227">
        <v>80</v>
      </c>
      <c r="E170" s="227">
        <v>217</v>
      </c>
      <c r="F170" s="227">
        <v>200</v>
      </c>
      <c r="G170" s="227">
        <v>0.52038369304556353</v>
      </c>
      <c r="H170" s="227">
        <v>0.47961630695443652</v>
      </c>
      <c r="I170" s="312" t="s">
        <v>110</v>
      </c>
      <c r="J170" s="29">
        <v>1</v>
      </c>
      <c r="K170" s="9">
        <v>1</v>
      </c>
      <c r="L170" s="9">
        <v>1</v>
      </c>
      <c r="M170" s="9">
        <v>2</v>
      </c>
      <c r="N170" s="43">
        <v>2</v>
      </c>
      <c r="O170" s="265">
        <f t="shared" si="3"/>
        <v>0.35859414261160716</v>
      </c>
      <c r="P170" s="164" t="s">
        <v>111</v>
      </c>
      <c r="Q170" s="227">
        <v>2015</v>
      </c>
      <c r="R170" s="227">
        <v>973</v>
      </c>
      <c r="S170" s="227" t="s">
        <v>96</v>
      </c>
      <c r="T170" s="227">
        <v>82</v>
      </c>
      <c r="U170" s="227">
        <v>262</v>
      </c>
      <c r="V170" s="227">
        <v>793</v>
      </c>
      <c r="W170" s="227">
        <v>0.24834123222748819</v>
      </c>
      <c r="X170" s="227">
        <v>0.75165876777251184</v>
      </c>
      <c r="Y170" s="100" t="s">
        <v>126</v>
      </c>
      <c r="Z170" s="29">
        <v>1</v>
      </c>
      <c r="AA170" s="9">
        <v>1</v>
      </c>
      <c r="AB170" s="9">
        <v>1</v>
      </c>
      <c r="AC170" s="9">
        <v>2</v>
      </c>
      <c r="AD170" s="43">
        <v>2</v>
      </c>
      <c r="AE170" s="55">
        <v>0.35859414261160716</v>
      </c>
      <c r="AF170" s="52" t="s">
        <v>111</v>
      </c>
    </row>
    <row r="171" spans="1:32">
      <c r="A171" s="227">
        <v>2007</v>
      </c>
      <c r="B171" s="227">
        <v>139</v>
      </c>
      <c r="C171" s="227" t="s">
        <v>97</v>
      </c>
      <c r="D171" s="227">
        <v>204</v>
      </c>
      <c r="E171" s="227">
        <v>269</v>
      </c>
      <c r="F171" s="227">
        <v>74</v>
      </c>
      <c r="G171" s="227">
        <v>0.78425655976676389</v>
      </c>
      <c r="H171" s="227">
        <v>0.21574344023323611</v>
      </c>
      <c r="I171" s="312" t="s">
        <v>110</v>
      </c>
      <c r="J171" s="29">
        <v>1</v>
      </c>
      <c r="K171" s="9">
        <v>1</v>
      </c>
      <c r="L171" s="9">
        <v>1</v>
      </c>
      <c r="M171" s="9">
        <v>2</v>
      </c>
      <c r="N171" s="43">
        <v>2</v>
      </c>
      <c r="O171" s="265">
        <f t="shared" si="3"/>
        <v>0.35859414261160716</v>
      </c>
      <c r="P171" s="164" t="s">
        <v>111</v>
      </c>
      <c r="Q171" s="227">
        <v>2015</v>
      </c>
      <c r="R171" s="227">
        <v>2282</v>
      </c>
      <c r="S171" s="227" t="s">
        <v>97</v>
      </c>
      <c r="T171" s="227">
        <v>324</v>
      </c>
      <c r="U171" s="227">
        <v>912</v>
      </c>
      <c r="V171" s="227">
        <v>1694</v>
      </c>
      <c r="W171" s="227">
        <v>0.34996162701458172</v>
      </c>
      <c r="X171" s="227">
        <v>0.65003837298541822</v>
      </c>
      <c r="Y171" s="100" t="s">
        <v>126</v>
      </c>
      <c r="Z171" s="29">
        <v>1</v>
      </c>
      <c r="AA171" s="9">
        <v>1</v>
      </c>
      <c r="AB171" s="9">
        <v>1</v>
      </c>
      <c r="AC171" s="9">
        <v>2</v>
      </c>
      <c r="AD171" s="43">
        <v>2</v>
      </c>
      <c r="AE171" s="55">
        <v>0.35859414261160716</v>
      </c>
      <c r="AF171" s="52" t="s">
        <v>111</v>
      </c>
    </row>
    <row r="172" spans="1:32">
      <c r="A172" s="227">
        <v>2007</v>
      </c>
      <c r="B172" s="227">
        <v>219</v>
      </c>
      <c r="C172" s="227" t="s">
        <v>95</v>
      </c>
      <c r="D172" s="227">
        <v>121</v>
      </c>
      <c r="E172" s="227">
        <v>261</v>
      </c>
      <c r="F172" s="227">
        <v>79</v>
      </c>
      <c r="G172" s="227">
        <v>0.76764705882352946</v>
      </c>
      <c r="H172" s="227">
        <v>0.23235294117647051</v>
      </c>
      <c r="I172" s="312" t="s">
        <v>110</v>
      </c>
      <c r="J172" s="29">
        <v>1</v>
      </c>
      <c r="K172" s="9">
        <v>1</v>
      </c>
      <c r="L172" s="9">
        <v>1</v>
      </c>
      <c r="M172" s="9">
        <v>2</v>
      </c>
      <c r="N172" s="43">
        <v>2</v>
      </c>
      <c r="O172" s="265">
        <f t="shared" si="3"/>
        <v>0.35859414261160716</v>
      </c>
      <c r="P172" s="164" t="s">
        <v>111</v>
      </c>
      <c r="Q172" s="227">
        <v>2015</v>
      </c>
      <c r="R172" s="227">
        <v>2444</v>
      </c>
      <c r="S172" s="227" t="s">
        <v>95</v>
      </c>
      <c r="T172" s="227">
        <v>236</v>
      </c>
      <c r="U172" s="227">
        <v>599</v>
      </c>
      <c r="V172" s="227">
        <v>2081</v>
      </c>
      <c r="W172" s="227">
        <v>0.22350746268656721</v>
      </c>
      <c r="X172" s="227">
        <v>0.77649253731343282</v>
      </c>
      <c r="Y172" s="100" t="s">
        <v>126</v>
      </c>
      <c r="Z172" s="29">
        <v>1</v>
      </c>
      <c r="AA172" s="9">
        <v>1</v>
      </c>
      <c r="AB172" s="9">
        <v>1</v>
      </c>
      <c r="AC172" s="9">
        <v>2</v>
      </c>
      <c r="AD172" s="43">
        <v>2</v>
      </c>
      <c r="AE172" s="55">
        <v>0.35859414261160716</v>
      </c>
      <c r="AF172" s="52" t="s">
        <v>111</v>
      </c>
    </row>
    <row r="173" spans="1:32">
      <c r="A173" s="227">
        <v>2007</v>
      </c>
      <c r="B173" s="227">
        <v>98</v>
      </c>
      <c r="C173" s="227" t="s">
        <v>93</v>
      </c>
      <c r="D173" s="227">
        <v>30</v>
      </c>
      <c r="E173" s="227">
        <v>45</v>
      </c>
      <c r="F173" s="227">
        <v>83</v>
      </c>
      <c r="G173" s="227">
        <v>0.3515625</v>
      </c>
      <c r="H173" s="227">
        <v>0.6484375</v>
      </c>
      <c r="I173" s="312" t="s">
        <v>110</v>
      </c>
      <c r="J173" s="29">
        <v>1</v>
      </c>
      <c r="K173" s="9">
        <v>1</v>
      </c>
      <c r="L173" s="9">
        <v>1</v>
      </c>
      <c r="M173" s="9">
        <v>2</v>
      </c>
      <c r="N173" s="43">
        <v>2</v>
      </c>
      <c r="O173" s="265">
        <f t="shared" si="3"/>
        <v>0.35859414261160716</v>
      </c>
      <c r="P173" s="164" t="s">
        <v>111</v>
      </c>
      <c r="Q173" s="227">
        <v>2015</v>
      </c>
      <c r="R173" s="227">
        <v>2400</v>
      </c>
      <c r="S173" s="227" t="s">
        <v>93</v>
      </c>
      <c r="T173" s="227">
        <v>64</v>
      </c>
      <c r="U173" s="227">
        <v>449</v>
      </c>
      <c r="V173" s="227">
        <v>2015</v>
      </c>
      <c r="W173" s="227">
        <v>0.18222402597402601</v>
      </c>
      <c r="X173" s="227">
        <v>0.81777597402597402</v>
      </c>
      <c r="Y173" s="100" t="s">
        <v>126</v>
      </c>
      <c r="Z173" s="29">
        <v>1</v>
      </c>
      <c r="AA173" s="9">
        <v>1</v>
      </c>
      <c r="AB173" s="9">
        <v>1</v>
      </c>
      <c r="AC173" s="9">
        <v>2</v>
      </c>
      <c r="AD173" s="43">
        <v>2</v>
      </c>
      <c r="AE173" s="55">
        <v>0.35859414261160716</v>
      </c>
      <c r="AF173" s="52" t="s">
        <v>111</v>
      </c>
    </row>
    <row r="174" spans="1:32">
      <c r="A174" s="227">
        <v>2007</v>
      </c>
      <c r="B174" s="227">
        <v>2337</v>
      </c>
      <c r="C174" s="227" t="s">
        <v>98</v>
      </c>
      <c r="D174" s="227">
        <v>953</v>
      </c>
      <c r="E174" s="227">
        <v>3290</v>
      </c>
      <c r="F174" s="227">
        <v>0</v>
      </c>
      <c r="G174" s="227">
        <v>1</v>
      </c>
      <c r="H174" s="227">
        <v>0</v>
      </c>
      <c r="I174" s="312" t="s">
        <v>110</v>
      </c>
      <c r="J174" s="29">
        <v>1</v>
      </c>
      <c r="K174" s="9">
        <v>1</v>
      </c>
      <c r="L174" s="9">
        <v>1</v>
      </c>
      <c r="M174" s="9">
        <v>2</v>
      </c>
      <c r="N174" s="43">
        <v>2</v>
      </c>
      <c r="O174" s="265">
        <f t="shared" si="3"/>
        <v>0.35859414261160716</v>
      </c>
      <c r="P174" s="164" t="s">
        <v>111</v>
      </c>
      <c r="Q174" s="227">
        <v>2015</v>
      </c>
      <c r="R174" s="227">
        <v>12995</v>
      </c>
      <c r="S174" s="227" t="s">
        <v>98</v>
      </c>
      <c r="T174" s="227">
        <v>1809</v>
      </c>
      <c r="U174" s="227">
        <v>5127</v>
      </c>
      <c r="V174" s="227">
        <v>9677</v>
      </c>
      <c r="W174" s="227">
        <v>0.34632531748176171</v>
      </c>
      <c r="X174" s="227">
        <v>0.65367468251823824</v>
      </c>
      <c r="Y174" s="100" t="s">
        <v>126</v>
      </c>
      <c r="Z174" s="29">
        <v>1</v>
      </c>
      <c r="AA174" s="9">
        <v>1</v>
      </c>
      <c r="AB174" s="9">
        <v>1</v>
      </c>
      <c r="AC174" s="9">
        <v>2</v>
      </c>
      <c r="AD174" s="43">
        <v>2</v>
      </c>
      <c r="AE174" s="55">
        <v>0.35859414261160716</v>
      </c>
      <c r="AF174" s="52" t="s">
        <v>111</v>
      </c>
    </row>
    <row r="175" spans="1:32">
      <c r="A175" s="227">
        <v>2008</v>
      </c>
      <c r="B175" s="227">
        <v>1680</v>
      </c>
      <c r="C175" s="227" t="s">
        <v>85</v>
      </c>
      <c r="D175" s="227">
        <v>662</v>
      </c>
      <c r="E175" s="227">
        <v>2342</v>
      </c>
      <c r="F175" s="227">
        <v>0</v>
      </c>
      <c r="G175" s="227">
        <v>1</v>
      </c>
      <c r="H175" s="227">
        <v>0</v>
      </c>
      <c r="I175" s="312" t="s">
        <v>110</v>
      </c>
      <c r="J175" s="29">
        <v>1</v>
      </c>
      <c r="K175" s="9">
        <v>1</v>
      </c>
      <c r="L175" s="9">
        <v>1</v>
      </c>
      <c r="M175" s="9">
        <v>2</v>
      </c>
      <c r="N175" s="43">
        <v>2</v>
      </c>
      <c r="O175" s="265">
        <f t="shared" si="3"/>
        <v>0.35859414261160716</v>
      </c>
      <c r="P175" s="164" t="s">
        <v>111</v>
      </c>
      <c r="Q175" s="227">
        <v>2016</v>
      </c>
      <c r="R175" s="227">
        <v>12146</v>
      </c>
      <c r="S175" s="227" t="s">
        <v>85</v>
      </c>
      <c r="T175" s="227">
        <v>3642</v>
      </c>
      <c r="U175" s="227">
        <v>2815</v>
      </c>
      <c r="V175" s="227">
        <v>12973</v>
      </c>
      <c r="W175" s="227">
        <v>0.178299974664302</v>
      </c>
      <c r="X175" s="227">
        <v>0.82170002533569797</v>
      </c>
      <c r="Y175" s="100" t="s">
        <v>126</v>
      </c>
      <c r="Z175" s="29">
        <v>1</v>
      </c>
      <c r="AA175" s="9">
        <v>1</v>
      </c>
      <c r="AB175" s="9">
        <v>1</v>
      </c>
      <c r="AC175" s="9">
        <v>2</v>
      </c>
      <c r="AD175" s="43">
        <v>2</v>
      </c>
      <c r="AE175" s="55">
        <v>0.35859414261160716</v>
      </c>
      <c r="AF175" s="52" t="s">
        <v>111</v>
      </c>
    </row>
    <row r="176" spans="1:32">
      <c r="A176" s="227">
        <v>2008</v>
      </c>
      <c r="B176" s="227">
        <v>290</v>
      </c>
      <c r="C176" s="227" t="s">
        <v>86</v>
      </c>
      <c r="D176" s="227">
        <v>151</v>
      </c>
      <c r="E176" s="227">
        <v>337</v>
      </c>
      <c r="F176" s="227">
        <v>104</v>
      </c>
      <c r="G176" s="227">
        <v>0.76417233560090703</v>
      </c>
      <c r="H176" s="227">
        <v>0.235827664399093</v>
      </c>
      <c r="I176" s="312" t="s">
        <v>110</v>
      </c>
      <c r="J176" s="29">
        <v>1</v>
      </c>
      <c r="K176" s="9">
        <v>1</v>
      </c>
      <c r="L176" s="9">
        <v>1</v>
      </c>
      <c r="M176" s="9">
        <v>2</v>
      </c>
      <c r="N176" s="43">
        <v>2</v>
      </c>
      <c r="O176" s="265">
        <f t="shared" si="3"/>
        <v>0.35859414261160716</v>
      </c>
      <c r="P176" s="164" t="s">
        <v>111</v>
      </c>
      <c r="Q176" s="227">
        <v>2016</v>
      </c>
      <c r="R176" s="227">
        <v>5815</v>
      </c>
      <c r="S176" s="227" t="s">
        <v>86</v>
      </c>
      <c r="T176" s="227">
        <v>1070</v>
      </c>
      <c r="U176" s="227">
        <v>1277</v>
      </c>
      <c r="V176" s="227">
        <v>5608</v>
      </c>
      <c r="W176" s="227">
        <v>0.18547567175018159</v>
      </c>
      <c r="X176" s="227">
        <v>0.81452432824981846</v>
      </c>
      <c r="Y176" s="100" t="s">
        <v>126</v>
      </c>
      <c r="Z176" s="29">
        <v>1</v>
      </c>
      <c r="AA176" s="9">
        <v>1</v>
      </c>
      <c r="AB176" s="9">
        <v>1</v>
      </c>
      <c r="AC176" s="9">
        <v>2</v>
      </c>
      <c r="AD176" s="43">
        <v>2</v>
      </c>
      <c r="AE176" s="55">
        <v>0.35859414261160716</v>
      </c>
      <c r="AF176" s="52" t="s">
        <v>111</v>
      </c>
    </row>
    <row r="177" spans="1:32">
      <c r="A177" s="227">
        <v>2008</v>
      </c>
      <c r="B177" s="227">
        <v>852</v>
      </c>
      <c r="C177" s="227" t="s">
        <v>87</v>
      </c>
      <c r="D177" s="227">
        <v>235</v>
      </c>
      <c r="E177" s="227">
        <v>164</v>
      </c>
      <c r="F177" s="227">
        <v>923</v>
      </c>
      <c r="G177" s="227">
        <v>0.15087396504139841</v>
      </c>
      <c r="H177" s="227">
        <v>0.84912603495860162</v>
      </c>
      <c r="I177" s="312" t="s">
        <v>110</v>
      </c>
      <c r="J177" s="29">
        <v>1</v>
      </c>
      <c r="K177" s="9">
        <v>1</v>
      </c>
      <c r="L177" s="9">
        <v>1</v>
      </c>
      <c r="M177" s="9">
        <v>2</v>
      </c>
      <c r="N177" s="43">
        <v>2</v>
      </c>
      <c r="O177" s="265">
        <f t="shared" si="3"/>
        <v>0.35859414261160716</v>
      </c>
      <c r="P177" s="164" t="s">
        <v>111</v>
      </c>
      <c r="Q177" s="227">
        <v>2016</v>
      </c>
      <c r="R177" s="227">
        <v>8396</v>
      </c>
      <c r="S177" s="227" t="s">
        <v>87</v>
      </c>
      <c r="T177" s="227">
        <v>968</v>
      </c>
      <c r="U177" s="227">
        <v>994</v>
      </c>
      <c r="V177" s="227">
        <v>8370</v>
      </c>
      <c r="W177" s="227">
        <v>0.10615121742844939</v>
      </c>
      <c r="X177" s="227">
        <v>0.89384878257155065</v>
      </c>
      <c r="Y177" s="100" t="s">
        <v>126</v>
      </c>
      <c r="Z177" s="29">
        <v>1</v>
      </c>
      <c r="AA177" s="9">
        <v>1</v>
      </c>
      <c r="AB177" s="9">
        <v>1</v>
      </c>
      <c r="AC177" s="9">
        <v>2</v>
      </c>
      <c r="AD177" s="43">
        <v>2</v>
      </c>
      <c r="AE177" s="55">
        <v>0.35859414261160716</v>
      </c>
      <c r="AF177" s="52" t="s">
        <v>111</v>
      </c>
    </row>
    <row r="178" spans="1:32">
      <c r="A178" s="227">
        <v>2008</v>
      </c>
      <c r="B178" s="227">
        <v>25</v>
      </c>
      <c r="C178" s="227" t="s">
        <v>88</v>
      </c>
      <c r="D178" s="227">
        <v>43</v>
      </c>
      <c r="E178" s="227">
        <v>68</v>
      </c>
      <c r="F178" s="227">
        <v>0</v>
      </c>
      <c r="G178" s="227">
        <v>1</v>
      </c>
      <c r="H178" s="227">
        <v>0</v>
      </c>
      <c r="I178" s="312" t="s">
        <v>110</v>
      </c>
      <c r="J178" s="29">
        <v>1</v>
      </c>
      <c r="K178" s="9">
        <v>1</v>
      </c>
      <c r="L178" s="9">
        <v>1</v>
      </c>
      <c r="M178" s="9">
        <v>2</v>
      </c>
      <c r="N178" s="43">
        <v>2</v>
      </c>
      <c r="O178" s="265">
        <f t="shared" si="3"/>
        <v>0.35859414261160716</v>
      </c>
      <c r="P178" s="164" t="s">
        <v>111</v>
      </c>
      <c r="Q178" s="227">
        <v>2016</v>
      </c>
      <c r="R178" s="227">
        <v>1781</v>
      </c>
      <c r="S178" s="227" t="s">
        <v>88</v>
      </c>
      <c r="T178" s="227">
        <v>63</v>
      </c>
      <c r="U178" s="227">
        <v>299</v>
      </c>
      <c r="V178" s="227">
        <v>1545</v>
      </c>
      <c r="W178" s="227">
        <v>0.1621475054229935</v>
      </c>
      <c r="X178" s="227">
        <v>0.8378524945770065</v>
      </c>
      <c r="Y178" s="100" t="s">
        <v>126</v>
      </c>
      <c r="Z178" s="29">
        <v>1</v>
      </c>
      <c r="AA178" s="9">
        <v>1</v>
      </c>
      <c r="AB178" s="9">
        <v>1</v>
      </c>
      <c r="AC178" s="9">
        <v>2</v>
      </c>
      <c r="AD178" s="43">
        <v>2</v>
      </c>
      <c r="AE178" s="55">
        <v>0.35859414261160716</v>
      </c>
      <c r="AF178" s="52" t="s">
        <v>111</v>
      </c>
    </row>
    <row r="179" spans="1:32">
      <c r="A179" s="227">
        <v>2008</v>
      </c>
      <c r="B179" s="227">
        <v>191</v>
      </c>
      <c r="C179" s="227" t="s">
        <v>89</v>
      </c>
      <c r="D179" s="227">
        <v>31</v>
      </c>
      <c r="E179" s="227">
        <v>141</v>
      </c>
      <c r="F179" s="227">
        <v>81</v>
      </c>
      <c r="G179" s="227">
        <v>0.63513513513513509</v>
      </c>
      <c r="H179" s="227">
        <v>0.36486486486486491</v>
      </c>
      <c r="I179" s="312" t="s">
        <v>110</v>
      </c>
      <c r="J179" s="29">
        <v>1</v>
      </c>
      <c r="K179" s="9">
        <v>1</v>
      </c>
      <c r="L179" s="9">
        <v>1</v>
      </c>
      <c r="M179" s="9">
        <v>2</v>
      </c>
      <c r="N179" s="43">
        <v>2</v>
      </c>
      <c r="O179" s="265">
        <f t="shared" si="3"/>
        <v>0.35859414261160716</v>
      </c>
      <c r="P179" s="164" t="s">
        <v>111</v>
      </c>
      <c r="Q179" s="227">
        <v>2016</v>
      </c>
      <c r="R179" s="227">
        <v>1544</v>
      </c>
      <c r="S179" s="227" t="s">
        <v>89</v>
      </c>
      <c r="T179" s="227">
        <v>69</v>
      </c>
      <c r="U179" s="227">
        <v>112</v>
      </c>
      <c r="V179" s="227">
        <v>1501</v>
      </c>
      <c r="W179" s="227">
        <v>6.9435833849969E-2</v>
      </c>
      <c r="X179" s="227">
        <v>0.93056416615003101</v>
      </c>
      <c r="Y179" s="100" t="s">
        <v>126</v>
      </c>
      <c r="Z179" s="29">
        <v>1</v>
      </c>
      <c r="AA179" s="9">
        <v>1</v>
      </c>
      <c r="AB179" s="9">
        <v>1</v>
      </c>
      <c r="AC179" s="9">
        <v>2</v>
      </c>
      <c r="AD179" s="43">
        <v>2</v>
      </c>
      <c r="AE179" s="55">
        <v>0.35859414261160716</v>
      </c>
      <c r="AF179" s="52" t="s">
        <v>111</v>
      </c>
    </row>
    <row r="180" spans="1:32">
      <c r="A180" s="227">
        <v>2008</v>
      </c>
      <c r="B180" s="227">
        <v>610</v>
      </c>
      <c r="C180" s="227" t="s">
        <v>90</v>
      </c>
      <c r="D180" s="227">
        <v>124</v>
      </c>
      <c r="E180" s="227">
        <v>642</v>
      </c>
      <c r="F180" s="227">
        <v>92</v>
      </c>
      <c r="G180" s="227">
        <v>0.87465940054495916</v>
      </c>
      <c r="H180" s="227">
        <v>0.12534059945504081</v>
      </c>
      <c r="I180" s="312" t="s">
        <v>110</v>
      </c>
      <c r="J180" s="29">
        <v>1</v>
      </c>
      <c r="K180" s="9">
        <v>1</v>
      </c>
      <c r="L180" s="9">
        <v>1</v>
      </c>
      <c r="M180" s="9">
        <v>2</v>
      </c>
      <c r="N180" s="43">
        <v>2</v>
      </c>
      <c r="O180" s="265">
        <f t="shared" si="3"/>
        <v>0.35859414261160716</v>
      </c>
      <c r="P180" s="164" t="s">
        <v>111</v>
      </c>
      <c r="Q180" s="227">
        <v>2016</v>
      </c>
      <c r="R180" s="227">
        <v>5989</v>
      </c>
      <c r="S180" s="227" t="s">
        <v>90</v>
      </c>
      <c r="T180" s="227">
        <v>316</v>
      </c>
      <c r="U180" s="227">
        <v>1644</v>
      </c>
      <c r="V180" s="227">
        <v>4661</v>
      </c>
      <c r="W180" s="227">
        <v>0.26074544012688339</v>
      </c>
      <c r="X180" s="227">
        <v>0.73925455987311661</v>
      </c>
      <c r="Y180" s="100" t="s">
        <v>126</v>
      </c>
      <c r="Z180" s="29">
        <v>1</v>
      </c>
      <c r="AA180" s="9">
        <v>1</v>
      </c>
      <c r="AB180" s="9">
        <v>1</v>
      </c>
      <c r="AC180" s="9">
        <v>2</v>
      </c>
      <c r="AD180" s="43">
        <v>2</v>
      </c>
      <c r="AE180" s="55">
        <v>0.35859414261160716</v>
      </c>
      <c r="AF180" s="52" t="s">
        <v>111</v>
      </c>
    </row>
    <row r="181" spans="1:32">
      <c r="A181" s="227">
        <v>2008</v>
      </c>
      <c r="B181" s="227">
        <v>176</v>
      </c>
      <c r="C181" s="227" t="s">
        <v>91</v>
      </c>
      <c r="D181" s="227">
        <v>94</v>
      </c>
      <c r="E181" s="227">
        <v>270</v>
      </c>
      <c r="F181" s="227">
        <v>0</v>
      </c>
      <c r="G181" s="227">
        <v>1</v>
      </c>
      <c r="H181" s="227">
        <v>0</v>
      </c>
      <c r="I181" s="312" t="s">
        <v>110</v>
      </c>
      <c r="J181" s="29">
        <v>1</v>
      </c>
      <c r="K181" s="9">
        <v>1</v>
      </c>
      <c r="L181" s="9">
        <v>1</v>
      </c>
      <c r="M181" s="9">
        <v>2</v>
      </c>
      <c r="N181" s="43">
        <v>2</v>
      </c>
      <c r="O181" s="265">
        <f t="shared" si="3"/>
        <v>0.35859414261160716</v>
      </c>
      <c r="P181" s="164" t="s">
        <v>111</v>
      </c>
      <c r="Q181" s="227">
        <v>2016</v>
      </c>
      <c r="R181" s="227">
        <v>2830</v>
      </c>
      <c r="S181" s="227" t="s">
        <v>91</v>
      </c>
      <c r="T181" s="227">
        <v>706</v>
      </c>
      <c r="U181" s="227">
        <v>325</v>
      </c>
      <c r="V181" s="227">
        <v>3211</v>
      </c>
      <c r="W181" s="227">
        <v>9.1911764705882359E-2</v>
      </c>
      <c r="X181" s="227">
        <v>0.90808823529411764</v>
      </c>
      <c r="Y181" s="100" t="s">
        <v>126</v>
      </c>
      <c r="Z181" s="29">
        <v>1</v>
      </c>
      <c r="AA181" s="9">
        <v>1</v>
      </c>
      <c r="AB181" s="9">
        <v>1</v>
      </c>
      <c r="AC181" s="9">
        <v>2</v>
      </c>
      <c r="AD181" s="43">
        <v>2</v>
      </c>
      <c r="AE181" s="55">
        <v>0.35859414261160716</v>
      </c>
      <c r="AF181" s="52" t="s">
        <v>111</v>
      </c>
    </row>
    <row r="182" spans="1:32">
      <c r="A182" s="227">
        <v>2008</v>
      </c>
      <c r="B182" s="227">
        <v>128</v>
      </c>
      <c r="C182" s="227" t="s">
        <v>94</v>
      </c>
      <c r="D182" s="227">
        <v>23</v>
      </c>
      <c r="E182" s="227">
        <v>151</v>
      </c>
      <c r="F182" s="227">
        <v>0</v>
      </c>
      <c r="G182" s="227">
        <v>1</v>
      </c>
      <c r="H182" s="227">
        <v>0</v>
      </c>
      <c r="I182" s="312" t="s">
        <v>110</v>
      </c>
      <c r="J182" s="29">
        <v>1</v>
      </c>
      <c r="K182" s="9">
        <v>1</v>
      </c>
      <c r="L182" s="9">
        <v>1</v>
      </c>
      <c r="M182" s="9">
        <v>2</v>
      </c>
      <c r="N182" s="43">
        <v>2</v>
      </c>
      <c r="O182" s="265">
        <f t="shared" si="3"/>
        <v>0.35859414261160716</v>
      </c>
      <c r="P182" s="164" t="s">
        <v>111</v>
      </c>
      <c r="Q182" s="227">
        <v>2016</v>
      </c>
      <c r="R182" s="227">
        <v>551</v>
      </c>
      <c r="S182" s="227" t="s">
        <v>94</v>
      </c>
      <c r="T182" s="227">
        <v>158</v>
      </c>
      <c r="U182" s="227">
        <v>163</v>
      </c>
      <c r="V182" s="227">
        <v>546</v>
      </c>
      <c r="W182" s="227">
        <v>0.22990126939351199</v>
      </c>
      <c r="X182" s="227">
        <v>0.77009873060648804</v>
      </c>
      <c r="Y182" s="100" t="s">
        <v>126</v>
      </c>
      <c r="Z182" s="29">
        <v>1</v>
      </c>
      <c r="AA182" s="9">
        <v>1</v>
      </c>
      <c r="AB182" s="9">
        <v>1</v>
      </c>
      <c r="AC182" s="9">
        <v>2</v>
      </c>
      <c r="AD182" s="43">
        <v>2</v>
      </c>
      <c r="AE182" s="55">
        <v>0.35859414261160716</v>
      </c>
      <c r="AF182" s="52" t="s">
        <v>111</v>
      </c>
    </row>
    <row r="183" spans="1:32">
      <c r="A183" s="227">
        <v>2008</v>
      </c>
      <c r="B183" s="227">
        <v>337</v>
      </c>
      <c r="C183" s="227" t="s">
        <v>96</v>
      </c>
      <c r="D183" s="227">
        <v>117</v>
      </c>
      <c r="E183" s="227">
        <v>200</v>
      </c>
      <c r="F183" s="227">
        <v>254</v>
      </c>
      <c r="G183" s="227">
        <v>0.44052863436123352</v>
      </c>
      <c r="H183" s="227">
        <v>0.55947136563876654</v>
      </c>
      <c r="I183" s="312" t="s">
        <v>110</v>
      </c>
      <c r="J183" s="29">
        <v>1</v>
      </c>
      <c r="K183" s="9">
        <v>1</v>
      </c>
      <c r="L183" s="9">
        <v>1</v>
      </c>
      <c r="M183" s="9">
        <v>2</v>
      </c>
      <c r="N183" s="43">
        <v>2</v>
      </c>
      <c r="O183" s="265">
        <f t="shared" si="3"/>
        <v>0.35859414261160716</v>
      </c>
      <c r="P183" s="164" t="s">
        <v>111</v>
      </c>
      <c r="Q183" s="227">
        <v>2016</v>
      </c>
      <c r="R183" s="227">
        <v>1139</v>
      </c>
      <c r="S183" s="227" t="s">
        <v>96</v>
      </c>
      <c r="T183" s="227">
        <v>101</v>
      </c>
      <c r="U183" s="227">
        <v>233</v>
      </c>
      <c r="V183" s="227">
        <v>1007</v>
      </c>
      <c r="W183" s="227">
        <v>0.18790322580645161</v>
      </c>
      <c r="X183" s="227">
        <v>0.81209677419354842</v>
      </c>
      <c r="Y183" s="100" t="s">
        <v>126</v>
      </c>
      <c r="Z183" s="29">
        <v>1</v>
      </c>
      <c r="AA183" s="9">
        <v>1</v>
      </c>
      <c r="AB183" s="9">
        <v>1</v>
      </c>
      <c r="AC183" s="9">
        <v>2</v>
      </c>
      <c r="AD183" s="43">
        <v>2</v>
      </c>
      <c r="AE183" s="55">
        <v>0.35859414261160716</v>
      </c>
      <c r="AF183" s="52" t="s">
        <v>111</v>
      </c>
    </row>
    <row r="184" spans="1:32">
      <c r="A184" s="227">
        <v>2008</v>
      </c>
      <c r="B184" s="227">
        <v>125</v>
      </c>
      <c r="C184" s="227" t="s">
        <v>97</v>
      </c>
      <c r="D184" s="227">
        <v>197</v>
      </c>
      <c r="E184" s="227">
        <v>298</v>
      </c>
      <c r="F184" s="227">
        <v>24</v>
      </c>
      <c r="G184" s="227">
        <v>0.92546583850931674</v>
      </c>
      <c r="H184" s="227">
        <v>7.4534161490683259E-2</v>
      </c>
      <c r="I184" s="312" t="s">
        <v>110</v>
      </c>
      <c r="J184" s="29">
        <v>1</v>
      </c>
      <c r="K184" s="9">
        <v>1</v>
      </c>
      <c r="L184" s="9">
        <v>1</v>
      </c>
      <c r="M184" s="9">
        <v>2</v>
      </c>
      <c r="N184" s="43">
        <v>2</v>
      </c>
      <c r="O184" s="265">
        <f t="shared" si="3"/>
        <v>0.35859414261160716</v>
      </c>
      <c r="P184" s="164" t="s">
        <v>111</v>
      </c>
      <c r="Q184" s="227">
        <v>2016</v>
      </c>
      <c r="R184" s="227">
        <v>1965</v>
      </c>
      <c r="S184" s="227" t="s">
        <v>97</v>
      </c>
      <c r="T184" s="227">
        <v>309</v>
      </c>
      <c r="U184" s="227">
        <v>961</v>
      </c>
      <c r="V184" s="227">
        <v>1313</v>
      </c>
      <c r="W184" s="227">
        <v>0.42260334212840811</v>
      </c>
      <c r="X184" s="227">
        <v>0.57739665787159189</v>
      </c>
      <c r="Y184" s="100" t="s">
        <v>126</v>
      </c>
      <c r="Z184" s="29">
        <v>1</v>
      </c>
      <c r="AA184" s="9">
        <v>1</v>
      </c>
      <c r="AB184" s="9">
        <v>1</v>
      </c>
      <c r="AC184" s="9">
        <v>2</v>
      </c>
      <c r="AD184" s="43">
        <v>2</v>
      </c>
      <c r="AE184" s="55">
        <v>0.35859414261160716</v>
      </c>
      <c r="AF184" s="52" t="s">
        <v>111</v>
      </c>
    </row>
    <row r="185" spans="1:32">
      <c r="A185" s="227">
        <v>2008</v>
      </c>
      <c r="B185" s="227">
        <v>199</v>
      </c>
      <c r="C185" s="227" t="s">
        <v>95</v>
      </c>
      <c r="D185" s="227">
        <v>101</v>
      </c>
      <c r="E185" s="227">
        <v>238</v>
      </c>
      <c r="F185" s="227">
        <v>62</v>
      </c>
      <c r="G185" s="227">
        <v>0.79333333333333333</v>
      </c>
      <c r="H185" s="227">
        <v>0.20666666666666669</v>
      </c>
      <c r="I185" s="312" t="s">
        <v>110</v>
      </c>
      <c r="J185" s="29">
        <v>1</v>
      </c>
      <c r="K185" s="9">
        <v>1</v>
      </c>
      <c r="L185" s="9">
        <v>1</v>
      </c>
      <c r="M185" s="9">
        <v>2</v>
      </c>
      <c r="N185" s="43">
        <v>2</v>
      </c>
      <c r="O185" s="265">
        <f t="shared" si="3"/>
        <v>0.35859414261160716</v>
      </c>
      <c r="P185" s="164" t="s">
        <v>111</v>
      </c>
      <c r="Q185" s="227">
        <v>2016</v>
      </c>
      <c r="R185" s="227">
        <v>2397</v>
      </c>
      <c r="S185" s="227" t="s">
        <v>95</v>
      </c>
      <c r="T185" s="227">
        <v>249</v>
      </c>
      <c r="U185" s="227">
        <v>629</v>
      </c>
      <c r="V185" s="227">
        <v>2017</v>
      </c>
      <c r="W185" s="227">
        <v>0.2377173091458806</v>
      </c>
      <c r="X185" s="227">
        <v>0.76228269085411937</v>
      </c>
      <c r="Y185" s="100" t="s">
        <v>126</v>
      </c>
      <c r="Z185" s="29">
        <v>1</v>
      </c>
      <c r="AA185" s="9">
        <v>1</v>
      </c>
      <c r="AB185" s="9">
        <v>1</v>
      </c>
      <c r="AC185" s="9">
        <v>2</v>
      </c>
      <c r="AD185" s="43">
        <v>2</v>
      </c>
      <c r="AE185" s="55">
        <v>0.35859414261160716</v>
      </c>
      <c r="AF185" s="52" t="s">
        <v>111</v>
      </c>
    </row>
    <row r="186" spans="1:32">
      <c r="A186" s="227">
        <v>2008</v>
      </c>
      <c r="B186" s="227">
        <v>98</v>
      </c>
      <c r="C186" s="227" t="s">
        <v>93</v>
      </c>
      <c r="D186" s="227">
        <v>28</v>
      </c>
      <c r="E186" s="227">
        <v>71</v>
      </c>
      <c r="F186" s="227">
        <v>55</v>
      </c>
      <c r="G186" s="227">
        <v>0.56349206349206349</v>
      </c>
      <c r="H186" s="227">
        <v>0.43650793650793651</v>
      </c>
      <c r="I186" s="312" t="s">
        <v>110</v>
      </c>
      <c r="J186" s="29">
        <v>1</v>
      </c>
      <c r="K186" s="9">
        <v>1</v>
      </c>
      <c r="L186" s="9">
        <v>1</v>
      </c>
      <c r="M186" s="9">
        <v>2</v>
      </c>
      <c r="N186" s="43">
        <v>2</v>
      </c>
      <c r="O186" s="265">
        <f t="shared" si="3"/>
        <v>0.35859414261160716</v>
      </c>
      <c r="P186" s="164" t="s">
        <v>111</v>
      </c>
      <c r="Q186" s="227">
        <v>2016</v>
      </c>
      <c r="R186" s="227">
        <v>2400</v>
      </c>
      <c r="S186" s="227" t="s">
        <v>93</v>
      </c>
      <c r="T186" s="227">
        <v>55</v>
      </c>
      <c r="U186" s="227">
        <v>473</v>
      </c>
      <c r="V186" s="227">
        <v>1982</v>
      </c>
      <c r="W186" s="227">
        <v>0.19266802443991851</v>
      </c>
      <c r="X186" s="227">
        <v>0.80733197556008141</v>
      </c>
      <c r="Y186" s="100" t="s">
        <v>126</v>
      </c>
      <c r="Z186" s="29">
        <v>1</v>
      </c>
      <c r="AA186" s="9">
        <v>1</v>
      </c>
      <c r="AB186" s="9">
        <v>1</v>
      </c>
      <c r="AC186" s="9">
        <v>2</v>
      </c>
      <c r="AD186" s="43">
        <v>2</v>
      </c>
      <c r="AE186" s="55">
        <v>0.35859414261160716</v>
      </c>
      <c r="AF186" s="52" t="s">
        <v>111</v>
      </c>
    </row>
    <row r="187" spans="1:32">
      <c r="A187" s="227">
        <v>2008</v>
      </c>
      <c r="B187" s="227">
        <v>2137</v>
      </c>
      <c r="C187" s="227" t="s">
        <v>98</v>
      </c>
      <c r="D187" s="227">
        <v>868</v>
      </c>
      <c r="E187" s="227">
        <v>3005</v>
      </c>
      <c r="F187" s="227">
        <v>0</v>
      </c>
      <c r="G187" s="227">
        <v>1</v>
      </c>
      <c r="H187" s="227">
        <v>0</v>
      </c>
      <c r="I187" s="312" t="s">
        <v>110</v>
      </c>
      <c r="J187" s="29">
        <v>1</v>
      </c>
      <c r="K187" s="9">
        <v>1</v>
      </c>
      <c r="L187" s="9">
        <v>1</v>
      </c>
      <c r="M187" s="9">
        <v>2</v>
      </c>
      <c r="N187" s="43">
        <v>2</v>
      </c>
      <c r="O187" s="265">
        <f t="shared" si="3"/>
        <v>0.35859414261160716</v>
      </c>
      <c r="P187" s="164" t="s">
        <v>111</v>
      </c>
      <c r="Q187" s="227">
        <v>2016</v>
      </c>
      <c r="R187" s="227">
        <v>12878</v>
      </c>
      <c r="S187" s="227" t="s">
        <v>98</v>
      </c>
      <c r="T187" s="227">
        <v>1838</v>
      </c>
      <c r="U187" s="227">
        <v>5352</v>
      </c>
      <c r="V187" s="227">
        <v>9364</v>
      </c>
      <c r="W187" s="227">
        <v>0.36368578418048381</v>
      </c>
      <c r="X187" s="227">
        <v>0.63631421581951619</v>
      </c>
      <c r="Y187" s="100" t="s">
        <v>126</v>
      </c>
      <c r="Z187" s="29">
        <v>1</v>
      </c>
      <c r="AA187" s="9">
        <v>1</v>
      </c>
      <c r="AB187" s="9">
        <v>1</v>
      </c>
      <c r="AC187" s="9">
        <v>2</v>
      </c>
      <c r="AD187" s="43">
        <v>2</v>
      </c>
      <c r="AE187" s="55">
        <v>0.35859414261160716</v>
      </c>
      <c r="AF187" s="52" t="s">
        <v>111</v>
      </c>
    </row>
    <row r="188" spans="1:32">
      <c r="A188" s="227">
        <v>2009</v>
      </c>
      <c r="B188" s="227">
        <v>1560</v>
      </c>
      <c r="C188" s="227" t="s">
        <v>85</v>
      </c>
      <c r="D188" s="227">
        <v>593</v>
      </c>
      <c r="E188" s="227">
        <v>2141</v>
      </c>
      <c r="F188" s="227">
        <v>12</v>
      </c>
      <c r="G188" s="227">
        <v>0.99442638179284715</v>
      </c>
      <c r="H188" s="227">
        <v>5.5736182071528528E-3</v>
      </c>
      <c r="I188" s="312" t="s">
        <v>110</v>
      </c>
      <c r="J188" s="29">
        <v>1</v>
      </c>
      <c r="K188" s="9">
        <v>1</v>
      </c>
      <c r="L188" s="9">
        <v>1</v>
      </c>
      <c r="M188" s="9">
        <v>2</v>
      </c>
      <c r="N188" s="43">
        <v>2</v>
      </c>
      <c r="O188" s="265">
        <f t="shared" si="3"/>
        <v>0.35859414261160716</v>
      </c>
      <c r="P188" s="164" t="s">
        <v>111</v>
      </c>
      <c r="Q188" s="227">
        <v>2017</v>
      </c>
      <c r="R188" s="227">
        <v>12829</v>
      </c>
      <c r="S188" s="227" t="s">
        <v>85</v>
      </c>
      <c r="T188" s="227">
        <v>1911</v>
      </c>
      <c r="U188" s="227">
        <v>2919</v>
      </c>
      <c r="V188" s="227">
        <v>11821</v>
      </c>
      <c r="W188" s="227">
        <v>0.1980325644504749</v>
      </c>
      <c r="X188" s="227">
        <v>0.8019674355495251</v>
      </c>
      <c r="Y188" s="100" t="s">
        <v>126</v>
      </c>
      <c r="Z188" s="29">
        <v>1</v>
      </c>
      <c r="AA188" s="9">
        <v>1</v>
      </c>
      <c r="AB188" s="9">
        <v>1</v>
      </c>
      <c r="AC188" s="9">
        <v>2</v>
      </c>
      <c r="AD188" s="43">
        <v>2</v>
      </c>
      <c r="AE188" s="55">
        <v>0.35859414261160716</v>
      </c>
      <c r="AF188" s="52" t="s">
        <v>111</v>
      </c>
    </row>
    <row r="189" spans="1:32">
      <c r="A189" s="227">
        <v>2009</v>
      </c>
      <c r="B189" s="227">
        <v>290</v>
      </c>
      <c r="C189" s="227" t="s">
        <v>86</v>
      </c>
      <c r="D189" s="227">
        <v>162</v>
      </c>
      <c r="E189" s="227">
        <v>355</v>
      </c>
      <c r="F189" s="227">
        <v>97</v>
      </c>
      <c r="G189" s="227">
        <v>0.78539823008849563</v>
      </c>
      <c r="H189" s="227">
        <v>0.2146017699115044</v>
      </c>
      <c r="I189" s="312" t="s">
        <v>110</v>
      </c>
      <c r="J189" s="29">
        <v>1</v>
      </c>
      <c r="K189" s="9">
        <v>1</v>
      </c>
      <c r="L189" s="9">
        <v>1</v>
      </c>
      <c r="M189" s="9">
        <v>2</v>
      </c>
      <c r="N189" s="43">
        <v>2</v>
      </c>
      <c r="O189" s="265">
        <f t="shared" si="3"/>
        <v>0.35859414261160716</v>
      </c>
      <c r="P189" s="164" t="s">
        <v>111</v>
      </c>
      <c r="Q189" s="227">
        <v>2017</v>
      </c>
      <c r="R189" s="227">
        <v>6009</v>
      </c>
      <c r="S189" s="227" t="s">
        <v>86</v>
      </c>
      <c r="T189" s="227">
        <v>1075</v>
      </c>
      <c r="U189" s="227">
        <v>1373</v>
      </c>
      <c r="V189" s="227">
        <v>5711</v>
      </c>
      <c r="W189" s="227">
        <v>0.1938170525127047</v>
      </c>
      <c r="X189" s="227">
        <v>0.80618294748729535</v>
      </c>
      <c r="Y189" s="100" t="s">
        <v>126</v>
      </c>
      <c r="Z189" s="29">
        <v>1</v>
      </c>
      <c r="AA189" s="9">
        <v>1</v>
      </c>
      <c r="AB189" s="9">
        <v>1</v>
      </c>
      <c r="AC189" s="9">
        <v>2</v>
      </c>
      <c r="AD189" s="43">
        <v>2</v>
      </c>
      <c r="AE189" s="55">
        <v>0.35859414261160716</v>
      </c>
      <c r="AF189" s="52" t="s">
        <v>111</v>
      </c>
    </row>
    <row r="190" spans="1:32">
      <c r="A190" s="227">
        <v>2009</v>
      </c>
      <c r="B190" s="227">
        <v>852</v>
      </c>
      <c r="C190" s="227" t="s">
        <v>87</v>
      </c>
      <c r="D190" s="227">
        <v>246</v>
      </c>
      <c r="E190" s="227">
        <v>172</v>
      </c>
      <c r="F190" s="227">
        <v>926</v>
      </c>
      <c r="G190" s="227">
        <v>0.15664845173041889</v>
      </c>
      <c r="H190" s="227">
        <v>0.84335154826958103</v>
      </c>
      <c r="I190" s="312" t="s">
        <v>110</v>
      </c>
      <c r="J190" s="29">
        <v>1</v>
      </c>
      <c r="K190" s="9">
        <v>1</v>
      </c>
      <c r="L190" s="9">
        <v>1</v>
      </c>
      <c r="M190" s="9">
        <v>2</v>
      </c>
      <c r="N190" s="43">
        <v>2</v>
      </c>
      <c r="O190" s="265">
        <f t="shared" si="3"/>
        <v>0.35859414261160716</v>
      </c>
      <c r="P190" s="164" t="s">
        <v>111</v>
      </c>
      <c r="Q190" s="227">
        <v>2017</v>
      </c>
      <c r="R190" s="227">
        <v>9425</v>
      </c>
      <c r="S190" s="227" t="s">
        <v>87</v>
      </c>
      <c r="T190" s="227">
        <v>467</v>
      </c>
      <c r="U190" s="227">
        <v>1050</v>
      </c>
      <c r="V190" s="227">
        <v>8842</v>
      </c>
      <c r="W190" s="227">
        <v>0.1061463809138698</v>
      </c>
      <c r="X190" s="227">
        <v>0.89385361908613015</v>
      </c>
      <c r="Y190" s="100" t="s">
        <v>126</v>
      </c>
      <c r="Z190" s="29">
        <v>1</v>
      </c>
      <c r="AA190" s="9">
        <v>1</v>
      </c>
      <c r="AB190" s="9">
        <v>1</v>
      </c>
      <c r="AC190" s="9">
        <v>2</v>
      </c>
      <c r="AD190" s="43">
        <v>2</v>
      </c>
      <c r="AE190" s="55">
        <v>0.35859414261160716</v>
      </c>
      <c r="AF190" s="52" t="s">
        <v>111</v>
      </c>
    </row>
    <row r="191" spans="1:32">
      <c r="A191" s="227">
        <v>2009</v>
      </c>
      <c r="B191" s="227">
        <v>9</v>
      </c>
      <c r="C191" s="227" t="s">
        <v>88</v>
      </c>
      <c r="D191" s="227">
        <v>41</v>
      </c>
      <c r="E191" s="227">
        <v>50</v>
      </c>
      <c r="F191" s="227">
        <v>0</v>
      </c>
      <c r="G191" s="227">
        <v>1</v>
      </c>
      <c r="H191" s="227">
        <v>0</v>
      </c>
      <c r="I191" s="312" t="s">
        <v>110</v>
      </c>
      <c r="J191" s="29">
        <v>1</v>
      </c>
      <c r="K191" s="9">
        <v>1</v>
      </c>
      <c r="L191" s="9">
        <v>1</v>
      </c>
      <c r="M191" s="9">
        <v>2</v>
      </c>
      <c r="N191" s="43">
        <v>2</v>
      </c>
      <c r="O191" s="265">
        <f t="shared" si="3"/>
        <v>0.35859414261160716</v>
      </c>
      <c r="P191" s="164" t="s">
        <v>111</v>
      </c>
      <c r="Q191" s="227">
        <v>2017</v>
      </c>
      <c r="R191" s="227">
        <v>1814</v>
      </c>
      <c r="S191" s="227" t="s">
        <v>88</v>
      </c>
      <c r="T191" s="227">
        <v>216</v>
      </c>
      <c r="U191" s="227">
        <v>279</v>
      </c>
      <c r="V191" s="227">
        <v>1751</v>
      </c>
      <c r="W191" s="227">
        <v>0.13743842364532019</v>
      </c>
      <c r="X191" s="227">
        <v>0.86256157635467978</v>
      </c>
      <c r="Y191" s="100" t="s">
        <v>126</v>
      </c>
      <c r="Z191" s="29">
        <v>1</v>
      </c>
      <c r="AA191" s="9">
        <v>1</v>
      </c>
      <c r="AB191" s="9">
        <v>1</v>
      </c>
      <c r="AC191" s="9">
        <v>2</v>
      </c>
      <c r="AD191" s="43">
        <v>2</v>
      </c>
      <c r="AE191" s="55">
        <v>0.35859414261160716</v>
      </c>
      <c r="AF191" s="52" t="s">
        <v>111</v>
      </c>
    </row>
    <row r="192" spans="1:32">
      <c r="A192" s="227">
        <v>2009</v>
      </c>
      <c r="B192" s="227">
        <v>191</v>
      </c>
      <c r="C192" s="227" t="s">
        <v>89</v>
      </c>
      <c r="D192" s="227">
        <v>28</v>
      </c>
      <c r="E192" s="227">
        <v>147</v>
      </c>
      <c r="F192" s="227">
        <v>72</v>
      </c>
      <c r="G192" s="227">
        <v>0.67123287671232879</v>
      </c>
      <c r="H192" s="227">
        <v>0.32876712328767121</v>
      </c>
      <c r="I192" s="312" t="s">
        <v>110</v>
      </c>
      <c r="J192" s="29">
        <v>1</v>
      </c>
      <c r="K192" s="9">
        <v>1</v>
      </c>
      <c r="L192" s="9">
        <v>1</v>
      </c>
      <c r="M192" s="9">
        <v>2</v>
      </c>
      <c r="N192" s="43">
        <v>2</v>
      </c>
      <c r="O192" s="265">
        <f t="shared" si="3"/>
        <v>0.35859414261160716</v>
      </c>
      <c r="P192" s="164" t="s">
        <v>111</v>
      </c>
      <c r="Q192" s="227">
        <v>2017</v>
      </c>
      <c r="R192" s="227">
        <v>1611</v>
      </c>
      <c r="S192" s="227" t="s">
        <v>89</v>
      </c>
      <c r="T192" s="227">
        <v>46</v>
      </c>
      <c r="U192" s="227">
        <v>115</v>
      </c>
      <c r="V192" s="227">
        <v>1542</v>
      </c>
      <c r="W192" s="227">
        <v>6.9402534701267352E-2</v>
      </c>
      <c r="X192" s="227">
        <v>0.93059746529873266</v>
      </c>
      <c r="Y192" s="100" t="s">
        <v>126</v>
      </c>
      <c r="Z192" s="29">
        <v>1</v>
      </c>
      <c r="AA192" s="9">
        <v>1</v>
      </c>
      <c r="AB192" s="9">
        <v>1</v>
      </c>
      <c r="AC192" s="9">
        <v>2</v>
      </c>
      <c r="AD192" s="43">
        <v>2</v>
      </c>
      <c r="AE192" s="55">
        <v>0.35859414261160716</v>
      </c>
      <c r="AF192" s="52" t="s">
        <v>111</v>
      </c>
    </row>
    <row r="193" spans="1:32">
      <c r="A193" s="227">
        <v>2009</v>
      </c>
      <c r="B193" s="227">
        <v>610</v>
      </c>
      <c r="C193" s="227" t="s">
        <v>90</v>
      </c>
      <c r="D193" s="227">
        <v>159</v>
      </c>
      <c r="E193" s="227">
        <v>593</v>
      </c>
      <c r="F193" s="227">
        <v>176</v>
      </c>
      <c r="G193" s="227">
        <v>0.77113133940182055</v>
      </c>
      <c r="H193" s="227">
        <v>0.22886866059817951</v>
      </c>
      <c r="I193" s="312" t="s">
        <v>110</v>
      </c>
      <c r="J193" s="29">
        <v>1</v>
      </c>
      <c r="K193" s="9">
        <v>1</v>
      </c>
      <c r="L193" s="9">
        <v>1</v>
      </c>
      <c r="M193" s="9">
        <v>2</v>
      </c>
      <c r="N193" s="43">
        <v>2</v>
      </c>
      <c r="O193" s="265">
        <f t="shared" si="3"/>
        <v>0.35859414261160716</v>
      </c>
      <c r="P193" s="164" t="s">
        <v>111</v>
      </c>
      <c r="Q193" s="227">
        <v>2017</v>
      </c>
      <c r="R193" s="227">
        <v>6797</v>
      </c>
      <c r="S193" s="227" t="s">
        <v>90</v>
      </c>
      <c r="T193" s="227">
        <v>297</v>
      </c>
      <c r="U193" s="227">
        <v>1652</v>
      </c>
      <c r="V193" s="227">
        <v>5442</v>
      </c>
      <c r="W193" s="227">
        <v>0.23287285029602481</v>
      </c>
      <c r="X193" s="227">
        <v>0.76712714970397522</v>
      </c>
      <c r="Y193" s="100" t="s">
        <v>126</v>
      </c>
      <c r="Z193" s="29">
        <v>1</v>
      </c>
      <c r="AA193" s="9">
        <v>1</v>
      </c>
      <c r="AB193" s="9">
        <v>1</v>
      </c>
      <c r="AC193" s="9">
        <v>2</v>
      </c>
      <c r="AD193" s="43">
        <v>2</v>
      </c>
      <c r="AE193" s="55">
        <v>0.35859414261160716</v>
      </c>
      <c r="AF193" s="52" t="s">
        <v>111</v>
      </c>
    </row>
    <row r="194" spans="1:32">
      <c r="A194" s="227">
        <v>2009</v>
      </c>
      <c r="B194" s="227">
        <v>184</v>
      </c>
      <c r="C194" s="227" t="s">
        <v>91</v>
      </c>
      <c r="D194" s="227">
        <v>92</v>
      </c>
      <c r="E194" s="227">
        <v>276</v>
      </c>
      <c r="F194" s="227">
        <v>0</v>
      </c>
      <c r="G194" s="227">
        <v>1</v>
      </c>
      <c r="H194" s="227">
        <v>0</v>
      </c>
      <c r="I194" s="312" t="s">
        <v>110</v>
      </c>
      <c r="J194" s="29">
        <v>1</v>
      </c>
      <c r="K194" s="9">
        <v>1</v>
      </c>
      <c r="L194" s="9">
        <v>1</v>
      </c>
      <c r="M194" s="9">
        <v>2</v>
      </c>
      <c r="N194" s="43">
        <v>2</v>
      </c>
      <c r="O194" s="265">
        <f t="shared" si="3"/>
        <v>0.35859414261160716</v>
      </c>
      <c r="P194" s="164" t="s">
        <v>111</v>
      </c>
      <c r="Q194" s="227">
        <v>2017</v>
      </c>
      <c r="R194" s="227">
        <v>2891</v>
      </c>
      <c r="S194" s="227" t="s">
        <v>91</v>
      </c>
      <c r="T194" s="227">
        <v>909</v>
      </c>
      <c r="U194" s="227">
        <v>292</v>
      </c>
      <c r="V194" s="227">
        <v>3508</v>
      </c>
      <c r="W194" s="227">
        <v>7.6842105263157892E-2</v>
      </c>
      <c r="X194" s="227">
        <v>0.92315789473684207</v>
      </c>
      <c r="Y194" s="100" t="s">
        <v>126</v>
      </c>
      <c r="Z194" s="29">
        <v>1</v>
      </c>
      <c r="AA194" s="9">
        <v>1</v>
      </c>
      <c r="AB194" s="9">
        <v>1</v>
      </c>
      <c r="AC194" s="9">
        <v>2</v>
      </c>
      <c r="AD194" s="43">
        <v>2</v>
      </c>
      <c r="AE194" s="55">
        <v>0.35859414261160716</v>
      </c>
      <c r="AF194" s="52" t="s">
        <v>111</v>
      </c>
    </row>
    <row r="195" spans="1:32">
      <c r="A195" s="227">
        <v>2009</v>
      </c>
      <c r="B195" s="227">
        <v>109</v>
      </c>
      <c r="C195" s="227" t="s">
        <v>94</v>
      </c>
      <c r="D195" s="227">
        <v>23</v>
      </c>
      <c r="E195" s="227">
        <v>132</v>
      </c>
      <c r="F195" s="227">
        <v>0</v>
      </c>
      <c r="G195" s="227">
        <v>1</v>
      </c>
      <c r="H195" s="227">
        <v>0</v>
      </c>
      <c r="I195" s="312" t="s">
        <v>110</v>
      </c>
      <c r="J195" s="29">
        <v>1</v>
      </c>
      <c r="K195" s="9">
        <v>1</v>
      </c>
      <c r="L195" s="9">
        <v>1</v>
      </c>
      <c r="M195" s="9">
        <v>2</v>
      </c>
      <c r="N195" s="43">
        <v>2</v>
      </c>
      <c r="O195" s="265">
        <f t="shared" si="3"/>
        <v>0.35859414261160716</v>
      </c>
      <c r="P195" s="164" t="s">
        <v>111</v>
      </c>
      <c r="Q195" s="227">
        <v>2017</v>
      </c>
      <c r="R195" s="227">
        <v>683</v>
      </c>
      <c r="S195" s="227" t="s">
        <v>94</v>
      </c>
      <c r="T195" s="227">
        <v>213</v>
      </c>
      <c r="U195" s="227">
        <v>192</v>
      </c>
      <c r="V195" s="227">
        <v>704</v>
      </c>
      <c r="W195" s="227">
        <v>0.2142857142857143</v>
      </c>
      <c r="X195" s="227">
        <v>0.7857142857142857</v>
      </c>
      <c r="Y195" s="100" t="s">
        <v>126</v>
      </c>
      <c r="Z195" s="29">
        <v>1</v>
      </c>
      <c r="AA195" s="9">
        <v>1</v>
      </c>
      <c r="AB195" s="9">
        <v>1</v>
      </c>
      <c r="AC195" s="9">
        <v>2</v>
      </c>
      <c r="AD195" s="43">
        <v>2</v>
      </c>
      <c r="AE195" s="55">
        <v>0.35859414261160716</v>
      </c>
      <c r="AF195" s="52" t="s">
        <v>111</v>
      </c>
    </row>
    <row r="196" spans="1:32">
      <c r="A196" s="227">
        <v>2009</v>
      </c>
      <c r="B196" s="227">
        <v>337</v>
      </c>
      <c r="C196" s="227" t="s">
        <v>96</v>
      </c>
      <c r="D196" s="227">
        <v>50</v>
      </c>
      <c r="E196" s="227">
        <v>184</v>
      </c>
      <c r="F196" s="227">
        <v>203</v>
      </c>
      <c r="G196" s="227">
        <v>0.47545219638242892</v>
      </c>
      <c r="H196" s="227">
        <v>0.52454780361757103</v>
      </c>
      <c r="I196" s="312" t="s">
        <v>110</v>
      </c>
      <c r="J196" s="29">
        <v>1</v>
      </c>
      <c r="K196" s="9">
        <v>1</v>
      </c>
      <c r="L196" s="9">
        <v>1</v>
      </c>
      <c r="M196" s="9">
        <v>2</v>
      </c>
      <c r="N196" s="43">
        <v>2</v>
      </c>
      <c r="O196" s="265">
        <f t="shared" si="3"/>
        <v>0.35859414261160716</v>
      </c>
      <c r="P196" s="164" t="s">
        <v>111</v>
      </c>
      <c r="Q196" s="227">
        <v>2017</v>
      </c>
      <c r="R196" s="227">
        <v>1203</v>
      </c>
      <c r="S196" s="227" t="s">
        <v>96</v>
      </c>
      <c r="T196" s="227">
        <v>106</v>
      </c>
      <c r="U196" s="227">
        <v>237</v>
      </c>
      <c r="V196" s="227">
        <v>1072</v>
      </c>
      <c r="W196" s="227">
        <v>0.18105423987776931</v>
      </c>
      <c r="X196" s="227">
        <v>0.81894576012223075</v>
      </c>
      <c r="Y196" s="100" t="s">
        <v>126</v>
      </c>
      <c r="Z196" s="29">
        <v>1</v>
      </c>
      <c r="AA196" s="9">
        <v>1</v>
      </c>
      <c r="AB196" s="9">
        <v>1</v>
      </c>
      <c r="AC196" s="9">
        <v>2</v>
      </c>
      <c r="AD196" s="43">
        <v>2</v>
      </c>
      <c r="AE196" s="55">
        <v>0.35859414261160716</v>
      </c>
      <c r="AF196" s="52" t="s">
        <v>111</v>
      </c>
    </row>
    <row r="197" spans="1:32">
      <c r="A197" s="227">
        <v>2009</v>
      </c>
      <c r="B197" s="227">
        <v>126</v>
      </c>
      <c r="C197" s="227" t="s">
        <v>97</v>
      </c>
      <c r="D197" s="227">
        <v>173</v>
      </c>
      <c r="E197" s="227">
        <v>281</v>
      </c>
      <c r="F197" s="227">
        <v>18</v>
      </c>
      <c r="G197" s="227">
        <v>0.93979933110367897</v>
      </c>
      <c r="H197" s="227">
        <v>6.020066889632103E-2</v>
      </c>
      <c r="I197" s="312" t="s">
        <v>110</v>
      </c>
      <c r="J197" s="29">
        <v>1</v>
      </c>
      <c r="K197" s="9">
        <v>1</v>
      </c>
      <c r="L197" s="9">
        <v>1</v>
      </c>
      <c r="M197" s="9">
        <v>2</v>
      </c>
      <c r="N197" s="43">
        <v>2</v>
      </c>
      <c r="O197" s="265">
        <f t="shared" si="3"/>
        <v>0.35859414261160716</v>
      </c>
      <c r="P197" s="164" t="s">
        <v>111</v>
      </c>
      <c r="Q197" s="227">
        <v>2017</v>
      </c>
      <c r="R197" s="227">
        <v>3038</v>
      </c>
      <c r="S197" s="227" t="s">
        <v>97</v>
      </c>
      <c r="T197" s="227">
        <v>306</v>
      </c>
      <c r="U197" s="227">
        <v>1053</v>
      </c>
      <c r="V197" s="227">
        <v>2291</v>
      </c>
      <c r="W197" s="227">
        <v>0.31489234449760772</v>
      </c>
      <c r="X197" s="227">
        <v>0.68510765550239228</v>
      </c>
      <c r="Y197" s="100" t="s">
        <v>126</v>
      </c>
      <c r="Z197" s="29">
        <v>1</v>
      </c>
      <c r="AA197" s="9">
        <v>1</v>
      </c>
      <c r="AB197" s="9">
        <v>1</v>
      </c>
      <c r="AC197" s="9">
        <v>2</v>
      </c>
      <c r="AD197" s="43">
        <v>2</v>
      </c>
      <c r="AE197" s="55">
        <v>0.35859414261160716</v>
      </c>
      <c r="AF197" s="52" t="s">
        <v>111</v>
      </c>
    </row>
    <row r="198" spans="1:32">
      <c r="A198" s="227">
        <v>2009</v>
      </c>
      <c r="B198" s="227">
        <v>205</v>
      </c>
      <c r="C198" s="227" t="s">
        <v>95</v>
      </c>
      <c r="D198" s="227">
        <v>41</v>
      </c>
      <c r="E198" s="227">
        <v>246</v>
      </c>
      <c r="F198" s="227">
        <v>0</v>
      </c>
      <c r="G198" s="227">
        <v>1</v>
      </c>
      <c r="H198" s="227">
        <v>0</v>
      </c>
      <c r="I198" s="312" t="s">
        <v>110</v>
      </c>
      <c r="J198" s="29">
        <v>1</v>
      </c>
      <c r="K198" s="9">
        <v>1</v>
      </c>
      <c r="L198" s="9">
        <v>1</v>
      </c>
      <c r="M198" s="9">
        <v>2</v>
      </c>
      <c r="N198" s="43">
        <v>2</v>
      </c>
      <c r="O198" s="265">
        <f t="shared" si="3"/>
        <v>0.35859414261160716</v>
      </c>
      <c r="P198" s="164" t="s">
        <v>111</v>
      </c>
      <c r="Q198" s="227">
        <v>2017</v>
      </c>
      <c r="R198" s="227">
        <v>2283</v>
      </c>
      <c r="S198" s="227" t="s">
        <v>95</v>
      </c>
      <c r="T198" s="227">
        <v>214</v>
      </c>
      <c r="U198" s="227">
        <v>650</v>
      </c>
      <c r="V198" s="227">
        <v>1847</v>
      </c>
      <c r="W198" s="227">
        <v>0.26031237484981978</v>
      </c>
      <c r="X198" s="227">
        <v>0.73968762515018027</v>
      </c>
      <c r="Y198" s="100" t="s">
        <v>126</v>
      </c>
      <c r="Z198" s="29">
        <v>1</v>
      </c>
      <c r="AA198" s="9">
        <v>1</v>
      </c>
      <c r="AB198" s="9">
        <v>1</v>
      </c>
      <c r="AC198" s="9">
        <v>2</v>
      </c>
      <c r="AD198" s="43">
        <v>2</v>
      </c>
      <c r="AE198" s="55">
        <v>0.35859414261160716</v>
      </c>
      <c r="AF198" s="52" t="s">
        <v>111</v>
      </c>
    </row>
    <row r="199" spans="1:32">
      <c r="A199" s="227">
        <v>2009</v>
      </c>
      <c r="B199" s="227">
        <v>69</v>
      </c>
      <c r="C199" s="227" t="s">
        <v>93</v>
      </c>
      <c r="D199" s="227">
        <v>35</v>
      </c>
      <c r="E199" s="227">
        <v>59</v>
      </c>
      <c r="F199" s="227">
        <v>45</v>
      </c>
      <c r="G199" s="227">
        <v>0.56730769230769229</v>
      </c>
      <c r="H199" s="227">
        <v>0.43269230769230771</v>
      </c>
      <c r="I199" s="312" t="s">
        <v>110</v>
      </c>
      <c r="J199" s="29">
        <v>1</v>
      </c>
      <c r="K199" s="9">
        <v>1</v>
      </c>
      <c r="L199" s="9">
        <v>1</v>
      </c>
      <c r="M199" s="9">
        <v>2</v>
      </c>
      <c r="N199" s="43">
        <v>2</v>
      </c>
      <c r="O199" s="265">
        <f t="shared" ref="O199:O262" si="4">IF( OR( ISBLANK(J199),ISBLANK(K199), ISBLANK(L199), ISBLANK(M199), ISBLANK(N199) ), "", 1.5*SQRT(   EXP(2.21*(J199-1)) + EXP(2.21*(K199-1)) + EXP(2.21*(L199-1)) + EXP(2.21*(M199-1)) + EXP(2.21*N199)   )/100*2.45 )</f>
        <v>0.35859414261160716</v>
      </c>
      <c r="P199" s="164" t="s">
        <v>111</v>
      </c>
      <c r="Q199" s="227">
        <v>2017</v>
      </c>
      <c r="R199" s="227">
        <v>2871</v>
      </c>
      <c r="S199" s="227" t="s">
        <v>93</v>
      </c>
      <c r="T199" s="227">
        <v>52</v>
      </c>
      <c r="U199" s="227">
        <v>503</v>
      </c>
      <c r="V199" s="227">
        <v>2420</v>
      </c>
      <c r="W199" s="227">
        <v>0.17208347588094419</v>
      </c>
      <c r="X199" s="227">
        <v>0.82791652411905581</v>
      </c>
      <c r="Y199" s="100" t="s">
        <v>126</v>
      </c>
      <c r="Z199" s="29">
        <v>1</v>
      </c>
      <c r="AA199" s="9">
        <v>1</v>
      </c>
      <c r="AB199" s="9">
        <v>1</v>
      </c>
      <c r="AC199" s="9">
        <v>2</v>
      </c>
      <c r="AD199" s="43">
        <v>2</v>
      </c>
      <c r="AE199" s="55">
        <v>0.35859414261160716</v>
      </c>
      <c r="AF199" s="52" t="s">
        <v>111</v>
      </c>
    </row>
    <row r="200" spans="1:32">
      <c r="A200" s="227">
        <v>2009</v>
      </c>
      <c r="B200" s="227">
        <v>2139</v>
      </c>
      <c r="C200" s="227" t="s">
        <v>98</v>
      </c>
      <c r="D200" s="227">
        <v>701</v>
      </c>
      <c r="E200" s="227">
        <v>2840</v>
      </c>
      <c r="F200" s="227">
        <v>0</v>
      </c>
      <c r="G200" s="227">
        <v>1</v>
      </c>
      <c r="H200" s="227">
        <v>0</v>
      </c>
      <c r="I200" s="312" t="s">
        <v>110</v>
      </c>
      <c r="J200" s="29">
        <v>1</v>
      </c>
      <c r="K200" s="9">
        <v>1</v>
      </c>
      <c r="L200" s="9">
        <v>1</v>
      </c>
      <c r="M200" s="9">
        <v>2</v>
      </c>
      <c r="N200" s="43">
        <v>2</v>
      </c>
      <c r="O200" s="265">
        <f t="shared" si="4"/>
        <v>0.35859414261160716</v>
      </c>
      <c r="P200" s="164" t="s">
        <v>111</v>
      </c>
      <c r="Q200" s="227">
        <v>2017</v>
      </c>
      <c r="R200" s="227">
        <v>14059</v>
      </c>
      <c r="S200" s="227" t="s">
        <v>98</v>
      </c>
      <c r="T200" s="227">
        <v>1465</v>
      </c>
      <c r="U200" s="227">
        <v>5454</v>
      </c>
      <c r="V200" s="227">
        <v>10070</v>
      </c>
      <c r="W200" s="227">
        <v>0.35132697758309722</v>
      </c>
      <c r="X200" s="227">
        <v>0.64867302241690283</v>
      </c>
      <c r="Y200" s="100" t="s">
        <v>126</v>
      </c>
      <c r="Z200" s="29">
        <v>1</v>
      </c>
      <c r="AA200" s="9">
        <v>1</v>
      </c>
      <c r="AB200" s="9">
        <v>1</v>
      </c>
      <c r="AC200" s="9">
        <v>2</v>
      </c>
      <c r="AD200" s="43">
        <v>2</v>
      </c>
      <c r="AE200" s="55">
        <v>0.35859414261160716</v>
      </c>
      <c r="AF200" s="52" t="s">
        <v>111</v>
      </c>
    </row>
    <row r="201" spans="1:32">
      <c r="A201" s="227">
        <v>2010</v>
      </c>
      <c r="B201" s="227">
        <v>1474</v>
      </c>
      <c r="C201" s="227" t="s">
        <v>85</v>
      </c>
      <c r="D201" s="227">
        <v>706</v>
      </c>
      <c r="E201" s="227">
        <v>2108</v>
      </c>
      <c r="F201" s="227">
        <v>72</v>
      </c>
      <c r="G201" s="227">
        <v>0.96697247706422018</v>
      </c>
      <c r="H201" s="227">
        <v>3.3027522935779818E-2</v>
      </c>
      <c r="I201" s="312" t="s">
        <v>110</v>
      </c>
      <c r="J201" s="29">
        <v>1</v>
      </c>
      <c r="K201" s="9">
        <v>1</v>
      </c>
      <c r="L201" s="9">
        <v>1</v>
      </c>
      <c r="M201" s="9">
        <v>2</v>
      </c>
      <c r="N201" s="43">
        <v>2</v>
      </c>
      <c r="O201" s="265">
        <f t="shared" si="4"/>
        <v>0.35859414261160716</v>
      </c>
      <c r="P201" s="164" t="s">
        <v>111</v>
      </c>
      <c r="Q201" s="227">
        <v>2018</v>
      </c>
      <c r="R201" s="227">
        <v>12829</v>
      </c>
      <c r="S201" s="227" t="s">
        <v>85</v>
      </c>
      <c r="T201" s="227">
        <v>2104</v>
      </c>
      <c r="U201" s="227">
        <v>2874</v>
      </c>
      <c r="V201" s="227">
        <v>12059</v>
      </c>
      <c r="W201" s="227">
        <v>0.1924596531172571</v>
      </c>
      <c r="X201" s="227">
        <v>0.8075403468827429</v>
      </c>
      <c r="Y201" s="100" t="s">
        <v>126</v>
      </c>
      <c r="Z201" s="29">
        <v>1</v>
      </c>
      <c r="AA201" s="9">
        <v>1</v>
      </c>
      <c r="AB201" s="9">
        <v>1</v>
      </c>
      <c r="AC201" s="9">
        <v>2</v>
      </c>
      <c r="AD201" s="43">
        <v>2</v>
      </c>
      <c r="AE201" s="55">
        <v>0.35859414261160716</v>
      </c>
      <c r="AF201" s="52" t="s">
        <v>111</v>
      </c>
    </row>
    <row r="202" spans="1:32">
      <c r="A202" s="227">
        <v>2010</v>
      </c>
      <c r="B202" s="227">
        <v>290</v>
      </c>
      <c r="C202" s="227" t="s">
        <v>86</v>
      </c>
      <c r="D202" s="227">
        <v>182</v>
      </c>
      <c r="E202" s="227">
        <v>366</v>
      </c>
      <c r="F202" s="227">
        <v>106</v>
      </c>
      <c r="G202" s="227">
        <v>0.77542372881355937</v>
      </c>
      <c r="H202" s="227">
        <v>0.22457627118644061</v>
      </c>
      <c r="I202" s="312" t="s">
        <v>110</v>
      </c>
      <c r="J202" s="29">
        <v>1</v>
      </c>
      <c r="K202" s="9">
        <v>1</v>
      </c>
      <c r="L202" s="9">
        <v>1</v>
      </c>
      <c r="M202" s="9">
        <v>2</v>
      </c>
      <c r="N202" s="43">
        <v>2</v>
      </c>
      <c r="O202" s="265">
        <f t="shared" si="4"/>
        <v>0.35859414261160716</v>
      </c>
      <c r="P202" s="164" t="s">
        <v>111</v>
      </c>
      <c r="Q202" s="227">
        <v>2018</v>
      </c>
      <c r="R202" s="227">
        <v>6009</v>
      </c>
      <c r="S202" s="227" t="s">
        <v>86</v>
      </c>
      <c r="T202" s="227">
        <v>967</v>
      </c>
      <c r="U202" s="227">
        <v>1382</v>
      </c>
      <c r="V202" s="227">
        <v>5594</v>
      </c>
      <c r="W202" s="227">
        <v>0.1981077981651376</v>
      </c>
      <c r="X202" s="227">
        <v>0.80189220183486243</v>
      </c>
      <c r="Y202" s="100" t="s">
        <v>126</v>
      </c>
      <c r="Z202" s="29">
        <v>1</v>
      </c>
      <c r="AA202" s="9">
        <v>1</v>
      </c>
      <c r="AB202" s="9">
        <v>1</v>
      </c>
      <c r="AC202" s="9">
        <v>2</v>
      </c>
      <c r="AD202" s="43">
        <v>2</v>
      </c>
      <c r="AE202" s="55">
        <v>0.35859414261160716</v>
      </c>
      <c r="AF202" s="52" t="s">
        <v>111</v>
      </c>
    </row>
    <row r="203" spans="1:32">
      <c r="A203" s="227">
        <v>2010</v>
      </c>
      <c r="B203" s="227">
        <v>852</v>
      </c>
      <c r="C203" s="227" t="s">
        <v>87</v>
      </c>
      <c r="D203" s="227">
        <v>225</v>
      </c>
      <c r="E203" s="227">
        <v>185</v>
      </c>
      <c r="F203" s="227">
        <v>892</v>
      </c>
      <c r="G203" s="227">
        <v>0.17177344475394621</v>
      </c>
      <c r="H203" s="227">
        <v>0.82822655524605382</v>
      </c>
      <c r="I203" s="312" t="s">
        <v>110</v>
      </c>
      <c r="J203" s="29">
        <v>1</v>
      </c>
      <c r="K203" s="9">
        <v>1</v>
      </c>
      <c r="L203" s="9">
        <v>1</v>
      </c>
      <c r="M203" s="9">
        <v>2</v>
      </c>
      <c r="N203" s="43">
        <v>2</v>
      </c>
      <c r="O203" s="265">
        <f t="shared" si="4"/>
        <v>0.35859414261160716</v>
      </c>
      <c r="P203" s="164" t="s">
        <v>111</v>
      </c>
      <c r="Q203" s="227">
        <v>2018</v>
      </c>
      <c r="R203" s="227">
        <v>9425</v>
      </c>
      <c r="S203" s="227" t="s">
        <v>87</v>
      </c>
      <c r="T203" s="227">
        <v>423</v>
      </c>
      <c r="U203" s="227">
        <v>1044</v>
      </c>
      <c r="V203" s="227">
        <v>8804</v>
      </c>
      <c r="W203" s="227">
        <v>0.1060113728675873</v>
      </c>
      <c r="X203" s="227">
        <v>0.89398862713241267</v>
      </c>
      <c r="Y203" s="100" t="s">
        <v>126</v>
      </c>
      <c r="Z203" s="29">
        <v>1</v>
      </c>
      <c r="AA203" s="9">
        <v>1</v>
      </c>
      <c r="AB203" s="9">
        <v>1</v>
      </c>
      <c r="AC203" s="9">
        <v>2</v>
      </c>
      <c r="AD203" s="43">
        <v>2</v>
      </c>
      <c r="AE203" s="55">
        <v>0.35859414261160716</v>
      </c>
      <c r="AF203" s="52" t="s">
        <v>111</v>
      </c>
    </row>
    <row r="204" spans="1:32">
      <c r="A204" s="227">
        <v>2010</v>
      </c>
      <c r="B204" s="227">
        <v>4</v>
      </c>
      <c r="C204" s="227" t="s">
        <v>88</v>
      </c>
      <c r="D204" s="227">
        <v>41</v>
      </c>
      <c r="E204" s="227">
        <v>14</v>
      </c>
      <c r="F204" s="227">
        <v>31</v>
      </c>
      <c r="G204" s="227">
        <v>0.31111111111111112</v>
      </c>
      <c r="H204" s="227">
        <v>0.68888888888888888</v>
      </c>
      <c r="I204" s="312" t="s">
        <v>110</v>
      </c>
      <c r="J204" s="29">
        <v>1</v>
      </c>
      <c r="K204" s="9">
        <v>1</v>
      </c>
      <c r="L204" s="9">
        <v>1</v>
      </c>
      <c r="M204" s="9">
        <v>2</v>
      </c>
      <c r="N204" s="43">
        <v>2</v>
      </c>
      <c r="O204" s="265">
        <f t="shared" si="4"/>
        <v>0.35859414261160716</v>
      </c>
      <c r="P204" s="164" t="s">
        <v>111</v>
      </c>
      <c r="Q204" s="227">
        <v>2018</v>
      </c>
      <c r="R204" s="227">
        <v>1814</v>
      </c>
      <c r="S204" s="227" t="s">
        <v>88</v>
      </c>
      <c r="T204" s="227">
        <v>198</v>
      </c>
      <c r="U204" s="227">
        <v>300</v>
      </c>
      <c r="V204" s="227">
        <v>1712</v>
      </c>
      <c r="W204" s="227">
        <v>0.14910536779324049</v>
      </c>
      <c r="X204" s="227">
        <v>0.85089463220675943</v>
      </c>
      <c r="Y204" s="100" t="s">
        <v>126</v>
      </c>
      <c r="Z204" s="29">
        <v>1</v>
      </c>
      <c r="AA204" s="9">
        <v>1</v>
      </c>
      <c r="AB204" s="9">
        <v>1</v>
      </c>
      <c r="AC204" s="9">
        <v>2</v>
      </c>
      <c r="AD204" s="43">
        <v>2</v>
      </c>
      <c r="AE204" s="55">
        <v>0.35859414261160716</v>
      </c>
      <c r="AF204" s="52" t="s">
        <v>111</v>
      </c>
    </row>
    <row r="205" spans="1:32">
      <c r="A205" s="227">
        <v>2010</v>
      </c>
      <c r="B205" s="227">
        <v>191</v>
      </c>
      <c r="C205" s="227" t="s">
        <v>89</v>
      </c>
      <c r="D205" s="227">
        <v>28</v>
      </c>
      <c r="E205" s="227">
        <v>158</v>
      </c>
      <c r="F205" s="227">
        <v>61</v>
      </c>
      <c r="G205" s="227">
        <v>0.72146118721461183</v>
      </c>
      <c r="H205" s="227">
        <v>0.27853881278538822</v>
      </c>
      <c r="I205" s="312" t="s">
        <v>110</v>
      </c>
      <c r="J205" s="29">
        <v>1</v>
      </c>
      <c r="K205" s="9">
        <v>1</v>
      </c>
      <c r="L205" s="9">
        <v>1</v>
      </c>
      <c r="M205" s="9">
        <v>2</v>
      </c>
      <c r="N205" s="43">
        <v>2</v>
      </c>
      <c r="O205" s="265">
        <f t="shared" si="4"/>
        <v>0.35859414261160716</v>
      </c>
      <c r="P205" s="164" t="s">
        <v>111</v>
      </c>
      <c r="Q205" s="227">
        <v>2018</v>
      </c>
      <c r="R205" s="227">
        <v>1611</v>
      </c>
      <c r="S205" s="227" t="s">
        <v>89</v>
      </c>
      <c r="T205" s="227">
        <v>48</v>
      </c>
      <c r="U205" s="227">
        <v>96</v>
      </c>
      <c r="V205" s="227">
        <v>1563</v>
      </c>
      <c r="W205" s="227">
        <v>5.7866184448462928E-2</v>
      </c>
      <c r="X205" s="227">
        <v>0.94213381555153708</v>
      </c>
      <c r="Y205" s="100" t="s">
        <v>126</v>
      </c>
      <c r="Z205" s="29">
        <v>1</v>
      </c>
      <c r="AA205" s="9">
        <v>1</v>
      </c>
      <c r="AB205" s="9">
        <v>1</v>
      </c>
      <c r="AC205" s="9">
        <v>2</v>
      </c>
      <c r="AD205" s="43">
        <v>2</v>
      </c>
      <c r="AE205" s="55">
        <v>0.35859414261160716</v>
      </c>
      <c r="AF205" s="52" t="s">
        <v>111</v>
      </c>
    </row>
    <row r="206" spans="1:32">
      <c r="A206" s="227">
        <v>2010</v>
      </c>
      <c r="B206" s="227">
        <v>610</v>
      </c>
      <c r="C206" s="227" t="s">
        <v>90</v>
      </c>
      <c r="D206" s="227">
        <v>121</v>
      </c>
      <c r="E206" s="227">
        <v>667</v>
      </c>
      <c r="F206" s="227">
        <v>64</v>
      </c>
      <c r="G206" s="227">
        <v>0.91244870041039672</v>
      </c>
      <c r="H206" s="227">
        <v>8.7551299589603282E-2</v>
      </c>
      <c r="I206" s="312" t="s">
        <v>110</v>
      </c>
      <c r="J206" s="29">
        <v>1</v>
      </c>
      <c r="K206" s="9">
        <v>1</v>
      </c>
      <c r="L206" s="9">
        <v>1</v>
      </c>
      <c r="M206" s="9">
        <v>2</v>
      </c>
      <c r="N206" s="43">
        <v>2</v>
      </c>
      <c r="O206" s="265">
        <f t="shared" si="4"/>
        <v>0.35859414261160716</v>
      </c>
      <c r="P206" s="164" t="s">
        <v>111</v>
      </c>
      <c r="Q206" s="227">
        <v>2018</v>
      </c>
      <c r="R206" s="227">
        <v>6797</v>
      </c>
      <c r="S206" s="227" t="s">
        <v>90</v>
      </c>
      <c r="T206" s="227">
        <v>267</v>
      </c>
      <c r="U206" s="227">
        <v>1585</v>
      </c>
      <c r="V206" s="227">
        <v>5479</v>
      </c>
      <c r="W206" s="227">
        <v>0.22437712344280861</v>
      </c>
      <c r="X206" s="227">
        <v>0.77562287655719142</v>
      </c>
      <c r="Y206" s="100" t="s">
        <v>126</v>
      </c>
      <c r="Z206" s="29">
        <v>1</v>
      </c>
      <c r="AA206" s="9">
        <v>1</v>
      </c>
      <c r="AB206" s="9">
        <v>1</v>
      </c>
      <c r="AC206" s="9">
        <v>2</v>
      </c>
      <c r="AD206" s="43">
        <v>2</v>
      </c>
      <c r="AE206" s="55">
        <v>0.35859414261160716</v>
      </c>
      <c r="AF206" s="52" t="s">
        <v>111</v>
      </c>
    </row>
    <row r="207" spans="1:32">
      <c r="A207" s="227">
        <v>2010</v>
      </c>
      <c r="B207" s="227">
        <v>356</v>
      </c>
      <c r="C207" s="227" t="s">
        <v>91</v>
      </c>
      <c r="D207" s="227">
        <v>55</v>
      </c>
      <c r="E207" s="227">
        <v>411</v>
      </c>
      <c r="F207" s="227">
        <v>0</v>
      </c>
      <c r="G207" s="227">
        <v>1</v>
      </c>
      <c r="H207" s="227">
        <v>0</v>
      </c>
      <c r="I207" s="312" t="s">
        <v>110</v>
      </c>
      <c r="J207" s="29">
        <v>1</v>
      </c>
      <c r="K207" s="9">
        <v>1</v>
      </c>
      <c r="L207" s="9">
        <v>1</v>
      </c>
      <c r="M207" s="9">
        <v>2</v>
      </c>
      <c r="N207" s="43">
        <v>2</v>
      </c>
      <c r="O207" s="265">
        <f t="shared" si="4"/>
        <v>0.35859414261160716</v>
      </c>
      <c r="P207" s="164" t="s">
        <v>111</v>
      </c>
      <c r="Q207" s="227">
        <v>2018</v>
      </c>
      <c r="R207" s="227">
        <v>2891</v>
      </c>
      <c r="S207" s="227" t="s">
        <v>91</v>
      </c>
      <c r="T207" s="227">
        <v>831</v>
      </c>
      <c r="U207" s="227">
        <v>317</v>
      </c>
      <c r="V207" s="227">
        <v>3405</v>
      </c>
      <c r="W207" s="227">
        <v>8.5169263836646969E-2</v>
      </c>
      <c r="X207" s="227">
        <v>0.91483073616335298</v>
      </c>
      <c r="Y207" s="100" t="s">
        <v>126</v>
      </c>
      <c r="Z207" s="29">
        <v>1</v>
      </c>
      <c r="AA207" s="9">
        <v>1</v>
      </c>
      <c r="AB207" s="9">
        <v>1</v>
      </c>
      <c r="AC207" s="9">
        <v>2</v>
      </c>
      <c r="AD207" s="43">
        <v>2</v>
      </c>
      <c r="AE207" s="55">
        <v>0.35859414261160716</v>
      </c>
      <c r="AF207" s="52" t="s">
        <v>111</v>
      </c>
    </row>
    <row r="208" spans="1:32">
      <c r="A208" s="227">
        <v>2010</v>
      </c>
      <c r="B208" s="227">
        <v>55</v>
      </c>
      <c r="C208" s="227" t="s">
        <v>94</v>
      </c>
      <c r="D208" s="227">
        <v>20</v>
      </c>
      <c r="E208" s="227">
        <v>75</v>
      </c>
      <c r="F208" s="227">
        <v>0</v>
      </c>
      <c r="G208" s="227">
        <v>1</v>
      </c>
      <c r="H208" s="227">
        <v>0</v>
      </c>
      <c r="I208" s="312" t="s">
        <v>110</v>
      </c>
      <c r="J208" s="29">
        <v>1</v>
      </c>
      <c r="K208" s="9">
        <v>1</v>
      </c>
      <c r="L208" s="9">
        <v>1</v>
      </c>
      <c r="M208" s="9">
        <v>2</v>
      </c>
      <c r="N208" s="43">
        <v>2</v>
      </c>
      <c r="O208" s="265">
        <f t="shared" si="4"/>
        <v>0.35859414261160716</v>
      </c>
      <c r="P208" s="164" t="s">
        <v>111</v>
      </c>
      <c r="Q208" s="227">
        <v>2018</v>
      </c>
      <c r="R208" s="227">
        <v>683</v>
      </c>
      <c r="S208" s="227" t="s">
        <v>94</v>
      </c>
      <c r="T208" s="227">
        <v>194</v>
      </c>
      <c r="U208" s="227">
        <v>201</v>
      </c>
      <c r="V208" s="227">
        <v>676</v>
      </c>
      <c r="W208" s="227">
        <v>0.22919042189281641</v>
      </c>
      <c r="X208" s="227">
        <v>0.77080957810718354</v>
      </c>
      <c r="Y208" s="100" t="s">
        <v>126</v>
      </c>
      <c r="Z208" s="29">
        <v>1</v>
      </c>
      <c r="AA208" s="9">
        <v>1</v>
      </c>
      <c r="AB208" s="9">
        <v>1</v>
      </c>
      <c r="AC208" s="9">
        <v>2</v>
      </c>
      <c r="AD208" s="43">
        <v>2</v>
      </c>
      <c r="AE208" s="55">
        <v>0.35859414261160716</v>
      </c>
      <c r="AF208" s="52" t="s">
        <v>111</v>
      </c>
    </row>
    <row r="209" spans="1:32">
      <c r="A209" s="227">
        <v>2010</v>
      </c>
      <c r="B209" s="227">
        <v>250</v>
      </c>
      <c r="C209" s="227" t="s">
        <v>96</v>
      </c>
      <c r="D209" s="227">
        <v>34</v>
      </c>
      <c r="E209" s="227">
        <v>194</v>
      </c>
      <c r="F209" s="227">
        <v>90</v>
      </c>
      <c r="G209" s="227">
        <v>0.68309859154929575</v>
      </c>
      <c r="H209" s="227">
        <v>0.31690140845070419</v>
      </c>
      <c r="I209" s="312" t="s">
        <v>110</v>
      </c>
      <c r="J209" s="29">
        <v>1</v>
      </c>
      <c r="K209" s="9">
        <v>1</v>
      </c>
      <c r="L209" s="9">
        <v>1</v>
      </c>
      <c r="M209" s="9">
        <v>2</v>
      </c>
      <c r="N209" s="43">
        <v>2</v>
      </c>
      <c r="O209" s="265">
        <f t="shared" si="4"/>
        <v>0.35859414261160716</v>
      </c>
      <c r="P209" s="164" t="s">
        <v>111</v>
      </c>
      <c r="Q209" s="227">
        <v>2018</v>
      </c>
      <c r="R209" s="227">
        <v>1203</v>
      </c>
      <c r="S209" s="227" t="s">
        <v>96</v>
      </c>
      <c r="T209" s="227">
        <v>103</v>
      </c>
      <c r="U209" s="227">
        <v>240</v>
      </c>
      <c r="V209" s="227">
        <v>1066</v>
      </c>
      <c r="W209" s="227">
        <v>0.18376722817764171</v>
      </c>
      <c r="X209" s="227">
        <v>0.81623277182235832</v>
      </c>
      <c r="Y209" s="100" t="s">
        <v>126</v>
      </c>
      <c r="Z209" s="29">
        <v>1</v>
      </c>
      <c r="AA209" s="9">
        <v>1</v>
      </c>
      <c r="AB209" s="9">
        <v>1</v>
      </c>
      <c r="AC209" s="9">
        <v>2</v>
      </c>
      <c r="AD209" s="43">
        <v>2</v>
      </c>
      <c r="AE209" s="55">
        <v>0.35859414261160716</v>
      </c>
      <c r="AF209" s="52" t="s">
        <v>111</v>
      </c>
    </row>
    <row r="210" spans="1:32">
      <c r="A210" s="227">
        <v>2010</v>
      </c>
      <c r="B210" s="227">
        <v>188</v>
      </c>
      <c r="C210" s="227" t="s">
        <v>97</v>
      </c>
      <c r="D210" s="227">
        <v>204</v>
      </c>
      <c r="E210" s="227">
        <v>324</v>
      </c>
      <c r="F210" s="227">
        <v>68</v>
      </c>
      <c r="G210" s="227">
        <v>0.82653061224489799</v>
      </c>
      <c r="H210" s="227">
        <v>0.17346938775510201</v>
      </c>
      <c r="I210" s="312" t="s">
        <v>110</v>
      </c>
      <c r="J210" s="29">
        <v>1</v>
      </c>
      <c r="K210" s="9">
        <v>1</v>
      </c>
      <c r="L210" s="9">
        <v>1</v>
      </c>
      <c r="M210" s="9">
        <v>2</v>
      </c>
      <c r="N210" s="43">
        <v>2</v>
      </c>
      <c r="O210" s="265">
        <f t="shared" si="4"/>
        <v>0.35859414261160716</v>
      </c>
      <c r="P210" s="164" t="s">
        <v>111</v>
      </c>
      <c r="Q210" s="227">
        <v>2018</v>
      </c>
      <c r="R210" s="227">
        <v>3038</v>
      </c>
      <c r="S210" s="227" t="s">
        <v>97</v>
      </c>
      <c r="T210" s="227">
        <v>489</v>
      </c>
      <c r="U210" s="227">
        <v>1063</v>
      </c>
      <c r="V210" s="227">
        <v>2464</v>
      </c>
      <c r="W210" s="227">
        <v>0.30138928267649562</v>
      </c>
      <c r="X210" s="227">
        <v>0.69861071732350433</v>
      </c>
      <c r="Y210" s="100" t="s">
        <v>126</v>
      </c>
      <c r="Z210" s="29">
        <v>1</v>
      </c>
      <c r="AA210" s="9">
        <v>1</v>
      </c>
      <c r="AB210" s="9">
        <v>1</v>
      </c>
      <c r="AC210" s="9">
        <v>2</v>
      </c>
      <c r="AD210" s="43">
        <v>2</v>
      </c>
      <c r="AE210" s="55">
        <v>0.35859414261160716</v>
      </c>
      <c r="AF210" s="52" t="s">
        <v>111</v>
      </c>
    </row>
    <row r="211" spans="1:32">
      <c r="A211" s="227">
        <v>2010</v>
      </c>
      <c r="B211" s="227">
        <v>247</v>
      </c>
      <c r="C211" s="227" t="s">
        <v>95</v>
      </c>
      <c r="D211" s="227">
        <v>52</v>
      </c>
      <c r="E211" s="227">
        <v>299</v>
      </c>
      <c r="F211" s="227">
        <v>0</v>
      </c>
      <c r="G211" s="227">
        <v>1</v>
      </c>
      <c r="H211" s="227">
        <v>0</v>
      </c>
      <c r="I211" s="312" t="s">
        <v>110</v>
      </c>
      <c r="J211" s="29">
        <v>1</v>
      </c>
      <c r="K211" s="9">
        <v>1</v>
      </c>
      <c r="L211" s="9">
        <v>1</v>
      </c>
      <c r="M211" s="9">
        <v>2</v>
      </c>
      <c r="N211" s="43">
        <v>2</v>
      </c>
      <c r="O211" s="265">
        <f t="shared" si="4"/>
        <v>0.35859414261160716</v>
      </c>
      <c r="P211" s="164" t="s">
        <v>111</v>
      </c>
      <c r="Q211" s="227">
        <v>2018</v>
      </c>
      <c r="R211" s="227">
        <v>2283</v>
      </c>
      <c r="S211" s="227" t="s">
        <v>95</v>
      </c>
      <c r="T211" s="227">
        <v>242</v>
      </c>
      <c r="U211" s="227">
        <v>648</v>
      </c>
      <c r="V211" s="227">
        <v>1877</v>
      </c>
      <c r="W211" s="227">
        <v>0.25663366336633658</v>
      </c>
      <c r="X211" s="227">
        <v>0.74336633663366336</v>
      </c>
      <c r="Y211" s="100" t="s">
        <v>126</v>
      </c>
      <c r="Z211" s="29">
        <v>1</v>
      </c>
      <c r="AA211" s="9">
        <v>1</v>
      </c>
      <c r="AB211" s="9">
        <v>1</v>
      </c>
      <c r="AC211" s="9">
        <v>2</v>
      </c>
      <c r="AD211" s="43">
        <v>2</v>
      </c>
      <c r="AE211" s="55">
        <v>0.35859414261160716</v>
      </c>
      <c r="AF211" s="52" t="s">
        <v>111</v>
      </c>
    </row>
    <row r="212" spans="1:32">
      <c r="A212" s="227">
        <v>2010</v>
      </c>
      <c r="B212" s="227">
        <v>78</v>
      </c>
      <c r="C212" s="227" t="s">
        <v>93</v>
      </c>
      <c r="D212" s="227">
        <v>25</v>
      </c>
      <c r="E212" s="227">
        <v>73</v>
      </c>
      <c r="F212" s="227">
        <v>30</v>
      </c>
      <c r="G212" s="227">
        <v>0.70873786407766992</v>
      </c>
      <c r="H212" s="227">
        <v>0.29126213592233008</v>
      </c>
      <c r="I212" s="312" t="s">
        <v>110</v>
      </c>
      <c r="J212" s="29">
        <v>1</v>
      </c>
      <c r="K212" s="9">
        <v>1</v>
      </c>
      <c r="L212" s="9">
        <v>1</v>
      </c>
      <c r="M212" s="9">
        <v>2</v>
      </c>
      <c r="N212" s="43">
        <v>2</v>
      </c>
      <c r="O212" s="265">
        <f t="shared" si="4"/>
        <v>0.35859414261160716</v>
      </c>
      <c r="P212" s="164" t="s">
        <v>111</v>
      </c>
      <c r="Q212" s="227">
        <v>2018</v>
      </c>
      <c r="R212" s="227">
        <v>2871</v>
      </c>
      <c r="S212" s="227" t="s">
        <v>93</v>
      </c>
      <c r="T212" s="227">
        <v>56</v>
      </c>
      <c r="U212" s="227">
        <v>506</v>
      </c>
      <c r="V212" s="227">
        <v>2421</v>
      </c>
      <c r="W212" s="227">
        <v>0.1728732490604715</v>
      </c>
      <c r="X212" s="227">
        <v>0.82712675093952859</v>
      </c>
      <c r="Y212" s="100" t="s">
        <v>126</v>
      </c>
      <c r="Z212" s="29">
        <v>1</v>
      </c>
      <c r="AA212" s="9">
        <v>1</v>
      </c>
      <c r="AB212" s="9">
        <v>1</v>
      </c>
      <c r="AC212" s="9">
        <v>2</v>
      </c>
      <c r="AD212" s="43">
        <v>2</v>
      </c>
      <c r="AE212" s="55">
        <v>0.35859414261160716</v>
      </c>
      <c r="AF212" s="52" t="s">
        <v>111</v>
      </c>
    </row>
    <row r="213" spans="1:32">
      <c r="A213" s="227">
        <v>2010</v>
      </c>
      <c r="B213" s="227">
        <v>2132</v>
      </c>
      <c r="C213" s="227" t="s">
        <v>98</v>
      </c>
      <c r="D213" s="227">
        <v>784</v>
      </c>
      <c r="E213" s="227">
        <v>2916</v>
      </c>
      <c r="F213" s="227">
        <v>0</v>
      </c>
      <c r="G213" s="227">
        <v>1</v>
      </c>
      <c r="H213" s="227">
        <v>0</v>
      </c>
      <c r="I213" s="312" t="s">
        <v>110</v>
      </c>
      <c r="J213" s="29">
        <v>1</v>
      </c>
      <c r="K213" s="9">
        <v>1</v>
      </c>
      <c r="L213" s="9">
        <v>1</v>
      </c>
      <c r="M213" s="9">
        <v>2</v>
      </c>
      <c r="N213" s="43">
        <v>2</v>
      </c>
      <c r="O213" s="265">
        <f t="shared" si="4"/>
        <v>0.35859414261160716</v>
      </c>
      <c r="P213" s="164" t="s">
        <v>111</v>
      </c>
      <c r="Q213" s="227">
        <v>2018</v>
      </c>
      <c r="R213" s="227">
        <v>14059</v>
      </c>
      <c r="S213" s="227" t="s">
        <v>98</v>
      </c>
      <c r="T213" s="227">
        <v>1475</v>
      </c>
      <c r="U213" s="227">
        <v>5441</v>
      </c>
      <c r="V213" s="227">
        <v>10093</v>
      </c>
      <c r="W213" s="227">
        <v>0.35026393717007848</v>
      </c>
      <c r="X213" s="227">
        <v>0.64973606282992147</v>
      </c>
      <c r="Y213" s="100" t="s">
        <v>126</v>
      </c>
      <c r="Z213" s="29">
        <v>1</v>
      </c>
      <c r="AA213" s="9">
        <v>1</v>
      </c>
      <c r="AB213" s="9">
        <v>1</v>
      </c>
      <c r="AC213" s="9">
        <v>2</v>
      </c>
      <c r="AD213" s="43">
        <v>2</v>
      </c>
      <c r="AE213" s="55">
        <v>0.35859414261160716</v>
      </c>
      <c r="AF213" s="52" t="s">
        <v>111</v>
      </c>
    </row>
    <row r="214" spans="1:32">
      <c r="A214" s="227">
        <v>2011</v>
      </c>
      <c r="B214" s="227">
        <v>1435</v>
      </c>
      <c r="C214" s="227" t="s">
        <v>85</v>
      </c>
      <c r="D214" s="227">
        <v>756</v>
      </c>
      <c r="E214" s="227">
        <v>1875</v>
      </c>
      <c r="F214" s="227">
        <v>316</v>
      </c>
      <c r="G214" s="227">
        <v>0.85577361935189411</v>
      </c>
      <c r="H214" s="227">
        <v>0.14422638064810589</v>
      </c>
      <c r="I214" s="312" t="s">
        <v>110</v>
      </c>
      <c r="J214" s="29">
        <v>1</v>
      </c>
      <c r="K214" s="9">
        <v>1</v>
      </c>
      <c r="L214" s="9">
        <v>1</v>
      </c>
      <c r="M214" s="9">
        <v>2</v>
      </c>
      <c r="N214" s="43">
        <v>2</v>
      </c>
      <c r="O214" s="265">
        <f t="shared" si="4"/>
        <v>0.35859414261160716</v>
      </c>
      <c r="P214" s="164" t="s">
        <v>111</v>
      </c>
      <c r="Q214" s="227">
        <v>2019</v>
      </c>
      <c r="R214" s="227">
        <v>12829</v>
      </c>
      <c r="S214" s="227" t="s">
        <v>85</v>
      </c>
      <c r="T214" s="227">
        <v>3179</v>
      </c>
      <c r="U214" s="227">
        <v>2507</v>
      </c>
      <c r="V214" s="227">
        <v>13501</v>
      </c>
      <c r="W214" s="227">
        <v>0.15660919540229881</v>
      </c>
      <c r="X214" s="227">
        <v>0.84339080459770122</v>
      </c>
      <c r="Y214" s="100" t="s">
        <v>126</v>
      </c>
      <c r="Z214" s="29">
        <v>1</v>
      </c>
      <c r="AA214" s="9">
        <v>1</v>
      </c>
      <c r="AB214" s="9">
        <v>1</v>
      </c>
      <c r="AC214" s="9">
        <v>2</v>
      </c>
      <c r="AD214" s="43">
        <v>2</v>
      </c>
      <c r="AE214" s="55">
        <v>0.35859414261160716</v>
      </c>
      <c r="AF214" s="52" t="s">
        <v>111</v>
      </c>
    </row>
    <row r="215" spans="1:32">
      <c r="A215" s="227">
        <v>2011</v>
      </c>
      <c r="B215" s="227">
        <v>290</v>
      </c>
      <c r="C215" s="227" t="s">
        <v>86</v>
      </c>
      <c r="D215" s="227">
        <v>165</v>
      </c>
      <c r="E215" s="227">
        <v>356</v>
      </c>
      <c r="F215" s="227">
        <v>99</v>
      </c>
      <c r="G215" s="227">
        <v>0.78241758241758241</v>
      </c>
      <c r="H215" s="227">
        <v>0.21758241758241759</v>
      </c>
      <c r="I215" s="312" t="s">
        <v>110</v>
      </c>
      <c r="J215" s="29">
        <v>1</v>
      </c>
      <c r="K215" s="9">
        <v>1</v>
      </c>
      <c r="L215" s="9">
        <v>1</v>
      </c>
      <c r="M215" s="9">
        <v>2</v>
      </c>
      <c r="N215" s="43">
        <v>2</v>
      </c>
      <c r="O215" s="265">
        <f t="shared" si="4"/>
        <v>0.35859414261160716</v>
      </c>
      <c r="P215" s="164" t="s">
        <v>111</v>
      </c>
      <c r="Q215" s="227">
        <v>2019</v>
      </c>
      <c r="R215" s="227">
        <v>6009</v>
      </c>
      <c r="S215" s="227" t="s">
        <v>86</v>
      </c>
      <c r="T215" s="227">
        <v>1314</v>
      </c>
      <c r="U215" s="227">
        <v>1237</v>
      </c>
      <c r="V215" s="227">
        <v>6086</v>
      </c>
      <c r="W215" s="227">
        <v>0.1689198415949747</v>
      </c>
      <c r="X215" s="227">
        <v>0.83108015840502525</v>
      </c>
      <c r="Y215" s="100" t="s">
        <v>126</v>
      </c>
      <c r="Z215" s="29">
        <v>1</v>
      </c>
      <c r="AA215" s="9">
        <v>1</v>
      </c>
      <c r="AB215" s="9">
        <v>1</v>
      </c>
      <c r="AC215" s="9">
        <v>2</v>
      </c>
      <c r="AD215" s="43">
        <v>2</v>
      </c>
      <c r="AE215" s="55">
        <v>0.35859414261160716</v>
      </c>
      <c r="AF215" s="52" t="s">
        <v>111</v>
      </c>
    </row>
    <row r="216" spans="1:32">
      <c r="A216" s="227">
        <v>2011</v>
      </c>
      <c r="B216" s="227">
        <v>852</v>
      </c>
      <c r="C216" s="227" t="s">
        <v>87</v>
      </c>
      <c r="D216" s="227">
        <v>300</v>
      </c>
      <c r="E216" s="227">
        <v>241</v>
      </c>
      <c r="F216" s="227">
        <v>911</v>
      </c>
      <c r="G216" s="227">
        <v>0.2092013888888889</v>
      </c>
      <c r="H216" s="227">
        <v>0.79079861111111116</v>
      </c>
      <c r="I216" s="312" t="s">
        <v>110</v>
      </c>
      <c r="J216" s="29">
        <v>1</v>
      </c>
      <c r="K216" s="9">
        <v>1</v>
      </c>
      <c r="L216" s="9">
        <v>1</v>
      </c>
      <c r="M216" s="9">
        <v>2</v>
      </c>
      <c r="N216" s="43">
        <v>2</v>
      </c>
      <c r="O216" s="265">
        <f t="shared" si="4"/>
        <v>0.35859414261160716</v>
      </c>
      <c r="P216" s="164" t="s">
        <v>111</v>
      </c>
      <c r="Q216" s="227">
        <v>2019</v>
      </c>
      <c r="R216" s="227">
        <v>9425</v>
      </c>
      <c r="S216" s="227" t="s">
        <v>87</v>
      </c>
      <c r="T216" s="227">
        <v>938</v>
      </c>
      <c r="U216" s="227">
        <v>1032</v>
      </c>
      <c r="V216" s="227">
        <v>9331</v>
      </c>
      <c r="W216" s="227">
        <v>9.9585062240663894E-2</v>
      </c>
      <c r="X216" s="227">
        <v>0.90041493775933612</v>
      </c>
      <c r="Y216" s="100" t="s">
        <v>126</v>
      </c>
      <c r="Z216" s="29">
        <v>1</v>
      </c>
      <c r="AA216" s="9">
        <v>1</v>
      </c>
      <c r="AB216" s="9">
        <v>1</v>
      </c>
      <c r="AC216" s="9">
        <v>2</v>
      </c>
      <c r="AD216" s="43">
        <v>2</v>
      </c>
      <c r="AE216" s="55">
        <v>0.35859414261160716</v>
      </c>
      <c r="AF216" s="52" t="s">
        <v>111</v>
      </c>
    </row>
    <row r="217" spans="1:32">
      <c r="A217" s="227">
        <v>2011</v>
      </c>
      <c r="B217" s="227">
        <v>4</v>
      </c>
      <c r="C217" s="227" t="s">
        <v>88</v>
      </c>
      <c r="D217" s="227">
        <v>48</v>
      </c>
      <c r="E217" s="227">
        <v>16</v>
      </c>
      <c r="F217" s="227">
        <v>36</v>
      </c>
      <c r="G217" s="227">
        <v>0.30769230769230771</v>
      </c>
      <c r="H217" s="227">
        <v>0.69230769230769229</v>
      </c>
      <c r="I217" s="312" t="s">
        <v>110</v>
      </c>
      <c r="J217" s="29">
        <v>1</v>
      </c>
      <c r="K217" s="9">
        <v>1</v>
      </c>
      <c r="L217" s="9">
        <v>1</v>
      </c>
      <c r="M217" s="9">
        <v>2</v>
      </c>
      <c r="N217" s="43">
        <v>2</v>
      </c>
      <c r="O217" s="265">
        <f t="shared" si="4"/>
        <v>0.35859414261160716</v>
      </c>
      <c r="P217" s="164" t="s">
        <v>111</v>
      </c>
      <c r="Q217" s="227">
        <v>2019</v>
      </c>
      <c r="R217" s="227">
        <v>1814</v>
      </c>
      <c r="S217" s="227" t="s">
        <v>88</v>
      </c>
      <c r="T217" s="227">
        <v>127</v>
      </c>
      <c r="U217" s="227">
        <v>317</v>
      </c>
      <c r="V217" s="227">
        <v>1624</v>
      </c>
      <c r="W217" s="227">
        <v>0.16331787738279241</v>
      </c>
      <c r="X217" s="227">
        <v>0.83668212261720765</v>
      </c>
      <c r="Y217" s="100" t="s">
        <v>126</v>
      </c>
      <c r="Z217" s="29">
        <v>1</v>
      </c>
      <c r="AA217" s="9">
        <v>1</v>
      </c>
      <c r="AB217" s="9">
        <v>1</v>
      </c>
      <c r="AC217" s="9">
        <v>2</v>
      </c>
      <c r="AD217" s="43">
        <v>2</v>
      </c>
      <c r="AE217" s="55">
        <v>0.35859414261160716</v>
      </c>
      <c r="AF217" s="52" t="s">
        <v>111</v>
      </c>
    </row>
    <row r="218" spans="1:32">
      <c r="A218" s="227">
        <v>2011</v>
      </c>
      <c r="B218" s="227">
        <v>191</v>
      </c>
      <c r="C218" s="227" t="s">
        <v>89</v>
      </c>
      <c r="D218" s="227">
        <v>36</v>
      </c>
      <c r="E218" s="227">
        <v>166</v>
      </c>
      <c r="F218" s="227">
        <v>61</v>
      </c>
      <c r="G218" s="227">
        <v>0.7312775330396476</v>
      </c>
      <c r="H218" s="227">
        <v>0.2687224669603524</v>
      </c>
      <c r="I218" s="312" t="s">
        <v>110</v>
      </c>
      <c r="J218" s="29">
        <v>1</v>
      </c>
      <c r="K218" s="9">
        <v>1</v>
      </c>
      <c r="L218" s="9">
        <v>1</v>
      </c>
      <c r="M218" s="9">
        <v>2</v>
      </c>
      <c r="N218" s="43">
        <v>2</v>
      </c>
      <c r="O218" s="265">
        <f t="shared" si="4"/>
        <v>0.35859414261160716</v>
      </c>
      <c r="P218" s="164" t="s">
        <v>111</v>
      </c>
      <c r="Q218" s="227">
        <v>2019</v>
      </c>
      <c r="R218" s="227">
        <v>1611</v>
      </c>
      <c r="S218" s="227" t="s">
        <v>89</v>
      </c>
      <c r="T218" s="227">
        <v>78</v>
      </c>
      <c r="U218" s="227">
        <v>84</v>
      </c>
      <c r="V218" s="227">
        <v>1605</v>
      </c>
      <c r="W218" s="227">
        <v>4.9733570159857902E-2</v>
      </c>
      <c r="X218" s="227">
        <v>0.95026642984014209</v>
      </c>
      <c r="Y218" s="100" t="s">
        <v>126</v>
      </c>
      <c r="Z218" s="29">
        <v>1</v>
      </c>
      <c r="AA218" s="9">
        <v>1</v>
      </c>
      <c r="AB218" s="9">
        <v>1</v>
      </c>
      <c r="AC218" s="9">
        <v>2</v>
      </c>
      <c r="AD218" s="43">
        <v>2</v>
      </c>
      <c r="AE218" s="55">
        <v>0.35859414261160716</v>
      </c>
      <c r="AF218" s="52" t="s">
        <v>111</v>
      </c>
    </row>
    <row r="219" spans="1:32">
      <c r="A219" s="227">
        <v>2011</v>
      </c>
      <c r="B219" s="227">
        <v>610</v>
      </c>
      <c r="C219" s="227" t="s">
        <v>90</v>
      </c>
      <c r="D219" s="227">
        <v>122</v>
      </c>
      <c r="E219" s="227">
        <v>675</v>
      </c>
      <c r="F219" s="227">
        <v>57</v>
      </c>
      <c r="G219" s="227">
        <v>0.92213114754098358</v>
      </c>
      <c r="H219" s="227">
        <v>7.7868852459016424E-2</v>
      </c>
      <c r="I219" s="312" t="s">
        <v>110</v>
      </c>
      <c r="J219" s="29">
        <v>1</v>
      </c>
      <c r="K219" s="9">
        <v>1</v>
      </c>
      <c r="L219" s="9">
        <v>1</v>
      </c>
      <c r="M219" s="9">
        <v>2</v>
      </c>
      <c r="N219" s="43">
        <v>2</v>
      </c>
      <c r="O219" s="265">
        <f t="shared" si="4"/>
        <v>0.35859414261160716</v>
      </c>
      <c r="P219" s="164" t="s">
        <v>111</v>
      </c>
      <c r="Q219" s="227">
        <v>2019</v>
      </c>
      <c r="R219" s="227">
        <v>6797</v>
      </c>
      <c r="S219" s="227" t="s">
        <v>90</v>
      </c>
      <c r="T219" s="227">
        <v>438</v>
      </c>
      <c r="U219" s="227">
        <v>1635</v>
      </c>
      <c r="V219" s="227">
        <v>5600</v>
      </c>
      <c r="W219" s="227">
        <v>0.225984796129924</v>
      </c>
      <c r="X219" s="227">
        <v>0.77401520387007605</v>
      </c>
      <c r="Y219" s="100" t="s">
        <v>126</v>
      </c>
      <c r="Z219" s="29">
        <v>1</v>
      </c>
      <c r="AA219" s="9">
        <v>1</v>
      </c>
      <c r="AB219" s="9">
        <v>1</v>
      </c>
      <c r="AC219" s="9">
        <v>2</v>
      </c>
      <c r="AD219" s="43">
        <v>2</v>
      </c>
      <c r="AE219" s="55">
        <v>0.35859414261160716</v>
      </c>
      <c r="AF219" s="52" t="s">
        <v>111</v>
      </c>
    </row>
    <row r="220" spans="1:32">
      <c r="A220" s="227">
        <v>2011</v>
      </c>
      <c r="B220" s="227">
        <v>389</v>
      </c>
      <c r="C220" s="227" t="s">
        <v>91</v>
      </c>
      <c r="D220" s="227">
        <v>60</v>
      </c>
      <c r="E220" s="227">
        <v>449</v>
      </c>
      <c r="F220" s="227">
        <v>0</v>
      </c>
      <c r="G220" s="227">
        <v>1</v>
      </c>
      <c r="H220" s="227">
        <v>0</v>
      </c>
      <c r="I220" s="312" t="s">
        <v>110</v>
      </c>
      <c r="J220" s="29">
        <v>1</v>
      </c>
      <c r="K220" s="9">
        <v>1</v>
      </c>
      <c r="L220" s="9">
        <v>1</v>
      </c>
      <c r="M220" s="9">
        <v>2</v>
      </c>
      <c r="N220" s="43">
        <v>2</v>
      </c>
      <c r="O220" s="265">
        <f t="shared" si="4"/>
        <v>0.35859414261160716</v>
      </c>
      <c r="P220" s="164" t="s">
        <v>111</v>
      </c>
      <c r="Q220" s="227">
        <v>2019</v>
      </c>
      <c r="R220" s="227">
        <v>2891</v>
      </c>
      <c r="S220" s="227" t="s">
        <v>91</v>
      </c>
      <c r="T220" s="227">
        <v>980</v>
      </c>
      <c r="U220" s="227">
        <v>370</v>
      </c>
      <c r="V220" s="227">
        <v>3501</v>
      </c>
      <c r="W220" s="227">
        <v>9.5582536812193225E-2</v>
      </c>
      <c r="X220" s="227">
        <v>0.9044174631878068</v>
      </c>
      <c r="Y220" s="100" t="s">
        <v>126</v>
      </c>
      <c r="Z220" s="29">
        <v>1</v>
      </c>
      <c r="AA220" s="9">
        <v>1</v>
      </c>
      <c r="AB220" s="9">
        <v>1</v>
      </c>
      <c r="AC220" s="9">
        <v>2</v>
      </c>
      <c r="AD220" s="43">
        <v>2</v>
      </c>
      <c r="AE220" s="55">
        <v>0.35859414261160716</v>
      </c>
      <c r="AF220" s="52" t="s">
        <v>111</v>
      </c>
    </row>
    <row r="221" spans="1:32">
      <c r="A221" s="227">
        <v>2011</v>
      </c>
      <c r="B221" s="227">
        <v>141</v>
      </c>
      <c r="C221" s="227" t="s">
        <v>94</v>
      </c>
      <c r="D221" s="227">
        <v>18</v>
      </c>
      <c r="E221" s="227">
        <v>159</v>
      </c>
      <c r="F221" s="227">
        <v>0</v>
      </c>
      <c r="G221" s="227">
        <v>1</v>
      </c>
      <c r="H221" s="227">
        <v>0</v>
      </c>
      <c r="I221" s="312" t="s">
        <v>110</v>
      </c>
      <c r="J221" s="29">
        <v>1</v>
      </c>
      <c r="K221" s="9">
        <v>1</v>
      </c>
      <c r="L221" s="9">
        <v>1</v>
      </c>
      <c r="M221" s="9">
        <v>2</v>
      </c>
      <c r="N221" s="43">
        <v>2</v>
      </c>
      <c r="O221" s="265">
        <f t="shared" si="4"/>
        <v>0.35859414261160716</v>
      </c>
      <c r="P221" s="164" t="s">
        <v>111</v>
      </c>
      <c r="Q221" s="227">
        <v>2019</v>
      </c>
      <c r="R221" s="227">
        <v>683</v>
      </c>
      <c r="S221" s="227" t="s">
        <v>94</v>
      </c>
      <c r="T221" s="227">
        <v>203</v>
      </c>
      <c r="U221" s="227">
        <v>217</v>
      </c>
      <c r="V221" s="227">
        <v>669</v>
      </c>
      <c r="W221" s="227">
        <v>0.24492099322799099</v>
      </c>
      <c r="X221" s="227">
        <v>0.75507900677200901</v>
      </c>
      <c r="Y221" s="100" t="s">
        <v>126</v>
      </c>
      <c r="Z221" s="29">
        <v>1</v>
      </c>
      <c r="AA221" s="9">
        <v>1</v>
      </c>
      <c r="AB221" s="9">
        <v>1</v>
      </c>
      <c r="AC221" s="9">
        <v>2</v>
      </c>
      <c r="AD221" s="43">
        <v>2</v>
      </c>
      <c r="AE221" s="55">
        <v>0.35859414261160716</v>
      </c>
      <c r="AF221" s="52" t="s">
        <v>111</v>
      </c>
    </row>
    <row r="222" spans="1:32">
      <c r="A222" s="227">
        <v>2011</v>
      </c>
      <c r="B222" s="227">
        <v>337</v>
      </c>
      <c r="C222" s="227" t="s">
        <v>96</v>
      </c>
      <c r="D222" s="227">
        <v>48</v>
      </c>
      <c r="E222" s="227">
        <v>206</v>
      </c>
      <c r="F222" s="227">
        <v>179</v>
      </c>
      <c r="G222" s="227">
        <v>0.53506493506493502</v>
      </c>
      <c r="H222" s="227">
        <v>0.46493506493506498</v>
      </c>
      <c r="I222" s="312" t="s">
        <v>110</v>
      </c>
      <c r="J222" s="29">
        <v>1</v>
      </c>
      <c r="K222" s="9">
        <v>1</v>
      </c>
      <c r="L222" s="9">
        <v>1</v>
      </c>
      <c r="M222" s="9">
        <v>2</v>
      </c>
      <c r="N222" s="43">
        <v>2</v>
      </c>
      <c r="O222" s="265">
        <f t="shared" si="4"/>
        <v>0.35859414261160716</v>
      </c>
      <c r="P222" s="164" t="s">
        <v>111</v>
      </c>
      <c r="Q222" s="227">
        <v>2019</v>
      </c>
      <c r="R222" s="227">
        <v>1203</v>
      </c>
      <c r="S222" s="227" t="s">
        <v>96</v>
      </c>
      <c r="T222" s="227">
        <v>95</v>
      </c>
      <c r="U222" s="227">
        <v>259</v>
      </c>
      <c r="V222" s="227">
        <v>1039</v>
      </c>
      <c r="W222" s="227">
        <v>0.19953775038520799</v>
      </c>
      <c r="X222" s="227">
        <v>0.80046224961479195</v>
      </c>
      <c r="Y222" s="100" t="s">
        <v>126</v>
      </c>
      <c r="Z222" s="29">
        <v>1</v>
      </c>
      <c r="AA222" s="9">
        <v>1</v>
      </c>
      <c r="AB222" s="9">
        <v>1</v>
      </c>
      <c r="AC222" s="9">
        <v>2</v>
      </c>
      <c r="AD222" s="43">
        <v>2</v>
      </c>
      <c r="AE222" s="55">
        <v>0.35859414261160716</v>
      </c>
      <c r="AF222" s="52" t="s">
        <v>111</v>
      </c>
    </row>
    <row r="223" spans="1:32">
      <c r="A223" s="227">
        <v>2011</v>
      </c>
      <c r="B223" s="227">
        <v>252</v>
      </c>
      <c r="C223" s="227" t="s">
        <v>97</v>
      </c>
      <c r="D223" s="227">
        <v>196</v>
      </c>
      <c r="E223" s="227">
        <v>324</v>
      </c>
      <c r="F223" s="227">
        <v>124</v>
      </c>
      <c r="G223" s="227">
        <v>0.7232142857142857</v>
      </c>
      <c r="H223" s="227">
        <v>0.2767857142857143</v>
      </c>
      <c r="I223" s="312" t="s">
        <v>110</v>
      </c>
      <c r="J223" s="29">
        <v>1</v>
      </c>
      <c r="K223" s="9">
        <v>1</v>
      </c>
      <c r="L223" s="9">
        <v>1</v>
      </c>
      <c r="M223" s="9">
        <v>2</v>
      </c>
      <c r="N223" s="43">
        <v>2</v>
      </c>
      <c r="O223" s="265">
        <f t="shared" si="4"/>
        <v>0.35859414261160716</v>
      </c>
      <c r="P223" s="164" t="s">
        <v>111</v>
      </c>
      <c r="Q223" s="227">
        <v>2019</v>
      </c>
      <c r="R223" s="227">
        <v>3038</v>
      </c>
      <c r="S223" s="227" t="s">
        <v>97</v>
      </c>
      <c r="T223" s="227">
        <v>394</v>
      </c>
      <c r="U223" s="227">
        <v>1077</v>
      </c>
      <c r="V223" s="227">
        <v>2355</v>
      </c>
      <c r="W223" s="227">
        <v>0.3138111888111888</v>
      </c>
      <c r="X223" s="227">
        <v>0.68618881118881125</v>
      </c>
      <c r="Y223" s="100" t="s">
        <v>126</v>
      </c>
      <c r="Z223" s="29">
        <v>1</v>
      </c>
      <c r="AA223" s="9">
        <v>1</v>
      </c>
      <c r="AB223" s="9">
        <v>1</v>
      </c>
      <c r="AC223" s="9">
        <v>2</v>
      </c>
      <c r="AD223" s="43">
        <v>2</v>
      </c>
      <c r="AE223" s="55">
        <v>0.35859414261160716</v>
      </c>
      <c r="AF223" s="52" t="s">
        <v>111</v>
      </c>
    </row>
    <row r="224" spans="1:32">
      <c r="A224" s="227">
        <v>2011</v>
      </c>
      <c r="B224" s="227">
        <v>240</v>
      </c>
      <c r="C224" s="227" t="s">
        <v>95</v>
      </c>
      <c r="D224" s="227">
        <v>53</v>
      </c>
      <c r="E224" s="227">
        <v>293</v>
      </c>
      <c r="F224" s="227">
        <v>0</v>
      </c>
      <c r="G224" s="227">
        <v>1</v>
      </c>
      <c r="H224" s="227">
        <v>0</v>
      </c>
      <c r="I224" s="312" t="s">
        <v>110</v>
      </c>
      <c r="J224" s="29">
        <v>1</v>
      </c>
      <c r="K224" s="9">
        <v>1</v>
      </c>
      <c r="L224" s="9">
        <v>1</v>
      </c>
      <c r="M224" s="9">
        <v>2</v>
      </c>
      <c r="N224" s="43">
        <v>2</v>
      </c>
      <c r="O224" s="265">
        <f t="shared" si="4"/>
        <v>0.35859414261160716</v>
      </c>
      <c r="P224" s="164" t="s">
        <v>111</v>
      </c>
      <c r="Q224" s="227">
        <v>2019</v>
      </c>
      <c r="R224" s="227">
        <v>2283</v>
      </c>
      <c r="S224" s="227" t="s">
        <v>95</v>
      </c>
      <c r="T224" s="227">
        <v>280</v>
      </c>
      <c r="U224" s="227">
        <v>607</v>
      </c>
      <c r="V224" s="227">
        <v>1956</v>
      </c>
      <c r="W224" s="227">
        <v>0.2368318376902068</v>
      </c>
      <c r="X224" s="227">
        <v>0.76316816230979323</v>
      </c>
      <c r="Y224" s="100" t="s">
        <v>126</v>
      </c>
      <c r="Z224" s="29">
        <v>1</v>
      </c>
      <c r="AA224" s="9">
        <v>1</v>
      </c>
      <c r="AB224" s="9">
        <v>1</v>
      </c>
      <c r="AC224" s="9">
        <v>2</v>
      </c>
      <c r="AD224" s="43">
        <v>2</v>
      </c>
      <c r="AE224" s="55">
        <v>0.35859414261160716</v>
      </c>
      <c r="AF224" s="52" t="s">
        <v>111</v>
      </c>
    </row>
    <row r="225" spans="1:32">
      <c r="A225" s="227">
        <v>2011</v>
      </c>
      <c r="B225" s="227">
        <v>101</v>
      </c>
      <c r="C225" s="227" t="s">
        <v>93</v>
      </c>
      <c r="D225" s="227">
        <v>30</v>
      </c>
      <c r="E225" s="227">
        <v>78</v>
      </c>
      <c r="F225" s="227">
        <v>53</v>
      </c>
      <c r="G225" s="227">
        <v>0.59541984732824427</v>
      </c>
      <c r="H225" s="227">
        <v>0.40458015267175568</v>
      </c>
      <c r="I225" s="312" t="s">
        <v>110</v>
      </c>
      <c r="J225" s="29">
        <v>1</v>
      </c>
      <c r="K225" s="9">
        <v>1</v>
      </c>
      <c r="L225" s="9">
        <v>1</v>
      </c>
      <c r="M225" s="9">
        <v>2</v>
      </c>
      <c r="N225" s="43">
        <v>2</v>
      </c>
      <c r="O225" s="265">
        <f t="shared" si="4"/>
        <v>0.35859414261160716</v>
      </c>
      <c r="P225" s="164" t="s">
        <v>111</v>
      </c>
      <c r="Q225" s="227">
        <v>2019</v>
      </c>
      <c r="R225" s="227">
        <v>2871</v>
      </c>
      <c r="S225" s="227" t="s">
        <v>93</v>
      </c>
      <c r="T225" s="227">
        <v>68</v>
      </c>
      <c r="U225" s="227">
        <v>488</v>
      </c>
      <c r="V225" s="227">
        <v>2451</v>
      </c>
      <c r="W225" s="227">
        <v>0.16604287172507659</v>
      </c>
      <c r="X225" s="227">
        <v>0.83395712827492341</v>
      </c>
      <c r="Y225" s="100" t="s">
        <v>126</v>
      </c>
      <c r="Z225" s="29">
        <v>1</v>
      </c>
      <c r="AA225" s="9">
        <v>1</v>
      </c>
      <c r="AB225" s="9">
        <v>1</v>
      </c>
      <c r="AC225" s="9">
        <v>2</v>
      </c>
      <c r="AD225" s="43">
        <v>2</v>
      </c>
      <c r="AE225" s="55">
        <v>0.35859414261160716</v>
      </c>
      <c r="AF225" s="52" t="s">
        <v>111</v>
      </c>
    </row>
    <row r="226" spans="1:32">
      <c r="A226" s="227">
        <v>2011</v>
      </c>
      <c r="B226" s="227">
        <v>2115</v>
      </c>
      <c r="C226" s="227" t="s">
        <v>98</v>
      </c>
      <c r="D226" s="227">
        <v>907</v>
      </c>
      <c r="E226" s="227">
        <v>3022</v>
      </c>
      <c r="F226" s="227">
        <v>0</v>
      </c>
      <c r="G226" s="227">
        <v>1</v>
      </c>
      <c r="H226" s="227">
        <v>0</v>
      </c>
      <c r="I226" s="312" t="s">
        <v>110</v>
      </c>
      <c r="J226" s="29">
        <v>1</v>
      </c>
      <c r="K226" s="9">
        <v>1</v>
      </c>
      <c r="L226" s="9">
        <v>1</v>
      </c>
      <c r="M226" s="9">
        <v>2</v>
      </c>
      <c r="N226" s="43">
        <v>2</v>
      </c>
      <c r="O226" s="265">
        <f t="shared" si="4"/>
        <v>0.35859414261160716</v>
      </c>
      <c r="P226" s="164" t="s">
        <v>111</v>
      </c>
      <c r="Q226" s="227">
        <v>2019</v>
      </c>
      <c r="R226" s="227">
        <v>14059</v>
      </c>
      <c r="S226" s="227" t="s">
        <v>98</v>
      </c>
      <c r="T226" s="227">
        <v>2300</v>
      </c>
      <c r="U226" s="227">
        <v>5655</v>
      </c>
      <c r="V226" s="227">
        <v>10704</v>
      </c>
      <c r="W226" s="227">
        <v>0.34568127636163581</v>
      </c>
      <c r="X226" s="227">
        <v>0.65431872363836419</v>
      </c>
      <c r="Y226" s="100" t="s">
        <v>126</v>
      </c>
      <c r="Z226" s="29">
        <v>1</v>
      </c>
      <c r="AA226" s="9">
        <v>1</v>
      </c>
      <c r="AB226" s="9">
        <v>1</v>
      </c>
      <c r="AC226" s="9">
        <v>2</v>
      </c>
      <c r="AD226" s="43">
        <v>2</v>
      </c>
      <c r="AE226" s="55">
        <v>0.35859414261160716</v>
      </c>
      <c r="AF226" s="52" t="s">
        <v>111</v>
      </c>
    </row>
    <row r="227" spans="1:32">
      <c r="A227" s="227">
        <v>2012</v>
      </c>
      <c r="B227" s="227">
        <v>1807</v>
      </c>
      <c r="C227" s="227" t="s">
        <v>85</v>
      </c>
      <c r="D227" s="227">
        <v>853</v>
      </c>
      <c r="E227" s="227">
        <v>1821</v>
      </c>
      <c r="F227" s="227">
        <v>839</v>
      </c>
      <c r="G227" s="227">
        <v>0.68458646616541352</v>
      </c>
      <c r="H227" s="227">
        <v>0.31541353383458648</v>
      </c>
      <c r="I227" s="312" t="s">
        <v>110</v>
      </c>
      <c r="J227" s="29">
        <v>1</v>
      </c>
      <c r="K227" s="9">
        <v>1</v>
      </c>
      <c r="L227" s="9">
        <v>1</v>
      </c>
      <c r="M227" s="9">
        <v>2</v>
      </c>
      <c r="N227" s="43">
        <v>2</v>
      </c>
      <c r="O227" s="265">
        <f t="shared" si="4"/>
        <v>0.35859414261160716</v>
      </c>
      <c r="P227" s="164" t="s">
        <v>111</v>
      </c>
      <c r="Q227" s="227">
        <v>2020</v>
      </c>
      <c r="R227" s="227">
        <v>13493</v>
      </c>
      <c r="S227" s="227" t="s">
        <v>85</v>
      </c>
      <c r="T227" s="227">
        <v>2799</v>
      </c>
      <c r="U227" s="227">
        <v>2887</v>
      </c>
      <c r="V227" s="227">
        <v>13405</v>
      </c>
      <c r="W227" s="227">
        <v>0.17720353547753501</v>
      </c>
      <c r="X227" s="227">
        <v>0.82279646452246502</v>
      </c>
      <c r="Y227" s="100" t="s">
        <v>126</v>
      </c>
      <c r="Z227" s="29">
        <v>1</v>
      </c>
      <c r="AA227" s="9">
        <v>1</v>
      </c>
      <c r="AB227" s="9">
        <v>1</v>
      </c>
      <c r="AC227" s="9">
        <v>2</v>
      </c>
      <c r="AD227" s="43">
        <v>2</v>
      </c>
      <c r="AE227" s="55">
        <v>0.35859414261160716</v>
      </c>
      <c r="AF227" s="52" t="s">
        <v>111</v>
      </c>
    </row>
    <row r="228" spans="1:32">
      <c r="A228" s="227">
        <v>2012</v>
      </c>
      <c r="B228" s="227">
        <v>290</v>
      </c>
      <c r="C228" s="227" t="s">
        <v>86</v>
      </c>
      <c r="D228" s="227">
        <v>190</v>
      </c>
      <c r="E228" s="227">
        <v>440</v>
      </c>
      <c r="F228" s="227">
        <v>40</v>
      </c>
      <c r="G228" s="227">
        <v>0.91666666666666663</v>
      </c>
      <c r="H228" s="227">
        <v>8.333333333333337E-2</v>
      </c>
      <c r="I228" s="312" t="s">
        <v>110</v>
      </c>
      <c r="J228" s="29">
        <v>1</v>
      </c>
      <c r="K228" s="9">
        <v>1</v>
      </c>
      <c r="L228" s="9">
        <v>1</v>
      </c>
      <c r="M228" s="9">
        <v>2</v>
      </c>
      <c r="N228" s="43">
        <v>2</v>
      </c>
      <c r="O228" s="265">
        <f t="shared" si="4"/>
        <v>0.35859414261160716</v>
      </c>
      <c r="P228" s="164" t="s">
        <v>111</v>
      </c>
      <c r="Q228" s="227">
        <v>2020</v>
      </c>
      <c r="R228" s="227">
        <v>6387</v>
      </c>
      <c r="S228" s="227" t="s">
        <v>86</v>
      </c>
      <c r="T228" s="227">
        <v>971</v>
      </c>
      <c r="U228" s="227">
        <v>1419</v>
      </c>
      <c r="V228" s="227">
        <v>5939</v>
      </c>
      <c r="W228" s="227">
        <v>0.19285131829301441</v>
      </c>
      <c r="X228" s="227">
        <v>0.80714868170698562</v>
      </c>
      <c r="Y228" s="100" t="s">
        <v>126</v>
      </c>
      <c r="Z228" s="29">
        <v>1</v>
      </c>
      <c r="AA228" s="9">
        <v>1</v>
      </c>
      <c r="AB228" s="9">
        <v>1</v>
      </c>
      <c r="AC228" s="9">
        <v>2</v>
      </c>
      <c r="AD228" s="43">
        <v>2</v>
      </c>
      <c r="AE228" s="55">
        <v>0.35859414261160716</v>
      </c>
      <c r="AF228" s="52" t="s">
        <v>111</v>
      </c>
    </row>
    <row r="229" spans="1:32">
      <c r="A229" s="227">
        <v>2012</v>
      </c>
      <c r="B229" s="227">
        <v>631</v>
      </c>
      <c r="C229" s="227" t="s">
        <v>87</v>
      </c>
      <c r="D229" s="227">
        <v>258</v>
      </c>
      <c r="E229" s="227">
        <v>259</v>
      </c>
      <c r="F229" s="227">
        <v>630</v>
      </c>
      <c r="G229" s="227">
        <v>0.29133858267716528</v>
      </c>
      <c r="H229" s="227">
        <v>0.70866141732283472</v>
      </c>
      <c r="I229" s="312" t="s">
        <v>110</v>
      </c>
      <c r="J229" s="29">
        <v>1</v>
      </c>
      <c r="K229" s="9">
        <v>1</v>
      </c>
      <c r="L229" s="9">
        <v>1</v>
      </c>
      <c r="M229" s="9">
        <v>2</v>
      </c>
      <c r="N229" s="43">
        <v>2</v>
      </c>
      <c r="O229" s="265">
        <f t="shared" si="4"/>
        <v>0.35859414261160716</v>
      </c>
      <c r="P229" s="164" t="s">
        <v>111</v>
      </c>
      <c r="Q229" s="227">
        <v>2020</v>
      </c>
      <c r="R229" s="227">
        <v>10055</v>
      </c>
      <c r="S229" s="227" t="s">
        <v>87</v>
      </c>
      <c r="T229" s="227">
        <v>490</v>
      </c>
      <c r="U229" s="227">
        <v>1186</v>
      </c>
      <c r="V229" s="227">
        <v>9359</v>
      </c>
      <c r="W229" s="227">
        <v>0.11247036510194409</v>
      </c>
      <c r="X229" s="227">
        <v>0.88752963489805592</v>
      </c>
      <c r="Y229" s="100" t="s">
        <v>126</v>
      </c>
      <c r="Z229" s="29">
        <v>1</v>
      </c>
      <c r="AA229" s="9">
        <v>1</v>
      </c>
      <c r="AB229" s="9">
        <v>1</v>
      </c>
      <c r="AC229" s="9">
        <v>2</v>
      </c>
      <c r="AD229" s="43">
        <v>2</v>
      </c>
      <c r="AE229" s="55">
        <v>0.35859414261160716</v>
      </c>
      <c r="AF229" s="52" t="s">
        <v>111</v>
      </c>
    </row>
    <row r="230" spans="1:32">
      <c r="A230" s="227">
        <v>2012</v>
      </c>
      <c r="B230" s="227">
        <v>1</v>
      </c>
      <c r="C230" s="227" t="s">
        <v>88</v>
      </c>
      <c r="D230" s="227">
        <v>44</v>
      </c>
      <c r="E230" s="227">
        <v>11</v>
      </c>
      <c r="F230" s="227">
        <v>34</v>
      </c>
      <c r="G230" s="227">
        <v>0.24444444444444441</v>
      </c>
      <c r="H230" s="227">
        <v>0.75555555555555554</v>
      </c>
      <c r="I230" s="312" t="s">
        <v>110</v>
      </c>
      <c r="J230" s="29">
        <v>1</v>
      </c>
      <c r="K230" s="9">
        <v>1</v>
      </c>
      <c r="L230" s="9">
        <v>1</v>
      </c>
      <c r="M230" s="9">
        <v>2</v>
      </c>
      <c r="N230" s="43">
        <v>2</v>
      </c>
      <c r="O230" s="265">
        <f t="shared" si="4"/>
        <v>0.35859414261160716</v>
      </c>
      <c r="P230" s="164" t="s">
        <v>111</v>
      </c>
      <c r="Q230" s="227">
        <v>2020</v>
      </c>
      <c r="R230" s="227">
        <v>1995</v>
      </c>
      <c r="S230" s="227" t="s">
        <v>88</v>
      </c>
      <c r="T230" s="227">
        <v>149</v>
      </c>
      <c r="U230" s="227">
        <v>350</v>
      </c>
      <c r="V230" s="227">
        <v>1794</v>
      </c>
      <c r="W230" s="227">
        <v>0.1632462686567164</v>
      </c>
      <c r="X230" s="227">
        <v>0.83675373134328357</v>
      </c>
      <c r="Y230" s="100" t="s">
        <v>126</v>
      </c>
      <c r="Z230" s="29">
        <v>1</v>
      </c>
      <c r="AA230" s="9">
        <v>1</v>
      </c>
      <c r="AB230" s="9">
        <v>1</v>
      </c>
      <c r="AC230" s="9">
        <v>2</v>
      </c>
      <c r="AD230" s="43">
        <v>2</v>
      </c>
      <c r="AE230" s="55">
        <v>0.35859414261160716</v>
      </c>
      <c r="AF230" s="52" t="s">
        <v>111</v>
      </c>
    </row>
    <row r="231" spans="1:32">
      <c r="A231" s="227">
        <v>2012</v>
      </c>
      <c r="B231" s="227">
        <v>191</v>
      </c>
      <c r="C231" s="227" t="s">
        <v>89</v>
      </c>
      <c r="D231" s="227">
        <v>38</v>
      </c>
      <c r="E231" s="227">
        <v>172</v>
      </c>
      <c r="F231" s="227">
        <v>57</v>
      </c>
      <c r="G231" s="227">
        <v>0.75109170305676853</v>
      </c>
      <c r="H231" s="227">
        <v>0.24890829694323149</v>
      </c>
      <c r="I231" s="312" t="s">
        <v>110</v>
      </c>
      <c r="J231" s="29">
        <v>1</v>
      </c>
      <c r="K231" s="9">
        <v>1</v>
      </c>
      <c r="L231" s="9">
        <v>1</v>
      </c>
      <c r="M231" s="9">
        <v>2</v>
      </c>
      <c r="N231" s="43">
        <v>2</v>
      </c>
      <c r="O231" s="265">
        <f t="shared" si="4"/>
        <v>0.35859414261160716</v>
      </c>
      <c r="P231" s="164" t="s">
        <v>111</v>
      </c>
      <c r="Q231" s="227">
        <v>2020</v>
      </c>
      <c r="R231" s="227">
        <v>1855</v>
      </c>
      <c r="S231" s="227" t="s">
        <v>89</v>
      </c>
      <c r="T231" s="227">
        <v>62</v>
      </c>
      <c r="U231" s="227">
        <v>96</v>
      </c>
      <c r="V231" s="227">
        <v>1821</v>
      </c>
      <c r="W231" s="227">
        <v>5.0078247261345847E-2</v>
      </c>
      <c r="X231" s="227">
        <v>0.94992175273865409</v>
      </c>
      <c r="Y231" s="100" t="s">
        <v>126</v>
      </c>
      <c r="Z231" s="29">
        <v>1</v>
      </c>
      <c r="AA231" s="9">
        <v>1</v>
      </c>
      <c r="AB231" s="9">
        <v>1</v>
      </c>
      <c r="AC231" s="9">
        <v>2</v>
      </c>
      <c r="AD231" s="43">
        <v>2</v>
      </c>
      <c r="AE231" s="55">
        <v>0.35859414261160716</v>
      </c>
      <c r="AF231" s="52" t="s">
        <v>111</v>
      </c>
    </row>
    <row r="232" spans="1:32">
      <c r="A232" s="227">
        <v>2012</v>
      </c>
      <c r="B232" s="227">
        <v>610</v>
      </c>
      <c r="C232" s="227" t="s">
        <v>90</v>
      </c>
      <c r="D232" s="227">
        <v>181</v>
      </c>
      <c r="E232" s="227">
        <v>682</v>
      </c>
      <c r="F232" s="227">
        <v>109</v>
      </c>
      <c r="G232" s="227">
        <v>0.86219974715549941</v>
      </c>
      <c r="H232" s="227">
        <v>0.13780025284450059</v>
      </c>
      <c r="I232" s="312" t="s">
        <v>110</v>
      </c>
      <c r="J232" s="29">
        <v>1</v>
      </c>
      <c r="K232" s="9">
        <v>1</v>
      </c>
      <c r="L232" s="9">
        <v>1</v>
      </c>
      <c r="M232" s="9">
        <v>2</v>
      </c>
      <c r="N232" s="43">
        <v>2</v>
      </c>
      <c r="O232" s="265">
        <f t="shared" si="4"/>
        <v>0.35859414261160716</v>
      </c>
      <c r="P232" s="164" t="s">
        <v>111</v>
      </c>
      <c r="Q232" s="227">
        <v>2020</v>
      </c>
      <c r="R232" s="227">
        <v>7974</v>
      </c>
      <c r="S232" s="227" t="s">
        <v>90</v>
      </c>
      <c r="T232" s="227">
        <v>378</v>
      </c>
      <c r="U232" s="227">
        <v>1704</v>
      </c>
      <c r="V232" s="227">
        <v>6648</v>
      </c>
      <c r="W232" s="227">
        <v>0.2040229885057471</v>
      </c>
      <c r="X232" s="227">
        <v>0.79597701149425282</v>
      </c>
      <c r="Y232" s="100" t="s">
        <v>126</v>
      </c>
      <c r="Z232" s="29">
        <v>1</v>
      </c>
      <c r="AA232" s="9">
        <v>1</v>
      </c>
      <c r="AB232" s="9">
        <v>1</v>
      </c>
      <c r="AC232" s="9">
        <v>2</v>
      </c>
      <c r="AD232" s="43">
        <v>2</v>
      </c>
      <c r="AE232" s="55">
        <v>0.35859414261160716</v>
      </c>
      <c r="AF232" s="52" t="s">
        <v>111</v>
      </c>
    </row>
    <row r="233" spans="1:32">
      <c r="A233" s="227">
        <v>2012</v>
      </c>
      <c r="B233" s="227">
        <v>208</v>
      </c>
      <c r="C233" s="227" t="s">
        <v>91</v>
      </c>
      <c r="D233" s="227">
        <v>77</v>
      </c>
      <c r="E233" s="227">
        <v>285</v>
      </c>
      <c r="F233" s="227">
        <v>0</v>
      </c>
      <c r="G233" s="227">
        <v>1</v>
      </c>
      <c r="H233" s="227">
        <v>0</v>
      </c>
      <c r="I233" s="312" t="s">
        <v>110</v>
      </c>
      <c r="J233" s="29">
        <v>1</v>
      </c>
      <c r="K233" s="9">
        <v>1</v>
      </c>
      <c r="L233" s="9">
        <v>1</v>
      </c>
      <c r="M233" s="9">
        <v>2</v>
      </c>
      <c r="N233" s="43">
        <v>2</v>
      </c>
      <c r="O233" s="265">
        <f t="shared" si="4"/>
        <v>0.35859414261160716</v>
      </c>
      <c r="P233" s="164" t="s">
        <v>111</v>
      </c>
      <c r="Q233" s="227">
        <v>2020</v>
      </c>
      <c r="R233" s="227">
        <v>2519</v>
      </c>
      <c r="S233" s="227" t="s">
        <v>91</v>
      </c>
      <c r="T233" s="227">
        <v>853</v>
      </c>
      <c r="U233" s="227">
        <v>407</v>
      </c>
      <c r="V233" s="227">
        <v>2965</v>
      </c>
      <c r="W233" s="227">
        <v>0.120699881376038</v>
      </c>
      <c r="X233" s="227">
        <v>0.87930011862396207</v>
      </c>
      <c r="Y233" s="100" t="s">
        <v>126</v>
      </c>
      <c r="Z233" s="29">
        <v>1</v>
      </c>
      <c r="AA233" s="9">
        <v>1</v>
      </c>
      <c r="AB233" s="9">
        <v>1</v>
      </c>
      <c r="AC233" s="9">
        <v>2</v>
      </c>
      <c r="AD233" s="43">
        <v>2</v>
      </c>
      <c r="AE233" s="55">
        <v>0.35859414261160716</v>
      </c>
      <c r="AF233" s="52" t="s">
        <v>111</v>
      </c>
    </row>
    <row r="234" spans="1:32">
      <c r="A234" s="227">
        <v>2012</v>
      </c>
      <c r="B234" s="227">
        <v>143</v>
      </c>
      <c r="C234" s="227" t="s">
        <v>94</v>
      </c>
      <c r="D234" s="227">
        <v>20</v>
      </c>
      <c r="E234" s="227">
        <v>163</v>
      </c>
      <c r="F234" s="227">
        <v>0</v>
      </c>
      <c r="G234" s="227">
        <v>1</v>
      </c>
      <c r="H234" s="227">
        <v>0</v>
      </c>
      <c r="I234" s="312" t="s">
        <v>110</v>
      </c>
      <c r="J234" s="29">
        <v>1</v>
      </c>
      <c r="K234" s="9">
        <v>1</v>
      </c>
      <c r="L234" s="9">
        <v>1</v>
      </c>
      <c r="M234" s="9">
        <v>2</v>
      </c>
      <c r="N234" s="43">
        <v>2</v>
      </c>
      <c r="O234" s="265">
        <f t="shared" si="4"/>
        <v>0.35859414261160716</v>
      </c>
      <c r="P234" s="164" t="s">
        <v>111</v>
      </c>
      <c r="Q234" s="227">
        <v>2020</v>
      </c>
      <c r="R234" s="227">
        <v>661</v>
      </c>
      <c r="S234" s="227" t="s">
        <v>94</v>
      </c>
      <c r="T234" s="227">
        <v>172</v>
      </c>
      <c r="U234" s="227">
        <v>199</v>
      </c>
      <c r="V234" s="227">
        <v>634</v>
      </c>
      <c r="W234" s="227">
        <v>0.23889555822328931</v>
      </c>
      <c r="X234" s="227">
        <v>0.76110444177671066</v>
      </c>
      <c r="Y234" s="100" t="s">
        <v>126</v>
      </c>
      <c r="Z234" s="29">
        <v>1</v>
      </c>
      <c r="AA234" s="9">
        <v>1</v>
      </c>
      <c r="AB234" s="9">
        <v>1</v>
      </c>
      <c r="AC234" s="9">
        <v>2</v>
      </c>
      <c r="AD234" s="43">
        <v>2</v>
      </c>
      <c r="AE234" s="55">
        <v>0.35859414261160716</v>
      </c>
      <c r="AF234" s="52" t="s">
        <v>111</v>
      </c>
    </row>
    <row r="235" spans="1:32">
      <c r="A235" s="227">
        <v>2012</v>
      </c>
      <c r="B235" s="227">
        <v>306</v>
      </c>
      <c r="C235" s="227" t="s">
        <v>96</v>
      </c>
      <c r="D235" s="227">
        <v>46</v>
      </c>
      <c r="E235" s="227">
        <v>238</v>
      </c>
      <c r="F235" s="227">
        <v>114</v>
      </c>
      <c r="G235" s="227">
        <v>0.67613636363636365</v>
      </c>
      <c r="H235" s="227">
        <v>0.32386363636363641</v>
      </c>
      <c r="I235" s="312" t="s">
        <v>110</v>
      </c>
      <c r="J235" s="29">
        <v>1</v>
      </c>
      <c r="K235" s="9">
        <v>1</v>
      </c>
      <c r="L235" s="9">
        <v>1</v>
      </c>
      <c r="M235" s="9">
        <v>2</v>
      </c>
      <c r="N235" s="43">
        <v>2</v>
      </c>
      <c r="O235" s="265">
        <f t="shared" si="4"/>
        <v>0.35859414261160716</v>
      </c>
      <c r="P235" s="164" t="s">
        <v>111</v>
      </c>
      <c r="Q235" s="227">
        <v>2020</v>
      </c>
      <c r="R235" s="227">
        <v>1130</v>
      </c>
      <c r="S235" s="227" t="s">
        <v>96</v>
      </c>
      <c r="T235" s="227">
        <v>88</v>
      </c>
      <c r="U235" s="227">
        <v>274</v>
      </c>
      <c r="V235" s="227">
        <v>944</v>
      </c>
      <c r="W235" s="227">
        <v>0.22495894909688011</v>
      </c>
      <c r="X235" s="227">
        <v>0.77504105090311981</v>
      </c>
      <c r="Y235" s="100" t="s">
        <v>126</v>
      </c>
      <c r="Z235" s="29">
        <v>1</v>
      </c>
      <c r="AA235" s="9">
        <v>1</v>
      </c>
      <c r="AB235" s="9">
        <v>1</v>
      </c>
      <c r="AC235" s="9">
        <v>2</v>
      </c>
      <c r="AD235" s="43">
        <v>2</v>
      </c>
      <c r="AE235" s="55">
        <v>0.35859414261160716</v>
      </c>
      <c r="AF235" s="52" t="s">
        <v>111</v>
      </c>
    </row>
    <row r="236" spans="1:32">
      <c r="A236" s="227">
        <v>2012</v>
      </c>
      <c r="B236" s="227">
        <v>232</v>
      </c>
      <c r="C236" s="227" t="s">
        <v>97</v>
      </c>
      <c r="D236" s="227">
        <v>187</v>
      </c>
      <c r="E236" s="227">
        <v>308</v>
      </c>
      <c r="F236" s="227">
        <v>111</v>
      </c>
      <c r="G236" s="227">
        <v>0.73508353221957046</v>
      </c>
      <c r="H236" s="227">
        <v>0.26491646778042949</v>
      </c>
      <c r="I236" s="312" t="s">
        <v>110</v>
      </c>
      <c r="J236" s="29">
        <v>1</v>
      </c>
      <c r="K236" s="9">
        <v>1</v>
      </c>
      <c r="L236" s="9">
        <v>1</v>
      </c>
      <c r="M236" s="9">
        <v>2</v>
      </c>
      <c r="N236" s="43">
        <v>2</v>
      </c>
      <c r="O236" s="265">
        <f t="shared" si="4"/>
        <v>0.35859414261160716</v>
      </c>
      <c r="P236" s="164" t="s">
        <v>111</v>
      </c>
      <c r="Q236" s="227">
        <v>2020</v>
      </c>
      <c r="R236" s="227">
        <v>2463</v>
      </c>
      <c r="S236" s="227" t="s">
        <v>97</v>
      </c>
      <c r="T236" s="227">
        <v>418</v>
      </c>
      <c r="U236" s="227">
        <v>1073</v>
      </c>
      <c r="V236" s="227">
        <v>1808</v>
      </c>
      <c r="W236" s="227">
        <v>0.37244012495661227</v>
      </c>
      <c r="X236" s="227">
        <v>0.62755987504338773</v>
      </c>
      <c r="Y236" s="100" t="s">
        <v>126</v>
      </c>
      <c r="Z236" s="29">
        <v>1</v>
      </c>
      <c r="AA236" s="9">
        <v>1</v>
      </c>
      <c r="AB236" s="9">
        <v>1</v>
      </c>
      <c r="AC236" s="9">
        <v>2</v>
      </c>
      <c r="AD236" s="43">
        <v>2</v>
      </c>
      <c r="AE236" s="55">
        <v>0.35859414261160716</v>
      </c>
      <c r="AF236" s="52" t="s">
        <v>111</v>
      </c>
    </row>
    <row r="237" spans="1:32">
      <c r="A237" s="227">
        <v>2012</v>
      </c>
      <c r="B237" s="227">
        <v>221</v>
      </c>
      <c r="C237" s="227" t="s">
        <v>95</v>
      </c>
      <c r="D237" s="227">
        <v>55</v>
      </c>
      <c r="E237" s="227">
        <v>276</v>
      </c>
      <c r="F237" s="227">
        <v>0</v>
      </c>
      <c r="G237" s="227">
        <v>1</v>
      </c>
      <c r="H237" s="227">
        <v>0</v>
      </c>
      <c r="I237" s="312" t="s">
        <v>110</v>
      </c>
      <c r="J237" s="29">
        <v>1</v>
      </c>
      <c r="K237" s="9">
        <v>1</v>
      </c>
      <c r="L237" s="9">
        <v>1</v>
      </c>
      <c r="M237" s="9">
        <v>2</v>
      </c>
      <c r="N237" s="43">
        <v>2</v>
      </c>
      <c r="O237" s="265">
        <f t="shared" si="4"/>
        <v>0.35859414261160716</v>
      </c>
      <c r="P237" s="164" t="s">
        <v>111</v>
      </c>
      <c r="Q237" s="227">
        <v>2020</v>
      </c>
      <c r="R237" s="227">
        <v>2139</v>
      </c>
      <c r="S237" s="227" t="s">
        <v>95</v>
      </c>
      <c r="T237" s="227">
        <v>292</v>
      </c>
      <c r="U237" s="227">
        <v>602</v>
      </c>
      <c r="V237" s="227">
        <v>1829</v>
      </c>
      <c r="W237" s="227">
        <v>0.24763471822295349</v>
      </c>
      <c r="X237" s="227">
        <v>0.75236528177704654</v>
      </c>
      <c r="Y237" s="100" t="s">
        <v>126</v>
      </c>
      <c r="Z237" s="29">
        <v>1</v>
      </c>
      <c r="AA237" s="9">
        <v>1</v>
      </c>
      <c r="AB237" s="9">
        <v>1</v>
      </c>
      <c r="AC237" s="9">
        <v>2</v>
      </c>
      <c r="AD237" s="43">
        <v>2</v>
      </c>
      <c r="AE237" s="55">
        <v>0.35859414261160716</v>
      </c>
      <c r="AF237" s="52" t="s">
        <v>111</v>
      </c>
    </row>
    <row r="238" spans="1:32">
      <c r="A238" s="227">
        <v>2012</v>
      </c>
      <c r="B238" s="227">
        <v>86</v>
      </c>
      <c r="C238" s="227" t="s">
        <v>93</v>
      </c>
      <c r="D238" s="227">
        <v>28</v>
      </c>
      <c r="E238" s="227">
        <v>88</v>
      </c>
      <c r="F238" s="227">
        <v>26</v>
      </c>
      <c r="G238" s="227">
        <v>0.77192982456140347</v>
      </c>
      <c r="H238" s="227">
        <v>0.22807017543859651</v>
      </c>
      <c r="I238" s="312" t="s">
        <v>110</v>
      </c>
      <c r="J238" s="29">
        <v>1</v>
      </c>
      <c r="K238" s="9">
        <v>1</v>
      </c>
      <c r="L238" s="9">
        <v>1</v>
      </c>
      <c r="M238" s="9">
        <v>2</v>
      </c>
      <c r="N238" s="43">
        <v>2</v>
      </c>
      <c r="O238" s="265">
        <f t="shared" si="4"/>
        <v>0.35859414261160716</v>
      </c>
      <c r="P238" s="164" t="s">
        <v>111</v>
      </c>
      <c r="Q238" s="227">
        <v>2020</v>
      </c>
      <c r="R238" s="227">
        <v>3825</v>
      </c>
      <c r="S238" s="227" t="s">
        <v>93</v>
      </c>
      <c r="T238" s="227">
        <v>66</v>
      </c>
      <c r="U238" s="227">
        <v>465</v>
      </c>
      <c r="V238" s="227">
        <v>3426</v>
      </c>
      <c r="W238" s="227">
        <v>0.1195065535851966</v>
      </c>
      <c r="X238" s="227">
        <v>0.88049344641480343</v>
      </c>
      <c r="Y238" s="100" t="s">
        <v>126</v>
      </c>
      <c r="Z238" s="29">
        <v>1</v>
      </c>
      <c r="AA238" s="9">
        <v>1</v>
      </c>
      <c r="AB238" s="9">
        <v>1</v>
      </c>
      <c r="AC238" s="9">
        <v>2</v>
      </c>
      <c r="AD238" s="43">
        <v>2</v>
      </c>
      <c r="AE238" s="55">
        <v>0.35859414261160716</v>
      </c>
      <c r="AF238" s="52" t="s">
        <v>111</v>
      </c>
    </row>
    <row r="239" spans="1:32">
      <c r="A239" s="227">
        <v>2012</v>
      </c>
      <c r="B239" s="227">
        <v>2322</v>
      </c>
      <c r="C239" s="227" t="s">
        <v>98</v>
      </c>
      <c r="D239" s="227">
        <v>922</v>
      </c>
      <c r="E239" s="227">
        <v>3244</v>
      </c>
      <c r="F239" s="227">
        <v>0</v>
      </c>
      <c r="G239" s="227">
        <v>1</v>
      </c>
      <c r="H239" s="227">
        <v>0</v>
      </c>
      <c r="I239" s="312" t="s">
        <v>110</v>
      </c>
      <c r="J239" s="29">
        <v>1</v>
      </c>
      <c r="K239" s="9">
        <v>1</v>
      </c>
      <c r="L239" s="9">
        <v>1</v>
      </c>
      <c r="M239" s="9">
        <v>2</v>
      </c>
      <c r="N239" s="43">
        <v>2</v>
      </c>
      <c r="O239" s="265">
        <f t="shared" si="4"/>
        <v>0.35859414261160716</v>
      </c>
      <c r="P239" s="164" t="s">
        <v>111</v>
      </c>
      <c r="Q239" s="227">
        <v>2020</v>
      </c>
      <c r="R239" s="227">
        <v>13872</v>
      </c>
      <c r="S239" s="227" t="s">
        <v>98</v>
      </c>
      <c r="T239" s="227">
        <v>1580</v>
      </c>
      <c r="U239" s="227">
        <v>5860</v>
      </c>
      <c r="V239" s="227">
        <v>9592</v>
      </c>
      <c r="W239" s="227">
        <v>0.37923893347139531</v>
      </c>
      <c r="X239" s="227">
        <v>0.62076106652860474</v>
      </c>
      <c r="Y239" s="100" t="s">
        <v>126</v>
      </c>
      <c r="Z239" s="29">
        <v>1</v>
      </c>
      <c r="AA239" s="9">
        <v>1</v>
      </c>
      <c r="AB239" s="9">
        <v>1</v>
      </c>
      <c r="AC239" s="9">
        <v>2</v>
      </c>
      <c r="AD239" s="43">
        <v>2</v>
      </c>
      <c r="AE239" s="55">
        <v>0.35859414261160716</v>
      </c>
      <c r="AF239" s="52" t="s">
        <v>111</v>
      </c>
    </row>
    <row r="240" spans="1:32">
      <c r="A240" s="227">
        <v>2013</v>
      </c>
      <c r="B240" s="227">
        <v>1347</v>
      </c>
      <c r="C240" s="227" t="s">
        <v>85</v>
      </c>
      <c r="D240" s="227">
        <v>984</v>
      </c>
      <c r="E240" s="227">
        <v>1727</v>
      </c>
      <c r="F240" s="227">
        <v>604</v>
      </c>
      <c r="G240" s="227">
        <v>0.74088374088374087</v>
      </c>
      <c r="H240" s="227">
        <v>0.25911625911625907</v>
      </c>
      <c r="I240" s="312" t="s">
        <v>110</v>
      </c>
      <c r="J240" s="29">
        <v>1</v>
      </c>
      <c r="K240" s="9">
        <v>1</v>
      </c>
      <c r="L240" s="9">
        <v>1</v>
      </c>
      <c r="M240" s="9">
        <v>2</v>
      </c>
      <c r="N240" s="43">
        <v>2</v>
      </c>
      <c r="O240" s="265">
        <f t="shared" si="4"/>
        <v>0.35859414261160716</v>
      </c>
      <c r="P240" s="164" t="s">
        <v>111</v>
      </c>
      <c r="Q240" s="227">
        <v>2021</v>
      </c>
      <c r="R240" s="227">
        <v>13666</v>
      </c>
      <c r="S240" s="227" t="s">
        <v>85</v>
      </c>
      <c r="T240" s="227">
        <v>2883</v>
      </c>
      <c r="U240" s="227">
        <v>2568</v>
      </c>
      <c r="V240" s="227">
        <v>13981</v>
      </c>
      <c r="W240" s="227">
        <v>0.15517553930751099</v>
      </c>
      <c r="X240" s="227">
        <v>0.84482446069248895</v>
      </c>
      <c r="Y240" s="100" t="s">
        <v>126</v>
      </c>
      <c r="Z240" s="29">
        <v>1</v>
      </c>
      <c r="AA240" s="9">
        <v>1</v>
      </c>
      <c r="AB240" s="9">
        <v>1</v>
      </c>
      <c r="AC240" s="9">
        <v>2</v>
      </c>
      <c r="AD240" s="43">
        <v>2</v>
      </c>
      <c r="AE240" s="55">
        <v>0.35859414261160716</v>
      </c>
      <c r="AF240" s="52" t="s">
        <v>111</v>
      </c>
    </row>
    <row r="241" spans="1:32">
      <c r="A241" s="227">
        <v>2013</v>
      </c>
      <c r="B241" s="227">
        <v>290</v>
      </c>
      <c r="C241" s="227" t="s">
        <v>86</v>
      </c>
      <c r="D241" s="227">
        <v>222</v>
      </c>
      <c r="E241" s="227">
        <v>396</v>
      </c>
      <c r="F241" s="227">
        <v>116</v>
      </c>
      <c r="G241" s="227">
        <v>0.7734375</v>
      </c>
      <c r="H241" s="227">
        <v>0.2265625</v>
      </c>
      <c r="I241" s="312" t="s">
        <v>110</v>
      </c>
      <c r="J241" s="29">
        <v>1</v>
      </c>
      <c r="K241" s="9">
        <v>1</v>
      </c>
      <c r="L241" s="9">
        <v>1</v>
      </c>
      <c r="M241" s="9">
        <v>2</v>
      </c>
      <c r="N241" s="43">
        <v>2</v>
      </c>
      <c r="O241" s="265">
        <f t="shared" si="4"/>
        <v>0.35859414261160716</v>
      </c>
      <c r="P241" s="164" t="s">
        <v>111</v>
      </c>
      <c r="Q241" s="227">
        <v>2021</v>
      </c>
      <c r="R241" s="227">
        <v>6722</v>
      </c>
      <c r="S241" s="227" t="s">
        <v>86</v>
      </c>
      <c r="T241" s="227">
        <v>1213</v>
      </c>
      <c r="U241" s="227">
        <v>1136</v>
      </c>
      <c r="V241" s="227">
        <v>6799</v>
      </c>
      <c r="W241" s="227">
        <v>0.14316320100819149</v>
      </c>
      <c r="X241" s="227">
        <v>0.85683679899180842</v>
      </c>
      <c r="Y241" s="100" t="s">
        <v>126</v>
      </c>
      <c r="Z241" s="29">
        <v>1</v>
      </c>
      <c r="AA241" s="9">
        <v>1</v>
      </c>
      <c r="AB241" s="9">
        <v>1</v>
      </c>
      <c r="AC241" s="9">
        <v>2</v>
      </c>
      <c r="AD241" s="43">
        <v>2</v>
      </c>
      <c r="AE241" s="55">
        <v>0.35859414261160716</v>
      </c>
      <c r="AF241" s="52" t="s">
        <v>111</v>
      </c>
    </row>
    <row r="242" spans="1:32">
      <c r="A242" s="227">
        <v>2013</v>
      </c>
      <c r="B242" s="227">
        <v>613</v>
      </c>
      <c r="C242" s="227" t="s">
        <v>87</v>
      </c>
      <c r="D242" s="227">
        <v>232</v>
      </c>
      <c r="E242" s="227">
        <v>257</v>
      </c>
      <c r="F242" s="227">
        <v>588</v>
      </c>
      <c r="G242" s="227">
        <v>0.30414201183431949</v>
      </c>
      <c r="H242" s="227">
        <v>0.69585798816568045</v>
      </c>
      <c r="I242" s="312" t="s">
        <v>110</v>
      </c>
      <c r="J242" s="29">
        <v>1</v>
      </c>
      <c r="K242" s="9">
        <v>1</v>
      </c>
      <c r="L242" s="9">
        <v>1</v>
      </c>
      <c r="M242" s="9">
        <v>2</v>
      </c>
      <c r="N242" s="43">
        <v>2</v>
      </c>
      <c r="O242" s="265">
        <f t="shared" si="4"/>
        <v>0.35859414261160716</v>
      </c>
      <c r="P242" s="164" t="s">
        <v>111</v>
      </c>
      <c r="Q242" s="227">
        <v>2021</v>
      </c>
      <c r="R242" s="227">
        <v>9482</v>
      </c>
      <c r="S242" s="227" t="s">
        <v>87</v>
      </c>
      <c r="T242" s="227">
        <v>617</v>
      </c>
      <c r="U242" s="227">
        <v>998</v>
      </c>
      <c r="V242" s="227">
        <v>9101</v>
      </c>
      <c r="W242" s="227">
        <v>9.8821665511436771E-2</v>
      </c>
      <c r="X242" s="227">
        <v>0.90117833448856322</v>
      </c>
      <c r="Y242" s="100" t="s">
        <v>126</v>
      </c>
      <c r="Z242" s="29">
        <v>1</v>
      </c>
      <c r="AA242" s="9">
        <v>1</v>
      </c>
      <c r="AB242" s="9">
        <v>1</v>
      </c>
      <c r="AC242" s="9">
        <v>2</v>
      </c>
      <c r="AD242" s="43">
        <v>2</v>
      </c>
      <c r="AE242" s="55">
        <v>0.35859414261160716</v>
      </c>
      <c r="AF242" s="52" t="s">
        <v>111</v>
      </c>
    </row>
    <row r="243" spans="1:32">
      <c r="A243" s="227">
        <v>2013</v>
      </c>
      <c r="B243" s="227">
        <v>1</v>
      </c>
      <c r="C243" s="227" t="s">
        <v>88</v>
      </c>
      <c r="D243" s="227">
        <v>47</v>
      </c>
      <c r="E243" s="227">
        <v>13</v>
      </c>
      <c r="F243" s="227">
        <v>35</v>
      </c>
      <c r="G243" s="227">
        <v>0.27083333333333331</v>
      </c>
      <c r="H243" s="227">
        <v>0.72916666666666674</v>
      </c>
      <c r="I243" s="312" t="s">
        <v>110</v>
      </c>
      <c r="J243" s="29">
        <v>1</v>
      </c>
      <c r="K243" s="9">
        <v>1</v>
      </c>
      <c r="L243" s="9">
        <v>1</v>
      </c>
      <c r="M243" s="9">
        <v>2</v>
      </c>
      <c r="N243" s="43">
        <v>2</v>
      </c>
      <c r="O243" s="265">
        <f t="shared" si="4"/>
        <v>0.35859414261160716</v>
      </c>
      <c r="P243" s="164" t="s">
        <v>111</v>
      </c>
      <c r="Q243" s="227">
        <v>2021</v>
      </c>
      <c r="R243" s="227">
        <v>2057</v>
      </c>
      <c r="S243" s="227" t="s">
        <v>88</v>
      </c>
      <c r="T243" s="227">
        <v>117</v>
      </c>
      <c r="U243" s="227">
        <v>353</v>
      </c>
      <c r="V243" s="227">
        <v>1821</v>
      </c>
      <c r="W243" s="227">
        <v>0.16237350505979761</v>
      </c>
      <c r="X243" s="227">
        <v>0.83762649494020236</v>
      </c>
      <c r="Y243" s="100" t="s">
        <v>126</v>
      </c>
      <c r="Z243" s="29">
        <v>1</v>
      </c>
      <c r="AA243" s="9">
        <v>1</v>
      </c>
      <c r="AB243" s="9">
        <v>1</v>
      </c>
      <c r="AC243" s="9">
        <v>2</v>
      </c>
      <c r="AD243" s="43">
        <v>2</v>
      </c>
      <c r="AE243" s="55">
        <v>0.35859414261160716</v>
      </c>
      <c r="AF243" s="52" t="s">
        <v>111</v>
      </c>
    </row>
    <row r="244" spans="1:32">
      <c r="A244" s="227">
        <v>2013</v>
      </c>
      <c r="B244" s="227">
        <v>191</v>
      </c>
      <c r="C244" s="227" t="s">
        <v>89</v>
      </c>
      <c r="D244" s="227">
        <v>37</v>
      </c>
      <c r="E244" s="227">
        <v>172</v>
      </c>
      <c r="F244" s="227">
        <v>56</v>
      </c>
      <c r="G244" s="227">
        <v>0.75438596491228072</v>
      </c>
      <c r="H244" s="227">
        <v>0.24561403508771931</v>
      </c>
      <c r="I244" s="312" t="s">
        <v>110</v>
      </c>
      <c r="J244" s="29">
        <v>1</v>
      </c>
      <c r="K244" s="9">
        <v>1</v>
      </c>
      <c r="L244" s="9">
        <v>1</v>
      </c>
      <c r="M244" s="9">
        <v>2</v>
      </c>
      <c r="N244" s="43">
        <v>2</v>
      </c>
      <c r="O244" s="265">
        <f t="shared" si="4"/>
        <v>0.35859414261160716</v>
      </c>
      <c r="P244" s="164" t="s">
        <v>111</v>
      </c>
      <c r="Q244" s="227">
        <v>2021</v>
      </c>
      <c r="R244" s="227">
        <v>1923</v>
      </c>
      <c r="S244" s="227" t="s">
        <v>89</v>
      </c>
      <c r="T244" s="227">
        <v>180</v>
      </c>
      <c r="U244" s="227">
        <v>78</v>
      </c>
      <c r="V244" s="227">
        <v>2025</v>
      </c>
      <c r="W244" s="227">
        <v>3.7089871611982878E-2</v>
      </c>
      <c r="X244" s="227">
        <v>0.96291012838801715</v>
      </c>
      <c r="Y244" s="100" t="s">
        <v>126</v>
      </c>
      <c r="Z244" s="29">
        <v>1</v>
      </c>
      <c r="AA244" s="9">
        <v>1</v>
      </c>
      <c r="AB244" s="9">
        <v>1</v>
      </c>
      <c r="AC244" s="9">
        <v>2</v>
      </c>
      <c r="AD244" s="43">
        <v>2</v>
      </c>
      <c r="AE244" s="55">
        <v>0.35859414261160716</v>
      </c>
      <c r="AF244" s="52" t="s">
        <v>111</v>
      </c>
    </row>
    <row r="245" spans="1:32">
      <c r="A245" s="227">
        <v>2013</v>
      </c>
      <c r="B245" s="227">
        <v>610</v>
      </c>
      <c r="C245" s="227" t="s">
        <v>90</v>
      </c>
      <c r="D245" s="227">
        <v>164</v>
      </c>
      <c r="E245" s="227">
        <v>684</v>
      </c>
      <c r="F245" s="227">
        <v>90</v>
      </c>
      <c r="G245" s="227">
        <v>0.88372093023255816</v>
      </c>
      <c r="H245" s="227">
        <v>0.1162790697674418</v>
      </c>
      <c r="I245" s="312" t="s">
        <v>110</v>
      </c>
      <c r="J245" s="29">
        <v>1</v>
      </c>
      <c r="K245" s="9">
        <v>1</v>
      </c>
      <c r="L245" s="9">
        <v>1</v>
      </c>
      <c r="M245" s="9">
        <v>2</v>
      </c>
      <c r="N245" s="43">
        <v>2</v>
      </c>
      <c r="O245" s="265">
        <f t="shared" si="4"/>
        <v>0.35859414261160716</v>
      </c>
      <c r="P245" s="164" t="s">
        <v>111</v>
      </c>
      <c r="Q245" s="227">
        <v>2021</v>
      </c>
      <c r="R245" s="227">
        <v>7971</v>
      </c>
      <c r="S245" s="227" t="s">
        <v>90</v>
      </c>
      <c r="T245" s="227">
        <v>508</v>
      </c>
      <c r="U245" s="227">
        <v>1465</v>
      </c>
      <c r="V245" s="227">
        <v>7014</v>
      </c>
      <c r="W245" s="227">
        <v>0.17277980893973349</v>
      </c>
      <c r="X245" s="227">
        <v>0.82722019106026656</v>
      </c>
      <c r="Y245" s="100" t="s">
        <v>126</v>
      </c>
      <c r="Z245" s="29">
        <v>1</v>
      </c>
      <c r="AA245" s="9">
        <v>1</v>
      </c>
      <c r="AB245" s="9">
        <v>1</v>
      </c>
      <c r="AC245" s="9">
        <v>2</v>
      </c>
      <c r="AD245" s="43">
        <v>2</v>
      </c>
      <c r="AE245" s="55">
        <v>0.35859414261160716</v>
      </c>
      <c r="AF245" s="52" t="s">
        <v>111</v>
      </c>
    </row>
    <row r="246" spans="1:32">
      <c r="A246" s="227">
        <v>2013</v>
      </c>
      <c r="B246" s="227">
        <v>343</v>
      </c>
      <c r="C246" s="227" t="s">
        <v>91</v>
      </c>
      <c r="D246" s="227">
        <v>40</v>
      </c>
      <c r="E246" s="227">
        <v>383</v>
      </c>
      <c r="F246" s="227">
        <v>0</v>
      </c>
      <c r="G246" s="227">
        <v>1</v>
      </c>
      <c r="H246" s="227">
        <v>0</v>
      </c>
      <c r="I246" s="312" t="s">
        <v>110</v>
      </c>
      <c r="J246" s="29">
        <v>1</v>
      </c>
      <c r="K246" s="9">
        <v>1</v>
      </c>
      <c r="L246" s="9">
        <v>1</v>
      </c>
      <c r="M246" s="9">
        <v>2</v>
      </c>
      <c r="N246" s="43">
        <v>2</v>
      </c>
      <c r="O246" s="265">
        <f t="shared" si="4"/>
        <v>0.35859414261160716</v>
      </c>
      <c r="P246" s="164" t="s">
        <v>111</v>
      </c>
      <c r="Q246" s="227">
        <v>2021</v>
      </c>
      <c r="R246" s="227">
        <v>2802</v>
      </c>
      <c r="S246" s="227" t="s">
        <v>91</v>
      </c>
      <c r="T246" s="227">
        <v>824</v>
      </c>
      <c r="U246" s="227">
        <v>469</v>
      </c>
      <c r="V246" s="227">
        <v>3157</v>
      </c>
      <c r="W246" s="227">
        <v>0.12934362934362931</v>
      </c>
      <c r="X246" s="227">
        <v>0.87065637065637069</v>
      </c>
      <c r="Y246" s="100" t="s">
        <v>126</v>
      </c>
      <c r="Z246" s="29">
        <v>1</v>
      </c>
      <c r="AA246" s="9">
        <v>1</v>
      </c>
      <c r="AB246" s="9">
        <v>1</v>
      </c>
      <c r="AC246" s="9">
        <v>2</v>
      </c>
      <c r="AD246" s="43">
        <v>2</v>
      </c>
      <c r="AE246" s="55">
        <v>0.35859414261160716</v>
      </c>
      <c r="AF246" s="52" t="s">
        <v>111</v>
      </c>
    </row>
    <row r="247" spans="1:32">
      <c r="A247" s="227">
        <v>2013</v>
      </c>
      <c r="B247" s="227">
        <v>156</v>
      </c>
      <c r="C247" s="227" t="s">
        <v>94</v>
      </c>
      <c r="D247" s="227">
        <v>15</v>
      </c>
      <c r="E247" s="227">
        <v>171</v>
      </c>
      <c r="F247" s="227">
        <v>0</v>
      </c>
      <c r="G247" s="227">
        <v>1</v>
      </c>
      <c r="H247" s="227">
        <v>0</v>
      </c>
      <c r="I247" s="312" t="s">
        <v>110</v>
      </c>
      <c r="J247" s="29">
        <v>1</v>
      </c>
      <c r="K247" s="9">
        <v>1</v>
      </c>
      <c r="L247" s="9">
        <v>1</v>
      </c>
      <c r="M247" s="9">
        <v>2</v>
      </c>
      <c r="N247" s="43">
        <v>2</v>
      </c>
      <c r="O247" s="265">
        <f t="shared" si="4"/>
        <v>0.35859414261160716</v>
      </c>
      <c r="P247" s="164" t="s">
        <v>111</v>
      </c>
      <c r="Q247" s="227">
        <v>2021</v>
      </c>
      <c r="R247" s="227">
        <v>710</v>
      </c>
      <c r="S247" s="227" t="s">
        <v>94</v>
      </c>
      <c r="T247" s="227">
        <v>228</v>
      </c>
      <c r="U247" s="227">
        <v>267</v>
      </c>
      <c r="V247" s="227">
        <v>671</v>
      </c>
      <c r="W247" s="227">
        <v>0.28464818763326227</v>
      </c>
      <c r="X247" s="227">
        <v>0.71535181236673773</v>
      </c>
      <c r="Y247" s="100" t="s">
        <v>126</v>
      </c>
      <c r="Z247" s="29">
        <v>1</v>
      </c>
      <c r="AA247" s="9">
        <v>1</v>
      </c>
      <c r="AB247" s="9">
        <v>1</v>
      </c>
      <c r="AC247" s="9">
        <v>2</v>
      </c>
      <c r="AD247" s="43">
        <v>2</v>
      </c>
      <c r="AE247" s="55">
        <v>0.35859414261160716</v>
      </c>
      <c r="AF247" s="52" t="s">
        <v>111</v>
      </c>
    </row>
    <row r="248" spans="1:32">
      <c r="A248" s="227">
        <v>2013</v>
      </c>
      <c r="B248" s="227">
        <v>337</v>
      </c>
      <c r="C248" s="227" t="s">
        <v>96</v>
      </c>
      <c r="D248" s="227">
        <v>42</v>
      </c>
      <c r="E248" s="227">
        <v>233</v>
      </c>
      <c r="F248" s="227">
        <v>146</v>
      </c>
      <c r="G248" s="227">
        <v>0.61477572559366755</v>
      </c>
      <c r="H248" s="227">
        <v>0.38522427440633239</v>
      </c>
      <c r="I248" s="312" t="s">
        <v>110</v>
      </c>
      <c r="J248" s="29">
        <v>1</v>
      </c>
      <c r="K248" s="9">
        <v>1</v>
      </c>
      <c r="L248" s="9">
        <v>1</v>
      </c>
      <c r="M248" s="9">
        <v>2</v>
      </c>
      <c r="N248" s="43">
        <v>2</v>
      </c>
      <c r="O248" s="265">
        <f t="shared" si="4"/>
        <v>0.35859414261160716</v>
      </c>
      <c r="P248" s="164" t="s">
        <v>111</v>
      </c>
      <c r="Q248" s="227">
        <v>2021</v>
      </c>
      <c r="R248" s="227">
        <v>1323</v>
      </c>
      <c r="S248" s="227" t="s">
        <v>96</v>
      </c>
      <c r="T248" s="227">
        <v>103</v>
      </c>
      <c r="U248" s="227">
        <v>280</v>
      </c>
      <c r="V248" s="227">
        <v>1146</v>
      </c>
      <c r="W248" s="227">
        <v>0.19635343618513321</v>
      </c>
      <c r="X248" s="227">
        <v>0.80364656381486677</v>
      </c>
      <c r="Y248" s="100" t="s">
        <v>126</v>
      </c>
      <c r="Z248" s="29">
        <v>1</v>
      </c>
      <c r="AA248" s="9">
        <v>1</v>
      </c>
      <c r="AB248" s="9">
        <v>1</v>
      </c>
      <c r="AC248" s="9">
        <v>2</v>
      </c>
      <c r="AD248" s="43">
        <v>2</v>
      </c>
      <c r="AE248" s="55">
        <v>0.35859414261160716</v>
      </c>
      <c r="AF248" s="52" t="s">
        <v>111</v>
      </c>
    </row>
    <row r="249" spans="1:32">
      <c r="A249" s="227">
        <v>2013</v>
      </c>
      <c r="B249" s="227">
        <v>246</v>
      </c>
      <c r="C249" s="227" t="s">
        <v>97</v>
      </c>
      <c r="D249" s="227">
        <v>176</v>
      </c>
      <c r="E249" s="227">
        <v>321</v>
      </c>
      <c r="F249" s="227">
        <v>101</v>
      </c>
      <c r="G249" s="227">
        <v>0.76066350710900477</v>
      </c>
      <c r="H249" s="227">
        <v>0.23933649289099521</v>
      </c>
      <c r="I249" s="312" t="s">
        <v>110</v>
      </c>
      <c r="J249" s="29">
        <v>1</v>
      </c>
      <c r="K249" s="9">
        <v>1</v>
      </c>
      <c r="L249" s="9">
        <v>1</v>
      </c>
      <c r="M249" s="9">
        <v>2</v>
      </c>
      <c r="N249" s="43">
        <v>2</v>
      </c>
      <c r="O249" s="265">
        <f t="shared" si="4"/>
        <v>0.35859414261160716</v>
      </c>
      <c r="P249" s="164" t="s">
        <v>111</v>
      </c>
      <c r="Q249" s="227">
        <v>2021</v>
      </c>
      <c r="R249" s="227">
        <v>2546</v>
      </c>
      <c r="S249" s="227" t="s">
        <v>97</v>
      </c>
      <c r="T249" s="227">
        <v>408</v>
      </c>
      <c r="U249" s="227">
        <v>1133</v>
      </c>
      <c r="V249" s="227">
        <v>1821</v>
      </c>
      <c r="W249" s="227">
        <v>0.38354773188896413</v>
      </c>
      <c r="X249" s="227">
        <v>0.61645226811103582</v>
      </c>
      <c r="Y249" s="100" t="s">
        <v>126</v>
      </c>
      <c r="Z249" s="29">
        <v>1</v>
      </c>
      <c r="AA249" s="9">
        <v>1</v>
      </c>
      <c r="AB249" s="9">
        <v>1</v>
      </c>
      <c r="AC249" s="9">
        <v>2</v>
      </c>
      <c r="AD249" s="43">
        <v>2</v>
      </c>
      <c r="AE249" s="55">
        <v>0.35859414261160716</v>
      </c>
      <c r="AF249" s="52" t="s">
        <v>111</v>
      </c>
    </row>
    <row r="250" spans="1:32">
      <c r="A250" s="227">
        <v>2013</v>
      </c>
      <c r="B250" s="227">
        <v>248</v>
      </c>
      <c r="C250" s="227" t="s">
        <v>95</v>
      </c>
      <c r="D250" s="227">
        <v>54</v>
      </c>
      <c r="E250" s="227">
        <v>302</v>
      </c>
      <c r="F250" s="227">
        <v>0</v>
      </c>
      <c r="G250" s="227">
        <v>1</v>
      </c>
      <c r="H250" s="227">
        <v>0</v>
      </c>
      <c r="I250" s="312" t="s">
        <v>110</v>
      </c>
      <c r="J250" s="29">
        <v>1</v>
      </c>
      <c r="K250" s="9">
        <v>1</v>
      </c>
      <c r="L250" s="9">
        <v>1</v>
      </c>
      <c r="M250" s="9">
        <v>2</v>
      </c>
      <c r="N250" s="43">
        <v>2</v>
      </c>
      <c r="O250" s="265">
        <f t="shared" si="4"/>
        <v>0.35859414261160716</v>
      </c>
      <c r="P250" s="164" t="s">
        <v>111</v>
      </c>
      <c r="Q250" s="227">
        <v>2021</v>
      </c>
      <c r="R250" s="227">
        <v>2149</v>
      </c>
      <c r="S250" s="227" t="s">
        <v>95</v>
      </c>
      <c r="T250" s="227">
        <v>317</v>
      </c>
      <c r="U250" s="227">
        <v>669</v>
      </c>
      <c r="V250" s="227">
        <v>1797</v>
      </c>
      <c r="W250" s="227">
        <v>0.27128953771289538</v>
      </c>
      <c r="X250" s="227">
        <v>0.72871046228710457</v>
      </c>
      <c r="Y250" s="100" t="s">
        <v>126</v>
      </c>
      <c r="Z250" s="29">
        <v>1</v>
      </c>
      <c r="AA250" s="9">
        <v>1</v>
      </c>
      <c r="AB250" s="9">
        <v>1</v>
      </c>
      <c r="AC250" s="9">
        <v>2</v>
      </c>
      <c r="AD250" s="43">
        <v>2</v>
      </c>
      <c r="AE250" s="55">
        <v>0.35859414261160716</v>
      </c>
      <c r="AF250" s="52" t="s">
        <v>111</v>
      </c>
    </row>
    <row r="251" spans="1:32">
      <c r="A251" s="227">
        <v>2013</v>
      </c>
      <c r="B251" s="227">
        <v>120</v>
      </c>
      <c r="C251" s="227" t="s">
        <v>93</v>
      </c>
      <c r="D251" s="227">
        <v>26</v>
      </c>
      <c r="E251" s="227">
        <v>88</v>
      </c>
      <c r="F251" s="227">
        <v>58</v>
      </c>
      <c r="G251" s="227">
        <v>0.60273972602739723</v>
      </c>
      <c r="H251" s="227">
        <v>0.39726027397260277</v>
      </c>
      <c r="I251" s="312" t="s">
        <v>110</v>
      </c>
      <c r="J251" s="29">
        <v>1</v>
      </c>
      <c r="K251" s="9">
        <v>1</v>
      </c>
      <c r="L251" s="9">
        <v>1</v>
      </c>
      <c r="M251" s="9">
        <v>2</v>
      </c>
      <c r="N251" s="43">
        <v>2</v>
      </c>
      <c r="O251" s="265">
        <f t="shared" si="4"/>
        <v>0.35859414261160716</v>
      </c>
      <c r="P251" s="164" t="s">
        <v>111</v>
      </c>
      <c r="Q251" s="227">
        <v>2021</v>
      </c>
      <c r="R251" s="227">
        <v>3554</v>
      </c>
      <c r="S251" s="227" t="s">
        <v>93</v>
      </c>
      <c r="T251" s="227">
        <v>72</v>
      </c>
      <c r="U251" s="227">
        <v>494</v>
      </c>
      <c r="V251" s="227">
        <v>3132</v>
      </c>
      <c r="W251" s="227">
        <v>0.13623827909542199</v>
      </c>
      <c r="X251" s="227">
        <v>0.86376172090457803</v>
      </c>
      <c r="Y251" s="100" t="s">
        <v>126</v>
      </c>
      <c r="Z251" s="29">
        <v>1</v>
      </c>
      <c r="AA251" s="9">
        <v>1</v>
      </c>
      <c r="AB251" s="9">
        <v>1</v>
      </c>
      <c r="AC251" s="9">
        <v>2</v>
      </c>
      <c r="AD251" s="43">
        <v>2</v>
      </c>
      <c r="AE251" s="55">
        <v>0.35859414261160716</v>
      </c>
      <c r="AF251" s="52" t="s">
        <v>111</v>
      </c>
    </row>
    <row r="252" spans="1:32">
      <c r="A252" s="227">
        <v>2013</v>
      </c>
      <c r="B252" s="227">
        <v>2021</v>
      </c>
      <c r="C252" s="227" t="s">
        <v>98</v>
      </c>
      <c r="D252" s="227">
        <v>1210</v>
      </c>
      <c r="E252" s="227">
        <v>3231</v>
      </c>
      <c r="F252" s="227">
        <v>0</v>
      </c>
      <c r="G252" s="227">
        <v>1</v>
      </c>
      <c r="H252" s="227">
        <v>0</v>
      </c>
      <c r="I252" s="312" t="s">
        <v>110</v>
      </c>
      <c r="J252" s="29">
        <v>1</v>
      </c>
      <c r="K252" s="9">
        <v>1</v>
      </c>
      <c r="L252" s="9">
        <v>1</v>
      </c>
      <c r="M252" s="9">
        <v>2</v>
      </c>
      <c r="N252" s="43">
        <v>2</v>
      </c>
      <c r="O252" s="265">
        <f t="shared" si="4"/>
        <v>0.35859414261160716</v>
      </c>
      <c r="P252" s="164" t="s">
        <v>111</v>
      </c>
      <c r="Q252" s="227">
        <v>2021</v>
      </c>
      <c r="R252" s="227">
        <v>15065</v>
      </c>
      <c r="S252" s="227" t="s">
        <v>98</v>
      </c>
      <c r="T252" s="227">
        <v>1687</v>
      </c>
      <c r="U252" s="227">
        <v>5812</v>
      </c>
      <c r="V252" s="227">
        <v>10940</v>
      </c>
      <c r="W252" s="227">
        <v>0.34694364851957982</v>
      </c>
      <c r="X252" s="227">
        <v>0.65305635148042018</v>
      </c>
      <c r="Y252" s="100" t="s">
        <v>126</v>
      </c>
      <c r="Z252" s="29">
        <v>1</v>
      </c>
      <c r="AA252" s="9">
        <v>1</v>
      </c>
      <c r="AB252" s="9">
        <v>1</v>
      </c>
      <c r="AC252" s="9">
        <v>2</v>
      </c>
      <c r="AD252" s="43">
        <v>2</v>
      </c>
      <c r="AE252" s="55">
        <v>0.35859414261160716</v>
      </c>
      <c r="AF252" s="52" t="s">
        <v>111</v>
      </c>
    </row>
    <row r="253" spans="1:32">
      <c r="A253" s="227">
        <v>2014</v>
      </c>
      <c r="B253" s="227">
        <v>1317</v>
      </c>
      <c r="C253" s="227" t="s">
        <v>85</v>
      </c>
      <c r="D253" s="227">
        <v>1013</v>
      </c>
      <c r="E253" s="227">
        <v>1768</v>
      </c>
      <c r="F253" s="227">
        <v>562</v>
      </c>
      <c r="G253" s="227">
        <v>0.75879828326180254</v>
      </c>
      <c r="H253" s="227">
        <v>0.24120171673819751</v>
      </c>
      <c r="I253" s="312" t="s">
        <v>110</v>
      </c>
      <c r="J253" s="29">
        <v>1</v>
      </c>
      <c r="K253" s="9">
        <v>1</v>
      </c>
      <c r="L253" s="9">
        <v>1</v>
      </c>
      <c r="M253" s="9">
        <v>2</v>
      </c>
      <c r="N253" s="43">
        <v>2</v>
      </c>
      <c r="O253" s="265">
        <f t="shared" si="4"/>
        <v>0.35859414261160716</v>
      </c>
      <c r="P253" s="164" t="s">
        <v>111</v>
      </c>
    </row>
    <row r="254" spans="1:32">
      <c r="A254" s="227">
        <v>2014</v>
      </c>
      <c r="B254" s="227">
        <v>290</v>
      </c>
      <c r="C254" s="227" t="s">
        <v>86</v>
      </c>
      <c r="D254" s="227">
        <v>192</v>
      </c>
      <c r="E254" s="227">
        <v>407</v>
      </c>
      <c r="F254" s="227">
        <v>75</v>
      </c>
      <c r="G254" s="227">
        <v>0.84439834024896265</v>
      </c>
      <c r="H254" s="227">
        <v>0.15560165975103729</v>
      </c>
      <c r="I254" s="312" t="s">
        <v>110</v>
      </c>
      <c r="J254" s="29">
        <v>1</v>
      </c>
      <c r="K254" s="9">
        <v>1</v>
      </c>
      <c r="L254" s="9">
        <v>1</v>
      </c>
      <c r="M254" s="9">
        <v>2</v>
      </c>
      <c r="N254" s="43">
        <v>2</v>
      </c>
      <c r="O254" s="265">
        <f t="shared" si="4"/>
        <v>0.35859414261160716</v>
      </c>
      <c r="P254" s="164" t="s">
        <v>111</v>
      </c>
    </row>
    <row r="255" spans="1:32">
      <c r="A255" s="227">
        <v>2014</v>
      </c>
      <c r="B255" s="227">
        <v>852</v>
      </c>
      <c r="C255" s="227" t="s">
        <v>87</v>
      </c>
      <c r="D255" s="227">
        <v>207</v>
      </c>
      <c r="E255" s="227">
        <v>239</v>
      </c>
      <c r="F255" s="227">
        <v>820</v>
      </c>
      <c r="G255" s="227">
        <v>0.22568460812086871</v>
      </c>
      <c r="H255" s="227">
        <v>0.77431539187913123</v>
      </c>
      <c r="I255" s="312" t="s">
        <v>110</v>
      </c>
      <c r="J255" s="29">
        <v>1</v>
      </c>
      <c r="K255" s="9">
        <v>1</v>
      </c>
      <c r="L255" s="9">
        <v>1</v>
      </c>
      <c r="M255" s="9">
        <v>2</v>
      </c>
      <c r="N255" s="43">
        <v>2</v>
      </c>
      <c r="O255" s="265">
        <f t="shared" si="4"/>
        <v>0.35859414261160716</v>
      </c>
      <c r="P255" s="164" t="s">
        <v>111</v>
      </c>
    </row>
    <row r="256" spans="1:32">
      <c r="A256" s="227">
        <v>2014</v>
      </c>
      <c r="B256" s="227">
        <v>4</v>
      </c>
      <c r="C256" s="227" t="s">
        <v>88</v>
      </c>
      <c r="D256" s="227">
        <v>47</v>
      </c>
      <c r="E256" s="227">
        <v>13</v>
      </c>
      <c r="F256" s="227">
        <v>38</v>
      </c>
      <c r="G256" s="227">
        <v>0.25490196078431371</v>
      </c>
      <c r="H256" s="227">
        <v>0.74509803921568629</v>
      </c>
      <c r="I256" s="312" t="s">
        <v>110</v>
      </c>
      <c r="J256" s="29">
        <v>1</v>
      </c>
      <c r="K256" s="9">
        <v>1</v>
      </c>
      <c r="L256" s="9">
        <v>1</v>
      </c>
      <c r="M256" s="9">
        <v>2</v>
      </c>
      <c r="N256" s="43">
        <v>2</v>
      </c>
      <c r="O256" s="265">
        <f t="shared" si="4"/>
        <v>0.35859414261160716</v>
      </c>
      <c r="P256" s="164" t="s">
        <v>111</v>
      </c>
    </row>
    <row r="257" spans="1:16">
      <c r="A257" s="227">
        <v>2014</v>
      </c>
      <c r="B257" s="227">
        <v>191</v>
      </c>
      <c r="C257" s="227" t="s">
        <v>89</v>
      </c>
      <c r="D257" s="227">
        <v>43</v>
      </c>
      <c r="E257" s="227">
        <v>218</v>
      </c>
      <c r="F257" s="227">
        <v>16</v>
      </c>
      <c r="G257" s="227">
        <v>0.93162393162393164</v>
      </c>
      <c r="H257" s="227">
        <v>6.8376068376068355E-2</v>
      </c>
      <c r="I257" s="312" t="s">
        <v>110</v>
      </c>
      <c r="J257" s="29">
        <v>1</v>
      </c>
      <c r="K257" s="9">
        <v>1</v>
      </c>
      <c r="L257" s="9">
        <v>1</v>
      </c>
      <c r="M257" s="9">
        <v>2</v>
      </c>
      <c r="N257" s="43">
        <v>2</v>
      </c>
      <c r="O257" s="265">
        <f t="shared" si="4"/>
        <v>0.35859414261160716</v>
      </c>
      <c r="P257" s="164" t="s">
        <v>111</v>
      </c>
    </row>
    <row r="258" spans="1:16">
      <c r="A258" s="227">
        <v>2014</v>
      </c>
      <c r="B258" s="227">
        <v>610</v>
      </c>
      <c r="C258" s="227" t="s">
        <v>90</v>
      </c>
      <c r="D258" s="227">
        <v>142</v>
      </c>
      <c r="E258" s="227">
        <v>647</v>
      </c>
      <c r="F258" s="227">
        <v>105</v>
      </c>
      <c r="G258" s="227">
        <v>0.8603723404255319</v>
      </c>
      <c r="H258" s="227">
        <v>0.1396276595744681</v>
      </c>
      <c r="I258" s="312" t="s">
        <v>110</v>
      </c>
      <c r="J258" s="29">
        <v>1</v>
      </c>
      <c r="K258" s="9">
        <v>1</v>
      </c>
      <c r="L258" s="9">
        <v>1</v>
      </c>
      <c r="M258" s="9">
        <v>2</v>
      </c>
      <c r="N258" s="43">
        <v>2</v>
      </c>
      <c r="O258" s="265">
        <f t="shared" si="4"/>
        <v>0.35859414261160716</v>
      </c>
      <c r="P258" s="164" t="s">
        <v>111</v>
      </c>
    </row>
    <row r="259" spans="1:16">
      <c r="A259" s="227">
        <v>2014</v>
      </c>
      <c r="B259" s="227">
        <v>359</v>
      </c>
      <c r="C259" s="227" t="s">
        <v>91</v>
      </c>
      <c r="D259" s="227">
        <v>64</v>
      </c>
      <c r="E259" s="227">
        <v>423</v>
      </c>
      <c r="F259" s="227">
        <v>0</v>
      </c>
      <c r="G259" s="227">
        <v>1</v>
      </c>
      <c r="H259" s="227">
        <v>0</v>
      </c>
      <c r="I259" s="312" t="s">
        <v>110</v>
      </c>
      <c r="J259" s="29">
        <v>1</v>
      </c>
      <c r="K259" s="9">
        <v>1</v>
      </c>
      <c r="L259" s="9">
        <v>1</v>
      </c>
      <c r="M259" s="9">
        <v>2</v>
      </c>
      <c r="N259" s="43">
        <v>2</v>
      </c>
      <c r="O259" s="265">
        <f t="shared" si="4"/>
        <v>0.35859414261160716</v>
      </c>
      <c r="P259" s="164" t="s">
        <v>111</v>
      </c>
    </row>
    <row r="260" spans="1:16">
      <c r="A260" s="227">
        <v>2014</v>
      </c>
      <c r="B260" s="227">
        <v>137</v>
      </c>
      <c r="C260" s="227" t="s">
        <v>94</v>
      </c>
      <c r="D260" s="227">
        <v>18</v>
      </c>
      <c r="E260" s="227">
        <v>155</v>
      </c>
      <c r="F260" s="227">
        <v>0</v>
      </c>
      <c r="G260" s="227">
        <v>1</v>
      </c>
      <c r="H260" s="227">
        <v>0</v>
      </c>
      <c r="I260" s="312" t="s">
        <v>110</v>
      </c>
      <c r="J260" s="29">
        <v>1</v>
      </c>
      <c r="K260" s="9">
        <v>1</v>
      </c>
      <c r="L260" s="9">
        <v>1</v>
      </c>
      <c r="M260" s="9">
        <v>2</v>
      </c>
      <c r="N260" s="43">
        <v>2</v>
      </c>
      <c r="O260" s="265">
        <f t="shared" si="4"/>
        <v>0.35859414261160716</v>
      </c>
      <c r="P260" s="164" t="s">
        <v>111</v>
      </c>
    </row>
    <row r="261" spans="1:16">
      <c r="A261" s="227">
        <v>2014</v>
      </c>
      <c r="B261" s="227">
        <v>337</v>
      </c>
      <c r="C261" s="227" t="s">
        <v>96</v>
      </c>
      <c r="D261" s="227">
        <v>39</v>
      </c>
      <c r="E261" s="227">
        <v>237</v>
      </c>
      <c r="F261" s="227">
        <v>139</v>
      </c>
      <c r="G261" s="227">
        <v>0.63031914893617025</v>
      </c>
      <c r="H261" s="227">
        <v>0.36968085106382981</v>
      </c>
      <c r="I261" s="312" t="s">
        <v>110</v>
      </c>
      <c r="J261" s="29">
        <v>1</v>
      </c>
      <c r="K261" s="9">
        <v>1</v>
      </c>
      <c r="L261" s="9">
        <v>1</v>
      </c>
      <c r="M261" s="9">
        <v>2</v>
      </c>
      <c r="N261" s="43">
        <v>2</v>
      </c>
      <c r="O261" s="265">
        <f t="shared" si="4"/>
        <v>0.35859414261160716</v>
      </c>
      <c r="P261" s="164" t="s">
        <v>111</v>
      </c>
    </row>
    <row r="262" spans="1:16">
      <c r="A262" s="227">
        <v>2014</v>
      </c>
      <c r="B262" s="227">
        <v>249</v>
      </c>
      <c r="C262" s="227" t="s">
        <v>97</v>
      </c>
      <c r="D262" s="227">
        <v>204</v>
      </c>
      <c r="E262" s="227">
        <v>336</v>
      </c>
      <c r="F262" s="227">
        <v>117</v>
      </c>
      <c r="G262" s="227">
        <v>0.74172185430463577</v>
      </c>
      <c r="H262" s="227">
        <v>0.25827814569536423</v>
      </c>
      <c r="I262" s="312" t="s">
        <v>110</v>
      </c>
      <c r="J262" s="29">
        <v>1</v>
      </c>
      <c r="K262" s="9">
        <v>1</v>
      </c>
      <c r="L262" s="9">
        <v>1</v>
      </c>
      <c r="M262" s="9">
        <v>2</v>
      </c>
      <c r="N262" s="43">
        <v>2</v>
      </c>
      <c r="O262" s="265">
        <f t="shared" si="4"/>
        <v>0.35859414261160716</v>
      </c>
      <c r="P262" s="164" t="s">
        <v>111</v>
      </c>
    </row>
    <row r="263" spans="1:16">
      <c r="A263" s="227">
        <v>2014</v>
      </c>
      <c r="B263" s="227">
        <v>254</v>
      </c>
      <c r="C263" s="227" t="s">
        <v>95</v>
      </c>
      <c r="D263" s="227">
        <v>56</v>
      </c>
      <c r="E263" s="227">
        <v>310</v>
      </c>
      <c r="F263" s="227">
        <v>0</v>
      </c>
      <c r="G263" s="227">
        <v>1</v>
      </c>
      <c r="H263" s="227">
        <v>0</v>
      </c>
      <c r="I263" s="312" t="s">
        <v>110</v>
      </c>
      <c r="J263" s="29">
        <v>1</v>
      </c>
      <c r="K263" s="9">
        <v>1</v>
      </c>
      <c r="L263" s="9">
        <v>1</v>
      </c>
      <c r="M263" s="9">
        <v>2</v>
      </c>
      <c r="N263" s="43">
        <v>2</v>
      </c>
      <c r="O263" s="265">
        <f t="shared" ref="O263:O326" si="5">IF( OR( ISBLANK(J263),ISBLANK(K263), ISBLANK(L263), ISBLANK(M263), ISBLANK(N263) ), "", 1.5*SQRT(   EXP(2.21*(J263-1)) + EXP(2.21*(K263-1)) + EXP(2.21*(L263-1)) + EXP(2.21*(M263-1)) + EXP(2.21*N263)   )/100*2.45 )</f>
        <v>0.35859414261160716</v>
      </c>
      <c r="P263" s="164" t="s">
        <v>111</v>
      </c>
    </row>
    <row r="264" spans="1:16">
      <c r="A264" s="227">
        <v>2014</v>
      </c>
      <c r="B264" s="227">
        <v>102</v>
      </c>
      <c r="C264" s="227" t="s">
        <v>93</v>
      </c>
      <c r="D264" s="227">
        <v>29</v>
      </c>
      <c r="E264" s="227">
        <v>108</v>
      </c>
      <c r="F264" s="227">
        <v>23</v>
      </c>
      <c r="G264" s="227">
        <v>0.82442748091603058</v>
      </c>
      <c r="H264" s="227">
        <v>0.1755725190839694</v>
      </c>
      <c r="I264" s="312" t="s">
        <v>110</v>
      </c>
      <c r="J264" s="29">
        <v>1</v>
      </c>
      <c r="K264" s="9">
        <v>1</v>
      </c>
      <c r="L264" s="9">
        <v>1</v>
      </c>
      <c r="M264" s="9">
        <v>2</v>
      </c>
      <c r="N264" s="43">
        <v>2</v>
      </c>
      <c r="O264" s="265">
        <f t="shared" si="5"/>
        <v>0.35859414261160716</v>
      </c>
      <c r="P264" s="164" t="s">
        <v>111</v>
      </c>
    </row>
    <row r="265" spans="1:16">
      <c r="A265" s="227">
        <v>2014</v>
      </c>
      <c r="B265" s="227">
        <v>2236</v>
      </c>
      <c r="C265" s="227" t="s">
        <v>98</v>
      </c>
      <c r="D265" s="227">
        <v>912</v>
      </c>
      <c r="E265" s="227">
        <v>3148</v>
      </c>
      <c r="F265" s="227">
        <v>0</v>
      </c>
      <c r="G265" s="227">
        <v>1</v>
      </c>
      <c r="H265" s="227">
        <v>0</v>
      </c>
      <c r="I265" s="312" t="s">
        <v>110</v>
      </c>
      <c r="J265" s="29">
        <v>1</v>
      </c>
      <c r="K265" s="9">
        <v>1</v>
      </c>
      <c r="L265" s="9">
        <v>1</v>
      </c>
      <c r="M265" s="9">
        <v>2</v>
      </c>
      <c r="N265" s="43">
        <v>2</v>
      </c>
      <c r="O265" s="265">
        <f t="shared" si="5"/>
        <v>0.35859414261160716</v>
      </c>
      <c r="P265" s="164" t="s">
        <v>111</v>
      </c>
    </row>
    <row r="266" spans="1:16">
      <c r="A266" s="227">
        <v>2015</v>
      </c>
      <c r="B266" s="227">
        <v>1455</v>
      </c>
      <c r="C266" s="227" t="s">
        <v>85</v>
      </c>
      <c r="D266" s="227">
        <v>1105</v>
      </c>
      <c r="E266" s="227">
        <v>1753</v>
      </c>
      <c r="F266" s="227">
        <v>807</v>
      </c>
      <c r="G266" s="227">
        <v>0.68476562500000004</v>
      </c>
      <c r="H266" s="227">
        <v>0.31523437500000001</v>
      </c>
      <c r="I266" s="312" t="s">
        <v>110</v>
      </c>
      <c r="J266" s="29">
        <v>1</v>
      </c>
      <c r="K266" s="9">
        <v>1</v>
      </c>
      <c r="L266" s="9">
        <v>1</v>
      </c>
      <c r="M266" s="9">
        <v>2</v>
      </c>
      <c r="N266" s="43">
        <v>2</v>
      </c>
      <c r="O266" s="265">
        <f t="shared" si="5"/>
        <v>0.35859414261160716</v>
      </c>
      <c r="P266" s="164" t="s">
        <v>111</v>
      </c>
    </row>
    <row r="267" spans="1:16">
      <c r="A267" s="227">
        <v>2015</v>
      </c>
      <c r="B267" s="227">
        <v>290</v>
      </c>
      <c r="C267" s="227" t="s">
        <v>86</v>
      </c>
      <c r="D267" s="227">
        <v>217</v>
      </c>
      <c r="E267" s="227">
        <v>403</v>
      </c>
      <c r="F267" s="227">
        <v>104</v>
      </c>
      <c r="G267" s="227">
        <v>0.79487179487179482</v>
      </c>
      <c r="H267" s="227">
        <v>0.2051282051282052</v>
      </c>
      <c r="I267" s="312" t="s">
        <v>110</v>
      </c>
      <c r="J267" s="29">
        <v>1</v>
      </c>
      <c r="K267" s="9">
        <v>1</v>
      </c>
      <c r="L267" s="9">
        <v>1</v>
      </c>
      <c r="M267" s="9">
        <v>2</v>
      </c>
      <c r="N267" s="43">
        <v>2</v>
      </c>
      <c r="O267" s="265">
        <f t="shared" si="5"/>
        <v>0.35859414261160716</v>
      </c>
      <c r="P267" s="164" t="s">
        <v>111</v>
      </c>
    </row>
    <row r="268" spans="1:16">
      <c r="A268" s="227">
        <v>2015</v>
      </c>
      <c r="B268" s="227">
        <v>852</v>
      </c>
      <c r="C268" s="227" t="s">
        <v>87</v>
      </c>
      <c r="D268" s="227">
        <v>247</v>
      </c>
      <c r="E268" s="227">
        <v>225</v>
      </c>
      <c r="F268" s="227">
        <v>874</v>
      </c>
      <c r="G268" s="227">
        <v>0.20473157415832571</v>
      </c>
      <c r="H268" s="227">
        <v>0.79526842584167423</v>
      </c>
      <c r="I268" s="312" t="s">
        <v>110</v>
      </c>
      <c r="J268" s="29">
        <v>1</v>
      </c>
      <c r="K268" s="9">
        <v>1</v>
      </c>
      <c r="L268" s="9">
        <v>1</v>
      </c>
      <c r="M268" s="9">
        <v>2</v>
      </c>
      <c r="N268" s="43">
        <v>2</v>
      </c>
      <c r="O268" s="265">
        <f t="shared" si="5"/>
        <v>0.35859414261160716</v>
      </c>
      <c r="P268" s="164" t="s">
        <v>111</v>
      </c>
    </row>
    <row r="269" spans="1:16">
      <c r="A269" s="227">
        <v>2015</v>
      </c>
      <c r="B269" s="227">
        <v>4</v>
      </c>
      <c r="C269" s="227" t="s">
        <v>88</v>
      </c>
      <c r="D269" s="227">
        <v>50</v>
      </c>
      <c r="E269" s="227">
        <v>22</v>
      </c>
      <c r="F269" s="227">
        <v>32</v>
      </c>
      <c r="G269" s="227">
        <v>0.40740740740740738</v>
      </c>
      <c r="H269" s="227">
        <v>0.59259259259259256</v>
      </c>
      <c r="I269" s="312" t="s">
        <v>110</v>
      </c>
      <c r="J269" s="29">
        <v>1</v>
      </c>
      <c r="K269" s="9">
        <v>1</v>
      </c>
      <c r="L269" s="9">
        <v>1</v>
      </c>
      <c r="M269" s="9">
        <v>2</v>
      </c>
      <c r="N269" s="43">
        <v>2</v>
      </c>
      <c r="O269" s="265">
        <f t="shared" si="5"/>
        <v>0.35859414261160716</v>
      </c>
      <c r="P269" s="164" t="s">
        <v>111</v>
      </c>
    </row>
    <row r="270" spans="1:16">
      <c r="A270" s="227">
        <v>2015</v>
      </c>
      <c r="B270" s="227">
        <v>191</v>
      </c>
      <c r="C270" s="227" t="s">
        <v>89</v>
      </c>
      <c r="D270" s="227">
        <v>46</v>
      </c>
      <c r="E270" s="227">
        <v>234</v>
      </c>
      <c r="F270" s="227">
        <v>3</v>
      </c>
      <c r="G270" s="227">
        <v>0.98734177215189878</v>
      </c>
      <c r="H270" s="227">
        <v>1.2658227848101221E-2</v>
      </c>
      <c r="I270" s="312" t="s">
        <v>110</v>
      </c>
      <c r="J270" s="29">
        <v>1</v>
      </c>
      <c r="K270" s="9">
        <v>1</v>
      </c>
      <c r="L270" s="9">
        <v>1</v>
      </c>
      <c r="M270" s="9">
        <v>2</v>
      </c>
      <c r="N270" s="43">
        <v>2</v>
      </c>
      <c r="O270" s="265">
        <f t="shared" si="5"/>
        <v>0.35859414261160716</v>
      </c>
      <c r="P270" s="164" t="s">
        <v>111</v>
      </c>
    </row>
    <row r="271" spans="1:16">
      <c r="A271" s="227">
        <v>2015</v>
      </c>
      <c r="B271" s="227">
        <v>610</v>
      </c>
      <c r="C271" s="227" t="s">
        <v>90</v>
      </c>
      <c r="D271" s="227">
        <v>163</v>
      </c>
      <c r="E271" s="227">
        <v>707</v>
      </c>
      <c r="F271" s="227">
        <v>66</v>
      </c>
      <c r="G271" s="227">
        <v>0.91461836998706336</v>
      </c>
      <c r="H271" s="227">
        <v>8.5381630012936638E-2</v>
      </c>
      <c r="I271" s="312" t="s">
        <v>110</v>
      </c>
      <c r="J271" s="29">
        <v>1</v>
      </c>
      <c r="K271" s="9">
        <v>1</v>
      </c>
      <c r="L271" s="9">
        <v>1</v>
      </c>
      <c r="M271" s="9">
        <v>2</v>
      </c>
      <c r="N271" s="43">
        <v>2</v>
      </c>
      <c r="O271" s="265">
        <f t="shared" si="5"/>
        <v>0.35859414261160716</v>
      </c>
      <c r="P271" s="164" t="s">
        <v>111</v>
      </c>
    </row>
    <row r="272" spans="1:16">
      <c r="A272" s="227">
        <v>2015</v>
      </c>
      <c r="B272" s="227">
        <v>421</v>
      </c>
      <c r="C272" s="227" t="s">
        <v>91</v>
      </c>
      <c r="D272" s="227">
        <v>76</v>
      </c>
      <c r="E272" s="227">
        <v>497</v>
      </c>
      <c r="F272" s="227">
        <v>0</v>
      </c>
      <c r="G272" s="227">
        <v>1</v>
      </c>
      <c r="H272" s="227">
        <v>0</v>
      </c>
      <c r="I272" s="312" t="s">
        <v>110</v>
      </c>
      <c r="J272" s="29">
        <v>1</v>
      </c>
      <c r="K272" s="9">
        <v>1</v>
      </c>
      <c r="L272" s="9">
        <v>1</v>
      </c>
      <c r="M272" s="9">
        <v>2</v>
      </c>
      <c r="N272" s="43">
        <v>2</v>
      </c>
      <c r="O272" s="265">
        <f t="shared" si="5"/>
        <v>0.35859414261160716</v>
      </c>
      <c r="P272" s="164" t="s">
        <v>111</v>
      </c>
    </row>
    <row r="273" spans="1:16">
      <c r="A273" s="227">
        <v>2015</v>
      </c>
      <c r="B273" s="227">
        <v>159</v>
      </c>
      <c r="C273" s="227" t="s">
        <v>94</v>
      </c>
      <c r="D273" s="227">
        <v>17</v>
      </c>
      <c r="E273" s="227">
        <v>176</v>
      </c>
      <c r="F273" s="227">
        <v>0</v>
      </c>
      <c r="G273" s="227">
        <v>1</v>
      </c>
      <c r="H273" s="227">
        <v>0</v>
      </c>
      <c r="I273" s="312" t="s">
        <v>110</v>
      </c>
      <c r="J273" s="29">
        <v>1</v>
      </c>
      <c r="K273" s="9">
        <v>1</v>
      </c>
      <c r="L273" s="9">
        <v>1</v>
      </c>
      <c r="M273" s="9">
        <v>2</v>
      </c>
      <c r="N273" s="43">
        <v>2</v>
      </c>
      <c r="O273" s="265">
        <f t="shared" si="5"/>
        <v>0.35859414261160716</v>
      </c>
      <c r="P273" s="164" t="s">
        <v>111</v>
      </c>
    </row>
    <row r="274" spans="1:16">
      <c r="A274" s="227">
        <v>2015</v>
      </c>
      <c r="B274" s="227">
        <v>337</v>
      </c>
      <c r="C274" s="227" t="s">
        <v>96</v>
      </c>
      <c r="D274" s="227">
        <v>42</v>
      </c>
      <c r="E274" s="227">
        <v>225</v>
      </c>
      <c r="F274" s="227">
        <v>154</v>
      </c>
      <c r="G274" s="227">
        <v>0.59366754617414252</v>
      </c>
      <c r="H274" s="227">
        <v>0.40633245382585748</v>
      </c>
      <c r="I274" s="312" t="s">
        <v>110</v>
      </c>
      <c r="J274" s="29">
        <v>1</v>
      </c>
      <c r="K274" s="9">
        <v>1</v>
      </c>
      <c r="L274" s="9">
        <v>1</v>
      </c>
      <c r="M274" s="9">
        <v>2</v>
      </c>
      <c r="N274" s="43">
        <v>2</v>
      </c>
      <c r="O274" s="265">
        <f t="shared" si="5"/>
        <v>0.35859414261160716</v>
      </c>
      <c r="P274" s="164" t="s">
        <v>111</v>
      </c>
    </row>
    <row r="275" spans="1:16">
      <c r="A275" s="227">
        <v>2015</v>
      </c>
      <c r="B275" s="227">
        <v>280</v>
      </c>
      <c r="C275" s="227" t="s">
        <v>97</v>
      </c>
      <c r="D275" s="227">
        <v>204</v>
      </c>
      <c r="E275" s="227">
        <v>337</v>
      </c>
      <c r="F275" s="227">
        <v>147</v>
      </c>
      <c r="G275" s="227">
        <v>0.69628099173553715</v>
      </c>
      <c r="H275" s="227">
        <v>0.30371900826446291</v>
      </c>
      <c r="I275" s="312" t="s">
        <v>110</v>
      </c>
      <c r="J275" s="29">
        <v>1</v>
      </c>
      <c r="K275" s="9">
        <v>1</v>
      </c>
      <c r="L275" s="9">
        <v>1</v>
      </c>
      <c r="M275" s="9">
        <v>2</v>
      </c>
      <c r="N275" s="43">
        <v>2</v>
      </c>
      <c r="O275" s="265">
        <f t="shared" si="5"/>
        <v>0.35859414261160716</v>
      </c>
      <c r="P275" s="164" t="s">
        <v>111</v>
      </c>
    </row>
    <row r="276" spans="1:16">
      <c r="A276" s="227">
        <v>2015</v>
      </c>
      <c r="B276" s="227">
        <v>270</v>
      </c>
      <c r="C276" s="227" t="s">
        <v>95</v>
      </c>
      <c r="D276" s="227">
        <v>54</v>
      </c>
      <c r="E276" s="227">
        <v>324</v>
      </c>
      <c r="F276" s="227">
        <v>0</v>
      </c>
      <c r="G276" s="227">
        <v>1</v>
      </c>
      <c r="H276" s="227">
        <v>0</v>
      </c>
      <c r="I276" s="312" t="s">
        <v>110</v>
      </c>
      <c r="J276" s="29">
        <v>1</v>
      </c>
      <c r="K276" s="9">
        <v>1</v>
      </c>
      <c r="L276" s="9">
        <v>1</v>
      </c>
      <c r="M276" s="9">
        <v>2</v>
      </c>
      <c r="N276" s="43">
        <v>2</v>
      </c>
      <c r="O276" s="265">
        <f t="shared" si="5"/>
        <v>0.35859414261160716</v>
      </c>
      <c r="P276" s="164" t="s">
        <v>111</v>
      </c>
    </row>
    <row r="277" spans="1:16">
      <c r="A277" s="227">
        <v>2015</v>
      </c>
      <c r="B277" s="227">
        <v>116</v>
      </c>
      <c r="C277" s="227" t="s">
        <v>93</v>
      </c>
      <c r="D277" s="227">
        <v>32</v>
      </c>
      <c r="E277" s="227">
        <v>125</v>
      </c>
      <c r="F277" s="227">
        <v>23</v>
      </c>
      <c r="G277" s="227">
        <v>0.84459459459459463</v>
      </c>
      <c r="H277" s="227">
        <v>0.1554054054054054</v>
      </c>
      <c r="I277" s="312" t="s">
        <v>110</v>
      </c>
      <c r="J277" s="29">
        <v>1</v>
      </c>
      <c r="K277" s="9">
        <v>1</v>
      </c>
      <c r="L277" s="9">
        <v>1</v>
      </c>
      <c r="M277" s="9">
        <v>2</v>
      </c>
      <c r="N277" s="43">
        <v>2</v>
      </c>
      <c r="O277" s="265">
        <f t="shared" si="5"/>
        <v>0.35859414261160716</v>
      </c>
      <c r="P277" s="164" t="s">
        <v>111</v>
      </c>
    </row>
    <row r="278" spans="1:16">
      <c r="A278" s="227">
        <v>2015</v>
      </c>
      <c r="B278" s="227">
        <v>2411</v>
      </c>
      <c r="C278" s="227" t="s">
        <v>98</v>
      </c>
      <c r="D278" s="227">
        <v>983</v>
      </c>
      <c r="E278" s="227">
        <v>3394</v>
      </c>
      <c r="F278" s="227">
        <v>0</v>
      </c>
      <c r="G278" s="227">
        <v>1</v>
      </c>
      <c r="H278" s="227">
        <v>0</v>
      </c>
      <c r="I278" s="312" t="s">
        <v>110</v>
      </c>
      <c r="J278" s="29">
        <v>1</v>
      </c>
      <c r="K278" s="9">
        <v>1</v>
      </c>
      <c r="L278" s="9">
        <v>1</v>
      </c>
      <c r="M278" s="9">
        <v>2</v>
      </c>
      <c r="N278" s="43">
        <v>2</v>
      </c>
      <c r="O278" s="265">
        <f t="shared" si="5"/>
        <v>0.35859414261160716</v>
      </c>
      <c r="P278" s="164" t="s">
        <v>111</v>
      </c>
    </row>
    <row r="279" spans="1:16">
      <c r="A279" s="227">
        <v>2016</v>
      </c>
      <c r="B279" s="227">
        <v>1633</v>
      </c>
      <c r="C279" s="227" t="s">
        <v>85</v>
      </c>
      <c r="D279" s="227">
        <v>1245</v>
      </c>
      <c r="E279" s="227">
        <v>1995</v>
      </c>
      <c r="F279" s="227">
        <v>883</v>
      </c>
      <c r="G279" s="227">
        <v>0.69318971507991656</v>
      </c>
      <c r="H279" s="227">
        <v>0.30681028492008339</v>
      </c>
      <c r="I279" s="312" t="s">
        <v>110</v>
      </c>
      <c r="J279" s="29">
        <v>1</v>
      </c>
      <c r="K279" s="9">
        <v>1</v>
      </c>
      <c r="L279" s="9">
        <v>1</v>
      </c>
      <c r="M279" s="9">
        <v>2</v>
      </c>
      <c r="N279" s="43">
        <v>2</v>
      </c>
      <c r="O279" s="265">
        <f t="shared" si="5"/>
        <v>0.35859414261160716</v>
      </c>
      <c r="P279" s="164" t="s">
        <v>111</v>
      </c>
    </row>
    <row r="280" spans="1:16">
      <c r="A280" s="227">
        <v>2016</v>
      </c>
      <c r="B280" s="227">
        <v>290</v>
      </c>
      <c r="C280" s="227" t="s">
        <v>86</v>
      </c>
      <c r="D280" s="227">
        <v>223</v>
      </c>
      <c r="E280" s="227">
        <v>447</v>
      </c>
      <c r="F280" s="227">
        <v>66</v>
      </c>
      <c r="G280" s="227">
        <v>0.87134502923976609</v>
      </c>
      <c r="H280" s="227">
        <v>0.12865497076023391</v>
      </c>
      <c r="I280" s="312" t="s">
        <v>110</v>
      </c>
      <c r="J280" s="29">
        <v>1</v>
      </c>
      <c r="K280" s="9">
        <v>1</v>
      </c>
      <c r="L280" s="9">
        <v>1</v>
      </c>
      <c r="M280" s="9">
        <v>2</v>
      </c>
      <c r="N280" s="43">
        <v>2</v>
      </c>
      <c r="O280" s="265">
        <f t="shared" si="5"/>
        <v>0.35859414261160716</v>
      </c>
      <c r="P280" s="164" t="s">
        <v>111</v>
      </c>
    </row>
    <row r="281" spans="1:16">
      <c r="A281" s="227">
        <v>2016</v>
      </c>
      <c r="B281" s="227">
        <v>852</v>
      </c>
      <c r="C281" s="227" t="s">
        <v>87</v>
      </c>
      <c r="D281" s="227">
        <v>279</v>
      </c>
      <c r="E281" s="227">
        <v>250</v>
      </c>
      <c r="F281" s="227">
        <v>881</v>
      </c>
      <c r="G281" s="227">
        <v>0.22104332449160041</v>
      </c>
      <c r="H281" s="227">
        <v>0.77895667550839964</v>
      </c>
      <c r="I281" s="312" t="s">
        <v>110</v>
      </c>
      <c r="J281" s="29">
        <v>1</v>
      </c>
      <c r="K281" s="9">
        <v>1</v>
      </c>
      <c r="L281" s="9">
        <v>1</v>
      </c>
      <c r="M281" s="9">
        <v>2</v>
      </c>
      <c r="N281" s="43">
        <v>2</v>
      </c>
      <c r="O281" s="265">
        <f t="shared" si="5"/>
        <v>0.35859414261160716</v>
      </c>
      <c r="P281" s="164" t="s">
        <v>111</v>
      </c>
    </row>
    <row r="282" spans="1:16">
      <c r="A282" s="227">
        <v>2016</v>
      </c>
      <c r="B282" s="227">
        <v>4</v>
      </c>
      <c r="C282" s="227" t="s">
        <v>88</v>
      </c>
      <c r="D282" s="227">
        <v>46</v>
      </c>
      <c r="E282" s="227">
        <v>18</v>
      </c>
      <c r="F282" s="227">
        <v>32</v>
      </c>
      <c r="G282" s="227">
        <v>0.36</v>
      </c>
      <c r="H282" s="227">
        <v>0.64</v>
      </c>
      <c r="I282" s="312" t="s">
        <v>110</v>
      </c>
      <c r="J282" s="29">
        <v>1</v>
      </c>
      <c r="K282" s="9">
        <v>1</v>
      </c>
      <c r="L282" s="9">
        <v>1</v>
      </c>
      <c r="M282" s="9">
        <v>2</v>
      </c>
      <c r="N282" s="43">
        <v>2</v>
      </c>
      <c r="O282" s="265">
        <f t="shared" si="5"/>
        <v>0.35859414261160716</v>
      </c>
      <c r="P282" s="164" t="s">
        <v>111</v>
      </c>
    </row>
    <row r="283" spans="1:16">
      <c r="A283" s="227">
        <v>2016</v>
      </c>
      <c r="B283" s="227">
        <v>185</v>
      </c>
      <c r="C283" s="227" t="s">
        <v>89</v>
      </c>
      <c r="D283" s="227">
        <v>51</v>
      </c>
      <c r="E283" s="227">
        <v>236</v>
      </c>
      <c r="F283" s="227">
        <v>0</v>
      </c>
      <c r="G283" s="227">
        <v>1</v>
      </c>
      <c r="H283" s="227">
        <v>0</v>
      </c>
      <c r="I283" s="312" t="s">
        <v>110</v>
      </c>
      <c r="J283" s="29">
        <v>1</v>
      </c>
      <c r="K283" s="9">
        <v>1</v>
      </c>
      <c r="L283" s="9">
        <v>1</v>
      </c>
      <c r="M283" s="9">
        <v>2</v>
      </c>
      <c r="N283" s="43">
        <v>2</v>
      </c>
      <c r="O283" s="265">
        <f t="shared" si="5"/>
        <v>0.35859414261160716</v>
      </c>
      <c r="P283" s="164" t="s">
        <v>111</v>
      </c>
    </row>
    <row r="284" spans="1:16">
      <c r="A284" s="227">
        <v>2016</v>
      </c>
      <c r="B284" s="227">
        <v>610</v>
      </c>
      <c r="C284" s="227" t="s">
        <v>90</v>
      </c>
      <c r="D284" s="227">
        <v>185</v>
      </c>
      <c r="E284" s="227">
        <v>766</v>
      </c>
      <c r="F284" s="227">
        <v>29</v>
      </c>
      <c r="G284" s="227">
        <v>0.96352201257861636</v>
      </c>
      <c r="H284" s="227">
        <v>3.647798742138364E-2</v>
      </c>
      <c r="I284" s="312" t="s">
        <v>110</v>
      </c>
      <c r="J284" s="29">
        <v>1</v>
      </c>
      <c r="K284" s="9">
        <v>1</v>
      </c>
      <c r="L284" s="9">
        <v>1</v>
      </c>
      <c r="M284" s="9">
        <v>2</v>
      </c>
      <c r="N284" s="43">
        <v>2</v>
      </c>
      <c r="O284" s="265">
        <f t="shared" si="5"/>
        <v>0.35859414261160716</v>
      </c>
      <c r="P284" s="164" t="s">
        <v>111</v>
      </c>
    </row>
    <row r="285" spans="1:16">
      <c r="A285" s="227">
        <v>2016</v>
      </c>
      <c r="B285" s="227">
        <v>386</v>
      </c>
      <c r="C285" s="227" t="s">
        <v>91</v>
      </c>
      <c r="D285" s="227">
        <v>95</v>
      </c>
      <c r="E285" s="227">
        <v>481</v>
      </c>
      <c r="F285" s="227">
        <v>0</v>
      </c>
      <c r="G285" s="227">
        <v>1</v>
      </c>
      <c r="H285" s="227">
        <v>0</v>
      </c>
      <c r="I285" s="312" t="s">
        <v>110</v>
      </c>
      <c r="J285" s="29">
        <v>1</v>
      </c>
      <c r="K285" s="9">
        <v>1</v>
      </c>
      <c r="L285" s="9">
        <v>1</v>
      </c>
      <c r="M285" s="9">
        <v>2</v>
      </c>
      <c r="N285" s="43">
        <v>2</v>
      </c>
      <c r="O285" s="265">
        <f t="shared" si="5"/>
        <v>0.35859414261160716</v>
      </c>
      <c r="P285" s="164" t="s">
        <v>111</v>
      </c>
    </row>
    <row r="286" spans="1:16">
      <c r="A286" s="227">
        <v>2016</v>
      </c>
      <c r="B286" s="227">
        <v>155</v>
      </c>
      <c r="C286" s="227" t="s">
        <v>94</v>
      </c>
      <c r="D286" s="227">
        <v>22</v>
      </c>
      <c r="E286" s="227">
        <v>177</v>
      </c>
      <c r="F286" s="227">
        <v>0</v>
      </c>
      <c r="G286" s="227">
        <v>1</v>
      </c>
      <c r="H286" s="227">
        <v>0</v>
      </c>
      <c r="I286" s="312" t="s">
        <v>110</v>
      </c>
      <c r="J286" s="29">
        <v>1</v>
      </c>
      <c r="K286" s="9">
        <v>1</v>
      </c>
      <c r="L286" s="9">
        <v>1</v>
      </c>
      <c r="M286" s="9">
        <v>2</v>
      </c>
      <c r="N286" s="43">
        <v>2</v>
      </c>
      <c r="O286" s="265">
        <f t="shared" si="5"/>
        <v>0.35859414261160716</v>
      </c>
      <c r="P286" s="164" t="s">
        <v>111</v>
      </c>
    </row>
    <row r="287" spans="1:16">
      <c r="A287" s="227">
        <v>2016</v>
      </c>
      <c r="B287" s="227">
        <v>337</v>
      </c>
      <c r="C287" s="227" t="s">
        <v>96</v>
      </c>
      <c r="D287" s="227">
        <v>48</v>
      </c>
      <c r="E287" s="227">
        <v>247</v>
      </c>
      <c r="F287" s="227">
        <v>138</v>
      </c>
      <c r="G287" s="227">
        <v>0.64155844155844155</v>
      </c>
      <c r="H287" s="227">
        <v>0.35844155844155839</v>
      </c>
      <c r="I287" s="312" t="s">
        <v>110</v>
      </c>
      <c r="J287" s="29">
        <v>1</v>
      </c>
      <c r="K287" s="9">
        <v>1</v>
      </c>
      <c r="L287" s="9">
        <v>1</v>
      </c>
      <c r="M287" s="9">
        <v>2</v>
      </c>
      <c r="N287" s="43">
        <v>2</v>
      </c>
      <c r="O287" s="265">
        <f t="shared" si="5"/>
        <v>0.35859414261160716</v>
      </c>
      <c r="P287" s="164" t="s">
        <v>111</v>
      </c>
    </row>
    <row r="288" spans="1:16">
      <c r="A288" s="227">
        <v>2016</v>
      </c>
      <c r="B288" s="227">
        <v>373</v>
      </c>
      <c r="C288" s="227" t="s">
        <v>97</v>
      </c>
      <c r="D288" s="227">
        <v>236</v>
      </c>
      <c r="E288" s="227">
        <v>378</v>
      </c>
      <c r="F288" s="227">
        <v>231</v>
      </c>
      <c r="G288" s="227">
        <v>0.62068965517241381</v>
      </c>
      <c r="H288" s="227">
        <v>0.37931034482758619</v>
      </c>
      <c r="I288" s="312" t="s">
        <v>110</v>
      </c>
      <c r="J288" s="29">
        <v>1</v>
      </c>
      <c r="K288" s="9">
        <v>1</v>
      </c>
      <c r="L288" s="9">
        <v>1</v>
      </c>
      <c r="M288" s="9">
        <v>2</v>
      </c>
      <c r="N288" s="43">
        <v>2</v>
      </c>
      <c r="O288" s="265">
        <f t="shared" si="5"/>
        <v>0.35859414261160716</v>
      </c>
      <c r="P288" s="164" t="s">
        <v>111</v>
      </c>
    </row>
    <row r="289" spans="1:16">
      <c r="A289" s="227">
        <v>2016</v>
      </c>
      <c r="B289" s="227">
        <v>258</v>
      </c>
      <c r="C289" s="227" t="s">
        <v>95</v>
      </c>
      <c r="D289" s="227">
        <v>70</v>
      </c>
      <c r="E289" s="227">
        <v>328</v>
      </c>
      <c r="F289" s="227">
        <v>0</v>
      </c>
      <c r="G289" s="227">
        <v>1</v>
      </c>
      <c r="H289" s="227">
        <v>0</v>
      </c>
      <c r="I289" s="312" t="s">
        <v>110</v>
      </c>
      <c r="J289" s="29">
        <v>1</v>
      </c>
      <c r="K289" s="9">
        <v>1</v>
      </c>
      <c r="L289" s="9">
        <v>1</v>
      </c>
      <c r="M289" s="9">
        <v>2</v>
      </c>
      <c r="N289" s="43">
        <v>2</v>
      </c>
      <c r="O289" s="265">
        <f t="shared" si="5"/>
        <v>0.35859414261160716</v>
      </c>
      <c r="P289" s="164" t="s">
        <v>111</v>
      </c>
    </row>
    <row r="290" spans="1:16">
      <c r="A290" s="227">
        <v>2016</v>
      </c>
      <c r="B290" s="227">
        <v>121</v>
      </c>
      <c r="C290" s="227" t="s">
        <v>93</v>
      </c>
      <c r="D290" s="227">
        <v>39</v>
      </c>
      <c r="E290" s="227">
        <v>107</v>
      </c>
      <c r="F290" s="227">
        <v>53</v>
      </c>
      <c r="G290" s="227">
        <v>0.66874999999999996</v>
      </c>
      <c r="H290" s="227">
        <v>0.33124999999999999</v>
      </c>
      <c r="I290" s="312" t="s">
        <v>110</v>
      </c>
      <c r="J290" s="29">
        <v>1</v>
      </c>
      <c r="K290" s="9">
        <v>1</v>
      </c>
      <c r="L290" s="9">
        <v>1</v>
      </c>
      <c r="M290" s="9">
        <v>2</v>
      </c>
      <c r="N290" s="43">
        <v>2</v>
      </c>
      <c r="O290" s="265">
        <f t="shared" si="5"/>
        <v>0.35859414261160716</v>
      </c>
      <c r="P290" s="164" t="s">
        <v>111</v>
      </c>
    </row>
    <row r="291" spans="1:16">
      <c r="A291" s="227">
        <v>2016</v>
      </c>
      <c r="B291" s="227">
        <v>2513</v>
      </c>
      <c r="C291" s="227" t="s">
        <v>98</v>
      </c>
      <c r="D291" s="227">
        <v>1123</v>
      </c>
      <c r="E291" s="227">
        <v>3636</v>
      </c>
      <c r="F291" s="227">
        <v>0</v>
      </c>
      <c r="G291" s="227">
        <v>1</v>
      </c>
      <c r="H291" s="227">
        <v>0</v>
      </c>
      <c r="I291" s="312" t="s">
        <v>110</v>
      </c>
      <c r="J291" s="29">
        <v>1</v>
      </c>
      <c r="K291" s="9">
        <v>1</v>
      </c>
      <c r="L291" s="9">
        <v>1</v>
      </c>
      <c r="M291" s="9">
        <v>2</v>
      </c>
      <c r="N291" s="43">
        <v>2</v>
      </c>
      <c r="O291" s="265">
        <f t="shared" si="5"/>
        <v>0.35859414261160716</v>
      </c>
      <c r="P291" s="164" t="s">
        <v>111</v>
      </c>
    </row>
    <row r="292" spans="1:16">
      <c r="A292" s="227">
        <v>2017</v>
      </c>
      <c r="B292" s="227">
        <v>786</v>
      </c>
      <c r="C292" s="227" t="s">
        <v>85</v>
      </c>
      <c r="D292" s="227">
        <v>1197</v>
      </c>
      <c r="E292" s="227">
        <v>1983</v>
      </c>
      <c r="F292" s="227">
        <v>0</v>
      </c>
      <c r="G292" s="227">
        <v>1</v>
      </c>
      <c r="H292" s="227">
        <v>0</v>
      </c>
      <c r="I292" s="312" t="s">
        <v>110</v>
      </c>
      <c r="J292" s="29">
        <v>1</v>
      </c>
      <c r="K292" s="9">
        <v>1</v>
      </c>
      <c r="L292" s="9">
        <v>1</v>
      </c>
      <c r="M292" s="9">
        <v>2</v>
      </c>
      <c r="N292" s="43">
        <v>2</v>
      </c>
      <c r="O292" s="265">
        <f t="shared" si="5"/>
        <v>0.35859414261160716</v>
      </c>
      <c r="P292" s="164" t="s">
        <v>111</v>
      </c>
    </row>
    <row r="293" spans="1:16">
      <c r="A293" s="227">
        <v>2017</v>
      </c>
      <c r="B293" s="227">
        <v>290</v>
      </c>
      <c r="C293" s="227" t="s">
        <v>86</v>
      </c>
      <c r="D293" s="227">
        <v>231</v>
      </c>
      <c r="E293" s="227">
        <v>418</v>
      </c>
      <c r="F293" s="227">
        <v>103</v>
      </c>
      <c r="G293" s="227">
        <v>0.80230326295585408</v>
      </c>
      <c r="H293" s="227">
        <v>0.19769673704414589</v>
      </c>
      <c r="I293" s="312" t="s">
        <v>110</v>
      </c>
      <c r="J293" s="29">
        <v>1</v>
      </c>
      <c r="K293" s="9">
        <v>1</v>
      </c>
      <c r="L293" s="9">
        <v>1</v>
      </c>
      <c r="M293" s="9">
        <v>2</v>
      </c>
      <c r="N293" s="43">
        <v>2</v>
      </c>
      <c r="O293" s="265">
        <f t="shared" si="5"/>
        <v>0.35859414261160716</v>
      </c>
      <c r="P293" s="164" t="s">
        <v>111</v>
      </c>
    </row>
    <row r="294" spans="1:16">
      <c r="A294" s="227">
        <v>2017</v>
      </c>
      <c r="B294" s="227">
        <v>852</v>
      </c>
      <c r="C294" s="227" t="s">
        <v>87</v>
      </c>
      <c r="D294" s="227">
        <v>316</v>
      </c>
      <c r="E294" s="227">
        <v>308</v>
      </c>
      <c r="F294" s="227">
        <v>860</v>
      </c>
      <c r="G294" s="227">
        <v>0.2636986301369863</v>
      </c>
      <c r="H294" s="227">
        <v>0.73630136986301364</v>
      </c>
      <c r="I294" s="312" t="s">
        <v>110</v>
      </c>
      <c r="J294" s="29">
        <v>1</v>
      </c>
      <c r="K294" s="9">
        <v>1</v>
      </c>
      <c r="L294" s="9">
        <v>1</v>
      </c>
      <c r="M294" s="9">
        <v>2</v>
      </c>
      <c r="N294" s="43">
        <v>2</v>
      </c>
      <c r="O294" s="265">
        <f t="shared" si="5"/>
        <v>0.35859414261160716</v>
      </c>
      <c r="P294" s="164" t="s">
        <v>111</v>
      </c>
    </row>
    <row r="295" spans="1:16">
      <c r="A295" s="227">
        <v>2017</v>
      </c>
      <c r="B295" s="227">
        <v>4</v>
      </c>
      <c r="C295" s="227" t="s">
        <v>88</v>
      </c>
      <c r="D295" s="227">
        <v>43</v>
      </c>
      <c r="E295" s="227">
        <v>16</v>
      </c>
      <c r="F295" s="227">
        <v>31</v>
      </c>
      <c r="G295" s="227">
        <v>0.34042553191489361</v>
      </c>
      <c r="H295" s="227">
        <v>0.65957446808510634</v>
      </c>
      <c r="I295" s="312" t="s">
        <v>110</v>
      </c>
      <c r="J295" s="29">
        <v>1</v>
      </c>
      <c r="K295" s="9">
        <v>1</v>
      </c>
      <c r="L295" s="9">
        <v>1</v>
      </c>
      <c r="M295" s="9">
        <v>2</v>
      </c>
      <c r="N295" s="43">
        <v>2</v>
      </c>
      <c r="O295" s="265">
        <f t="shared" si="5"/>
        <v>0.35859414261160716</v>
      </c>
      <c r="P295" s="164" t="s">
        <v>111</v>
      </c>
    </row>
    <row r="296" spans="1:16">
      <c r="A296" s="227">
        <v>2017</v>
      </c>
      <c r="B296" s="227">
        <v>199</v>
      </c>
      <c r="C296" s="227" t="s">
        <v>89</v>
      </c>
      <c r="D296" s="227">
        <v>53</v>
      </c>
      <c r="E296" s="227">
        <v>252</v>
      </c>
      <c r="F296" s="227">
        <v>0</v>
      </c>
      <c r="G296" s="227">
        <v>1</v>
      </c>
      <c r="H296" s="227">
        <v>0</v>
      </c>
      <c r="I296" s="312" t="s">
        <v>110</v>
      </c>
      <c r="J296" s="29">
        <v>1</v>
      </c>
      <c r="K296" s="9">
        <v>1</v>
      </c>
      <c r="L296" s="9">
        <v>1</v>
      </c>
      <c r="M296" s="9">
        <v>2</v>
      </c>
      <c r="N296" s="43">
        <v>2</v>
      </c>
      <c r="O296" s="265">
        <f t="shared" si="5"/>
        <v>0.35859414261160716</v>
      </c>
      <c r="P296" s="164" t="s">
        <v>111</v>
      </c>
    </row>
    <row r="297" spans="1:16">
      <c r="A297" s="227">
        <v>2017</v>
      </c>
      <c r="B297" s="227">
        <v>610</v>
      </c>
      <c r="C297" s="227" t="s">
        <v>90</v>
      </c>
      <c r="D297" s="227">
        <v>212</v>
      </c>
      <c r="E297" s="227">
        <v>765</v>
      </c>
      <c r="F297" s="227">
        <v>57</v>
      </c>
      <c r="G297" s="227">
        <v>0.93065693430656937</v>
      </c>
      <c r="H297" s="227">
        <v>6.9343065693430628E-2</v>
      </c>
      <c r="I297" s="312" t="s">
        <v>110</v>
      </c>
      <c r="J297" s="29">
        <v>1</v>
      </c>
      <c r="K297" s="9">
        <v>1</v>
      </c>
      <c r="L297" s="9">
        <v>1</v>
      </c>
      <c r="M297" s="9">
        <v>2</v>
      </c>
      <c r="N297" s="43">
        <v>2</v>
      </c>
      <c r="O297" s="265">
        <f t="shared" si="5"/>
        <v>0.35859414261160716</v>
      </c>
      <c r="P297" s="164" t="s">
        <v>111</v>
      </c>
    </row>
    <row r="298" spans="1:16">
      <c r="A298" s="227">
        <v>2017</v>
      </c>
      <c r="B298" s="227">
        <v>331</v>
      </c>
      <c r="C298" s="227" t="s">
        <v>91</v>
      </c>
      <c r="D298" s="227">
        <v>112</v>
      </c>
      <c r="E298" s="227">
        <v>443</v>
      </c>
      <c r="F298" s="227">
        <v>0</v>
      </c>
      <c r="G298" s="227">
        <v>1</v>
      </c>
      <c r="H298" s="227">
        <v>0</v>
      </c>
      <c r="I298" s="312" t="s">
        <v>110</v>
      </c>
      <c r="J298" s="29">
        <v>1</v>
      </c>
      <c r="K298" s="9">
        <v>1</v>
      </c>
      <c r="L298" s="9">
        <v>1</v>
      </c>
      <c r="M298" s="9">
        <v>2</v>
      </c>
      <c r="N298" s="43">
        <v>2</v>
      </c>
      <c r="O298" s="265">
        <f t="shared" si="5"/>
        <v>0.35859414261160716</v>
      </c>
      <c r="P298" s="164" t="s">
        <v>111</v>
      </c>
    </row>
    <row r="299" spans="1:16">
      <c r="A299" s="227">
        <v>2017</v>
      </c>
      <c r="B299" s="227">
        <v>193</v>
      </c>
      <c r="C299" s="227" t="s">
        <v>94</v>
      </c>
      <c r="D299" s="227">
        <v>29</v>
      </c>
      <c r="E299" s="227">
        <v>222</v>
      </c>
      <c r="F299" s="227">
        <v>0</v>
      </c>
      <c r="G299" s="227">
        <v>1</v>
      </c>
      <c r="H299" s="227">
        <v>0</v>
      </c>
      <c r="I299" s="312" t="s">
        <v>110</v>
      </c>
      <c r="J299" s="29">
        <v>1</v>
      </c>
      <c r="K299" s="9">
        <v>1</v>
      </c>
      <c r="L299" s="9">
        <v>1</v>
      </c>
      <c r="M299" s="9">
        <v>2</v>
      </c>
      <c r="N299" s="43">
        <v>2</v>
      </c>
      <c r="O299" s="265">
        <f t="shared" si="5"/>
        <v>0.35859414261160716</v>
      </c>
      <c r="P299" s="164" t="s">
        <v>111</v>
      </c>
    </row>
    <row r="300" spans="1:16">
      <c r="A300" s="227">
        <v>2017</v>
      </c>
      <c r="B300" s="227">
        <v>337</v>
      </c>
      <c r="C300" s="227" t="s">
        <v>96</v>
      </c>
      <c r="D300" s="227">
        <v>53</v>
      </c>
      <c r="E300" s="227">
        <v>289</v>
      </c>
      <c r="F300" s="227">
        <v>101</v>
      </c>
      <c r="G300" s="227">
        <v>0.74102564102564106</v>
      </c>
      <c r="H300" s="227">
        <v>0.25897435897435889</v>
      </c>
      <c r="I300" s="312" t="s">
        <v>110</v>
      </c>
      <c r="J300" s="29">
        <v>1</v>
      </c>
      <c r="K300" s="9">
        <v>1</v>
      </c>
      <c r="L300" s="9">
        <v>1</v>
      </c>
      <c r="M300" s="9">
        <v>2</v>
      </c>
      <c r="N300" s="43">
        <v>2</v>
      </c>
      <c r="O300" s="265">
        <f t="shared" si="5"/>
        <v>0.35859414261160716</v>
      </c>
      <c r="P300" s="164" t="s">
        <v>111</v>
      </c>
    </row>
    <row r="301" spans="1:16">
      <c r="A301" s="227">
        <v>2017</v>
      </c>
      <c r="B301" s="227">
        <v>313</v>
      </c>
      <c r="C301" s="227" t="s">
        <v>97</v>
      </c>
      <c r="D301" s="227">
        <v>232</v>
      </c>
      <c r="E301" s="227">
        <v>392</v>
      </c>
      <c r="F301" s="227">
        <v>153</v>
      </c>
      <c r="G301" s="227">
        <v>0.7192660550458716</v>
      </c>
      <c r="H301" s="227">
        <v>0.2807339449541284</v>
      </c>
      <c r="I301" s="312" t="s">
        <v>110</v>
      </c>
      <c r="J301" s="29">
        <v>1</v>
      </c>
      <c r="K301" s="9">
        <v>1</v>
      </c>
      <c r="L301" s="9">
        <v>1</v>
      </c>
      <c r="M301" s="9">
        <v>2</v>
      </c>
      <c r="N301" s="43">
        <v>2</v>
      </c>
      <c r="O301" s="265">
        <f t="shared" si="5"/>
        <v>0.35859414261160716</v>
      </c>
      <c r="P301" s="164" t="s">
        <v>111</v>
      </c>
    </row>
    <row r="302" spans="1:16">
      <c r="A302" s="227">
        <v>2017</v>
      </c>
      <c r="B302" s="227">
        <v>280</v>
      </c>
      <c r="C302" s="227" t="s">
        <v>95</v>
      </c>
      <c r="D302" s="227">
        <v>72</v>
      </c>
      <c r="E302" s="227">
        <v>352</v>
      </c>
      <c r="F302" s="227">
        <v>0</v>
      </c>
      <c r="G302" s="227">
        <v>1</v>
      </c>
      <c r="H302" s="227">
        <v>0</v>
      </c>
      <c r="I302" s="312" t="s">
        <v>110</v>
      </c>
      <c r="J302" s="29">
        <v>1</v>
      </c>
      <c r="K302" s="9">
        <v>1</v>
      </c>
      <c r="L302" s="9">
        <v>1</v>
      </c>
      <c r="M302" s="9">
        <v>2</v>
      </c>
      <c r="N302" s="43">
        <v>2</v>
      </c>
      <c r="O302" s="265">
        <f t="shared" si="5"/>
        <v>0.35859414261160716</v>
      </c>
      <c r="P302" s="164" t="s">
        <v>111</v>
      </c>
    </row>
    <row r="303" spans="1:16">
      <c r="A303" s="227">
        <v>2017</v>
      </c>
      <c r="B303" s="227">
        <v>124</v>
      </c>
      <c r="C303" s="227" t="s">
        <v>93</v>
      </c>
      <c r="D303" s="227">
        <v>41</v>
      </c>
      <c r="E303" s="227">
        <v>123</v>
      </c>
      <c r="F303" s="227">
        <v>42</v>
      </c>
      <c r="G303" s="227">
        <v>0.74545454545454548</v>
      </c>
      <c r="H303" s="227">
        <v>0.25454545454545452</v>
      </c>
      <c r="I303" s="312" t="s">
        <v>110</v>
      </c>
      <c r="J303" s="29">
        <v>1</v>
      </c>
      <c r="K303" s="9">
        <v>1</v>
      </c>
      <c r="L303" s="9">
        <v>1</v>
      </c>
      <c r="M303" s="9">
        <v>2</v>
      </c>
      <c r="N303" s="43">
        <v>2</v>
      </c>
      <c r="O303" s="265">
        <f t="shared" si="5"/>
        <v>0.35859414261160716</v>
      </c>
      <c r="P303" s="164" t="s">
        <v>111</v>
      </c>
    </row>
    <row r="304" spans="1:16">
      <c r="A304" s="227">
        <v>2017</v>
      </c>
      <c r="B304" s="227">
        <v>2566</v>
      </c>
      <c r="C304" s="227" t="s">
        <v>98</v>
      </c>
      <c r="D304" s="227">
        <v>1172</v>
      </c>
      <c r="E304" s="227">
        <v>3738</v>
      </c>
      <c r="F304" s="227">
        <v>0</v>
      </c>
      <c r="G304" s="227">
        <v>1</v>
      </c>
      <c r="H304" s="227">
        <v>0</v>
      </c>
      <c r="I304" s="312" t="s">
        <v>110</v>
      </c>
      <c r="J304" s="29">
        <v>1</v>
      </c>
      <c r="K304" s="9">
        <v>1</v>
      </c>
      <c r="L304" s="9">
        <v>1</v>
      </c>
      <c r="M304" s="9">
        <v>2</v>
      </c>
      <c r="N304" s="43">
        <v>2</v>
      </c>
      <c r="O304" s="265">
        <f t="shared" si="5"/>
        <v>0.35859414261160716</v>
      </c>
      <c r="P304" s="164" t="s">
        <v>111</v>
      </c>
    </row>
    <row r="305" spans="1:16">
      <c r="A305" s="227">
        <v>2018</v>
      </c>
      <c r="B305" s="227">
        <v>1661</v>
      </c>
      <c r="C305" s="227" t="s">
        <v>85</v>
      </c>
      <c r="D305" s="227">
        <v>1084</v>
      </c>
      <c r="E305" s="227">
        <v>2031</v>
      </c>
      <c r="F305" s="227">
        <v>714</v>
      </c>
      <c r="G305" s="227">
        <v>0.73989071038251364</v>
      </c>
      <c r="H305" s="227">
        <v>0.26010928961748642</v>
      </c>
      <c r="I305" s="312" t="s">
        <v>110</v>
      </c>
      <c r="J305" s="29">
        <v>1</v>
      </c>
      <c r="K305" s="9">
        <v>1</v>
      </c>
      <c r="L305" s="9">
        <v>1</v>
      </c>
      <c r="M305" s="9">
        <v>2</v>
      </c>
      <c r="N305" s="43">
        <v>2</v>
      </c>
      <c r="O305" s="265">
        <f t="shared" si="5"/>
        <v>0.35859414261160716</v>
      </c>
      <c r="P305" s="164" t="s">
        <v>111</v>
      </c>
    </row>
    <row r="306" spans="1:16">
      <c r="A306" s="227">
        <v>2018</v>
      </c>
      <c r="B306" s="227">
        <v>290</v>
      </c>
      <c r="C306" s="227" t="s">
        <v>86</v>
      </c>
      <c r="D306" s="227">
        <v>243</v>
      </c>
      <c r="E306" s="227">
        <v>460</v>
      </c>
      <c r="F306" s="227">
        <v>73</v>
      </c>
      <c r="G306" s="227">
        <v>0.8630393996247655</v>
      </c>
      <c r="H306" s="227">
        <v>0.1369606003752345</v>
      </c>
      <c r="I306" s="312" t="s">
        <v>110</v>
      </c>
      <c r="J306" s="29">
        <v>1</v>
      </c>
      <c r="K306" s="9">
        <v>1</v>
      </c>
      <c r="L306" s="9">
        <v>1</v>
      </c>
      <c r="M306" s="9">
        <v>2</v>
      </c>
      <c r="N306" s="43">
        <v>2</v>
      </c>
      <c r="O306" s="265">
        <f t="shared" si="5"/>
        <v>0.35859414261160716</v>
      </c>
      <c r="P306" s="164" t="s">
        <v>111</v>
      </c>
    </row>
    <row r="307" spans="1:16">
      <c r="A307" s="227">
        <v>2018</v>
      </c>
      <c r="B307" s="227">
        <v>1105</v>
      </c>
      <c r="C307" s="227" t="s">
        <v>87</v>
      </c>
      <c r="D307" s="227">
        <v>323</v>
      </c>
      <c r="E307" s="227">
        <v>276</v>
      </c>
      <c r="F307" s="227">
        <v>1152</v>
      </c>
      <c r="G307" s="227">
        <v>0.19327731092436981</v>
      </c>
      <c r="H307" s="227">
        <v>0.80672268907563027</v>
      </c>
      <c r="I307" s="312" t="s">
        <v>110</v>
      </c>
      <c r="J307" s="29">
        <v>1</v>
      </c>
      <c r="K307" s="9">
        <v>1</v>
      </c>
      <c r="L307" s="9">
        <v>1</v>
      </c>
      <c r="M307" s="9">
        <v>2</v>
      </c>
      <c r="N307" s="43">
        <v>2</v>
      </c>
      <c r="O307" s="265">
        <f t="shared" si="5"/>
        <v>0.35859414261160716</v>
      </c>
      <c r="P307" s="164" t="s">
        <v>111</v>
      </c>
    </row>
    <row r="308" spans="1:16">
      <c r="A308" s="227">
        <v>2018</v>
      </c>
      <c r="B308" s="227">
        <v>4</v>
      </c>
      <c r="C308" s="227" t="s">
        <v>88</v>
      </c>
      <c r="D308" s="227">
        <v>41</v>
      </c>
      <c r="E308" s="227">
        <v>17</v>
      </c>
      <c r="F308" s="227">
        <v>28</v>
      </c>
      <c r="G308" s="227">
        <v>0.37777777777777782</v>
      </c>
      <c r="H308" s="227">
        <v>0.62222222222222223</v>
      </c>
      <c r="I308" s="312" t="s">
        <v>110</v>
      </c>
      <c r="J308" s="29">
        <v>1</v>
      </c>
      <c r="K308" s="9">
        <v>1</v>
      </c>
      <c r="L308" s="9">
        <v>1</v>
      </c>
      <c r="M308" s="9">
        <v>2</v>
      </c>
      <c r="N308" s="43">
        <v>2</v>
      </c>
      <c r="O308" s="265">
        <f t="shared" si="5"/>
        <v>0.35859414261160716</v>
      </c>
      <c r="P308" s="164" t="s">
        <v>111</v>
      </c>
    </row>
    <row r="309" spans="1:16">
      <c r="A309" s="227">
        <v>2018</v>
      </c>
      <c r="B309" s="227">
        <v>185</v>
      </c>
      <c r="C309" s="227" t="s">
        <v>89</v>
      </c>
      <c r="D309" s="227">
        <v>56</v>
      </c>
      <c r="E309" s="227">
        <v>241</v>
      </c>
      <c r="F309" s="227">
        <v>0</v>
      </c>
      <c r="G309" s="227">
        <v>1</v>
      </c>
      <c r="H309" s="227">
        <v>0</v>
      </c>
      <c r="I309" s="312" t="s">
        <v>110</v>
      </c>
      <c r="J309" s="29">
        <v>1</v>
      </c>
      <c r="K309" s="9">
        <v>1</v>
      </c>
      <c r="L309" s="9">
        <v>1</v>
      </c>
      <c r="M309" s="9">
        <v>2</v>
      </c>
      <c r="N309" s="43">
        <v>2</v>
      </c>
      <c r="O309" s="265">
        <f t="shared" si="5"/>
        <v>0.35859414261160716</v>
      </c>
      <c r="P309" s="164" t="s">
        <v>111</v>
      </c>
    </row>
    <row r="310" spans="1:16">
      <c r="A310" s="227">
        <v>2018</v>
      </c>
      <c r="B310" s="227">
        <v>610</v>
      </c>
      <c r="C310" s="227" t="s">
        <v>90</v>
      </c>
      <c r="D310" s="227">
        <v>221</v>
      </c>
      <c r="E310" s="227">
        <v>794</v>
      </c>
      <c r="F310" s="227">
        <v>37</v>
      </c>
      <c r="G310" s="227">
        <v>0.95547533092659442</v>
      </c>
      <c r="H310" s="227">
        <v>4.4524669073405583E-2</v>
      </c>
      <c r="I310" s="312" t="s">
        <v>110</v>
      </c>
      <c r="J310" s="29">
        <v>1</v>
      </c>
      <c r="K310" s="9">
        <v>1</v>
      </c>
      <c r="L310" s="9">
        <v>1</v>
      </c>
      <c r="M310" s="9">
        <v>2</v>
      </c>
      <c r="N310" s="43">
        <v>2</v>
      </c>
      <c r="O310" s="265">
        <f t="shared" si="5"/>
        <v>0.35859414261160716</v>
      </c>
      <c r="P310" s="164" t="s">
        <v>111</v>
      </c>
    </row>
    <row r="311" spans="1:16">
      <c r="A311" s="227">
        <v>2018</v>
      </c>
      <c r="B311" s="227">
        <v>516</v>
      </c>
      <c r="C311" s="227" t="s">
        <v>91</v>
      </c>
      <c r="D311" s="227">
        <v>103</v>
      </c>
      <c r="E311" s="227">
        <v>619</v>
      </c>
      <c r="F311" s="227">
        <v>0</v>
      </c>
      <c r="G311" s="227">
        <v>1</v>
      </c>
      <c r="H311" s="227">
        <v>0</v>
      </c>
      <c r="I311" s="312" t="s">
        <v>110</v>
      </c>
      <c r="J311" s="29">
        <v>1</v>
      </c>
      <c r="K311" s="9">
        <v>1</v>
      </c>
      <c r="L311" s="9">
        <v>1</v>
      </c>
      <c r="M311" s="9">
        <v>2</v>
      </c>
      <c r="N311" s="43">
        <v>2</v>
      </c>
      <c r="O311" s="265">
        <f t="shared" si="5"/>
        <v>0.35859414261160716</v>
      </c>
      <c r="P311" s="164" t="s">
        <v>111</v>
      </c>
    </row>
    <row r="312" spans="1:16">
      <c r="A312" s="227">
        <v>2018</v>
      </c>
      <c r="B312" s="227">
        <v>192</v>
      </c>
      <c r="C312" s="227" t="s">
        <v>94</v>
      </c>
      <c r="D312" s="227">
        <v>35</v>
      </c>
      <c r="E312" s="227">
        <v>227</v>
      </c>
      <c r="F312" s="227">
        <v>0</v>
      </c>
      <c r="G312" s="227">
        <v>1</v>
      </c>
      <c r="H312" s="227">
        <v>0</v>
      </c>
      <c r="I312" s="312" t="s">
        <v>110</v>
      </c>
      <c r="J312" s="29">
        <v>1</v>
      </c>
      <c r="K312" s="9">
        <v>1</v>
      </c>
      <c r="L312" s="9">
        <v>1</v>
      </c>
      <c r="M312" s="9">
        <v>2</v>
      </c>
      <c r="N312" s="43">
        <v>2</v>
      </c>
      <c r="O312" s="265">
        <f t="shared" si="5"/>
        <v>0.35859414261160716</v>
      </c>
      <c r="P312" s="164" t="s">
        <v>111</v>
      </c>
    </row>
    <row r="313" spans="1:16">
      <c r="A313" s="227">
        <v>2018</v>
      </c>
      <c r="B313" s="227">
        <v>337</v>
      </c>
      <c r="C313" s="227" t="s">
        <v>96</v>
      </c>
      <c r="D313" s="227">
        <v>55</v>
      </c>
      <c r="E313" s="227">
        <v>269</v>
      </c>
      <c r="F313" s="227">
        <v>123</v>
      </c>
      <c r="G313" s="227">
        <v>0.68622448979591832</v>
      </c>
      <c r="H313" s="227">
        <v>0.31377551020408168</v>
      </c>
      <c r="I313" s="312" t="s">
        <v>110</v>
      </c>
      <c r="J313" s="29">
        <v>1</v>
      </c>
      <c r="K313" s="9">
        <v>1</v>
      </c>
      <c r="L313" s="9">
        <v>1</v>
      </c>
      <c r="M313" s="9">
        <v>2</v>
      </c>
      <c r="N313" s="43">
        <v>2</v>
      </c>
      <c r="O313" s="265">
        <f t="shared" si="5"/>
        <v>0.35859414261160716</v>
      </c>
      <c r="P313" s="164" t="s">
        <v>111</v>
      </c>
    </row>
    <row r="314" spans="1:16">
      <c r="A314" s="227">
        <v>2018</v>
      </c>
      <c r="B314" s="227">
        <v>355</v>
      </c>
      <c r="C314" s="227" t="s">
        <v>97</v>
      </c>
      <c r="D314" s="227">
        <v>229</v>
      </c>
      <c r="E314" s="227">
        <v>395</v>
      </c>
      <c r="F314" s="227">
        <v>189</v>
      </c>
      <c r="G314" s="227">
        <v>0.67636986301369861</v>
      </c>
      <c r="H314" s="227">
        <v>0.32363013698630139</v>
      </c>
      <c r="I314" s="312" t="s">
        <v>110</v>
      </c>
      <c r="J314" s="29">
        <v>1</v>
      </c>
      <c r="K314" s="9">
        <v>1</v>
      </c>
      <c r="L314" s="9">
        <v>1</v>
      </c>
      <c r="M314" s="9">
        <v>2</v>
      </c>
      <c r="N314" s="43">
        <v>2</v>
      </c>
      <c r="O314" s="265">
        <f t="shared" si="5"/>
        <v>0.35859414261160716</v>
      </c>
      <c r="P314" s="164" t="s">
        <v>111</v>
      </c>
    </row>
    <row r="315" spans="1:16">
      <c r="A315" s="227">
        <v>2018</v>
      </c>
      <c r="B315" s="227">
        <v>257</v>
      </c>
      <c r="C315" s="227" t="s">
        <v>95</v>
      </c>
      <c r="D315" s="227">
        <v>80</v>
      </c>
      <c r="E315" s="227">
        <v>337</v>
      </c>
      <c r="F315" s="227">
        <v>0</v>
      </c>
      <c r="G315" s="227">
        <v>1</v>
      </c>
      <c r="H315" s="227">
        <v>0</v>
      </c>
      <c r="I315" s="312" t="s">
        <v>110</v>
      </c>
      <c r="J315" s="29">
        <v>1</v>
      </c>
      <c r="K315" s="9">
        <v>1</v>
      </c>
      <c r="L315" s="9">
        <v>1</v>
      </c>
      <c r="M315" s="9">
        <v>2</v>
      </c>
      <c r="N315" s="43">
        <v>2</v>
      </c>
      <c r="O315" s="265">
        <f t="shared" si="5"/>
        <v>0.35859414261160716</v>
      </c>
      <c r="P315" s="164" t="s">
        <v>111</v>
      </c>
    </row>
    <row r="316" spans="1:16">
      <c r="A316" s="227">
        <v>2018</v>
      </c>
      <c r="B316" s="227">
        <v>104</v>
      </c>
      <c r="C316" s="227" t="s">
        <v>93</v>
      </c>
      <c r="D316" s="227">
        <v>42</v>
      </c>
      <c r="E316" s="227">
        <v>95</v>
      </c>
      <c r="F316" s="227">
        <v>51</v>
      </c>
      <c r="G316" s="227">
        <v>0.65068493150684936</v>
      </c>
      <c r="H316" s="227">
        <v>0.34931506849315058</v>
      </c>
      <c r="I316" s="312" t="s">
        <v>110</v>
      </c>
      <c r="J316" s="29">
        <v>1</v>
      </c>
      <c r="K316" s="9">
        <v>1</v>
      </c>
      <c r="L316" s="9">
        <v>1</v>
      </c>
      <c r="M316" s="9">
        <v>2</v>
      </c>
      <c r="N316" s="43">
        <v>2</v>
      </c>
      <c r="O316" s="265">
        <f t="shared" si="5"/>
        <v>0.35859414261160716</v>
      </c>
      <c r="P316" s="164" t="s">
        <v>111</v>
      </c>
    </row>
    <row r="317" spans="1:16">
      <c r="A317" s="227">
        <v>2018</v>
      </c>
      <c r="B317" s="227">
        <v>2403</v>
      </c>
      <c r="C317" s="227" t="s">
        <v>98</v>
      </c>
      <c r="D317" s="227">
        <v>1272</v>
      </c>
      <c r="E317" s="227">
        <v>3675</v>
      </c>
      <c r="F317" s="227">
        <v>0</v>
      </c>
      <c r="G317" s="227">
        <v>1</v>
      </c>
      <c r="H317" s="227">
        <v>0</v>
      </c>
      <c r="I317" s="312" t="s">
        <v>110</v>
      </c>
      <c r="J317" s="29">
        <v>1</v>
      </c>
      <c r="K317" s="9">
        <v>1</v>
      </c>
      <c r="L317" s="9">
        <v>1</v>
      </c>
      <c r="M317" s="9">
        <v>2</v>
      </c>
      <c r="N317" s="43">
        <v>2</v>
      </c>
      <c r="O317" s="265">
        <f t="shared" si="5"/>
        <v>0.35859414261160716</v>
      </c>
      <c r="P317" s="164" t="s">
        <v>111</v>
      </c>
    </row>
    <row r="318" spans="1:16">
      <c r="A318" s="227">
        <v>2019</v>
      </c>
      <c r="B318" s="227">
        <v>1278</v>
      </c>
      <c r="C318" s="227" t="s">
        <v>85</v>
      </c>
      <c r="D318" s="227">
        <v>942</v>
      </c>
      <c r="E318" s="227">
        <v>1985</v>
      </c>
      <c r="F318" s="227">
        <v>235</v>
      </c>
      <c r="G318" s="227">
        <v>0.89414414414414412</v>
      </c>
      <c r="H318" s="227">
        <v>0.1058558558558559</v>
      </c>
      <c r="I318" s="312" t="s">
        <v>110</v>
      </c>
      <c r="J318" s="29">
        <v>1</v>
      </c>
      <c r="K318" s="9">
        <v>1</v>
      </c>
      <c r="L318" s="9">
        <v>1</v>
      </c>
      <c r="M318" s="9">
        <v>2</v>
      </c>
      <c r="N318" s="43">
        <v>2</v>
      </c>
      <c r="O318" s="265">
        <f t="shared" si="5"/>
        <v>0.35859414261160716</v>
      </c>
      <c r="P318" s="164" t="s">
        <v>111</v>
      </c>
    </row>
    <row r="319" spans="1:16">
      <c r="A319" s="227">
        <v>2019</v>
      </c>
      <c r="B319" s="227">
        <v>266</v>
      </c>
      <c r="C319" s="227" t="s">
        <v>86</v>
      </c>
      <c r="D319" s="227">
        <v>270</v>
      </c>
      <c r="E319" s="227">
        <v>453</v>
      </c>
      <c r="F319" s="227">
        <v>83</v>
      </c>
      <c r="G319" s="227">
        <v>0.84514925373134331</v>
      </c>
      <c r="H319" s="227">
        <v>0.15485074626865669</v>
      </c>
      <c r="I319" s="312" t="s">
        <v>110</v>
      </c>
      <c r="J319" s="29">
        <v>1</v>
      </c>
      <c r="K319" s="9">
        <v>1</v>
      </c>
      <c r="L319" s="9">
        <v>1</v>
      </c>
      <c r="M319" s="9">
        <v>2</v>
      </c>
      <c r="N319" s="43">
        <v>2</v>
      </c>
      <c r="O319" s="265">
        <f t="shared" si="5"/>
        <v>0.35859414261160716</v>
      </c>
      <c r="P319" s="164" t="s">
        <v>111</v>
      </c>
    </row>
    <row r="320" spans="1:16">
      <c r="A320" s="227">
        <v>2019</v>
      </c>
      <c r="B320" s="227">
        <v>936</v>
      </c>
      <c r="C320" s="227" t="s">
        <v>87</v>
      </c>
      <c r="D320" s="227">
        <v>302</v>
      </c>
      <c r="E320" s="227">
        <v>268</v>
      </c>
      <c r="F320" s="227">
        <v>970</v>
      </c>
      <c r="G320" s="227">
        <v>0.2164781906300485</v>
      </c>
      <c r="H320" s="227">
        <v>0.78352180936995153</v>
      </c>
      <c r="I320" s="312" t="s">
        <v>110</v>
      </c>
      <c r="J320" s="29">
        <v>1</v>
      </c>
      <c r="K320" s="9">
        <v>1</v>
      </c>
      <c r="L320" s="9">
        <v>1</v>
      </c>
      <c r="M320" s="9">
        <v>2</v>
      </c>
      <c r="N320" s="43">
        <v>2</v>
      </c>
      <c r="O320" s="265">
        <f t="shared" si="5"/>
        <v>0.35859414261160716</v>
      </c>
      <c r="P320" s="164" t="s">
        <v>111</v>
      </c>
    </row>
    <row r="321" spans="1:16">
      <c r="A321" s="227">
        <v>2019</v>
      </c>
      <c r="B321" s="227">
        <v>4</v>
      </c>
      <c r="C321" s="227" t="s">
        <v>88</v>
      </c>
      <c r="D321" s="227">
        <v>111</v>
      </c>
      <c r="E321" s="227">
        <v>17</v>
      </c>
      <c r="F321" s="227">
        <v>98</v>
      </c>
      <c r="G321" s="227">
        <v>0.14782608695652169</v>
      </c>
      <c r="H321" s="227">
        <v>0.85217391304347823</v>
      </c>
      <c r="I321" s="312" t="s">
        <v>110</v>
      </c>
      <c r="J321" s="29">
        <v>1</v>
      </c>
      <c r="K321" s="9">
        <v>1</v>
      </c>
      <c r="L321" s="9">
        <v>1</v>
      </c>
      <c r="M321" s="9">
        <v>2</v>
      </c>
      <c r="N321" s="43">
        <v>2</v>
      </c>
      <c r="O321" s="265">
        <f t="shared" si="5"/>
        <v>0.35859414261160716</v>
      </c>
      <c r="P321" s="164" t="s">
        <v>111</v>
      </c>
    </row>
    <row r="322" spans="1:16">
      <c r="A322" s="227">
        <v>2019</v>
      </c>
      <c r="B322" s="227">
        <v>306</v>
      </c>
      <c r="C322" s="227" t="s">
        <v>89</v>
      </c>
      <c r="D322" s="227">
        <v>56</v>
      </c>
      <c r="E322" s="227">
        <v>241</v>
      </c>
      <c r="F322" s="227">
        <v>121</v>
      </c>
      <c r="G322" s="227">
        <v>0.66574585635359118</v>
      </c>
      <c r="H322" s="227">
        <v>0.33425414364640882</v>
      </c>
      <c r="I322" s="312" t="s">
        <v>110</v>
      </c>
      <c r="J322" s="29">
        <v>1</v>
      </c>
      <c r="K322" s="9">
        <v>1</v>
      </c>
      <c r="L322" s="9">
        <v>1</v>
      </c>
      <c r="M322" s="9">
        <v>2</v>
      </c>
      <c r="N322" s="43">
        <v>2</v>
      </c>
      <c r="O322" s="265">
        <f t="shared" si="5"/>
        <v>0.35859414261160716</v>
      </c>
      <c r="P322" s="164" t="s">
        <v>111</v>
      </c>
    </row>
    <row r="323" spans="1:16">
      <c r="A323" s="227">
        <v>2019</v>
      </c>
      <c r="B323" s="227">
        <v>610</v>
      </c>
      <c r="C323" s="227" t="s">
        <v>90</v>
      </c>
      <c r="D323" s="227">
        <v>217</v>
      </c>
      <c r="E323" s="227">
        <v>703</v>
      </c>
      <c r="F323" s="227">
        <v>124</v>
      </c>
      <c r="G323" s="227">
        <v>0.85006045949214026</v>
      </c>
      <c r="H323" s="227">
        <v>0.14993954050785971</v>
      </c>
      <c r="I323" s="312" t="s">
        <v>110</v>
      </c>
      <c r="J323" s="29">
        <v>1</v>
      </c>
      <c r="K323" s="9">
        <v>1</v>
      </c>
      <c r="L323" s="9">
        <v>1</v>
      </c>
      <c r="M323" s="9">
        <v>2</v>
      </c>
      <c r="N323" s="43">
        <v>2</v>
      </c>
      <c r="O323" s="265">
        <f t="shared" si="5"/>
        <v>0.35859414261160716</v>
      </c>
      <c r="P323" s="164" t="s">
        <v>111</v>
      </c>
    </row>
    <row r="324" spans="1:16">
      <c r="A324" s="227">
        <v>2019</v>
      </c>
      <c r="B324" s="227">
        <v>443</v>
      </c>
      <c r="C324" s="227" t="s">
        <v>91</v>
      </c>
      <c r="D324" s="227">
        <v>134</v>
      </c>
      <c r="E324" s="227">
        <v>577</v>
      </c>
      <c r="F324" s="227">
        <v>0</v>
      </c>
      <c r="G324" s="227">
        <v>1</v>
      </c>
      <c r="H324" s="227">
        <v>0</v>
      </c>
      <c r="I324" s="312" t="s">
        <v>110</v>
      </c>
      <c r="J324" s="29">
        <v>1</v>
      </c>
      <c r="K324" s="9">
        <v>1</v>
      </c>
      <c r="L324" s="9">
        <v>1</v>
      </c>
      <c r="M324" s="9">
        <v>2</v>
      </c>
      <c r="N324" s="43">
        <v>2</v>
      </c>
      <c r="O324" s="265">
        <f t="shared" si="5"/>
        <v>0.35859414261160716</v>
      </c>
      <c r="P324" s="164" t="s">
        <v>111</v>
      </c>
    </row>
    <row r="325" spans="1:16">
      <c r="A325" s="227">
        <v>2019</v>
      </c>
      <c r="B325" s="227">
        <v>202</v>
      </c>
      <c r="C325" s="227" t="s">
        <v>94</v>
      </c>
      <c r="D325" s="227">
        <v>17</v>
      </c>
      <c r="E325" s="227">
        <v>219</v>
      </c>
      <c r="F325" s="227">
        <v>0</v>
      </c>
      <c r="G325" s="227">
        <v>1</v>
      </c>
      <c r="H325" s="227">
        <v>0</v>
      </c>
      <c r="I325" s="312" t="s">
        <v>110</v>
      </c>
      <c r="J325" s="29">
        <v>1</v>
      </c>
      <c r="K325" s="9">
        <v>1</v>
      </c>
      <c r="L325" s="9">
        <v>1</v>
      </c>
      <c r="M325" s="9">
        <v>2</v>
      </c>
      <c r="N325" s="43">
        <v>2</v>
      </c>
      <c r="O325" s="265">
        <f t="shared" si="5"/>
        <v>0.35859414261160716</v>
      </c>
      <c r="P325" s="164" t="s">
        <v>111</v>
      </c>
    </row>
    <row r="326" spans="1:16">
      <c r="A326" s="227">
        <v>2019</v>
      </c>
      <c r="B326" s="227">
        <v>448</v>
      </c>
      <c r="C326" s="227" t="s">
        <v>96</v>
      </c>
      <c r="D326" s="227">
        <v>70</v>
      </c>
      <c r="E326" s="227">
        <v>224</v>
      </c>
      <c r="F326" s="227">
        <v>294</v>
      </c>
      <c r="G326" s="227">
        <v>0.43243243243243251</v>
      </c>
      <c r="H326" s="227">
        <v>0.56756756756756754</v>
      </c>
      <c r="I326" s="312" t="s">
        <v>110</v>
      </c>
      <c r="J326" s="29">
        <v>1</v>
      </c>
      <c r="K326" s="9">
        <v>1</v>
      </c>
      <c r="L326" s="9">
        <v>1</v>
      </c>
      <c r="M326" s="9">
        <v>2</v>
      </c>
      <c r="N326" s="43">
        <v>2</v>
      </c>
      <c r="O326" s="265">
        <f t="shared" si="5"/>
        <v>0.35859414261160716</v>
      </c>
      <c r="P326" s="164" t="s">
        <v>111</v>
      </c>
    </row>
    <row r="327" spans="1:16">
      <c r="A327" s="227">
        <v>2019</v>
      </c>
      <c r="B327" s="227">
        <v>360</v>
      </c>
      <c r="C327" s="227" t="s">
        <v>97</v>
      </c>
      <c r="D327" s="227">
        <v>243</v>
      </c>
      <c r="E327" s="227">
        <v>404</v>
      </c>
      <c r="F327" s="227">
        <v>199</v>
      </c>
      <c r="G327" s="227">
        <v>0.66998341625207292</v>
      </c>
      <c r="H327" s="227">
        <v>0.33001658374792708</v>
      </c>
      <c r="I327" s="312" t="s">
        <v>110</v>
      </c>
      <c r="J327" s="29">
        <v>1</v>
      </c>
      <c r="K327" s="9">
        <v>1</v>
      </c>
      <c r="L327" s="9">
        <v>1</v>
      </c>
      <c r="M327" s="9">
        <v>2</v>
      </c>
      <c r="N327" s="43">
        <v>2</v>
      </c>
      <c r="O327" s="265">
        <f t="shared" ref="O327:O356" si="6">IF( OR( ISBLANK(J327),ISBLANK(K327), ISBLANK(L327), ISBLANK(M327), ISBLANK(N327) ), "", 1.5*SQRT(   EXP(2.21*(J327-1)) + EXP(2.21*(K327-1)) + EXP(2.21*(L327-1)) + EXP(2.21*(M327-1)) + EXP(2.21*N327)   )/100*2.45 )</f>
        <v>0.35859414261160716</v>
      </c>
      <c r="P327" s="164" t="s">
        <v>111</v>
      </c>
    </row>
    <row r="328" spans="1:16">
      <c r="A328" s="227">
        <v>2019</v>
      </c>
      <c r="B328" s="227">
        <v>165</v>
      </c>
      <c r="C328" s="227" t="s">
        <v>95</v>
      </c>
      <c r="D328" s="227">
        <v>79</v>
      </c>
      <c r="E328" s="227">
        <v>244</v>
      </c>
      <c r="F328" s="227">
        <v>0</v>
      </c>
      <c r="G328" s="227">
        <v>1</v>
      </c>
      <c r="H328" s="227">
        <v>0</v>
      </c>
      <c r="I328" s="312" t="s">
        <v>110</v>
      </c>
      <c r="J328" s="29">
        <v>1</v>
      </c>
      <c r="K328" s="9">
        <v>1</v>
      </c>
      <c r="L328" s="9">
        <v>1</v>
      </c>
      <c r="M328" s="9">
        <v>2</v>
      </c>
      <c r="N328" s="43">
        <v>2</v>
      </c>
      <c r="O328" s="265">
        <f t="shared" si="6"/>
        <v>0.35859414261160716</v>
      </c>
      <c r="P328" s="164" t="s">
        <v>111</v>
      </c>
    </row>
    <row r="329" spans="1:16">
      <c r="A329" s="227">
        <v>2019</v>
      </c>
      <c r="B329" s="227">
        <v>98</v>
      </c>
      <c r="C329" s="227" t="s">
        <v>93</v>
      </c>
      <c r="D329" s="227">
        <v>40</v>
      </c>
      <c r="E329" s="227">
        <v>93</v>
      </c>
      <c r="F329" s="227">
        <v>45</v>
      </c>
      <c r="G329" s="227">
        <v>0.67391304347826086</v>
      </c>
      <c r="H329" s="227">
        <v>0.32608695652173908</v>
      </c>
      <c r="I329" s="312" t="s">
        <v>110</v>
      </c>
      <c r="J329" s="29">
        <v>1</v>
      </c>
      <c r="K329" s="9">
        <v>1</v>
      </c>
      <c r="L329" s="9">
        <v>1</v>
      </c>
      <c r="M329" s="9">
        <v>2</v>
      </c>
      <c r="N329" s="43">
        <v>2</v>
      </c>
      <c r="O329" s="265">
        <f t="shared" si="6"/>
        <v>0.35859414261160716</v>
      </c>
      <c r="P329" s="164" t="s">
        <v>111</v>
      </c>
    </row>
    <row r="330" spans="1:16">
      <c r="A330" s="227">
        <v>2019</v>
      </c>
      <c r="B330" s="227">
        <v>2309</v>
      </c>
      <c r="C330" s="227" t="s">
        <v>98</v>
      </c>
      <c r="D330" s="227">
        <v>1386</v>
      </c>
      <c r="E330" s="227">
        <v>3695</v>
      </c>
      <c r="F330" s="227">
        <v>0</v>
      </c>
      <c r="G330" s="227">
        <v>1</v>
      </c>
      <c r="H330" s="227">
        <v>0</v>
      </c>
      <c r="I330" s="312" t="s">
        <v>110</v>
      </c>
      <c r="J330" s="29">
        <v>1</v>
      </c>
      <c r="K330" s="9">
        <v>1</v>
      </c>
      <c r="L330" s="9">
        <v>1</v>
      </c>
      <c r="M330" s="9">
        <v>2</v>
      </c>
      <c r="N330" s="43">
        <v>2</v>
      </c>
      <c r="O330" s="265">
        <f t="shared" si="6"/>
        <v>0.35859414261160716</v>
      </c>
      <c r="P330" s="164" t="s">
        <v>111</v>
      </c>
    </row>
    <row r="331" spans="1:16">
      <c r="A331" s="227">
        <v>2020</v>
      </c>
      <c r="B331" s="227">
        <v>1665</v>
      </c>
      <c r="C331" s="227" t="s">
        <v>85</v>
      </c>
      <c r="D331" s="227">
        <v>713</v>
      </c>
      <c r="E331" s="227">
        <v>2073</v>
      </c>
      <c r="F331" s="227">
        <v>305</v>
      </c>
      <c r="G331" s="227">
        <v>0.87174095878889823</v>
      </c>
      <c r="H331" s="227">
        <v>0.12825904121110179</v>
      </c>
      <c r="I331" s="312" t="s">
        <v>110</v>
      </c>
      <c r="J331" s="29">
        <v>1</v>
      </c>
      <c r="K331" s="9">
        <v>1</v>
      </c>
      <c r="L331" s="9">
        <v>1</v>
      </c>
      <c r="M331" s="9">
        <v>2</v>
      </c>
      <c r="N331" s="43">
        <v>2</v>
      </c>
      <c r="O331" s="265">
        <f t="shared" si="6"/>
        <v>0.35859414261160716</v>
      </c>
      <c r="P331" s="164" t="s">
        <v>111</v>
      </c>
    </row>
    <row r="332" spans="1:16">
      <c r="A332" s="227">
        <v>2020</v>
      </c>
      <c r="B332" s="227">
        <v>315</v>
      </c>
      <c r="C332" s="227" t="s">
        <v>86</v>
      </c>
      <c r="D332" s="227">
        <v>239</v>
      </c>
      <c r="E332" s="227">
        <v>530</v>
      </c>
      <c r="F332" s="227">
        <v>24</v>
      </c>
      <c r="G332" s="227">
        <v>0.95667870036101088</v>
      </c>
      <c r="H332" s="227">
        <v>4.3321299638989119E-2</v>
      </c>
      <c r="I332" s="312" t="s">
        <v>110</v>
      </c>
      <c r="J332" s="29">
        <v>1</v>
      </c>
      <c r="K332" s="9">
        <v>1</v>
      </c>
      <c r="L332" s="9">
        <v>1</v>
      </c>
      <c r="M332" s="9">
        <v>2</v>
      </c>
      <c r="N332" s="43">
        <v>2</v>
      </c>
      <c r="O332" s="265">
        <f t="shared" si="6"/>
        <v>0.35859414261160716</v>
      </c>
      <c r="P332" s="164" t="s">
        <v>111</v>
      </c>
    </row>
    <row r="333" spans="1:16">
      <c r="A333" s="227">
        <v>2020</v>
      </c>
      <c r="B333" s="227">
        <v>701</v>
      </c>
      <c r="C333" s="227" t="s">
        <v>87</v>
      </c>
      <c r="D333" s="227">
        <v>303</v>
      </c>
      <c r="E333" s="227">
        <v>259</v>
      </c>
      <c r="F333" s="227">
        <v>745</v>
      </c>
      <c r="G333" s="227">
        <v>0.25796812749003978</v>
      </c>
      <c r="H333" s="227">
        <v>0.74203187250996017</v>
      </c>
      <c r="I333" s="312" t="s">
        <v>110</v>
      </c>
      <c r="J333" s="29">
        <v>1</v>
      </c>
      <c r="K333" s="9">
        <v>1</v>
      </c>
      <c r="L333" s="9">
        <v>1</v>
      </c>
      <c r="M333" s="9">
        <v>2</v>
      </c>
      <c r="N333" s="43">
        <v>2</v>
      </c>
      <c r="O333" s="265">
        <f t="shared" si="6"/>
        <v>0.35859414261160716</v>
      </c>
      <c r="P333" s="164" t="s">
        <v>111</v>
      </c>
    </row>
    <row r="334" spans="1:16">
      <c r="A334" s="227">
        <v>2020</v>
      </c>
      <c r="B334" s="227">
        <v>4</v>
      </c>
      <c r="C334" s="227" t="s">
        <v>88</v>
      </c>
      <c r="D334" s="227">
        <v>34</v>
      </c>
      <c r="E334" s="227">
        <v>19</v>
      </c>
      <c r="F334" s="227">
        <v>19</v>
      </c>
      <c r="G334" s="227">
        <v>0.5</v>
      </c>
      <c r="H334" s="227">
        <v>0.5</v>
      </c>
      <c r="I334" s="312" t="s">
        <v>110</v>
      </c>
      <c r="J334" s="29">
        <v>1</v>
      </c>
      <c r="K334" s="9">
        <v>1</v>
      </c>
      <c r="L334" s="9">
        <v>1</v>
      </c>
      <c r="M334" s="9">
        <v>2</v>
      </c>
      <c r="N334" s="43">
        <v>2</v>
      </c>
      <c r="O334" s="265">
        <f t="shared" si="6"/>
        <v>0.35859414261160716</v>
      </c>
      <c r="P334" s="164" t="s">
        <v>111</v>
      </c>
    </row>
    <row r="335" spans="1:16">
      <c r="A335" s="227">
        <v>2020</v>
      </c>
      <c r="B335" s="227">
        <v>317</v>
      </c>
      <c r="C335" s="227" t="s">
        <v>89</v>
      </c>
      <c r="D335" s="227">
        <v>48</v>
      </c>
      <c r="E335" s="227">
        <v>265</v>
      </c>
      <c r="F335" s="227">
        <v>100</v>
      </c>
      <c r="G335" s="227">
        <v>0.72602739726027399</v>
      </c>
      <c r="H335" s="227">
        <v>0.27397260273972601</v>
      </c>
      <c r="I335" s="312" t="s">
        <v>110</v>
      </c>
      <c r="J335" s="29">
        <v>1</v>
      </c>
      <c r="K335" s="9">
        <v>1</v>
      </c>
      <c r="L335" s="9">
        <v>1</v>
      </c>
      <c r="M335" s="9">
        <v>2</v>
      </c>
      <c r="N335" s="43">
        <v>2</v>
      </c>
      <c r="O335" s="265">
        <f t="shared" si="6"/>
        <v>0.35859414261160716</v>
      </c>
      <c r="P335" s="164" t="s">
        <v>111</v>
      </c>
    </row>
    <row r="336" spans="1:16">
      <c r="A336" s="227">
        <v>2020</v>
      </c>
      <c r="B336" s="227">
        <v>610</v>
      </c>
      <c r="C336" s="227" t="s">
        <v>90</v>
      </c>
      <c r="D336" s="227">
        <v>186</v>
      </c>
      <c r="E336" s="227">
        <v>756</v>
      </c>
      <c r="F336" s="227">
        <v>40</v>
      </c>
      <c r="G336" s="227">
        <v>0.94974874371859297</v>
      </c>
      <c r="H336" s="227">
        <v>5.0251256281407031E-2</v>
      </c>
      <c r="I336" s="312" t="s">
        <v>110</v>
      </c>
      <c r="J336" s="29">
        <v>1</v>
      </c>
      <c r="K336" s="9">
        <v>1</v>
      </c>
      <c r="L336" s="9">
        <v>1</v>
      </c>
      <c r="M336" s="9">
        <v>2</v>
      </c>
      <c r="N336" s="43">
        <v>2</v>
      </c>
      <c r="O336" s="265">
        <f t="shared" si="6"/>
        <v>0.35859414261160716</v>
      </c>
      <c r="P336" s="164" t="s">
        <v>111</v>
      </c>
    </row>
    <row r="337" spans="1:16">
      <c r="A337" s="227">
        <v>2020</v>
      </c>
      <c r="B337" s="227">
        <v>474</v>
      </c>
      <c r="C337" s="227" t="s">
        <v>91</v>
      </c>
      <c r="D337" s="227">
        <v>130</v>
      </c>
      <c r="E337" s="227">
        <v>604</v>
      </c>
      <c r="F337" s="227">
        <v>0</v>
      </c>
      <c r="G337" s="227">
        <v>1</v>
      </c>
      <c r="H337" s="227">
        <v>0</v>
      </c>
      <c r="I337" s="312" t="s">
        <v>110</v>
      </c>
      <c r="J337" s="29">
        <v>1</v>
      </c>
      <c r="K337" s="9">
        <v>1</v>
      </c>
      <c r="L337" s="9">
        <v>1</v>
      </c>
      <c r="M337" s="9">
        <v>2</v>
      </c>
      <c r="N337" s="43">
        <v>2</v>
      </c>
      <c r="O337" s="265">
        <f t="shared" si="6"/>
        <v>0.35859414261160716</v>
      </c>
      <c r="P337" s="164" t="s">
        <v>111</v>
      </c>
    </row>
    <row r="338" spans="1:16">
      <c r="A338" s="227">
        <v>2020</v>
      </c>
      <c r="B338" s="227">
        <v>184</v>
      </c>
      <c r="C338" s="227" t="s">
        <v>94</v>
      </c>
      <c r="D338" s="227">
        <v>16</v>
      </c>
      <c r="E338" s="227">
        <v>200</v>
      </c>
      <c r="F338" s="227">
        <v>0</v>
      </c>
      <c r="G338" s="227">
        <v>1</v>
      </c>
      <c r="H338" s="227">
        <v>0</v>
      </c>
      <c r="I338" s="312" t="s">
        <v>110</v>
      </c>
      <c r="J338" s="29">
        <v>1</v>
      </c>
      <c r="K338" s="9">
        <v>1</v>
      </c>
      <c r="L338" s="9">
        <v>1</v>
      </c>
      <c r="M338" s="9">
        <v>2</v>
      </c>
      <c r="N338" s="43">
        <v>2</v>
      </c>
      <c r="O338" s="265">
        <f t="shared" si="6"/>
        <v>0.35859414261160716</v>
      </c>
      <c r="P338" s="164" t="s">
        <v>111</v>
      </c>
    </row>
    <row r="339" spans="1:16">
      <c r="A339" s="227">
        <v>2020</v>
      </c>
      <c r="B339" s="227">
        <v>337</v>
      </c>
      <c r="C339" s="227" t="s">
        <v>96</v>
      </c>
      <c r="D339" s="227">
        <v>65</v>
      </c>
      <c r="E339" s="227">
        <v>259</v>
      </c>
      <c r="F339" s="227">
        <v>143</v>
      </c>
      <c r="G339" s="227">
        <v>0.64427860696517414</v>
      </c>
      <c r="H339" s="227">
        <v>0.35572139303482592</v>
      </c>
      <c r="I339" s="312" t="s">
        <v>110</v>
      </c>
      <c r="J339" s="29">
        <v>1</v>
      </c>
      <c r="K339" s="9">
        <v>1</v>
      </c>
      <c r="L339" s="9">
        <v>1</v>
      </c>
      <c r="M339" s="9">
        <v>2</v>
      </c>
      <c r="N339" s="43">
        <v>2</v>
      </c>
      <c r="O339" s="265">
        <f t="shared" si="6"/>
        <v>0.35859414261160716</v>
      </c>
      <c r="P339" s="164" t="s">
        <v>111</v>
      </c>
    </row>
    <row r="340" spans="1:16">
      <c r="A340" s="227">
        <v>2020</v>
      </c>
      <c r="B340" s="227">
        <v>344</v>
      </c>
      <c r="C340" s="227" t="s">
        <v>97</v>
      </c>
      <c r="D340" s="227">
        <v>242</v>
      </c>
      <c r="E340" s="227">
        <v>376</v>
      </c>
      <c r="F340" s="227">
        <v>210</v>
      </c>
      <c r="G340" s="227">
        <v>0.64163822525597269</v>
      </c>
      <c r="H340" s="227">
        <v>0.35836177474402731</v>
      </c>
      <c r="I340" s="312" t="s">
        <v>110</v>
      </c>
      <c r="J340" s="29">
        <v>1</v>
      </c>
      <c r="K340" s="9">
        <v>1</v>
      </c>
      <c r="L340" s="9">
        <v>1</v>
      </c>
      <c r="M340" s="9">
        <v>2</v>
      </c>
      <c r="N340" s="43">
        <v>2</v>
      </c>
      <c r="O340" s="265">
        <f t="shared" si="6"/>
        <v>0.35859414261160716</v>
      </c>
      <c r="P340" s="164" t="s">
        <v>111</v>
      </c>
    </row>
    <row r="341" spans="1:16">
      <c r="A341" s="227">
        <v>2020</v>
      </c>
      <c r="B341" s="227">
        <v>200</v>
      </c>
      <c r="C341" s="227" t="s">
        <v>95</v>
      </c>
      <c r="D341" s="227">
        <v>71</v>
      </c>
      <c r="E341" s="227">
        <v>222</v>
      </c>
      <c r="F341" s="227">
        <v>49</v>
      </c>
      <c r="G341" s="227">
        <v>0.81918819188191883</v>
      </c>
      <c r="H341" s="227">
        <v>0.1808118081180812</v>
      </c>
      <c r="I341" s="312" t="s">
        <v>110</v>
      </c>
      <c r="J341" s="29">
        <v>1</v>
      </c>
      <c r="K341" s="9">
        <v>1</v>
      </c>
      <c r="L341" s="9">
        <v>1</v>
      </c>
      <c r="M341" s="9">
        <v>2</v>
      </c>
      <c r="N341" s="43">
        <v>2</v>
      </c>
      <c r="O341" s="265">
        <f t="shared" si="6"/>
        <v>0.35859414261160716</v>
      </c>
      <c r="P341" s="164" t="s">
        <v>111</v>
      </c>
    </row>
    <row r="342" spans="1:16">
      <c r="A342" s="227">
        <v>2020</v>
      </c>
      <c r="B342" s="227">
        <v>80</v>
      </c>
      <c r="C342" s="227" t="s">
        <v>93</v>
      </c>
      <c r="D342" s="227">
        <v>43</v>
      </c>
      <c r="E342" s="227">
        <v>85</v>
      </c>
      <c r="F342" s="227">
        <v>38</v>
      </c>
      <c r="G342" s="227">
        <v>0.69105691056910568</v>
      </c>
      <c r="H342" s="227">
        <v>0.30894308943089432</v>
      </c>
      <c r="I342" s="312" t="s">
        <v>110</v>
      </c>
      <c r="J342" s="29">
        <v>1</v>
      </c>
      <c r="K342" s="9">
        <v>1</v>
      </c>
      <c r="L342" s="9">
        <v>1</v>
      </c>
      <c r="M342" s="9">
        <v>2</v>
      </c>
      <c r="N342" s="43">
        <v>2</v>
      </c>
      <c r="O342" s="265">
        <f t="shared" si="6"/>
        <v>0.35859414261160716</v>
      </c>
      <c r="P342" s="164" t="s">
        <v>111</v>
      </c>
    </row>
    <row r="343" spans="1:16">
      <c r="A343" s="227">
        <v>2020</v>
      </c>
      <c r="B343" s="227">
        <v>2520</v>
      </c>
      <c r="C343" s="227" t="s">
        <v>98</v>
      </c>
      <c r="D343" s="227">
        <v>1355</v>
      </c>
      <c r="E343" s="227">
        <v>3875</v>
      </c>
      <c r="F343" s="227">
        <v>0</v>
      </c>
      <c r="G343" s="227">
        <v>1</v>
      </c>
      <c r="H343" s="227">
        <v>0</v>
      </c>
      <c r="I343" s="312" t="s">
        <v>110</v>
      </c>
      <c r="J343" s="29">
        <v>1</v>
      </c>
      <c r="K343" s="9">
        <v>1</v>
      </c>
      <c r="L343" s="9">
        <v>1</v>
      </c>
      <c r="M343" s="9">
        <v>2</v>
      </c>
      <c r="N343" s="43">
        <v>2</v>
      </c>
      <c r="O343" s="265">
        <f t="shared" si="6"/>
        <v>0.35859414261160716</v>
      </c>
      <c r="P343" s="164" t="s">
        <v>111</v>
      </c>
    </row>
    <row r="344" spans="1:16">
      <c r="A344" s="227">
        <v>2021</v>
      </c>
      <c r="B344" s="227">
        <v>1559</v>
      </c>
      <c r="C344" s="227" t="s">
        <v>85</v>
      </c>
      <c r="D344" s="227">
        <v>1052</v>
      </c>
      <c r="E344" s="227">
        <v>2156</v>
      </c>
      <c r="F344" s="227">
        <v>455</v>
      </c>
      <c r="G344" s="227">
        <v>0.82573726541554959</v>
      </c>
      <c r="H344" s="227">
        <v>0.17426273458445041</v>
      </c>
      <c r="I344" s="312" t="s">
        <v>110</v>
      </c>
      <c r="J344" s="29">
        <v>1</v>
      </c>
      <c r="K344" s="9">
        <v>1</v>
      </c>
      <c r="L344" s="9">
        <v>1</v>
      </c>
      <c r="M344" s="9">
        <v>2</v>
      </c>
      <c r="N344" s="43">
        <v>2</v>
      </c>
      <c r="O344" s="265">
        <f t="shared" si="6"/>
        <v>0.35859414261160716</v>
      </c>
      <c r="P344" s="164" t="s">
        <v>111</v>
      </c>
    </row>
    <row r="345" spans="1:16">
      <c r="A345" s="227">
        <v>2021</v>
      </c>
      <c r="B345" s="227">
        <v>290</v>
      </c>
      <c r="C345" s="227" t="s">
        <v>86</v>
      </c>
      <c r="D345" s="227">
        <v>261</v>
      </c>
      <c r="E345" s="227">
        <v>456</v>
      </c>
      <c r="F345" s="227">
        <v>95</v>
      </c>
      <c r="G345" s="227">
        <v>0.82758620689655171</v>
      </c>
      <c r="H345" s="227">
        <v>0.17241379310344829</v>
      </c>
      <c r="I345" s="312" t="s">
        <v>110</v>
      </c>
      <c r="J345" s="29">
        <v>1</v>
      </c>
      <c r="K345" s="9">
        <v>1</v>
      </c>
      <c r="L345" s="9">
        <v>1</v>
      </c>
      <c r="M345" s="9">
        <v>2</v>
      </c>
      <c r="N345" s="43">
        <v>2</v>
      </c>
      <c r="O345" s="265">
        <f t="shared" si="6"/>
        <v>0.35859414261160716</v>
      </c>
      <c r="P345" s="164" t="s">
        <v>111</v>
      </c>
    </row>
    <row r="346" spans="1:16">
      <c r="A346" s="227">
        <v>2021</v>
      </c>
      <c r="B346" s="227">
        <v>852</v>
      </c>
      <c r="C346" s="227" t="s">
        <v>87</v>
      </c>
      <c r="D346" s="227">
        <v>371</v>
      </c>
      <c r="E346" s="227">
        <v>346</v>
      </c>
      <c r="F346" s="227">
        <v>877</v>
      </c>
      <c r="G346" s="227">
        <v>0.28291087489779232</v>
      </c>
      <c r="H346" s="227">
        <v>0.71708912510220768</v>
      </c>
      <c r="I346" s="312" t="s">
        <v>110</v>
      </c>
      <c r="J346" s="29">
        <v>1</v>
      </c>
      <c r="K346" s="9">
        <v>1</v>
      </c>
      <c r="L346" s="9">
        <v>1</v>
      </c>
      <c r="M346" s="9">
        <v>2</v>
      </c>
      <c r="N346" s="43">
        <v>2</v>
      </c>
      <c r="O346" s="265">
        <f t="shared" si="6"/>
        <v>0.35859414261160716</v>
      </c>
      <c r="P346" s="164" t="s">
        <v>111</v>
      </c>
    </row>
    <row r="347" spans="1:16">
      <c r="A347" s="227">
        <v>2021</v>
      </c>
      <c r="B347" s="227">
        <v>9</v>
      </c>
      <c r="C347" s="227" t="s">
        <v>88</v>
      </c>
      <c r="D347" s="227">
        <v>35</v>
      </c>
      <c r="E347" s="227">
        <v>29</v>
      </c>
      <c r="F347" s="227">
        <v>15</v>
      </c>
      <c r="G347" s="227">
        <v>0.65909090909090906</v>
      </c>
      <c r="H347" s="227">
        <v>0.34090909090909088</v>
      </c>
      <c r="I347" s="312" t="s">
        <v>110</v>
      </c>
      <c r="J347" s="29">
        <v>1</v>
      </c>
      <c r="K347" s="9">
        <v>1</v>
      </c>
      <c r="L347" s="9">
        <v>1</v>
      </c>
      <c r="M347" s="9">
        <v>2</v>
      </c>
      <c r="N347" s="43">
        <v>2</v>
      </c>
      <c r="O347" s="265">
        <f t="shared" si="6"/>
        <v>0.35859414261160716</v>
      </c>
      <c r="P347" s="164" t="s">
        <v>111</v>
      </c>
    </row>
    <row r="348" spans="1:16">
      <c r="A348" s="227">
        <v>2021</v>
      </c>
      <c r="B348" s="227">
        <v>231</v>
      </c>
      <c r="C348" s="227" t="s">
        <v>89</v>
      </c>
      <c r="D348" s="227">
        <v>55</v>
      </c>
      <c r="E348" s="227">
        <v>286</v>
      </c>
      <c r="F348" s="227">
        <v>0</v>
      </c>
      <c r="G348" s="227">
        <v>1</v>
      </c>
      <c r="H348" s="227">
        <v>0</v>
      </c>
      <c r="I348" s="312" t="s">
        <v>110</v>
      </c>
      <c r="J348" s="29">
        <v>1</v>
      </c>
      <c r="K348" s="9">
        <v>1</v>
      </c>
      <c r="L348" s="9">
        <v>1</v>
      </c>
      <c r="M348" s="9">
        <v>2</v>
      </c>
      <c r="N348" s="43">
        <v>2</v>
      </c>
      <c r="O348" s="265">
        <f t="shared" si="6"/>
        <v>0.35859414261160716</v>
      </c>
      <c r="P348" s="164" t="s">
        <v>111</v>
      </c>
    </row>
    <row r="349" spans="1:16">
      <c r="A349" s="227">
        <v>2021</v>
      </c>
      <c r="B349" s="227">
        <v>610</v>
      </c>
      <c r="C349" s="227" t="s">
        <v>90</v>
      </c>
      <c r="D349" s="227">
        <v>198</v>
      </c>
      <c r="E349" s="227">
        <v>599</v>
      </c>
      <c r="F349" s="227">
        <v>209</v>
      </c>
      <c r="G349" s="227">
        <v>0.74133663366336633</v>
      </c>
      <c r="H349" s="227">
        <v>0.25866336633663373</v>
      </c>
      <c r="I349" s="312" t="s">
        <v>110</v>
      </c>
      <c r="J349" s="29">
        <v>1</v>
      </c>
      <c r="K349" s="9">
        <v>1</v>
      </c>
      <c r="L349" s="9">
        <v>1</v>
      </c>
      <c r="M349" s="9">
        <v>2</v>
      </c>
      <c r="N349" s="43">
        <v>2</v>
      </c>
      <c r="O349" s="265">
        <f t="shared" si="6"/>
        <v>0.35859414261160716</v>
      </c>
      <c r="P349" s="164" t="s">
        <v>111</v>
      </c>
    </row>
    <row r="350" spans="1:16">
      <c r="A350" s="227">
        <v>2021</v>
      </c>
      <c r="B350" s="227">
        <v>576</v>
      </c>
      <c r="C350" s="227" t="s">
        <v>91</v>
      </c>
      <c r="D350" s="227">
        <v>124</v>
      </c>
      <c r="E350" s="227">
        <v>700</v>
      </c>
      <c r="F350" s="227">
        <v>0</v>
      </c>
      <c r="G350" s="227">
        <v>1</v>
      </c>
      <c r="H350" s="227">
        <v>0</v>
      </c>
      <c r="I350" s="312" t="s">
        <v>110</v>
      </c>
      <c r="J350" s="29">
        <v>1</v>
      </c>
      <c r="K350" s="9">
        <v>1</v>
      </c>
      <c r="L350" s="9">
        <v>1</v>
      </c>
      <c r="M350" s="9">
        <v>2</v>
      </c>
      <c r="N350" s="43">
        <v>2</v>
      </c>
      <c r="O350" s="265">
        <f t="shared" si="6"/>
        <v>0.35859414261160716</v>
      </c>
      <c r="P350" s="164" t="s">
        <v>111</v>
      </c>
    </row>
    <row r="351" spans="1:16">
      <c r="A351" s="227">
        <v>2021</v>
      </c>
      <c r="B351" s="227">
        <v>210</v>
      </c>
      <c r="C351" s="227" t="s">
        <v>94</v>
      </c>
      <c r="D351" s="227">
        <v>18</v>
      </c>
      <c r="E351" s="227">
        <v>228</v>
      </c>
      <c r="F351" s="227">
        <v>0</v>
      </c>
      <c r="G351" s="227">
        <v>1</v>
      </c>
      <c r="H351" s="227">
        <v>0</v>
      </c>
      <c r="I351" s="312" t="s">
        <v>110</v>
      </c>
      <c r="J351" s="29">
        <v>1</v>
      </c>
      <c r="K351" s="9">
        <v>1</v>
      </c>
      <c r="L351" s="9">
        <v>1</v>
      </c>
      <c r="M351" s="9">
        <v>2</v>
      </c>
      <c r="N351" s="43">
        <v>2</v>
      </c>
      <c r="O351" s="265">
        <f t="shared" si="6"/>
        <v>0.35859414261160716</v>
      </c>
      <c r="P351" s="164" t="s">
        <v>111</v>
      </c>
    </row>
    <row r="352" spans="1:16">
      <c r="A352" s="227">
        <v>2021</v>
      </c>
      <c r="B352" s="227">
        <v>477</v>
      </c>
      <c r="C352" s="227" t="s">
        <v>96</v>
      </c>
      <c r="D352" s="227">
        <v>79</v>
      </c>
      <c r="E352" s="227">
        <v>268</v>
      </c>
      <c r="F352" s="227">
        <v>288</v>
      </c>
      <c r="G352" s="227">
        <v>0.48201438848920858</v>
      </c>
      <c r="H352" s="227">
        <v>0.51798561151079137</v>
      </c>
      <c r="I352" s="312" t="s">
        <v>110</v>
      </c>
      <c r="J352" s="29">
        <v>1</v>
      </c>
      <c r="K352" s="9">
        <v>1</v>
      </c>
      <c r="L352" s="9">
        <v>1</v>
      </c>
      <c r="M352" s="9">
        <v>2</v>
      </c>
      <c r="N352" s="43">
        <v>2</v>
      </c>
      <c r="O352" s="265">
        <f t="shared" si="6"/>
        <v>0.35859414261160716</v>
      </c>
      <c r="P352" s="164" t="s">
        <v>111</v>
      </c>
    </row>
    <row r="353" spans="1:16">
      <c r="A353" s="227">
        <v>2021</v>
      </c>
      <c r="B353" s="227">
        <v>184</v>
      </c>
      <c r="C353" s="227" t="s">
        <v>97</v>
      </c>
      <c r="D353" s="227">
        <v>243</v>
      </c>
      <c r="E353" s="227">
        <v>427</v>
      </c>
      <c r="F353" s="227">
        <v>0</v>
      </c>
      <c r="G353" s="227">
        <v>1</v>
      </c>
      <c r="H353" s="227">
        <v>0</v>
      </c>
      <c r="I353" s="312" t="s">
        <v>110</v>
      </c>
      <c r="J353" s="29">
        <v>1</v>
      </c>
      <c r="K353" s="9">
        <v>1</v>
      </c>
      <c r="L353" s="9">
        <v>1</v>
      </c>
      <c r="M353" s="9">
        <v>2</v>
      </c>
      <c r="N353" s="43">
        <v>2</v>
      </c>
      <c r="O353" s="265">
        <f t="shared" si="6"/>
        <v>0.35859414261160716</v>
      </c>
      <c r="P353" s="164" t="s">
        <v>111</v>
      </c>
    </row>
    <row r="354" spans="1:16">
      <c r="A354" s="227">
        <v>2021</v>
      </c>
      <c r="B354" s="227">
        <v>200</v>
      </c>
      <c r="C354" s="227" t="s">
        <v>95</v>
      </c>
      <c r="D354" s="227">
        <v>92</v>
      </c>
      <c r="E354" s="227">
        <v>254</v>
      </c>
      <c r="F354" s="227">
        <v>38</v>
      </c>
      <c r="G354" s="227">
        <v>0.86986301369863017</v>
      </c>
      <c r="H354" s="227">
        <v>0.1301369863013698</v>
      </c>
      <c r="I354" s="312" t="s">
        <v>110</v>
      </c>
      <c r="J354" s="29">
        <v>1</v>
      </c>
      <c r="K354" s="9">
        <v>1</v>
      </c>
      <c r="L354" s="9">
        <v>1</v>
      </c>
      <c r="M354" s="9">
        <v>2</v>
      </c>
      <c r="N354" s="43">
        <v>2</v>
      </c>
      <c r="O354" s="265">
        <f t="shared" si="6"/>
        <v>0.35859414261160716</v>
      </c>
      <c r="P354" s="164" t="s">
        <v>111</v>
      </c>
    </row>
    <row r="355" spans="1:16">
      <c r="A355" s="227">
        <v>2021</v>
      </c>
      <c r="B355" s="227">
        <v>82</v>
      </c>
      <c r="C355" s="227" t="s">
        <v>93</v>
      </c>
      <c r="D355" s="227">
        <v>50</v>
      </c>
      <c r="E355" s="227">
        <v>100</v>
      </c>
      <c r="F355" s="227">
        <v>32</v>
      </c>
      <c r="G355" s="227">
        <v>0.75757575757575757</v>
      </c>
      <c r="H355" s="227">
        <v>0.2424242424242424</v>
      </c>
      <c r="I355" s="312" t="s">
        <v>110</v>
      </c>
      <c r="J355" s="29">
        <v>1</v>
      </c>
      <c r="K355" s="9">
        <v>1</v>
      </c>
      <c r="L355" s="9">
        <v>1</v>
      </c>
      <c r="M355" s="9">
        <v>2</v>
      </c>
      <c r="N355" s="43">
        <v>2</v>
      </c>
      <c r="O355" s="265">
        <f t="shared" si="6"/>
        <v>0.35859414261160716</v>
      </c>
      <c r="P355" s="164" t="s">
        <v>111</v>
      </c>
    </row>
    <row r="356" spans="1:16">
      <c r="A356" s="227">
        <v>2021</v>
      </c>
      <c r="B356" s="227">
        <v>2480</v>
      </c>
      <c r="C356" s="227" t="s">
        <v>98</v>
      </c>
      <c r="D356" s="227">
        <v>1446</v>
      </c>
      <c r="E356" s="227">
        <v>3926</v>
      </c>
      <c r="F356" s="227">
        <v>0</v>
      </c>
      <c r="G356" s="227">
        <v>1</v>
      </c>
      <c r="H356" s="227">
        <v>0</v>
      </c>
      <c r="I356" s="312" t="s">
        <v>110</v>
      </c>
      <c r="J356" s="29">
        <v>1</v>
      </c>
      <c r="K356" s="9">
        <v>1</v>
      </c>
      <c r="L356" s="9">
        <v>1</v>
      </c>
      <c r="M356" s="9">
        <v>2</v>
      </c>
      <c r="N356" s="43">
        <v>2</v>
      </c>
      <c r="O356" s="265">
        <f t="shared" si="6"/>
        <v>0.35859414261160716</v>
      </c>
      <c r="P356" s="164" t="s">
        <v>111</v>
      </c>
    </row>
    <row r="358" spans="1:16" s="1006" customFormat="1">
      <c r="A358" s="1011" t="s">
        <v>15</v>
      </c>
    </row>
    <row r="359" spans="1:16" s="1006" customFormat="1" ht="15.75" thickBot="1"/>
    <row r="360" spans="1:16" ht="15.75" thickBot="1">
      <c r="A360" s="65" t="s">
        <v>129</v>
      </c>
      <c r="B360" s="107" t="s">
        <v>130</v>
      </c>
      <c r="C360" s="108" t="s">
        <v>131</v>
      </c>
      <c r="D360" s="109" t="s">
        <v>102</v>
      </c>
      <c r="E360" s="229" t="s">
        <v>132</v>
      </c>
      <c r="F360" s="108" t="s">
        <v>133</v>
      </c>
      <c r="G360" s="110" t="s">
        <v>104</v>
      </c>
      <c r="H360" s="111" t="s">
        <v>134</v>
      </c>
      <c r="I360" s="112" t="s">
        <v>135</v>
      </c>
      <c r="J360" s="112" t="s">
        <v>65</v>
      </c>
      <c r="K360" s="112" t="s">
        <v>67</v>
      </c>
      <c r="L360" s="112" t="s">
        <v>73</v>
      </c>
      <c r="M360" s="113" t="s">
        <v>79</v>
      </c>
      <c r="N360" s="114" t="s">
        <v>136</v>
      </c>
      <c r="O360" s="114" t="s">
        <v>137</v>
      </c>
      <c r="P360" s="115" t="s">
        <v>123</v>
      </c>
    </row>
    <row r="361" spans="1:16" ht="15.75" thickBot="1">
      <c r="A361" s="151" t="s">
        <v>109</v>
      </c>
      <c r="B361" s="33" t="s">
        <v>256</v>
      </c>
      <c r="C361" s="39" t="s">
        <v>139</v>
      </c>
      <c r="D361" s="33" t="s">
        <v>139</v>
      </c>
      <c r="E361" s="259" t="s">
        <v>150</v>
      </c>
      <c r="F361" s="33">
        <v>1</v>
      </c>
      <c r="G361" s="39"/>
      <c r="H361" s="253">
        <v>1</v>
      </c>
      <c r="I361" s="13"/>
      <c r="J361" s="13">
        <v>1</v>
      </c>
      <c r="K361" s="13">
        <v>1</v>
      </c>
      <c r="L361" s="13">
        <v>2</v>
      </c>
      <c r="M361" s="297">
        <v>2</v>
      </c>
      <c r="N361" s="431">
        <v>0.35859414261160716</v>
      </c>
      <c r="O361" s="504" t="s">
        <v>249</v>
      </c>
      <c r="P361" s="351"/>
    </row>
    <row r="362" spans="1:16" ht="15.75" thickBot="1">
      <c r="A362" s="231" t="s">
        <v>114</v>
      </c>
      <c r="B362" s="166" t="s">
        <v>256</v>
      </c>
      <c r="C362" s="167" t="s">
        <v>139</v>
      </c>
      <c r="D362" s="166" t="s">
        <v>139</v>
      </c>
      <c r="E362" s="296">
        <v>1</v>
      </c>
      <c r="F362" s="166">
        <v>1</v>
      </c>
      <c r="G362" s="167"/>
      <c r="H362" s="256">
        <v>1</v>
      </c>
      <c r="I362" s="70"/>
      <c r="J362" s="70">
        <v>1</v>
      </c>
      <c r="K362" s="70">
        <v>1</v>
      </c>
      <c r="L362" s="70">
        <v>2</v>
      </c>
      <c r="M362" s="290">
        <v>2</v>
      </c>
      <c r="N362" s="411">
        <v>0.35859414261160716</v>
      </c>
      <c r="O362" s="504" t="s">
        <v>249</v>
      </c>
      <c r="P362" s="356"/>
    </row>
    <row r="363" spans="1:16" ht="15.75" thickBot="1">
      <c r="A363" s="233" t="s">
        <v>259</v>
      </c>
      <c r="B363" s="60" t="s">
        <v>260</v>
      </c>
      <c r="C363" s="162" t="s">
        <v>139</v>
      </c>
      <c r="D363" s="60" t="s">
        <v>139</v>
      </c>
      <c r="E363" s="263" t="s">
        <v>150</v>
      </c>
      <c r="F363" s="60">
        <v>1</v>
      </c>
      <c r="G363" s="162"/>
      <c r="H363" s="254"/>
      <c r="I363" s="66"/>
      <c r="J363" s="66"/>
      <c r="K363" s="66"/>
      <c r="L363" s="66"/>
      <c r="M363" s="300"/>
      <c r="N363" s="411" t="s">
        <v>249</v>
      </c>
      <c r="O363" s="504" t="s">
        <v>249</v>
      </c>
      <c r="P363" s="232"/>
    </row>
    <row r="364" spans="1:16" ht="15.75" thickBot="1">
      <c r="A364" s="231" t="s">
        <v>261</v>
      </c>
      <c r="B364" s="166" t="s">
        <v>254</v>
      </c>
      <c r="C364" s="167" t="s">
        <v>139</v>
      </c>
      <c r="D364" s="166" t="s">
        <v>139</v>
      </c>
      <c r="E364" s="296">
        <v>1</v>
      </c>
      <c r="F364" s="166">
        <v>2</v>
      </c>
      <c r="G364" s="167"/>
      <c r="H364" s="251">
        <v>2</v>
      </c>
      <c r="I364" s="15">
        <v>2</v>
      </c>
      <c r="J364" s="15">
        <v>2</v>
      </c>
      <c r="K364" s="15">
        <v>3</v>
      </c>
      <c r="L364" s="15">
        <v>3</v>
      </c>
      <c r="M364" s="301">
        <v>2</v>
      </c>
      <c r="N364" s="411">
        <v>0.60108474454521421</v>
      </c>
      <c r="O364" s="504">
        <v>0.60108474454521421</v>
      </c>
      <c r="P364" s="356"/>
    </row>
    <row r="365" spans="1:16" ht="15.75" thickBot="1">
      <c r="A365" s="233" t="s">
        <v>262</v>
      </c>
      <c r="B365" s="60" t="s">
        <v>258</v>
      </c>
      <c r="C365" s="162" t="s">
        <v>139</v>
      </c>
      <c r="D365" s="60" t="s">
        <v>139</v>
      </c>
      <c r="E365" s="263">
        <v>0.25</v>
      </c>
      <c r="F365" s="60">
        <v>2</v>
      </c>
      <c r="G365" s="162" t="s">
        <v>263</v>
      </c>
      <c r="H365" s="254">
        <v>2</v>
      </c>
      <c r="I365" s="66">
        <v>2</v>
      </c>
      <c r="J365" s="66">
        <v>3</v>
      </c>
      <c r="K365" s="66">
        <v>3</v>
      </c>
      <c r="L365" s="66">
        <v>2</v>
      </c>
      <c r="M365" s="300">
        <v>3</v>
      </c>
      <c r="N365" s="411">
        <v>1.1278755061256258</v>
      </c>
      <c r="O365" s="504">
        <v>1.1278755061256258</v>
      </c>
      <c r="P365" s="232"/>
    </row>
    <row r="366" spans="1:16" ht="15.75" thickBot="1">
      <c r="A366" s="230" t="s">
        <v>262</v>
      </c>
      <c r="B366" s="150" t="s">
        <v>251</v>
      </c>
      <c r="C366" s="154" t="s">
        <v>139</v>
      </c>
      <c r="D366" s="230" t="s">
        <v>139</v>
      </c>
      <c r="E366" s="241">
        <v>0.75</v>
      </c>
      <c r="F366" s="150">
        <v>2</v>
      </c>
      <c r="G366" s="154" t="s">
        <v>263</v>
      </c>
      <c r="H366" s="251">
        <v>2</v>
      </c>
      <c r="I366" s="15">
        <v>2</v>
      </c>
      <c r="J366" s="15">
        <v>3</v>
      </c>
      <c r="K366" s="15">
        <v>3</v>
      </c>
      <c r="L366" s="15">
        <v>2</v>
      </c>
      <c r="M366" s="301">
        <v>3</v>
      </c>
      <c r="N366" s="430">
        <v>1.1278755061256258</v>
      </c>
      <c r="O366" s="513">
        <v>1.1278755061256258</v>
      </c>
      <c r="P366" s="512"/>
    </row>
    <row r="367" spans="1:16" ht="15.75" thickBot="1">
      <c r="A367" s="153" t="s">
        <v>256</v>
      </c>
      <c r="B367" s="35" t="s">
        <v>259</v>
      </c>
      <c r="C367" s="41" t="s">
        <v>139</v>
      </c>
      <c r="D367" s="35" t="s">
        <v>139</v>
      </c>
      <c r="E367" s="261" t="s">
        <v>150</v>
      </c>
      <c r="F367" s="35">
        <v>1</v>
      </c>
      <c r="G367" s="41"/>
      <c r="H367" s="255"/>
      <c r="I367" s="14"/>
      <c r="J367" s="14"/>
      <c r="K367" s="14"/>
      <c r="L367" s="14"/>
      <c r="M367" s="299"/>
      <c r="N367" s="434" t="str">
        <f t="shared" ref="N367:N381" si="7">IF( OR( ISBLANK(H367),ISBLANK(J367), ISBLANK(K367), ISBLANK(L367), ISBLANK(M367) ), "", 1.5*SQRT(   EXP(2.21*(H367-1)) + EXP(2.21*(J367-1)) + EXP(2.21*(K367-1)) + EXP(2.21*(L367-1)) + EXP(2.21*M367)   )/100*2.45 )</f>
        <v/>
      </c>
      <c r="O367" s="505" t="str">
        <f>IF( OR( ISBLANK(I367),ISBLANK(J367), ISBLANK(K367), ISBLANK(L367), ISBLANK(M367) ), "", 1.5*SQRT( EXP(2.21*(I367-1)) + EXP(2.21*(J367-1)) + EXP(2.21*(K367-1)) + EXP(2.21*(L367-1)) + EXP(2.21*M367)   )/100*2.45 )</f>
        <v/>
      </c>
      <c r="P367" s="62"/>
    </row>
    <row r="368" spans="1:16">
      <c r="A368" s="665" t="s">
        <v>256</v>
      </c>
      <c r="B368" s="77" t="s">
        <v>267</v>
      </c>
      <c r="C368" s="326" t="s">
        <v>180</v>
      </c>
      <c r="D368" s="77" t="s">
        <v>85</v>
      </c>
      <c r="E368" s="666">
        <v>0.89414414414414412</v>
      </c>
      <c r="F368" s="232">
        <v>1</v>
      </c>
      <c r="G368" t="s">
        <v>532</v>
      </c>
      <c r="H368" s="254">
        <v>1</v>
      </c>
      <c r="I368" s="671"/>
      <c r="J368" s="66">
        <v>1</v>
      </c>
      <c r="K368" s="66">
        <v>1</v>
      </c>
      <c r="L368" s="66">
        <v>2</v>
      </c>
      <c r="M368" s="66">
        <v>2</v>
      </c>
      <c r="N368" s="445">
        <f t="shared" si="7"/>
        <v>0.35859414261160716</v>
      </c>
      <c r="O368" s="667"/>
      <c r="P368" s="634" t="s">
        <v>533</v>
      </c>
    </row>
    <row r="369" spans="1:19">
      <c r="A369" s="97" t="s">
        <v>256</v>
      </c>
      <c r="B369" s="68" t="s">
        <v>267</v>
      </c>
      <c r="C369" s="312" t="s">
        <v>180</v>
      </c>
      <c r="D369" s="68" t="s">
        <v>86</v>
      </c>
      <c r="E369" s="664">
        <v>0.84514925373134331</v>
      </c>
      <c r="F369" s="63">
        <v>1</v>
      </c>
      <c r="G369" t="s">
        <v>532</v>
      </c>
      <c r="H369" s="252">
        <v>1</v>
      </c>
      <c r="I369" s="672"/>
      <c r="J369" s="10">
        <v>1</v>
      </c>
      <c r="K369" s="10">
        <v>1</v>
      </c>
      <c r="L369" s="10">
        <v>2</v>
      </c>
      <c r="M369" s="10">
        <v>2</v>
      </c>
      <c r="N369" s="411">
        <f t="shared" si="7"/>
        <v>0.35859414261160716</v>
      </c>
      <c r="O369" s="509"/>
      <c r="P369" s="100" t="s">
        <v>533</v>
      </c>
    </row>
    <row r="370" spans="1:19">
      <c r="A370" s="97" t="s">
        <v>256</v>
      </c>
      <c r="B370" s="68" t="s">
        <v>267</v>
      </c>
      <c r="C370" s="312" t="s">
        <v>180</v>
      </c>
      <c r="D370" s="68" t="s">
        <v>87</v>
      </c>
      <c r="E370" s="664">
        <v>0.2164781906300485</v>
      </c>
      <c r="F370" s="63">
        <v>1</v>
      </c>
      <c r="G370" t="s">
        <v>532</v>
      </c>
      <c r="H370" s="252">
        <v>1</v>
      </c>
      <c r="I370" s="672"/>
      <c r="J370" s="10">
        <v>1</v>
      </c>
      <c r="K370" s="10">
        <v>1</v>
      </c>
      <c r="L370" s="10">
        <v>2</v>
      </c>
      <c r="M370" s="10">
        <v>2</v>
      </c>
      <c r="N370" s="411">
        <f t="shared" si="7"/>
        <v>0.35859414261160716</v>
      </c>
      <c r="O370" s="509"/>
      <c r="P370" s="100" t="s">
        <v>533</v>
      </c>
    </row>
    <row r="371" spans="1:19">
      <c r="A371" s="97" t="s">
        <v>256</v>
      </c>
      <c r="B371" s="68" t="s">
        <v>267</v>
      </c>
      <c r="C371" s="312" t="s">
        <v>180</v>
      </c>
      <c r="D371" s="68" t="s">
        <v>88</v>
      </c>
      <c r="E371" s="664">
        <v>0.14782608695652169</v>
      </c>
      <c r="F371" s="63">
        <v>1</v>
      </c>
      <c r="G371" t="s">
        <v>532</v>
      </c>
      <c r="H371" s="252">
        <v>1</v>
      </c>
      <c r="I371" s="672"/>
      <c r="J371" s="10">
        <v>1</v>
      </c>
      <c r="K371" s="10">
        <v>1</v>
      </c>
      <c r="L371" s="10">
        <v>2</v>
      </c>
      <c r="M371" s="10">
        <v>2</v>
      </c>
      <c r="N371" s="411">
        <f t="shared" si="7"/>
        <v>0.35859414261160716</v>
      </c>
      <c r="O371" s="509"/>
      <c r="P371" s="100" t="s">
        <v>533</v>
      </c>
    </row>
    <row r="372" spans="1:19">
      <c r="A372" s="97" t="s">
        <v>256</v>
      </c>
      <c r="B372" s="68" t="s">
        <v>267</v>
      </c>
      <c r="C372" s="312" t="s">
        <v>180</v>
      </c>
      <c r="D372" s="68" t="s">
        <v>89</v>
      </c>
      <c r="E372" s="664">
        <v>0.66574585635359118</v>
      </c>
      <c r="F372" s="63">
        <v>1</v>
      </c>
      <c r="G372" t="s">
        <v>532</v>
      </c>
      <c r="H372" s="252">
        <v>1</v>
      </c>
      <c r="I372" s="672"/>
      <c r="J372" s="10">
        <v>1</v>
      </c>
      <c r="K372" s="10">
        <v>1</v>
      </c>
      <c r="L372" s="10">
        <v>2</v>
      </c>
      <c r="M372" s="10">
        <v>2</v>
      </c>
      <c r="N372" s="411">
        <f t="shared" si="7"/>
        <v>0.35859414261160716</v>
      </c>
      <c r="O372" s="509"/>
      <c r="P372" s="100" t="s">
        <v>533</v>
      </c>
      <c r="S372">
        <f>(14810.17/75907000)*100</f>
        <v>1.9510941019932285E-2</v>
      </c>
    </row>
    <row r="373" spans="1:19">
      <c r="A373" s="97" t="s">
        <v>256</v>
      </c>
      <c r="B373" s="68" t="s">
        <v>267</v>
      </c>
      <c r="C373" s="312" t="s">
        <v>180</v>
      </c>
      <c r="D373" s="68" t="s">
        <v>90</v>
      </c>
      <c r="E373" s="664">
        <v>0.85006045949214026</v>
      </c>
      <c r="F373" s="63">
        <v>1</v>
      </c>
      <c r="G373" t="s">
        <v>532</v>
      </c>
      <c r="H373" s="252">
        <v>1</v>
      </c>
      <c r="I373" s="672"/>
      <c r="J373" s="10">
        <v>1</v>
      </c>
      <c r="K373" s="10">
        <v>1</v>
      </c>
      <c r="L373" s="10">
        <v>2</v>
      </c>
      <c r="M373" s="10">
        <v>2</v>
      </c>
      <c r="N373" s="411">
        <f t="shared" si="7"/>
        <v>0.35859414261160716</v>
      </c>
      <c r="O373" s="509"/>
      <c r="P373" s="100" t="s">
        <v>533</v>
      </c>
    </row>
    <row r="374" spans="1:19">
      <c r="A374" s="97" t="s">
        <v>256</v>
      </c>
      <c r="B374" s="68" t="s">
        <v>267</v>
      </c>
      <c r="C374" s="312" t="s">
        <v>180</v>
      </c>
      <c r="D374" s="68" t="s">
        <v>91</v>
      </c>
      <c r="E374" s="664">
        <v>1</v>
      </c>
      <c r="F374" s="63">
        <v>1</v>
      </c>
      <c r="G374" t="s">
        <v>532</v>
      </c>
      <c r="H374" s="252">
        <v>1</v>
      </c>
      <c r="I374" s="672"/>
      <c r="J374" s="10">
        <v>1</v>
      </c>
      <c r="K374" s="10">
        <v>1</v>
      </c>
      <c r="L374" s="10">
        <v>2</v>
      </c>
      <c r="M374" s="10">
        <v>2</v>
      </c>
      <c r="N374" s="411">
        <f t="shared" si="7"/>
        <v>0.35859414261160716</v>
      </c>
      <c r="O374" s="509"/>
      <c r="P374" s="100" t="s">
        <v>533</v>
      </c>
    </row>
    <row r="375" spans="1:19">
      <c r="A375" s="97" t="s">
        <v>256</v>
      </c>
      <c r="B375" s="68" t="s">
        <v>267</v>
      </c>
      <c r="C375" s="312" t="s">
        <v>180</v>
      </c>
      <c r="D375" s="68" t="s">
        <v>94</v>
      </c>
      <c r="E375" s="664">
        <v>1</v>
      </c>
      <c r="F375" s="63">
        <v>1</v>
      </c>
      <c r="G375" t="s">
        <v>532</v>
      </c>
      <c r="H375" s="252">
        <v>1</v>
      </c>
      <c r="I375" s="672"/>
      <c r="J375" s="10">
        <v>1</v>
      </c>
      <c r="K375" s="10">
        <v>1</v>
      </c>
      <c r="L375" s="10">
        <v>2</v>
      </c>
      <c r="M375" s="10">
        <v>2</v>
      </c>
      <c r="N375" s="411">
        <f t="shared" si="7"/>
        <v>0.35859414261160716</v>
      </c>
      <c r="O375" s="509"/>
      <c r="P375" s="100" t="s">
        <v>533</v>
      </c>
    </row>
    <row r="376" spans="1:19">
      <c r="A376" s="97" t="s">
        <v>256</v>
      </c>
      <c r="B376" s="68" t="s">
        <v>267</v>
      </c>
      <c r="C376" s="312" t="s">
        <v>180</v>
      </c>
      <c r="D376" s="68" t="s">
        <v>96</v>
      </c>
      <c r="E376" s="664">
        <v>0.43243243243243251</v>
      </c>
      <c r="F376" s="63">
        <v>1</v>
      </c>
      <c r="G376" t="s">
        <v>532</v>
      </c>
      <c r="H376" s="252">
        <v>1</v>
      </c>
      <c r="I376" s="672"/>
      <c r="J376" s="10">
        <v>1</v>
      </c>
      <c r="K376" s="10">
        <v>1</v>
      </c>
      <c r="L376" s="10">
        <v>2</v>
      </c>
      <c r="M376" s="10">
        <v>2</v>
      </c>
      <c r="N376" s="411">
        <f t="shared" si="7"/>
        <v>0.35859414261160716</v>
      </c>
      <c r="O376" s="509"/>
      <c r="P376" s="100" t="s">
        <v>533</v>
      </c>
    </row>
    <row r="377" spans="1:19">
      <c r="A377" s="97" t="s">
        <v>256</v>
      </c>
      <c r="B377" s="68" t="s">
        <v>267</v>
      </c>
      <c r="C377" s="312" t="s">
        <v>180</v>
      </c>
      <c r="D377" s="68" t="s">
        <v>97</v>
      </c>
      <c r="E377" s="664">
        <v>0.66998341625207292</v>
      </c>
      <c r="F377" s="63">
        <v>1</v>
      </c>
      <c r="G377" t="s">
        <v>532</v>
      </c>
      <c r="H377" s="252">
        <v>1</v>
      </c>
      <c r="I377" s="672"/>
      <c r="J377" s="10">
        <v>1</v>
      </c>
      <c r="K377" s="10">
        <v>1</v>
      </c>
      <c r="L377" s="10">
        <v>2</v>
      </c>
      <c r="M377" s="10">
        <v>2</v>
      </c>
      <c r="N377" s="411">
        <f t="shared" si="7"/>
        <v>0.35859414261160716</v>
      </c>
      <c r="O377" s="509"/>
      <c r="P377" s="100" t="s">
        <v>533</v>
      </c>
    </row>
    <row r="378" spans="1:19">
      <c r="A378" s="97" t="s">
        <v>256</v>
      </c>
      <c r="B378" s="68" t="s">
        <v>267</v>
      </c>
      <c r="C378" s="312" t="s">
        <v>180</v>
      </c>
      <c r="D378" s="68" t="s">
        <v>95</v>
      </c>
      <c r="E378" s="664">
        <v>1</v>
      </c>
      <c r="F378" s="63">
        <v>1</v>
      </c>
      <c r="G378" t="s">
        <v>532</v>
      </c>
      <c r="H378" s="252">
        <v>1</v>
      </c>
      <c r="I378" s="672"/>
      <c r="J378" s="10">
        <v>1</v>
      </c>
      <c r="K378" s="10">
        <v>1</v>
      </c>
      <c r="L378" s="10">
        <v>2</v>
      </c>
      <c r="M378" s="10">
        <v>2</v>
      </c>
      <c r="N378" s="411">
        <f t="shared" si="7"/>
        <v>0.35859414261160716</v>
      </c>
      <c r="O378" s="509"/>
      <c r="P378" s="100" t="s">
        <v>533</v>
      </c>
    </row>
    <row r="379" spans="1:19">
      <c r="A379" s="97" t="s">
        <v>256</v>
      </c>
      <c r="B379" s="68" t="s">
        <v>267</v>
      </c>
      <c r="C379" s="312" t="s">
        <v>180</v>
      </c>
      <c r="D379" s="68" t="s">
        <v>93</v>
      </c>
      <c r="E379" s="664">
        <v>0.67391304347826086</v>
      </c>
      <c r="F379" s="63">
        <v>1</v>
      </c>
      <c r="G379" t="s">
        <v>532</v>
      </c>
      <c r="H379" s="252">
        <v>1</v>
      </c>
      <c r="I379" s="672"/>
      <c r="J379" s="10">
        <v>1</v>
      </c>
      <c r="K379" s="10">
        <v>1</v>
      </c>
      <c r="L379" s="10">
        <v>2</v>
      </c>
      <c r="M379" s="10">
        <v>2</v>
      </c>
      <c r="N379" s="411">
        <f t="shared" si="7"/>
        <v>0.35859414261160716</v>
      </c>
      <c r="O379" s="509"/>
      <c r="P379" s="100" t="s">
        <v>533</v>
      </c>
    </row>
    <row r="380" spans="1:19">
      <c r="A380" s="97" t="s">
        <v>256</v>
      </c>
      <c r="B380" s="68" t="s">
        <v>267</v>
      </c>
      <c r="C380" s="312" t="s">
        <v>180</v>
      </c>
      <c r="D380" s="68" t="s">
        <v>98</v>
      </c>
      <c r="E380" s="664">
        <v>1</v>
      </c>
      <c r="F380" s="63">
        <v>1</v>
      </c>
      <c r="G380" t="s">
        <v>532</v>
      </c>
      <c r="H380" s="252">
        <v>1</v>
      </c>
      <c r="I380" s="672"/>
      <c r="J380" s="10">
        <v>1</v>
      </c>
      <c r="K380" s="10">
        <v>1</v>
      </c>
      <c r="L380" s="10">
        <v>2</v>
      </c>
      <c r="M380" s="10">
        <v>2</v>
      </c>
      <c r="N380" s="411">
        <f t="shared" si="7"/>
        <v>0.35859414261160716</v>
      </c>
      <c r="O380" s="509"/>
      <c r="P380" s="100" t="s">
        <v>533</v>
      </c>
    </row>
    <row r="381" spans="1:19">
      <c r="A381" s="97" t="s">
        <v>256</v>
      </c>
      <c r="B381" s="68" t="s">
        <v>267</v>
      </c>
      <c r="C381" s="312" t="s">
        <v>182</v>
      </c>
      <c r="D381" s="68" t="s">
        <v>85</v>
      </c>
      <c r="E381" s="664">
        <v>0.15660919540229881</v>
      </c>
      <c r="F381" s="34">
        <v>1</v>
      </c>
      <c r="G381" t="s">
        <v>532</v>
      </c>
      <c r="H381" s="252">
        <v>1</v>
      </c>
      <c r="I381" s="670"/>
      <c r="J381" s="10">
        <v>1</v>
      </c>
      <c r="K381" s="10">
        <v>1</v>
      </c>
      <c r="L381" s="10">
        <v>2</v>
      </c>
      <c r="M381" s="10">
        <v>2</v>
      </c>
      <c r="N381" s="411">
        <f t="shared" si="7"/>
        <v>0.35859414261160716</v>
      </c>
      <c r="O381" s="509"/>
      <c r="P381" s="100" t="s">
        <v>533</v>
      </c>
    </row>
    <row r="382" spans="1:19">
      <c r="A382" s="97" t="s">
        <v>256</v>
      </c>
      <c r="B382" s="68" t="s">
        <v>267</v>
      </c>
      <c r="C382" s="312" t="s">
        <v>182</v>
      </c>
      <c r="D382" s="68" t="s">
        <v>86</v>
      </c>
      <c r="E382" s="664">
        <v>0.1689198415949747</v>
      </c>
      <c r="F382" s="34">
        <v>1</v>
      </c>
      <c r="G382" t="s">
        <v>532</v>
      </c>
      <c r="I382" s="252">
        <v>1</v>
      </c>
      <c r="J382" s="10">
        <v>1</v>
      </c>
      <c r="K382" s="10">
        <v>1</v>
      </c>
      <c r="L382" s="10">
        <v>2</v>
      </c>
      <c r="M382" s="10">
        <v>2</v>
      </c>
      <c r="N382" s="411">
        <f t="shared" ref="N382:N393" si="8">IF( OR( ISBLANK(I382),ISBLANK(J382), ISBLANK(K382), ISBLANK(L382), ISBLANK(M382) ), "", 1.5*SQRT(   EXP(2.21*(I382-1)) + EXP(2.21*(J382-1)) + EXP(2.21*(K382-1)) + EXP(2.21*(L382-1)) + EXP(2.21*M382)   )/100*2.45 )</f>
        <v>0.35859414261160716</v>
      </c>
      <c r="O382" s="509"/>
      <c r="P382" s="100" t="s">
        <v>533</v>
      </c>
    </row>
    <row r="383" spans="1:19">
      <c r="A383" s="97" t="s">
        <v>256</v>
      </c>
      <c r="B383" s="68" t="s">
        <v>267</v>
      </c>
      <c r="C383" s="312" t="s">
        <v>182</v>
      </c>
      <c r="D383" s="68" t="s">
        <v>87</v>
      </c>
      <c r="E383" s="664">
        <v>9.9585062240663894E-2</v>
      </c>
      <c r="F383" s="34">
        <v>1</v>
      </c>
      <c r="G383" t="s">
        <v>532</v>
      </c>
      <c r="I383" s="252">
        <v>1</v>
      </c>
      <c r="J383" s="10">
        <v>1</v>
      </c>
      <c r="K383" s="10">
        <v>1</v>
      </c>
      <c r="L383" s="10">
        <v>2</v>
      </c>
      <c r="M383" s="10">
        <v>2</v>
      </c>
      <c r="N383" s="411">
        <f t="shared" si="8"/>
        <v>0.35859414261160716</v>
      </c>
      <c r="O383" s="509"/>
      <c r="P383" s="100" t="s">
        <v>533</v>
      </c>
    </row>
    <row r="384" spans="1:19">
      <c r="A384" s="97" t="s">
        <v>256</v>
      </c>
      <c r="B384" s="68" t="s">
        <v>267</v>
      </c>
      <c r="C384" s="312" t="s">
        <v>182</v>
      </c>
      <c r="D384" s="68" t="s">
        <v>88</v>
      </c>
      <c r="E384" s="664">
        <v>0.16331787738279241</v>
      </c>
      <c r="F384" s="34">
        <v>1</v>
      </c>
      <c r="G384" t="s">
        <v>532</v>
      </c>
      <c r="I384" s="252">
        <v>1</v>
      </c>
      <c r="J384" s="10">
        <v>1</v>
      </c>
      <c r="K384" s="10">
        <v>1</v>
      </c>
      <c r="L384" s="10">
        <v>2</v>
      </c>
      <c r="M384" s="10">
        <v>2</v>
      </c>
      <c r="N384" s="411">
        <f t="shared" si="8"/>
        <v>0.35859414261160716</v>
      </c>
      <c r="O384" s="509"/>
      <c r="P384" s="100" t="s">
        <v>533</v>
      </c>
    </row>
    <row r="385" spans="1:16">
      <c r="A385" s="97" t="s">
        <v>256</v>
      </c>
      <c r="B385" s="68" t="s">
        <v>267</v>
      </c>
      <c r="C385" s="312" t="s">
        <v>182</v>
      </c>
      <c r="D385" s="68" t="s">
        <v>89</v>
      </c>
      <c r="E385" s="664">
        <v>4.9733570159857902E-2</v>
      </c>
      <c r="F385" s="34">
        <v>1</v>
      </c>
      <c r="G385" t="s">
        <v>532</v>
      </c>
      <c r="I385" s="252">
        <v>1</v>
      </c>
      <c r="J385" s="10">
        <v>1</v>
      </c>
      <c r="K385" s="10">
        <v>1</v>
      </c>
      <c r="L385" s="10">
        <v>2</v>
      </c>
      <c r="M385" s="10">
        <v>2</v>
      </c>
      <c r="N385" s="411">
        <f t="shared" si="8"/>
        <v>0.35859414261160716</v>
      </c>
      <c r="O385" s="509"/>
      <c r="P385" s="100" t="s">
        <v>533</v>
      </c>
    </row>
    <row r="386" spans="1:16">
      <c r="A386" s="97" t="s">
        <v>256</v>
      </c>
      <c r="B386" s="68" t="s">
        <v>267</v>
      </c>
      <c r="C386" s="312" t="s">
        <v>182</v>
      </c>
      <c r="D386" s="68" t="s">
        <v>90</v>
      </c>
      <c r="E386" s="664">
        <v>0.225984796129924</v>
      </c>
      <c r="F386" s="34">
        <v>1</v>
      </c>
      <c r="G386" t="s">
        <v>532</v>
      </c>
      <c r="I386" s="252">
        <v>1</v>
      </c>
      <c r="J386" s="10">
        <v>1</v>
      </c>
      <c r="K386" s="10">
        <v>1</v>
      </c>
      <c r="L386" s="10">
        <v>2</v>
      </c>
      <c r="M386" s="10">
        <v>2</v>
      </c>
      <c r="N386" s="411">
        <f t="shared" si="8"/>
        <v>0.35859414261160716</v>
      </c>
      <c r="O386" s="509"/>
      <c r="P386" s="100" t="s">
        <v>533</v>
      </c>
    </row>
    <row r="387" spans="1:16">
      <c r="A387" s="97" t="s">
        <v>256</v>
      </c>
      <c r="B387" s="68" t="s">
        <v>267</v>
      </c>
      <c r="C387" s="312" t="s">
        <v>182</v>
      </c>
      <c r="D387" s="68" t="s">
        <v>91</v>
      </c>
      <c r="E387" s="664">
        <v>9.5582536812193225E-2</v>
      </c>
      <c r="F387" s="34">
        <v>1</v>
      </c>
      <c r="G387" t="s">
        <v>532</v>
      </c>
      <c r="I387" s="252">
        <v>1</v>
      </c>
      <c r="J387" s="10">
        <v>1</v>
      </c>
      <c r="K387" s="10">
        <v>1</v>
      </c>
      <c r="L387" s="10">
        <v>2</v>
      </c>
      <c r="M387" s="10">
        <v>2</v>
      </c>
      <c r="N387" s="411">
        <f t="shared" si="8"/>
        <v>0.35859414261160716</v>
      </c>
      <c r="O387" s="509"/>
      <c r="P387" s="100" t="s">
        <v>533</v>
      </c>
    </row>
    <row r="388" spans="1:16">
      <c r="A388" s="97" t="s">
        <v>256</v>
      </c>
      <c r="B388" s="68" t="s">
        <v>267</v>
      </c>
      <c r="C388" s="312" t="s">
        <v>182</v>
      </c>
      <c r="D388" s="68" t="s">
        <v>94</v>
      </c>
      <c r="E388" s="664">
        <v>0.24492099322799099</v>
      </c>
      <c r="F388" s="34">
        <v>1</v>
      </c>
      <c r="G388" t="s">
        <v>532</v>
      </c>
      <c r="I388" s="252">
        <v>1</v>
      </c>
      <c r="J388" s="10">
        <v>1</v>
      </c>
      <c r="K388" s="10">
        <v>1</v>
      </c>
      <c r="L388" s="10">
        <v>2</v>
      </c>
      <c r="M388" s="10">
        <v>2</v>
      </c>
      <c r="N388" s="411">
        <f t="shared" si="8"/>
        <v>0.35859414261160716</v>
      </c>
      <c r="O388" s="509"/>
      <c r="P388" s="100" t="s">
        <v>533</v>
      </c>
    </row>
    <row r="389" spans="1:16">
      <c r="A389" s="97" t="s">
        <v>256</v>
      </c>
      <c r="B389" s="68" t="s">
        <v>267</v>
      </c>
      <c r="C389" s="312" t="s">
        <v>182</v>
      </c>
      <c r="D389" s="68" t="s">
        <v>96</v>
      </c>
      <c r="E389" s="664">
        <v>0.19953775038520799</v>
      </c>
      <c r="F389" s="34">
        <v>1</v>
      </c>
      <c r="G389" t="s">
        <v>532</v>
      </c>
      <c r="I389" s="252">
        <v>1</v>
      </c>
      <c r="J389" s="10">
        <v>1</v>
      </c>
      <c r="K389" s="10">
        <v>1</v>
      </c>
      <c r="L389" s="10">
        <v>2</v>
      </c>
      <c r="M389" s="10">
        <v>2</v>
      </c>
      <c r="N389" s="411">
        <f t="shared" si="8"/>
        <v>0.35859414261160716</v>
      </c>
      <c r="O389" s="509"/>
      <c r="P389" s="100" t="s">
        <v>533</v>
      </c>
    </row>
    <row r="390" spans="1:16">
      <c r="A390" s="97" t="s">
        <v>256</v>
      </c>
      <c r="B390" s="68" t="s">
        <v>267</v>
      </c>
      <c r="C390" s="312" t="s">
        <v>182</v>
      </c>
      <c r="D390" s="68" t="s">
        <v>97</v>
      </c>
      <c r="E390" s="664">
        <v>0.3138111888111888</v>
      </c>
      <c r="F390" s="34">
        <v>1</v>
      </c>
      <c r="G390" t="s">
        <v>532</v>
      </c>
      <c r="I390" s="252">
        <v>1</v>
      </c>
      <c r="J390" s="10">
        <v>1</v>
      </c>
      <c r="K390" s="10">
        <v>1</v>
      </c>
      <c r="L390" s="10">
        <v>2</v>
      </c>
      <c r="M390" s="10">
        <v>2</v>
      </c>
      <c r="N390" s="411">
        <f t="shared" si="8"/>
        <v>0.35859414261160716</v>
      </c>
      <c r="O390" s="509"/>
      <c r="P390" s="100" t="s">
        <v>533</v>
      </c>
    </row>
    <row r="391" spans="1:16">
      <c r="A391" s="97" t="s">
        <v>256</v>
      </c>
      <c r="B391" s="68" t="s">
        <v>267</v>
      </c>
      <c r="C391" s="312" t="s">
        <v>182</v>
      </c>
      <c r="D391" s="68" t="s">
        <v>95</v>
      </c>
      <c r="E391" s="664">
        <v>0.2368318376902068</v>
      </c>
      <c r="F391" s="34">
        <v>1</v>
      </c>
      <c r="G391" t="s">
        <v>532</v>
      </c>
      <c r="I391" s="252">
        <v>1</v>
      </c>
      <c r="J391" s="10">
        <v>1</v>
      </c>
      <c r="K391" s="10">
        <v>1</v>
      </c>
      <c r="L391" s="10">
        <v>2</v>
      </c>
      <c r="M391" s="10">
        <v>2</v>
      </c>
      <c r="N391" s="411">
        <f t="shared" si="8"/>
        <v>0.35859414261160716</v>
      </c>
      <c r="O391" s="509"/>
      <c r="P391" s="100" t="s">
        <v>533</v>
      </c>
    </row>
    <row r="392" spans="1:16">
      <c r="A392" s="97" t="s">
        <v>256</v>
      </c>
      <c r="B392" s="68" t="s">
        <v>267</v>
      </c>
      <c r="C392" s="312" t="s">
        <v>182</v>
      </c>
      <c r="D392" s="68" t="s">
        <v>93</v>
      </c>
      <c r="E392" s="664">
        <v>0.16604287172507659</v>
      </c>
      <c r="F392" s="34">
        <v>1</v>
      </c>
      <c r="G392" t="s">
        <v>532</v>
      </c>
      <c r="I392" s="252">
        <v>1</v>
      </c>
      <c r="J392" s="10">
        <v>1</v>
      </c>
      <c r="K392" s="10">
        <v>1</v>
      </c>
      <c r="L392" s="10">
        <v>2</v>
      </c>
      <c r="M392" s="10">
        <v>2</v>
      </c>
      <c r="N392" s="411">
        <f t="shared" si="8"/>
        <v>0.35859414261160716</v>
      </c>
      <c r="O392" s="509"/>
      <c r="P392" s="100" t="s">
        <v>533</v>
      </c>
    </row>
    <row r="393" spans="1:16" ht="15.75" thickBot="1">
      <c r="A393" s="98" t="s">
        <v>256</v>
      </c>
      <c r="B393" s="72" t="s">
        <v>267</v>
      </c>
      <c r="C393" s="325" t="s">
        <v>182</v>
      </c>
      <c r="D393" s="72" t="s">
        <v>98</v>
      </c>
      <c r="E393" s="664">
        <v>0.34568127636163581</v>
      </c>
      <c r="F393" s="35">
        <v>1</v>
      </c>
      <c r="G393" s="511" t="s">
        <v>532</v>
      </c>
      <c r="H393" s="668"/>
      <c r="I393" s="255">
        <v>1</v>
      </c>
      <c r="J393" s="14">
        <v>1</v>
      </c>
      <c r="K393" s="14">
        <v>1</v>
      </c>
      <c r="L393" s="14">
        <v>2</v>
      </c>
      <c r="M393" s="14">
        <v>2</v>
      </c>
      <c r="N393" s="434">
        <f t="shared" si="8"/>
        <v>0.35859414261160716</v>
      </c>
      <c r="O393" s="510"/>
      <c r="P393" s="100" t="s">
        <v>533</v>
      </c>
    </row>
    <row r="394" spans="1:16">
      <c r="A394" s="7"/>
      <c r="B394" s="7"/>
      <c r="C394" s="1"/>
      <c r="D394" s="7"/>
      <c r="E394" s="120"/>
      <c r="F394" s="7"/>
      <c r="G394" s="7"/>
      <c r="H394" s="7"/>
      <c r="I394" s="7"/>
      <c r="J394" s="7"/>
      <c r="K394" s="7"/>
      <c r="L394" s="7"/>
      <c r="M394" s="7"/>
      <c r="N394" s="7"/>
      <c r="O394" s="7"/>
      <c r="P394" s="7"/>
    </row>
    <row r="395" spans="1:16" s="420" customFormat="1">
      <c r="A395" s="786" t="s">
        <v>1998</v>
      </c>
      <c r="B395" s="783"/>
      <c r="C395" s="784"/>
      <c r="D395" s="783"/>
      <c r="E395" s="785"/>
      <c r="F395" s="783"/>
      <c r="G395" s="783"/>
      <c r="H395" s="783"/>
      <c r="I395" s="783"/>
      <c r="J395" s="783"/>
      <c r="K395" s="783"/>
      <c r="L395" s="783"/>
      <c r="M395" s="783"/>
      <c r="N395" s="783"/>
      <c r="O395" s="783"/>
      <c r="P395" s="783"/>
    </row>
    <row r="396" spans="1:16">
      <c r="A396" s="9" t="s">
        <v>256</v>
      </c>
      <c r="B396" s="9" t="s">
        <v>262</v>
      </c>
      <c r="C396" s="9" t="s">
        <v>139</v>
      </c>
      <c r="D396" s="9" t="s">
        <v>139</v>
      </c>
      <c r="E396" s="787">
        <v>9.9999999999999995E-7</v>
      </c>
      <c r="F396" s="9">
        <v>2</v>
      </c>
      <c r="G396" s="187" t="s">
        <v>1995</v>
      </c>
      <c r="H396" s="10">
        <v>2</v>
      </c>
      <c r="I396" s="10">
        <v>2</v>
      </c>
      <c r="J396" s="10">
        <v>3</v>
      </c>
      <c r="K396" s="10">
        <v>3</v>
      </c>
      <c r="L396" s="10">
        <v>3</v>
      </c>
      <c r="M396" s="10">
        <v>2</v>
      </c>
      <c r="N396" s="411">
        <f t="shared" ref="N396:N407" si="9">IF( OR( ISBLANK(H396),ISBLANK(J396), ISBLANK(K396), ISBLANK(L396), ISBLANK(M396) ), "", 1.5*SQRT(   EXP(2.21*(H396-1)) + EXP(2.21*(J396-1)) + EXP(2.21*(K396-1)) + EXP(2.21*(L396-1)) + EXP(2.21*M396)   )/100*2.45 )</f>
        <v>0.67913051197703389</v>
      </c>
      <c r="O396" s="411">
        <f t="shared" ref="O396:O407" si="10">IF( OR( ISBLANK(I396),ISBLANK(J396), ISBLANK(K396), ISBLANK(L396), ISBLANK(M396) ), "", 1.5*SQRT( EXP(2.21*(I396-1)) + EXP(2.21*(J396-1)) + EXP(2.21*(K396-1)) + EXP(2.21*(L396-1)) + EXP(2.21*M396)   )/100*2.45 )</f>
        <v>0.67913051197703389</v>
      </c>
      <c r="P396" s="781" t="s">
        <v>1993</v>
      </c>
    </row>
    <row r="397" spans="1:16">
      <c r="A397" s="9" t="s">
        <v>256</v>
      </c>
      <c r="B397" s="9" t="s">
        <v>262</v>
      </c>
      <c r="C397" s="9" t="s">
        <v>139</v>
      </c>
      <c r="D397" s="9" t="s">
        <v>139</v>
      </c>
      <c r="E397" s="788">
        <f>0.05*(1-0.088)/100</f>
        <v>4.5600000000000003E-4</v>
      </c>
      <c r="F397" s="9">
        <v>2</v>
      </c>
      <c r="G397" s="187" t="s">
        <v>1995</v>
      </c>
      <c r="H397" s="10">
        <v>2</v>
      </c>
      <c r="I397" s="10">
        <v>2</v>
      </c>
      <c r="J397" s="10">
        <v>3</v>
      </c>
      <c r="K397" s="10">
        <v>3</v>
      </c>
      <c r="L397" s="10">
        <v>3</v>
      </c>
      <c r="M397" s="10">
        <v>2</v>
      </c>
      <c r="N397" s="411">
        <f t="shared" si="9"/>
        <v>0.67913051197703389</v>
      </c>
      <c r="O397" s="411">
        <f t="shared" si="10"/>
        <v>0.67913051197703389</v>
      </c>
      <c r="P397" s="781" t="s">
        <v>1993</v>
      </c>
    </row>
    <row r="398" spans="1:16">
      <c r="A398" s="227" t="s">
        <v>256</v>
      </c>
      <c r="B398" s="227" t="s">
        <v>431</v>
      </c>
      <c r="C398" s="227" t="s">
        <v>139</v>
      </c>
      <c r="D398" s="227" t="s">
        <v>139</v>
      </c>
      <c r="E398" s="787">
        <v>9.9999999999999995E-7</v>
      </c>
      <c r="F398" s="315">
        <v>2</v>
      </c>
      <c r="G398" s="187" t="s">
        <v>1999</v>
      </c>
      <c r="H398" s="227">
        <v>2</v>
      </c>
      <c r="I398" s="227">
        <v>2</v>
      </c>
      <c r="J398" s="227">
        <v>3</v>
      </c>
      <c r="K398" s="227">
        <v>3</v>
      </c>
      <c r="L398" s="227">
        <v>3</v>
      </c>
      <c r="M398" s="227">
        <v>2</v>
      </c>
      <c r="N398" s="411">
        <f t="shared" si="9"/>
        <v>0.67913051197703389</v>
      </c>
      <c r="O398" s="411">
        <f t="shared" si="10"/>
        <v>0.67913051197703389</v>
      </c>
      <c r="P398" s="227"/>
    </row>
    <row r="399" spans="1:16">
      <c r="A399" s="227" t="s">
        <v>256</v>
      </c>
      <c r="B399" s="227" t="s">
        <v>431</v>
      </c>
      <c r="C399" s="227" t="s">
        <v>139</v>
      </c>
      <c r="D399" s="227" t="s">
        <v>139</v>
      </c>
      <c r="E399" s="788">
        <f>0.05*0.088/100</f>
        <v>4.4000000000000006E-5</v>
      </c>
      <c r="F399" s="315">
        <v>2</v>
      </c>
      <c r="G399" s="187" t="s">
        <v>1999</v>
      </c>
      <c r="H399" s="227">
        <v>2</v>
      </c>
      <c r="I399" s="227">
        <v>2</v>
      </c>
      <c r="J399" s="227">
        <v>3</v>
      </c>
      <c r="K399" s="227">
        <v>3</v>
      </c>
      <c r="L399" s="227">
        <v>3</v>
      </c>
      <c r="M399" s="227">
        <v>2</v>
      </c>
      <c r="N399" s="411">
        <f t="shared" si="9"/>
        <v>0.67913051197703389</v>
      </c>
      <c r="O399" s="411">
        <f t="shared" si="10"/>
        <v>0.67913051197703389</v>
      </c>
      <c r="P399" s="227" t="s">
        <v>2000</v>
      </c>
    </row>
    <row r="400" spans="1:16">
      <c r="A400" s="9" t="s">
        <v>262</v>
      </c>
      <c r="B400" s="9" t="s">
        <v>258</v>
      </c>
      <c r="C400" s="9" t="s">
        <v>139</v>
      </c>
      <c r="D400" s="9" t="s">
        <v>139</v>
      </c>
      <c r="E400" s="245">
        <v>0.25</v>
      </c>
      <c r="F400" s="9">
        <v>2</v>
      </c>
      <c r="G400" s="187" t="s">
        <v>1996</v>
      </c>
      <c r="H400" s="10">
        <v>2</v>
      </c>
      <c r="I400" s="10">
        <v>2</v>
      </c>
      <c r="J400" s="10">
        <v>3</v>
      </c>
      <c r="K400" s="10">
        <v>3</v>
      </c>
      <c r="L400" s="10">
        <v>3</v>
      </c>
      <c r="M400" s="10">
        <v>2</v>
      </c>
      <c r="N400" s="411">
        <f t="shared" si="9"/>
        <v>0.67913051197703389</v>
      </c>
      <c r="O400" s="411">
        <f t="shared" si="10"/>
        <v>0.67913051197703389</v>
      </c>
      <c r="P400" s="9" t="s">
        <v>1994</v>
      </c>
    </row>
    <row r="401" spans="1:16">
      <c r="A401" s="9" t="s">
        <v>262</v>
      </c>
      <c r="B401" s="9" t="s">
        <v>251</v>
      </c>
      <c r="C401" s="9" t="s">
        <v>139</v>
      </c>
      <c r="D401" s="9" t="s">
        <v>139</v>
      </c>
      <c r="E401" s="245">
        <v>0.75</v>
      </c>
      <c r="F401" s="9">
        <v>2</v>
      </c>
      <c r="G401" s="187" t="s">
        <v>1996</v>
      </c>
      <c r="H401" s="10">
        <v>2</v>
      </c>
      <c r="I401" s="10">
        <v>2</v>
      </c>
      <c r="J401" s="10">
        <v>3</v>
      </c>
      <c r="K401" s="10">
        <v>3</v>
      </c>
      <c r="L401" s="10">
        <v>3</v>
      </c>
      <c r="M401" s="10">
        <v>2</v>
      </c>
      <c r="N401" s="411">
        <f t="shared" si="9"/>
        <v>0.67913051197703389</v>
      </c>
      <c r="O401" s="411">
        <f t="shared" si="10"/>
        <v>0.67913051197703389</v>
      </c>
      <c r="P401" s="9" t="s">
        <v>1994</v>
      </c>
    </row>
    <row r="402" spans="1:16">
      <c r="A402" s="9" t="s">
        <v>259</v>
      </c>
      <c r="B402" s="9" t="s">
        <v>261</v>
      </c>
      <c r="C402" s="9" t="s">
        <v>139</v>
      </c>
      <c r="D402" s="9" t="s">
        <v>139</v>
      </c>
      <c r="E402" s="788">
        <v>9.9999999999999995E-7</v>
      </c>
      <c r="F402" s="250">
        <v>2</v>
      </c>
      <c r="G402" s="187" t="s">
        <v>1995</v>
      </c>
      <c r="H402" s="173">
        <v>2</v>
      </c>
      <c r="I402" s="10">
        <v>2</v>
      </c>
      <c r="J402" s="10">
        <v>3</v>
      </c>
      <c r="K402" s="10">
        <v>3</v>
      </c>
      <c r="L402" s="10">
        <v>3</v>
      </c>
      <c r="M402" s="10">
        <v>2</v>
      </c>
      <c r="N402" s="411">
        <f t="shared" si="9"/>
        <v>0.67913051197703389</v>
      </c>
      <c r="O402" s="411">
        <f t="shared" si="10"/>
        <v>0.67913051197703389</v>
      </c>
      <c r="P402" s="781" t="s">
        <v>1993</v>
      </c>
    </row>
    <row r="403" spans="1:16">
      <c r="A403" s="9" t="s">
        <v>259</v>
      </c>
      <c r="B403" s="9" t="s">
        <v>261</v>
      </c>
      <c r="C403" s="9" t="s">
        <v>139</v>
      </c>
      <c r="D403" s="9" t="s">
        <v>139</v>
      </c>
      <c r="E403" s="788">
        <v>4.0000000000000002E-4</v>
      </c>
      <c r="F403" s="250">
        <v>2</v>
      </c>
      <c r="G403" s="187" t="s">
        <v>1995</v>
      </c>
      <c r="H403" s="173">
        <v>2</v>
      </c>
      <c r="I403" s="10">
        <v>2</v>
      </c>
      <c r="J403" s="10">
        <v>3</v>
      </c>
      <c r="K403" s="10">
        <v>3</v>
      </c>
      <c r="L403" s="10">
        <v>3</v>
      </c>
      <c r="M403" s="10">
        <v>2</v>
      </c>
      <c r="N403" s="411">
        <f t="shared" si="9"/>
        <v>0.67913051197703389</v>
      </c>
      <c r="O403" s="411">
        <f t="shared" si="10"/>
        <v>0.67913051197703389</v>
      </c>
      <c r="P403" s="781" t="s">
        <v>1993</v>
      </c>
    </row>
    <row r="404" spans="1:16">
      <c r="A404" s="119" t="s">
        <v>109</v>
      </c>
      <c r="B404" s="119" t="s">
        <v>261</v>
      </c>
      <c r="C404" s="119" t="s">
        <v>139</v>
      </c>
      <c r="D404" s="119" t="s">
        <v>139</v>
      </c>
      <c r="E404" s="797">
        <v>9.9999999999999995E-7</v>
      </c>
      <c r="F404" s="317">
        <v>2</v>
      </c>
      <c r="G404" s="187" t="s">
        <v>1995</v>
      </c>
      <c r="H404" s="176">
        <v>2</v>
      </c>
      <c r="I404" s="15">
        <v>2</v>
      </c>
      <c r="J404" s="15">
        <v>3</v>
      </c>
      <c r="K404" s="15">
        <v>3</v>
      </c>
      <c r="L404" s="15">
        <v>3</v>
      </c>
      <c r="M404" s="15">
        <v>2</v>
      </c>
      <c r="N404" s="430">
        <f t="shared" si="9"/>
        <v>0.67913051197703389</v>
      </c>
      <c r="O404" s="430">
        <f t="shared" si="10"/>
        <v>0.67913051197703389</v>
      </c>
      <c r="P404" s="119" t="s">
        <v>525</v>
      </c>
    </row>
    <row r="405" spans="1:16">
      <c r="A405" s="9" t="s">
        <v>109</v>
      </c>
      <c r="B405" s="9" t="s">
        <v>261</v>
      </c>
      <c r="C405" s="9" t="s">
        <v>139</v>
      </c>
      <c r="D405" s="9" t="s">
        <v>139</v>
      </c>
      <c r="E405" s="788">
        <v>4.0000000000000002E-4</v>
      </c>
      <c r="F405" s="250">
        <v>2</v>
      </c>
      <c r="G405" s="187" t="s">
        <v>1995</v>
      </c>
      <c r="H405" s="173">
        <v>2</v>
      </c>
      <c r="I405" s="10">
        <v>2</v>
      </c>
      <c r="J405" s="10">
        <v>3</v>
      </c>
      <c r="K405" s="10">
        <v>3</v>
      </c>
      <c r="L405" s="10">
        <v>3</v>
      </c>
      <c r="M405" s="10">
        <v>2</v>
      </c>
      <c r="N405" s="411">
        <f t="shared" si="9"/>
        <v>0.67913051197703389</v>
      </c>
      <c r="O405" s="411">
        <f t="shared" si="10"/>
        <v>0.67913051197703389</v>
      </c>
      <c r="P405" s="9" t="s">
        <v>525</v>
      </c>
    </row>
    <row r="406" spans="1:16" ht="15.75" customHeight="1">
      <c r="A406" s="9" t="s">
        <v>261</v>
      </c>
      <c r="B406" s="9" t="s">
        <v>254</v>
      </c>
      <c r="C406" s="9" t="s">
        <v>139</v>
      </c>
      <c r="D406" s="9" t="s">
        <v>139</v>
      </c>
      <c r="E406" s="788">
        <v>4.0000000000000001E-3</v>
      </c>
      <c r="F406" s="250">
        <v>2</v>
      </c>
      <c r="G406" s="187" t="s">
        <v>1996</v>
      </c>
      <c r="H406" s="173">
        <v>2</v>
      </c>
      <c r="I406" s="10">
        <v>2</v>
      </c>
      <c r="J406" s="10">
        <v>3</v>
      </c>
      <c r="K406" s="10">
        <v>3</v>
      </c>
      <c r="L406" s="10">
        <v>3</v>
      </c>
      <c r="M406" s="10">
        <v>2</v>
      </c>
      <c r="N406" s="411">
        <f t="shared" si="9"/>
        <v>0.67913051197703389</v>
      </c>
      <c r="O406" s="411">
        <f t="shared" si="10"/>
        <v>0.67913051197703389</v>
      </c>
      <c r="P406" s="9" t="s">
        <v>1994</v>
      </c>
    </row>
    <row r="407" spans="1:16" ht="15.75" customHeight="1">
      <c r="A407" s="9" t="s">
        <v>261</v>
      </c>
      <c r="B407" s="9" t="s">
        <v>251</v>
      </c>
      <c r="C407" s="9" t="s">
        <v>139</v>
      </c>
      <c r="D407" s="9" t="s">
        <v>139</v>
      </c>
      <c r="E407" s="788">
        <v>0.996</v>
      </c>
      <c r="F407" s="250">
        <v>2</v>
      </c>
      <c r="G407" s="187" t="s">
        <v>1996</v>
      </c>
      <c r="H407" s="173">
        <v>2</v>
      </c>
      <c r="I407" s="10">
        <v>2</v>
      </c>
      <c r="J407" s="10">
        <v>3</v>
      </c>
      <c r="K407" s="10">
        <v>3</v>
      </c>
      <c r="L407" s="10">
        <v>3</v>
      </c>
      <c r="M407" s="10">
        <v>2</v>
      </c>
      <c r="N407" s="411">
        <f t="shared" si="9"/>
        <v>0.67913051197703389</v>
      </c>
      <c r="O407" s="411">
        <f t="shared" si="10"/>
        <v>0.67913051197703389</v>
      </c>
      <c r="P407" s="9" t="s">
        <v>1994</v>
      </c>
    </row>
    <row r="409" spans="1:16" s="1011" customFormat="1">
      <c r="A409" s="1011" t="s">
        <v>534</v>
      </c>
    </row>
    <row r="410" spans="1:16" s="1011" customFormat="1"/>
    <row r="411" spans="1:16" s="225" customFormat="1">
      <c r="A411" s="225" t="s">
        <v>535</v>
      </c>
    </row>
    <row r="413" spans="1:16">
      <c r="A413" s="673" t="s">
        <v>536</v>
      </c>
      <c r="B413" s="673" t="s">
        <v>537</v>
      </c>
      <c r="C413" s="673" t="s">
        <v>104</v>
      </c>
      <c r="D413" s="674" t="s">
        <v>85</v>
      </c>
      <c r="E413" s="674" t="s">
        <v>86</v>
      </c>
      <c r="F413" s="674" t="s">
        <v>87</v>
      </c>
      <c r="G413" s="674" t="s">
        <v>88</v>
      </c>
      <c r="H413" s="674" t="s">
        <v>89</v>
      </c>
      <c r="I413" s="674" t="s">
        <v>90</v>
      </c>
      <c r="J413" s="674" t="s">
        <v>91</v>
      </c>
      <c r="K413" s="674" t="s">
        <v>94</v>
      </c>
      <c r="L413" s="674" t="s">
        <v>96</v>
      </c>
      <c r="M413" s="674" t="s">
        <v>97</v>
      </c>
      <c r="N413" s="674" t="s">
        <v>95</v>
      </c>
      <c r="O413" s="674" t="s">
        <v>93</v>
      </c>
      <c r="P413" s="674" t="s">
        <v>98</v>
      </c>
    </row>
    <row r="414" spans="1:16">
      <c r="A414" s="227" t="s">
        <v>538</v>
      </c>
      <c r="B414" s="227"/>
      <c r="C414" s="227" t="s">
        <v>45</v>
      </c>
      <c r="D414" s="318">
        <v>1</v>
      </c>
      <c r="E414" s="318">
        <v>0</v>
      </c>
      <c r="F414" s="318">
        <v>0</v>
      </c>
      <c r="G414" s="318">
        <v>0</v>
      </c>
      <c r="H414" s="318">
        <v>0</v>
      </c>
      <c r="I414" s="318">
        <v>0</v>
      </c>
      <c r="J414" s="318">
        <v>0</v>
      </c>
      <c r="K414" s="318">
        <v>0</v>
      </c>
      <c r="L414" s="318">
        <v>0</v>
      </c>
      <c r="M414" s="318">
        <v>0</v>
      </c>
      <c r="N414" s="318">
        <v>0</v>
      </c>
      <c r="O414" s="318">
        <v>0</v>
      </c>
      <c r="P414" s="318">
        <v>0</v>
      </c>
    </row>
    <row r="415" spans="1:16">
      <c r="A415" s="227" t="s">
        <v>538</v>
      </c>
      <c r="B415" s="227"/>
      <c r="C415" s="227" t="s">
        <v>45</v>
      </c>
      <c r="D415" s="318">
        <v>1</v>
      </c>
      <c r="E415" s="318">
        <v>0</v>
      </c>
      <c r="F415" s="318">
        <v>0</v>
      </c>
      <c r="G415" s="318">
        <v>0</v>
      </c>
      <c r="H415" s="318">
        <v>0</v>
      </c>
      <c r="I415" s="318">
        <v>0</v>
      </c>
      <c r="J415" s="318">
        <v>0</v>
      </c>
      <c r="K415" s="318">
        <v>0</v>
      </c>
      <c r="L415" s="318">
        <v>0</v>
      </c>
      <c r="M415" s="318">
        <v>0</v>
      </c>
      <c r="N415" s="318">
        <v>0</v>
      </c>
      <c r="O415" s="318">
        <v>0</v>
      </c>
      <c r="P415" s="318">
        <v>0</v>
      </c>
    </row>
    <row r="416" spans="1:16">
      <c r="A416" s="227" t="s">
        <v>539</v>
      </c>
      <c r="B416" s="227"/>
      <c r="C416" s="227" t="s">
        <v>45</v>
      </c>
      <c r="D416" s="318">
        <v>0</v>
      </c>
      <c r="E416" s="318">
        <v>1</v>
      </c>
      <c r="F416" s="318">
        <v>0</v>
      </c>
      <c r="G416" s="318">
        <v>0</v>
      </c>
      <c r="H416" s="318">
        <v>0</v>
      </c>
      <c r="I416" s="318">
        <v>0</v>
      </c>
      <c r="J416" s="318">
        <v>0</v>
      </c>
      <c r="K416" s="318">
        <v>0</v>
      </c>
      <c r="L416" s="318">
        <v>0</v>
      </c>
      <c r="M416" s="318">
        <v>0</v>
      </c>
      <c r="N416" s="318">
        <v>0</v>
      </c>
      <c r="O416" s="318">
        <v>0</v>
      </c>
      <c r="P416" s="318">
        <v>0</v>
      </c>
    </row>
    <row r="417" spans="1:16">
      <c r="A417" s="227" t="s">
        <v>540</v>
      </c>
      <c r="B417" s="227" t="s">
        <v>541</v>
      </c>
      <c r="C417" s="227" t="s">
        <v>542</v>
      </c>
      <c r="D417" s="318">
        <v>0</v>
      </c>
      <c r="E417" s="318">
        <v>0</v>
      </c>
      <c r="F417" s="318">
        <v>0</v>
      </c>
      <c r="G417" s="318">
        <v>0</v>
      </c>
      <c r="H417" s="318">
        <v>0</v>
      </c>
      <c r="I417" s="318">
        <v>0</v>
      </c>
      <c r="J417" s="318">
        <v>0</v>
      </c>
      <c r="K417" s="318">
        <v>0</v>
      </c>
      <c r="L417" s="318">
        <v>0</v>
      </c>
      <c r="M417" s="318">
        <v>0</v>
      </c>
      <c r="N417" s="318">
        <v>0</v>
      </c>
      <c r="O417" s="318">
        <v>0</v>
      </c>
      <c r="P417" s="318">
        <v>1</v>
      </c>
    </row>
    <row r="418" spans="1:16">
      <c r="A418" s="227" t="s">
        <v>543</v>
      </c>
      <c r="B418" s="227" t="s">
        <v>541</v>
      </c>
      <c r="C418" s="227" t="s">
        <v>542</v>
      </c>
      <c r="D418" s="318">
        <v>0</v>
      </c>
      <c r="E418" s="318">
        <v>0</v>
      </c>
      <c r="F418" s="318">
        <v>0</v>
      </c>
      <c r="G418" s="318">
        <v>0</v>
      </c>
      <c r="H418" s="318">
        <v>0</v>
      </c>
      <c r="I418" s="318">
        <v>0</v>
      </c>
      <c r="J418" s="318">
        <v>0</v>
      </c>
      <c r="K418" s="318">
        <v>0</v>
      </c>
      <c r="L418" s="318">
        <v>0</v>
      </c>
      <c r="M418" s="318">
        <v>0</v>
      </c>
      <c r="N418" s="318">
        <v>0</v>
      </c>
      <c r="O418" s="318">
        <v>0</v>
      </c>
      <c r="P418" s="318">
        <v>1</v>
      </c>
    </row>
    <row r="419" spans="1:16">
      <c r="A419" s="227" t="s">
        <v>544</v>
      </c>
      <c r="B419" s="227"/>
      <c r="C419" s="227" t="s">
        <v>45</v>
      </c>
      <c r="D419" s="318">
        <v>0</v>
      </c>
      <c r="E419" s="318">
        <v>0</v>
      </c>
      <c r="F419" s="318">
        <v>1</v>
      </c>
      <c r="G419" s="318">
        <v>0</v>
      </c>
      <c r="H419" s="318">
        <v>0</v>
      </c>
      <c r="I419" s="318">
        <v>0</v>
      </c>
      <c r="J419" s="318">
        <v>0</v>
      </c>
      <c r="K419" s="318">
        <v>0</v>
      </c>
      <c r="L419" s="318">
        <v>0</v>
      </c>
      <c r="M419" s="318">
        <v>0</v>
      </c>
      <c r="N419" s="318">
        <v>0</v>
      </c>
      <c r="O419" s="318">
        <v>0</v>
      </c>
      <c r="P419" s="318">
        <v>0</v>
      </c>
    </row>
    <row r="420" spans="1:16">
      <c r="A420" s="227" t="s">
        <v>545</v>
      </c>
      <c r="B420" s="227" t="s">
        <v>541</v>
      </c>
      <c r="C420" s="227" t="s">
        <v>542</v>
      </c>
      <c r="D420" s="318">
        <v>0</v>
      </c>
      <c r="E420" s="318">
        <v>0</v>
      </c>
      <c r="F420" s="318">
        <v>0</v>
      </c>
      <c r="G420" s="318">
        <v>0</v>
      </c>
      <c r="H420" s="318">
        <v>0</v>
      </c>
      <c r="I420" s="318">
        <v>0</v>
      </c>
      <c r="J420" s="318">
        <v>0</v>
      </c>
      <c r="K420" s="318">
        <v>0</v>
      </c>
      <c r="L420" s="318">
        <v>0</v>
      </c>
      <c r="M420" s="318">
        <v>0</v>
      </c>
      <c r="N420" s="318">
        <v>0</v>
      </c>
      <c r="O420" s="318">
        <v>0</v>
      </c>
      <c r="P420" s="318">
        <v>1</v>
      </c>
    </row>
    <row r="421" spans="1:16">
      <c r="A421" s="227" t="s">
        <v>546</v>
      </c>
      <c r="B421" s="227"/>
      <c r="C421" s="227" t="s">
        <v>45</v>
      </c>
      <c r="D421" s="318">
        <v>0</v>
      </c>
      <c r="E421" s="318">
        <v>0</v>
      </c>
      <c r="F421" s="318">
        <v>0</v>
      </c>
      <c r="G421" s="318">
        <v>0</v>
      </c>
      <c r="H421" s="318">
        <v>1</v>
      </c>
      <c r="I421" s="318">
        <v>0</v>
      </c>
      <c r="J421" s="318">
        <v>0</v>
      </c>
      <c r="K421" s="318">
        <v>0</v>
      </c>
      <c r="L421" s="318">
        <v>0</v>
      </c>
      <c r="M421" s="318">
        <v>0</v>
      </c>
      <c r="N421" s="318">
        <v>0</v>
      </c>
      <c r="O421" s="318">
        <v>0</v>
      </c>
      <c r="P421" s="318">
        <v>0</v>
      </c>
    </row>
    <row r="422" spans="1:16">
      <c r="A422" s="227" t="s">
        <v>547</v>
      </c>
      <c r="B422" s="227"/>
      <c r="C422" s="227" t="s">
        <v>45</v>
      </c>
      <c r="D422" s="318">
        <v>0</v>
      </c>
      <c r="E422" s="318">
        <v>0</v>
      </c>
      <c r="F422" s="318">
        <v>0</v>
      </c>
      <c r="G422" s="318">
        <v>1</v>
      </c>
      <c r="H422" s="318">
        <v>0</v>
      </c>
      <c r="I422" s="318">
        <v>0</v>
      </c>
      <c r="J422" s="318">
        <v>0</v>
      </c>
      <c r="K422" s="318">
        <v>0</v>
      </c>
      <c r="L422" s="318">
        <v>0</v>
      </c>
      <c r="M422" s="318">
        <v>0</v>
      </c>
      <c r="N422" s="318">
        <v>0</v>
      </c>
      <c r="O422" s="318">
        <v>0</v>
      </c>
      <c r="P422" s="318"/>
    </row>
    <row r="423" spans="1:16">
      <c r="A423" s="227" t="s">
        <v>548</v>
      </c>
      <c r="B423" s="227" t="s">
        <v>541</v>
      </c>
      <c r="C423" s="227" t="s">
        <v>542</v>
      </c>
      <c r="D423" s="318">
        <v>0</v>
      </c>
      <c r="E423" s="318">
        <v>0</v>
      </c>
      <c r="F423" s="318">
        <v>0</v>
      </c>
      <c r="G423" s="318">
        <v>0</v>
      </c>
      <c r="H423" s="318">
        <v>0</v>
      </c>
      <c r="I423" s="318">
        <v>0</v>
      </c>
      <c r="J423" s="318">
        <v>0</v>
      </c>
      <c r="K423" s="318">
        <v>0</v>
      </c>
      <c r="L423" s="318">
        <v>0</v>
      </c>
      <c r="M423" s="318">
        <v>0</v>
      </c>
      <c r="N423" s="318">
        <v>0</v>
      </c>
      <c r="O423" s="318">
        <v>0</v>
      </c>
      <c r="P423" s="318">
        <v>1</v>
      </c>
    </row>
    <row r="424" spans="1:16">
      <c r="A424" s="227" t="s">
        <v>549</v>
      </c>
      <c r="B424" s="227"/>
      <c r="C424" s="227" t="s">
        <v>550</v>
      </c>
      <c r="D424" s="318">
        <v>0</v>
      </c>
      <c r="E424" s="318">
        <v>0</v>
      </c>
      <c r="F424" s="318">
        <v>0</v>
      </c>
      <c r="G424" s="318">
        <v>0</v>
      </c>
      <c r="H424" s="318">
        <v>0</v>
      </c>
      <c r="I424" s="318">
        <v>0</v>
      </c>
      <c r="J424" s="318">
        <v>0</v>
      </c>
      <c r="K424" s="318">
        <v>1</v>
      </c>
      <c r="L424" s="318">
        <v>0</v>
      </c>
      <c r="M424" s="318">
        <v>0</v>
      </c>
      <c r="N424" s="318">
        <v>0</v>
      </c>
      <c r="O424" s="318">
        <v>0</v>
      </c>
      <c r="P424" s="318">
        <v>0</v>
      </c>
    </row>
    <row r="425" spans="1:16">
      <c r="A425" s="227" t="s">
        <v>551</v>
      </c>
      <c r="B425" s="227" t="s">
        <v>541</v>
      </c>
      <c r="C425" s="227" t="s">
        <v>542</v>
      </c>
      <c r="D425" s="318">
        <v>0</v>
      </c>
      <c r="E425" s="318">
        <v>0</v>
      </c>
      <c r="F425" s="318">
        <v>0</v>
      </c>
      <c r="G425" s="318">
        <v>0</v>
      </c>
      <c r="H425" s="318">
        <v>0</v>
      </c>
      <c r="I425" s="318">
        <v>0</v>
      </c>
      <c r="J425" s="318">
        <v>0</v>
      </c>
      <c r="K425" s="318">
        <v>0</v>
      </c>
      <c r="L425" s="318">
        <v>0</v>
      </c>
      <c r="M425" s="318">
        <v>0</v>
      </c>
      <c r="N425" s="318">
        <v>0</v>
      </c>
      <c r="O425" s="318">
        <v>0</v>
      </c>
      <c r="P425" s="318">
        <v>1</v>
      </c>
    </row>
    <row r="426" spans="1:16">
      <c r="A426" s="227" t="s">
        <v>552</v>
      </c>
      <c r="B426" s="227"/>
      <c r="C426" s="227" t="s">
        <v>550</v>
      </c>
      <c r="D426" s="318">
        <v>0</v>
      </c>
      <c r="E426" s="318">
        <v>0</v>
      </c>
      <c r="F426" s="318">
        <v>0</v>
      </c>
      <c r="G426" s="318">
        <v>0</v>
      </c>
      <c r="H426" s="318">
        <v>0</v>
      </c>
      <c r="I426" s="318">
        <v>1</v>
      </c>
      <c r="J426" s="318">
        <v>0</v>
      </c>
      <c r="K426" s="318">
        <v>0</v>
      </c>
      <c r="L426" s="318">
        <v>0</v>
      </c>
      <c r="M426" s="318">
        <v>0</v>
      </c>
      <c r="N426" s="318">
        <v>0</v>
      </c>
      <c r="O426" s="318">
        <v>0</v>
      </c>
      <c r="P426" s="318">
        <v>0</v>
      </c>
    </row>
    <row r="427" spans="1:16">
      <c r="A427" s="227" t="s">
        <v>553</v>
      </c>
      <c r="B427" s="227" t="s">
        <v>554</v>
      </c>
      <c r="C427" s="227" t="s">
        <v>45</v>
      </c>
      <c r="D427" s="318">
        <v>0</v>
      </c>
      <c r="E427" s="318">
        <v>0</v>
      </c>
      <c r="F427" s="318">
        <v>0</v>
      </c>
      <c r="G427" s="318">
        <v>0</v>
      </c>
      <c r="H427" s="318">
        <v>0</v>
      </c>
      <c r="I427" s="318">
        <v>0.7</v>
      </c>
      <c r="J427" s="318">
        <v>0</v>
      </c>
      <c r="K427" s="318">
        <v>0</v>
      </c>
      <c r="L427" s="318">
        <v>0</v>
      </c>
      <c r="M427" s="318">
        <v>0</v>
      </c>
      <c r="N427" s="318">
        <v>0</v>
      </c>
      <c r="O427" s="318">
        <v>0</v>
      </c>
      <c r="P427" s="318">
        <v>0</v>
      </c>
    </row>
    <row r="428" spans="1:16">
      <c r="A428" s="227" t="s">
        <v>555</v>
      </c>
      <c r="B428" s="227" t="s">
        <v>554</v>
      </c>
      <c r="C428" s="227" t="s">
        <v>45</v>
      </c>
      <c r="D428" s="318">
        <v>0</v>
      </c>
      <c r="E428" s="318">
        <v>0</v>
      </c>
      <c r="F428" s="318">
        <v>0</v>
      </c>
      <c r="G428" s="318">
        <v>0</v>
      </c>
      <c r="H428" s="318">
        <v>0</v>
      </c>
      <c r="I428" s="318">
        <v>0.7</v>
      </c>
      <c r="J428" s="318">
        <v>0</v>
      </c>
      <c r="K428" s="318">
        <v>0</v>
      </c>
      <c r="L428" s="318">
        <v>0</v>
      </c>
      <c r="M428" s="318">
        <v>0</v>
      </c>
      <c r="N428" s="318">
        <v>0</v>
      </c>
      <c r="O428" s="318">
        <v>0</v>
      </c>
      <c r="P428" s="318">
        <v>0</v>
      </c>
    </row>
    <row r="429" spans="1:16">
      <c r="A429" s="227" t="s">
        <v>556</v>
      </c>
      <c r="B429" s="227" t="s">
        <v>541</v>
      </c>
      <c r="C429" s="227" t="s">
        <v>542</v>
      </c>
      <c r="D429" s="318">
        <v>0</v>
      </c>
      <c r="E429" s="318">
        <v>0</v>
      </c>
      <c r="F429" s="318">
        <v>0</v>
      </c>
      <c r="G429" s="318">
        <v>0</v>
      </c>
      <c r="H429" s="318">
        <v>0</v>
      </c>
      <c r="I429" s="318">
        <v>0</v>
      </c>
      <c r="J429" s="318">
        <v>0</v>
      </c>
      <c r="K429" s="318">
        <v>0</v>
      </c>
      <c r="L429" s="318">
        <v>0</v>
      </c>
      <c r="M429" s="318">
        <v>0</v>
      </c>
      <c r="N429" s="318">
        <v>0</v>
      </c>
      <c r="O429" s="318">
        <v>0</v>
      </c>
      <c r="P429" s="318">
        <v>1</v>
      </c>
    </row>
    <row r="430" spans="1:16">
      <c r="A430" s="227" t="s">
        <v>557</v>
      </c>
      <c r="B430" s="227" t="s">
        <v>541</v>
      </c>
      <c r="C430" s="227" t="s">
        <v>542</v>
      </c>
      <c r="D430" s="318">
        <v>0</v>
      </c>
      <c r="E430" s="318">
        <v>0</v>
      </c>
      <c r="F430" s="318">
        <v>0</v>
      </c>
      <c r="G430" s="318">
        <v>0</v>
      </c>
      <c r="H430" s="318">
        <v>0</v>
      </c>
      <c r="I430" s="318">
        <v>0</v>
      </c>
      <c r="J430" s="318">
        <v>0</v>
      </c>
      <c r="K430" s="318">
        <v>0</v>
      </c>
      <c r="L430" s="318">
        <v>0</v>
      </c>
      <c r="M430" s="318">
        <v>0</v>
      </c>
      <c r="N430" s="318">
        <v>0</v>
      </c>
      <c r="O430" s="318">
        <v>0</v>
      </c>
      <c r="P430" s="318">
        <v>1</v>
      </c>
    </row>
    <row r="431" spans="1:16">
      <c r="A431" s="227" t="s">
        <v>558</v>
      </c>
      <c r="B431" s="227" t="s">
        <v>541</v>
      </c>
      <c r="C431" s="227" t="s">
        <v>542</v>
      </c>
      <c r="D431" s="318">
        <v>0</v>
      </c>
      <c r="E431" s="318">
        <v>0</v>
      </c>
      <c r="F431" s="318">
        <v>0</v>
      </c>
      <c r="G431" s="318">
        <v>0</v>
      </c>
      <c r="H431" s="318">
        <v>0</v>
      </c>
      <c r="I431" s="318">
        <v>0</v>
      </c>
      <c r="J431" s="318">
        <v>0</v>
      </c>
      <c r="K431" s="318">
        <v>0</v>
      </c>
      <c r="L431" s="318">
        <v>0</v>
      </c>
      <c r="M431" s="318">
        <v>0</v>
      </c>
      <c r="N431" s="318">
        <v>0</v>
      </c>
      <c r="O431" s="318">
        <v>0</v>
      </c>
      <c r="P431" s="318">
        <v>1</v>
      </c>
    </row>
    <row r="432" spans="1:16">
      <c r="A432" s="227" t="s">
        <v>559</v>
      </c>
      <c r="B432" s="227" t="s">
        <v>541</v>
      </c>
      <c r="C432" s="227" t="s">
        <v>542</v>
      </c>
      <c r="D432" s="318">
        <v>0</v>
      </c>
      <c r="E432" s="318">
        <v>0</v>
      </c>
      <c r="F432" s="318">
        <v>0</v>
      </c>
      <c r="G432" s="318">
        <v>0</v>
      </c>
      <c r="H432" s="318">
        <v>0</v>
      </c>
      <c r="I432" s="318">
        <v>0</v>
      </c>
      <c r="J432" s="318">
        <v>0</v>
      </c>
      <c r="K432" s="318">
        <v>0</v>
      </c>
      <c r="L432" s="318">
        <v>0</v>
      </c>
      <c r="M432" s="318">
        <v>0</v>
      </c>
      <c r="N432" s="318">
        <v>0</v>
      </c>
      <c r="O432" s="318">
        <v>0</v>
      </c>
      <c r="P432" s="318">
        <v>1</v>
      </c>
    </row>
    <row r="433" spans="1:16">
      <c r="A433" s="227" t="s">
        <v>560</v>
      </c>
      <c r="B433" s="227" t="s">
        <v>541</v>
      </c>
      <c r="C433" s="227" t="s">
        <v>542</v>
      </c>
      <c r="D433" s="318">
        <v>0</v>
      </c>
      <c r="E433" s="318">
        <v>0</v>
      </c>
      <c r="F433" s="318">
        <v>0</v>
      </c>
      <c r="G433" s="318">
        <v>0</v>
      </c>
      <c r="H433" s="318">
        <v>0</v>
      </c>
      <c r="I433" s="318">
        <v>0</v>
      </c>
      <c r="J433" s="318">
        <v>0</v>
      </c>
      <c r="K433" s="318">
        <v>0</v>
      </c>
      <c r="L433" s="318">
        <v>0</v>
      </c>
      <c r="M433" s="318">
        <v>0</v>
      </c>
      <c r="N433" s="318">
        <v>0</v>
      </c>
      <c r="O433" s="318">
        <v>0</v>
      </c>
      <c r="P433" s="318">
        <v>1</v>
      </c>
    </row>
    <row r="434" spans="1:16">
      <c r="A434" s="227" t="s">
        <v>561</v>
      </c>
      <c r="B434" s="227" t="s">
        <v>541</v>
      </c>
      <c r="C434" s="227" t="s">
        <v>542</v>
      </c>
      <c r="D434" s="318">
        <v>0</v>
      </c>
      <c r="E434" s="318">
        <v>0</v>
      </c>
      <c r="F434" s="318">
        <v>0</v>
      </c>
      <c r="G434" s="318">
        <v>0</v>
      </c>
      <c r="H434" s="318">
        <v>0</v>
      </c>
      <c r="I434" s="318">
        <v>0</v>
      </c>
      <c r="J434" s="318">
        <v>0</v>
      </c>
      <c r="K434" s="318">
        <v>0</v>
      </c>
      <c r="L434" s="318">
        <v>0</v>
      </c>
      <c r="M434" s="318">
        <v>0</v>
      </c>
      <c r="N434" s="318">
        <v>0</v>
      </c>
      <c r="O434" s="318">
        <v>0</v>
      </c>
      <c r="P434" s="318">
        <v>1</v>
      </c>
    </row>
    <row r="435" spans="1:16">
      <c r="A435" s="227" t="s">
        <v>562</v>
      </c>
      <c r="B435" s="227"/>
      <c r="C435" s="227" t="s">
        <v>550</v>
      </c>
      <c r="D435" s="318">
        <v>0</v>
      </c>
      <c r="E435" s="318">
        <v>0</v>
      </c>
      <c r="F435" s="318">
        <v>0</v>
      </c>
      <c r="G435" s="318">
        <v>0</v>
      </c>
      <c r="H435" s="318">
        <v>0</v>
      </c>
      <c r="I435" s="318">
        <v>0</v>
      </c>
      <c r="J435" s="318">
        <v>0</v>
      </c>
      <c r="K435" s="318">
        <v>0</v>
      </c>
      <c r="L435" s="318">
        <v>0</v>
      </c>
      <c r="M435" s="318">
        <v>1</v>
      </c>
      <c r="N435" s="318">
        <v>0</v>
      </c>
      <c r="O435" s="318">
        <v>0</v>
      </c>
      <c r="P435" s="318">
        <v>0</v>
      </c>
    </row>
    <row r="436" spans="1:16">
      <c r="A436" s="227" t="s">
        <v>563</v>
      </c>
      <c r="B436" s="227" t="s">
        <v>541</v>
      </c>
      <c r="C436" s="227" t="s">
        <v>542</v>
      </c>
      <c r="D436" s="318">
        <v>0</v>
      </c>
      <c r="E436" s="318">
        <v>0</v>
      </c>
      <c r="F436" s="318">
        <v>0</v>
      </c>
      <c r="G436" s="318">
        <v>0</v>
      </c>
      <c r="H436" s="318">
        <v>0</v>
      </c>
      <c r="I436" s="318">
        <v>0</v>
      </c>
      <c r="J436" s="318">
        <v>0</v>
      </c>
      <c r="K436" s="318">
        <v>0</v>
      </c>
      <c r="L436" s="318">
        <v>0</v>
      </c>
      <c r="M436" s="318">
        <v>1</v>
      </c>
      <c r="N436" s="318">
        <v>0</v>
      </c>
      <c r="O436" s="318">
        <v>0</v>
      </c>
      <c r="P436" s="318">
        <v>0</v>
      </c>
    </row>
    <row r="437" spans="1:16">
      <c r="A437" s="227" t="s">
        <v>564</v>
      </c>
      <c r="B437" s="227" t="s">
        <v>541</v>
      </c>
      <c r="C437" s="227" t="s">
        <v>542</v>
      </c>
      <c r="D437" s="318">
        <v>0</v>
      </c>
      <c r="E437" s="318">
        <v>0</v>
      </c>
      <c r="F437" s="318">
        <v>0</v>
      </c>
      <c r="G437" s="318">
        <v>0</v>
      </c>
      <c r="H437" s="318">
        <v>0</v>
      </c>
      <c r="I437" s="318">
        <v>0</v>
      </c>
      <c r="J437" s="318">
        <v>0</v>
      </c>
      <c r="K437" s="318">
        <v>0</v>
      </c>
      <c r="L437" s="318">
        <v>0</v>
      </c>
      <c r="M437" s="318">
        <v>0</v>
      </c>
      <c r="N437" s="318">
        <v>0</v>
      </c>
      <c r="O437" s="318">
        <v>0</v>
      </c>
      <c r="P437" s="318">
        <v>1</v>
      </c>
    </row>
    <row r="438" spans="1:16">
      <c r="A438" s="227" t="s">
        <v>565</v>
      </c>
      <c r="B438" s="227" t="s">
        <v>541</v>
      </c>
      <c r="C438" s="227" t="s">
        <v>542</v>
      </c>
      <c r="D438" s="318">
        <v>0</v>
      </c>
      <c r="E438" s="318">
        <v>0</v>
      </c>
      <c r="F438" s="318">
        <v>0</v>
      </c>
      <c r="G438" s="318">
        <v>0</v>
      </c>
      <c r="H438" s="318">
        <v>0</v>
      </c>
      <c r="I438" s="318">
        <v>0</v>
      </c>
      <c r="J438" s="318">
        <v>0</v>
      </c>
      <c r="K438" s="318">
        <v>0</v>
      </c>
      <c r="L438" s="318">
        <v>0</v>
      </c>
      <c r="M438" s="318">
        <v>0</v>
      </c>
      <c r="N438" s="318">
        <v>0</v>
      </c>
      <c r="O438" s="318">
        <v>0</v>
      </c>
      <c r="P438" s="318">
        <v>1</v>
      </c>
    </row>
    <row r="439" spans="1:16">
      <c r="A439" s="227" t="s">
        <v>566</v>
      </c>
      <c r="B439" s="227" t="s">
        <v>541</v>
      </c>
      <c r="C439" s="227" t="s">
        <v>542</v>
      </c>
      <c r="D439" s="318">
        <v>0</v>
      </c>
      <c r="E439" s="318">
        <v>0</v>
      </c>
      <c r="F439" s="318">
        <v>0</v>
      </c>
      <c r="G439" s="318">
        <v>0</v>
      </c>
      <c r="H439" s="318">
        <v>0</v>
      </c>
      <c r="I439" s="318">
        <v>0</v>
      </c>
      <c r="J439" s="318">
        <v>0</v>
      </c>
      <c r="K439" s="318">
        <v>0</v>
      </c>
      <c r="L439" s="318">
        <v>0</v>
      </c>
      <c r="M439" s="318">
        <v>0</v>
      </c>
      <c r="N439" s="318">
        <v>0</v>
      </c>
      <c r="O439" s="318">
        <v>0</v>
      </c>
      <c r="P439" s="318">
        <v>1</v>
      </c>
    </row>
    <row r="440" spans="1:16">
      <c r="A440" s="227" t="s">
        <v>567</v>
      </c>
      <c r="B440" s="227" t="s">
        <v>541</v>
      </c>
      <c r="C440" s="227" t="s">
        <v>542</v>
      </c>
      <c r="D440" s="318">
        <v>0</v>
      </c>
      <c r="E440" s="318">
        <v>0</v>
      </c>
      <c r="F440" s="318">
        <v>0</v>
      </c>
      <c r="G440" s="318">
        <v>0</v>
      </c>
      <c r="H440" s="318">
        <v>0</v>
      </c>
      <c r="I440" s="318">
        <v>0</v>
      </c>
      <c r="J440" s="318">
        <v>0</v>
      </c>
      <c r="K440" s="318">
        <v>0</v>
      </c>
      <c r="L440" s="318">
        <v>0</v>
      </c>
      <c r="M440" s="318">
        <v>0</v>
      </c>
      <c r="N440" s="318">
        <v>0</v>
      </c>
      <c r="O440" s="318">
        <v>0</v>
      </c>
      <c r="P440" s="318">
        <v>1</v>
      </c>
    </row>
    <row r="441" spans="1:16">
      <c r="A441" s="227" t="s">
        <v>568</v>
      </c>
      <c r="B441" s="227"/>
      <c r="C441" s="227" t="s">
        <v>550</v>
      </c>
      <c r="D441" s="318">
        <v>0</v>
      </c>
      <c r="E441" s="318">
        <v>0</v>
      </c>
      <c r="F441" s="318">
        <v>0</v>
      </c>
      <c r="G441" s="318">
        <v>0</v>
      </c>
      <c r="H441" s="318">
        <v>0</v>
      </c>
      <c r="I441" s="318">
        <v>0</v>
      </c>
      <c r="J441" s="318">
        <v>0</v>
      </c>
      <c r="K441" s="318">
        <v>0</v>
      </c>
      <c r="L441" s="318">
        <v>1</v>
      </c>
      <c r="M441" s="318">
        <v>0</v>
      </c>
      <c r="N441" s="318">
        <v>0</v>
      </c>
      <c r="O441" s="318">
        <v>0</v>
      </c>
      <c r="P441" s="318">
        <v>0</v>
      </c>
    </row>
    <row r="442" spans="1:16">
      <c r="A442" s="227" t="s">
        <v>569</v>
      </c>
      <c r="B442" s="227" t="s">
        <v>541</v>
      </c>
      <c r="C442" s="227" t="s">
        <v>542</v>
      </c>
      <c r="D442" s="318">
        <v>0</v>
      </c>
      <c r="E442" s="318">
        <v>0</v>
      </c>
      <c r="F442" s="318">
        <v>0</v>
      </c>
      <c r="G442" s="318">
        <v>0</v>
      </c>
      <c r="H442" s="318">
        <v>0</v>
      </c>
      <c r="I442" s="318">
        <v>0</v>
      </c>
      <c r="J442" s="318">
        <v>0</v>
      </c>
      <c r="K442" s="318">
        <v>0</v>
      </c>
      <c r="L442" s="318">
        <v>0</v>
      </c>
      <c r="M442" s="318">
        <v>0</v>
      </c>
      <c r="N442" s="318">
        <v>0</v>
      </c>
      <c r="O442" s="318">
        <v>0</v>
      </c>
      <c r="P442" s="318">
        <v>1</v>
      </c>
    </row>
    <row r="443" spans="1:16">
      <c r="A443" s="227" t="s">
        <v>570</v>
      </c>
      <c r="B443" s="227"/>
      <c r="C443" s="227" t="s">
        <v>550</v>
      </c>
      <c r="D443" s="318">
        <v>0</v>
      </c>
      <c r="E443" s="318">
        <v>0</v>
      </c>
      <c r="F443" s="318">
        <v>0</v>
      </c>
      <c r="G443" s="318">
        <v>0</v>
      </c>
      <c r="H443" s="318">
        <v>0</v>
      </c>
      <c r="I443" s="318">
        <v>0</v>
      </c>
      <c r="J443" s="318">
        <v>1</v>
      </c>
      <c r="K443" s="318">
        <v>0</v>
      </c>
      <c r="L443" s="318">
        <v>0</v>
      </c>
      <c r="M443" s="318">
        <v>0</v>
      </c>
      <c r="N443" s="318">
        <v>0</v>
      </c>
      <c r="O443" s="318">
        <v>0</v>
      </c>
      <c r="P443" s="318">
        <v>0</v>
      </c>
    </row>
    <row r="444" spans="1:16">
      <c r="A444" s="227" t="s">
        <v>571</v>
      </c>
      <c r="B444" s="227"/>
      <c r="C444" s="227" t="s">
        <v>550</v>
      </c>
      <c r="D444" s="318">
        <v>0</v>
      </c>
      <c r="E444" s="318">
        <v>0</v>
      </c>
      <c r="F444" s="318">
        <v>0</v>
      </c>
      <c r="G444" s="318">
        <v>0</v>
      </c>
      <c r="H444" s="318">
        <v>0</v>
      </c>
      <c r="I444" s="318">
        <v>0</v>
      </c>
      <c r="J444" s="318">
        <v>1</v>
      </c>
      <c r="K444" s="318">
        <v>0</v>
      </c>
      <c r="L444" s="318">
        <v>0</v>
      </c>
      <c r="M444" s="318">
        <v>0</v>
      </c>
      <c r="N444" s="318">
        <v>0</v>
      </c>
      <c r="O444" s="318">
        <v>0</v>
      </c>
      <c r="P444" s="318">
        <v>0</v>
      </c>
    </row>
    <row r="445" spans="1:16">
      <c r="A445" s="227" t="s">
        <v>572</v>
      </c>
      <c r="B445" s="227" t="s">
        <v>541</v>
      </c>
      <c r="C445" s="227" t="s">
        <v>542</v>
      </c>
      <c r="D445" s="318">
        <v>0</v>
      </c>
      <c r="E445" s="318">
        <v>0</v>
      </c>
      <c r="F445" s="318">
        <v>0</v>
      </c>
      <c r="G445" s="318">
        <v>0</v>
      </c>
      <c r="H445" s="318">
        <v>0</v>
      </c>
      <c r="I445" s="318">
        <v>0</v>
      </c>
      <c r="J445" s="318">
        <v>0</v>
      </c>
      <c r="K445" s="318">
        <v>0</v>
      </c>
      <c r="L445" s="318">
        <v>0</v>
      </c>
      <c r="M445" s="318">
        <v>0</v>
      </c>
      <c r="N445" s="318">
        <v>0</v>
      </c>
      <c r="O445" s="318">
        <v>0</v>
      </c>
      <c r="P445" s="318">
        <v>1</v>
      </c>
    </row>
    <row r="446" spans="1:16">
      <c r="A446" s="227" t="s">
        <v>573</v>
      </c>
      <c r="B446" s="227" t="s">
        <v>541</v>
      </c>
      <c r="C446" s="227" t="s">
        <v>542</v>
      </c>
      <c r="D446" s="318">
        <v>0</v>
      </c>
      <c r="E446" s="318">
        <v>0</v>
      </c>
      <c r="F446" s="318">
        <v>0</v>
      </c>
      <c r="G446" s="318">
        <v>0</v>
      </c>
      <c r="H446" s="318">
        <v>0</v>
      </c>
      <c r="I446" s="318">
        <v>0</v>
      </c>
      <c r="J446" s="318">
        <v>0</v>
      </c>
      <c r="K446" s="318">
        <v>0</v>
      </c>
      <c r="L446" s="318">
        <v>0</v>
      </c>
      <c r="M446" s="318">
        <v>0</v>
      </c>
      <c r="N446" s="318">
        <v>0</v>
      </c>
      <c r="O446" s="318">
        <v>0</v>
      </c>
      <c r="P446" s="318">
        <v>1</v>
      </c>
    </row>
    <row r="447" spans="1:16">
      <c r="A447" s="227" t="s">
        <v>573</v>
      </c>
      <c r="B447" s="227" t="s">
        <v>541</v>
      </c>
      <c r="C447" s="227" t="s">
        <v>542</v>
      </c>
      <c r="D447" s="318">
        <v>0</v>
      </c>
      <c r="E447" s="318">
        <v>0</v>
      </c>
      <c r="F447" s="318">
        <v>0</v>
      </c>
      <c r="G447" s="318">
        <v>0</v>
      </c>
      <c r="H447" s="318">
        <v>0</v>
      </c>
      <c r="I447" s="318">
        <v>0</v>
      </c>
      <c r="J447" s="318">
        <v>0</v>
      </c>
      <c r="K447" s="318">
        <v>0</v>
      </c>
      <c r="L447" s="318">
        <v>0</v>
      </c>
      <c r="M447" s="318">
        <v>0</v>
      </c>
      <c r="N447" s="318">
        <v>0</v>
      </c>
      <c r="O447" s="318">
        <v>0</v>
      </c>
      <c r="P447" s="318">
        <v>1</v>
      </c>
    </row>
    <row r="448" spans="1:16">
      <c r="A448" s="227" t="s">
        <v>574</v>
      </c>
      <c r="B448" s="227"/>
      <c r="C448" s="227" t="s">
        <v>550</v>
      </c>
      <c r="D448" s="318">
        <v>0</v>
      </c>
      <c r="E448" s="318">
        <v>0</v>
      </c>
      <c r="F448" s="318">
        <v>0</v>
      </c>
      <c r="G448" s="318">
        <v>0</v>
      </c>
      <c r="H448" s="318">
        <v>0</v>
      </c>
      <c r="I448" s="318">
        <v>0</v>
      </c>
      <c r="J448" s="318">
        <v>0</v>
      </c>
      <c r="K448" s="318">
        <v>0</v>
      </c>
      <c r="L448" s="318">
        <v>0</v>
      </c>
      <c r="M448" s="318">
        <v>0</v>
      </c>
      <c r="N448" s="318">
        <v>1</v>
      </c>
      <c r="O448" s="318">
        <v>0</v>
      </c>
      <c r="P448" s="318">
        <v>0</v>
      </c>
    </row>
    <row r="449" spans="1:16">
      <c r="A449" s="227" t="s">
        <v>575</v>
      </c>
      <c r="B449" s="227"/>
      <c r="C449" s="227" t="s">
        <v>550</v>
      </c>
      <c r="D449" s="318">
        <v>0</v>
      </c>
      <c r="E449" s="318">
        <v>0</v>
      </c>
      <c r="F449" s="318">
        <v>0</v>
      </c>
      <c r="G449" s="318">
        <v>0</v>
      </c>
      <c r="H449" s="318">
        <v>0</v>
      </c>
      <c r="I449" s="318">
        <v>0</v>
      </c>
      <c r="J449" s="318">
        <v>0</v>
      </c>
      <c r="K449" s="318">
        <v>0</v>
      </c>
      <c r="L449" s="318">
        <v>0</v>
      </c>
      <c r="M449" s="318">
        <v>0</v>
      </c>
      <c r="N449" s="318">
        <v>1</v>
      </c>
      <c r="O449" s="318">
        <v>0</v>
      </c>
      <c r="P449" s="318">
        <v>0</v>
      </c>
    </row>
    <row r="450" spans="1:16">
      <c r="A450" s="227" t="s">
        <v>576</v>
      </c>
      <c r="B450" s="227" t="s">
        <v>541</v>
      </c>
      <c r="C450" s="227" t="s">
        <v>542</v>
      </c>
      <c r="D450" s="318">
        <v>0</v>
      </c>
      <c r="E450" s="318">
        <v>0</v>
      </c>
      <c r="F450" s="318">
        <v>0</v>
      </c>
      <c r="G450" s="318">
        <v>0</v>
      </c>
      <c r="H450" s="318">
        <v>0</v>
      </c>
      <c r="I450" s="318">
        <v>0</v>
      </c>
      <c r="J450" s="318">
        <v>0</v>
      </c>
      <c r="K450" s="318">
        <v>0</v>
      </c>
      <c r="L450" s="318">
        <v>0</v>
      </c>
      <c r="M450" s="318">
        <v>0</v>
      </c>
      <c r="N450" s="318">
        <v>0</v>
      </c>
      <c r="O450" s="318">
        <v>0</v>
      </c>
      <c r="P450" s="318">
        <v>1</v>
      </c>
    </row>
    <row r="451" spans="1:16">
      <c r="A451" s="227" t="s">
        <v>577</v>
      </c>
      <c r="B451" s="227"/>
      <c r="C451" s="227" t="s">
        <v>550</v>
      </c>
      <c r="D451" s="318">
        <v>0</v>
      </c>
      <c r="E451" s="318">
        <v>0</v>
      </c>
      <c r="F451" s="318">
        <v>0</v>
      </c>
      <c r="G451" s="318">
        <v>0</v>
      </c>
      <c r="H451" s="318">
        <v>0</v>
      </c>
      <c r="I451" s="318">
        <v>0</v>
      </c>
      <c r="J451" s="318">
        <v>0</v>
      </c>
      <c r="K451" s="318">
        <v>0</v>
      </c>
      <c r="L451" s="318">
        <v>0</v>
      </c>
      <c r="M451" s="318">
        <v>0</v>
      </c>
      <c r="N451" s="318">
        <v>0</v>
      </c>
      <c r="O451" s="318">
        <v>1</v>
      </c>
      <c r="P451" s="318">
        <v>0</v>
      </c>
    </row>
    <row r="452" spans="1:16">
      <c r="A452" s="227" t="s">
        <v>578</v>
      </c>
      <c r="B452" s="227" t="s">
        <v>541</v>
      </c>
      <c r="C452" s="227" t="s">
        <v>542</v>
      </c>
      <c r="D452" s="318">
        <v>0</v>
      </c>
      <c r="E452" s="318">
        <v>0</v>
      </c>
      <c r="F452" s="318">
        <v>0</v>
      </c>
      <c r="G452" s="318">
        <v>0</v>
      </c>
      <c r="H452" s="318">
        <v>0</v>
      </c>
      <c r="I452" s="318">
        <v>0</v>
      </c>
      <c r="J452" s="318">
        <v>0</v>
      </c>
      <c r="K452" s="318">
        <v>0</v>
      </c>
      <c r="L452" s="318">
        <v>0</v>
      </c>
      <c r="M452" s="318">
        <v>0</v>
      </c>
      <c r="N452" s="318">
        <v>0</v>
      </c>
      <c r="O452" s="318">
        <v>0</v>
      </c>
      <c r="P452" s="318">
        <v>1</v>
      </c>
    </row>
    <row r="453" spans="1:16">
      <c r="A453" s="315">
        <v>390230</v>
      </c>
      <c r="B453" s="227"/>
      <c r="C453" s="227" t="s">
        <v>45</v>
      </c>
      <c r="D453" s="318">
        <v>0</v>
      </c>
      <c r="E453" s="318">
        <v>0</v>
      </c>
      <c r="F453" s="318">
        <v>1</v>
      </c>
      <c r="G453" s="318">
        <v>0</v>
      </c>
      <c r="H453" s="318">
        <v>0</v>
      </c>
      <c r="I453" s="318">
        <v>0</v>
      </c>
      <c r="J453" s="318">
        <v>0</v>
      </c>
      <c r="K453" s="318">
        <v>0</v>
      </c>
      <c r="L453" s="318">
        <v>0</v>
      </c>
      <c r="M453" s="318">
        <v>0</v>
      </c>
      <c r="N453" s="318">
        <v>0</v>
      </c>
      <c r="O453" s="318">
        <v>0</v>
      </c>
      <c r="P453" s="318">
        <v>0</v>
      </c>
    </row>
    <row r="455" spans="1:16" s="225" customFormat="1">
      <c r="A455" s="225" t="s">
        <v>579</v>
      </c>
    </row>
    <row r="457" spans="1:16">
      <c r="A457" s="227" t="s">
        <v>580</v>
      </c>
      <c r="B457" s="227" t="s">
        <v>581</v>
      </c>
      <c r="C457" s="227" t="s">
        <v>582</v>
      </c>
      <c r="D457" s="227" t="s">
        <v>536</v>
      </c>
      <c r="E457" s="227" t="s">
        <v>583</v>
      </c>
      <c r="F457" s="227" t="s">
        <v>584</v>
      </c>
      <c r="G457" s="227" t="s">
        <v>585</v>
      </c>
    </row>
    <row r="458" spans="1:16">
      <c r="A458" s="227" t="s">
        <v>586</v>
      </c>
      <c r="B458" s="227" t="s">
        <v>587</v>
      </c>
      <c r="C458" s="227" t="s">
        <v>588</v>
      </c>
      <c r="D458" s="227">
        <v>39011010</v>
      </c>
      <c r="E458" s="227" t="s">
        <v>589</v>
      </c>
      <c r="F458" s="227" t="str">
        <f t="shared" ref="F458:F505" si="11">LEFT(D458,6)</f>
        <v>390110</v>
      </c>
      <c r="G458" s="227" t="s">
        <v>85</v>
      </c>
    </row>
    <row r="459" spans="1:16">
      <c r="A459" s="227" t="s">
        <v>590</v>
      </c>
      <c r="B459" s="227" t="s">
        <v>591</v>
      </c>
      <c r="C459" s="227" t="s">
        <v>592</v>
      </c>
      <c r="D459" s="227">
        <v>39011090</v>
      </c>
      <c r="E459" s="227" t="s">
        <v>593</v>
      </c>
      <c r="F459" s="227" t="str">
        <f t="shared" si="11"/>
        <v>390110</v>
      </c>
      <c r="G459" s="227" t="s">
        <v>85</v>
      </c>
    </row>
    <row r="460" spans="1:16">
      <c r="A460" s="227" t="s">
        <v>594</v>
      </c>
      <c r="B460" s="227" t="s">
        <v>595</v>
      </c>
      <c r="C460" s="227" t="s">
        <v>596</v>
      </c>
      <c r="D460" s="227">
        <v>39012010</v>
      </c>
      <c r="E460" s="227" t="s">
        <v>597</v>
      </c>
      <c r="F460" s="227" t="str">
        <f t="shared" si="11"/>
        <v>390120</v>
      </c>
      <c r="G460" s="227" t="s">
        <v>86</v>
      </c>
    </row>
    <row r="461" spans="1:16">
      <c r="A461" s="227" t="s">
        <v>598</v>
      </c>
      <c r="B461" s="227" t="s">
        <v>599</v>
      </c>
      <c r="C461" s="227" t="s">
        <v>600</v>
      </c>
      <c r="D461" s="227">
        <v>39013000</v>
      </c>
      <c r="E461" s="227" t="s">
        <v>601</v>
      </c>
      <c r="F461" s="227" t="str">
        <f t="shared" si="11"/>
        <v>390130</v>
      </c>
      <c r="G461" s="227" t="s">
        <v>98</v>
      </c>
    </row>
    <row r="462" spans="1:16">
      <c r="A462" s="227" t="s">
        <v>602</v>
      </c>
      <c r="B462" s="227" t="s">
        <v>603</v>
      </c>
      <c r="C462" s="227" t="s">
        <v>604</v>
      </c>
      <c r="D462" s="227">
        <v>39014000</v>
      </c>
      <c r="E462" s="227" t="s">
        <v>605</v>
      </c>
      <c r="F462" s="227" t="str">
        <f t="shared" si="11"/>
        <v>390140</v>
      </c>
      <c r="G462" s="227" t="s">
        <v>98</v>
      </c>
    </row>
    <row r="463" spans="1:16">
      <c r="A463" s="227" t="s">
        <v>606</v>
      </c>
      <c r="B463" s="227" t="s">
        <v>607</v>
      </c>
      <c r="C463" s="227" t="s">
        <v>608</v>
      </c>
      <c r="D463" s="227">
        <v>39021000</v>
      </c>
      <c r="E463" s="227" t="s">
        <v>607</v>
      </c>
      <c r="F463" s="227" t="str">
        <f t="shared" si="11"/>
        <v>390210</v>
      </c>
      <c r="G463" s="227" t="s">
        <v>87</v>
      </c>
    </row>
    <row r="464" spans="1:16">
      <c r="A464" s="227" t="s">
        <v>609</v>
      </c>
      <c r="B464" s="227" t="s">
        <v>610</v>
      </c>
      <c r="C464" s="227" t="s">
        <v>611</v>
      </c>
      <c r="D464" s="227">
        <v>39022000</v>
      </c>
      <c r="E464" s="227" t="s">
        <v>612</v>
      </c>
      <c r="F464" s="227" t="str">
        <f t="shared" si="11"/>
        <v>390220</v>
      </c>
      <c r="G464" s="227" t="s">
        <v>98</v>
      </c>
    </row>
    <row r="465" spans="1:7">
      <c r="A465" s="227" t="s">
        <v>613</v>
      </c>
      <c r="B465" s="227" t="s">
        <v>614</v>
      </c>
      <c r="C465" s="227" t="s">
        <v>615</v>
      </c>
      <c r="D465" s="227">
        <v>39031100</v>
      </c>
      <c r="E465" s="227" t="s">
        <v>616</v>
      </c>
      <c r="F465" s="227" t="str">
        <f t="shared" si="11"/>
        <v>390311</v>
      </c>
      <c r="G465" s="227" t="s">
        <v>89</v>
      </c>
    </row>
    <row r="466" spans="1:7">
      <c r="A466" s="227" t="s">
        <v>617</v>
      </c>
      <c r="B466" s="227" t="s">
        <v>618</v>
      </c>
      <c r="C466" s="227" t="s">
        <v>619</v>
      </c>
      <c r="D466" s="227">
        <v>39031900</v>
      </c>
      <c r="E466" s="227" t="s">
        <v>620</v>
      </c>
      <c r="F466" s="227" t="str">
        <f t="shared" si="11"/>
        <v>390319</v>
      </c>
      <c r="G466" s="227" t="s">
        <v>88</v>
      </c>
    </row>
    <row r="467" spans="1:7">
      <c r="A467" s="227" t="s">
        <v>621</v>
      </c>
      <c r="B467" s="227" t="s">
        <v>622</v>
      </c>
      <c r="C467" s="227" t="s">
        <v>623</v>
      </c>
      <c r="D467" s="227">
        <v>39032000</v>
      </c>
      <c r="E467" s="227" t="s">
        <v>624</v>
      </c>
      <c r="F467" s="227" t="str">
        <f t="shared" si="11"/>
        <v>390320</v>
      </c>
      <c r="G467" s="227" t="s">
        <v>98</v>
      </c>
    </row>
    <row r="468" spans="1:7">
      <c r="A468" s="227" t="s">
        <v>625</v>
      </c>
      <c r="B468" s="227" t="s">
        <v>626</v>
      </c>
      <c r="C468" s="227" t="s">
        <v>627</v>
      </c>
      <c r="D468" s="227">
        <v>39033000</v>
      </c>
      <c r="E468" s="227" t="s">
        <v>628</v>
      </c>
      <c r="F468" s="227" t="str">
        <f t="shared" si="11"/>
        <v>390330</v>
      </c>
      <c r="G468" s="227" t="s">
        <v>94</v>
      </c>
    </row>
    <row r="469" spans="1:7">
      <c r="A469" s="227" t="s">
        <v>629</v>
      </c>
      <c r="B469" s="227" t="s">
        <v>630</v>
      </c>
      <c r="C469" s="227" t="s">
        <v>631</v>
      </c>
      <c r="D469" s="227">
        <v>39039010</v>
      </c>
      <c r="E469" s="227" t="s">
        <v>632</v>
      </c>
      <c r="F469" s="227" t="str">
        <f t="shared" si="11"/>
        <v>390390</v>
      </c>
      <c r="G469" s="227" t="s">
        <v>98</v>
      </c>
    </row>
    <row r="470" spans="1:7">
      <c r="A470" s="227" t="s">
        <v>633</v>
      </c>
      <c r="B470" s="227" t="s">
        <v>634</v>
      </c>
      <c r="C470" s="227" t="s">
        <v>635</v>
      </c>
      <c r="D470" s="227">
        <v>39041000</v>
      </c>
      <c r="E470" s="227" t="s">
        <v>636</v>
      </c>
      <c r="F470" s="227" t="str">
        <f t="shared" si="11"/>
        <v>390410</v>
      </c>
      <c r="G470" s="227" t="s">
        <v>90</v>
      </c>
    </row>
    <row r="471" spans="1:7">
      <c r="A471" s="227" t="s">
        <v>637</v>
      </c>
      <c r="B471" s="227" t="s">
        <v>638</v>
      </c>
      <c r="C471" s="227" t="s">
        <v>639</v>
      </c>
      <c r="D471" s="227">
        <v>39042100</v>
      </c>
      <c r="E471" s="227" t="s">
        <v>640</v>
      </c>
      <c r="F471" s="227" t="str">
        <f t="shared" si="11"/>
        <v>390421</v>
      </c>
      <c r="G471" s="227" t="s">
        <v>90</v>
      </c>
    </row>
    <row r="472" spans="1:7">
      <c r="A472" s="227" t="s">
        <v>641</v>
      </c>
      <c r="B472" s="227" t="s">
        <v>642</v>
      </c>
      <c r="C472" s="227" t="s">
        <v>643</v>
      </c>
      <c r="D472" s="227">
        <v>39042200</v>
      </c>
      <c r="E472" s="227" t="s">
        <v>644</v>
      </c>
      <c r="F472" s="227" t="str">
        <f t="shared" si="11"/>
        <v>390422</v>
      </c>
      <c r="G472" s="227" t="s">
        <v>90</v>
      </c>
    </row>
    <row r="473" spans="1:7">
      <c r="A473" s="227" t="s">
        <v>645</v>
      </c>
      <c r="B473" s="227" t="s">
        <v>646</v>
      </c>
      <c r="C473" s="227" t="s">
        <v>647</v>
      </c>
      <c r="D473" s="227">
        <v>39043000</v>
      </c>
      <c r="E473" s="227" t="s">
        <v>648</v>
      </c>
      <c r="F473" s="227" t="str">
        <f t="shared" si="11"/>
        <v>390430</v>
      </c>
      <c r="G473" s="227" t="s">
        <v>98</v>
      </c>
    </row>
    <row r="474" spans="1:7">
      <c r="A474" s="227" t="s">
        <v>649</v>
      </c>
      <c r="B474" s="227" t="s">
        <v>650</v>
      </c>
      <c r="C474" s="227" t="s">
        <v>651</v>
      </c>
      <c r="D474" s="227">
        <v>39045010</v>
      </c>
      <c r="E474" s="227" t="s">
        <v>652</v>
      </c>
      <c r="F474" s="227" t="str">
        <f t="shared" si="11"/>
        <v>390450</v>
      </c>
      <c r="G474" s="227" t="s">
        <v>98</v>
      </c>
    </row>
    <row r="475" spans="1:7">
      <c r="A475" s="227" t="s">
        <v>653</v>
      </c>
      <c r="B475" s="227" t="s">
        <v>654</v>
      </c>
      <c r="C475" s="227"/>
      <c r="D475" s="227">
        <v>39046100</v>
      </c>
      <c r="E475" s="227" t="s">
        <v>655</v>
      </c>
      <c r="F475" s="227" t="str">
        <f t="shared" si="11"/>
        <v>390461</v>
      </c>
      <c r="G475" s="227" t="s">
        <v>98</v>
      </c>
    </row>
    <row r="476" spans="1:7">
      <c r="A476" s="227" t="s">
        <v>656</v>
      </c>
      <c r="B476" s="227" t="s">
        <v>657</v>
      </c>
      <c r="C476" s="227" t="s">
        <v>658</v>
      </c>
      <c r="D476" s="227">
        <v>39051200</v>
      </c>
      <c r="E476" s="227" t="s">
        <v>659</v>
      </c>
      <c r="F476" s="227" t="str">
        <f t="shared" si="11"/>
        <v>390512</v>
      </c>
      <c r="G476" s="227" t="s">
        <v>98</v>
      </c>
    </row>
    <row r="477" spans="1:7">
      <c r="A477" s="227" t="s">
        <v>660</v>
      </c>
      <c r="B477" s="227" t="s">
        <v>661</v>
      </c>
      <c r="C477" s="227" t="s">
        <v>662</v>
      </c>
      <c r="D477" s="227">
        <v>39051900</v>
      </c>
      <c r="E477" s="227" t="s">
        <v>663</v>
      </c>
      <c r="F477" s="227" t="str">
        <f t="shared" si="11"/>
        <v>390519</v>
      </c>
      <c r="G477" s="227" t="s">
        <v>98</v>
      </c>
    </row>
    <row r="478" spans="1:7">
      <c r="A478" s="227" t="s">
        <v>664</v>
      </c>
      <c r="B478" s="227" t="s">
        <v>665</v>
      </c>
      <c r="C478" s="227" t="s">
        <v>666</v>
      </c>
      <c r="D478" s="227">
        <v>39053000</v>
      </c>
      <c r="E478" s="227" t="s">
        <v>667</v>
      </c>
      <c r="F478" s="227" t="str">
        <f t="shared" si="11"/>
        <v>390530</v>
      </c>
      <c r="G478" s="227" t="s">
        <v>98</v>
      </c>
    </row>
    <row r="479" spans="1:7">
      <c r="A479" s="227" t="s">
        <v>668</v>
      </c>
      <c r="B479" s="227" t="s">
        <v>669</v>
      </c>
      <c r="C479" s="227" t="s">
        <v>670</v>
      </c>
      <c r="D479" s="227">
        <v>39061000</v>
      </c>
      <c r="E479" s="227" t="s">
        <v>671</v>
      </c>
      <c r="F479" s="227" t="str">
        <f t="shared" si="11"/>
        <v>390610</v>
      </c>
      <c r="G479" s="227" t="s">
        <v>97</v>
      </c>
    </row>
    <row r="480" spans="1:7">
      <c r="A480" s="227" t="s">
        <v>672</v>
      </c>
      <c r="B480" s="227" t="s">
        <v>673</v>
      </c>
      <c r="C480" s="227" t="s">
        <v>674</v>
      </c>
      <c r="D480" s="227">
        <v>39069010</v>
      </c>
      <c r="E480" s="227" t="s">
        <v>675</v>
      </c>
      <c r="F480" s="227" t="str">
        <f t="shared" si="11"/>
        <v>390690</v>
      </c>
      <c r="G480" s="227" t="s">
        <v>97</v>
      </c>
    </row>
    <row r="481" spans="1:7">
      <c r="A481" s="227" t="s">
        <v>676</v>
      </c>
      <c r="B481" s="227" t="s">
        <v>677</v>
      </c>
      <c r="C481" s="227" t="s">
        <v>678</v>
      </c>
      <c r="D481" s="227">
        <v>39071000</v>
      </c>
      <c r="E481" s="227" t="s">
        <v>677</v>
      </c>
      <c r="F481" s="227" t="str">
        <f t="shared" si="11"/>
        <v>390710</v>
      </c>
      <c r="G481" s="227" t="s">
        <v>98</v>
      </c>
    </row>
    <row r="482" spans="1:7">
      <c r="A482" s="227" t="s">
        <v>679</v>
      </c>
      <c r="B482" s="227" t="s">
        <v>680</v>
      </c>
      <c r="C482" s="227" t="s">
        <v>681</v>
      </c>
      <c r="D482" s="227">
        <v>39072100</v>
      </c>
      <c r="E482" s="227" t="s">
        <v>682</v>
      </c>
      <c r="F482" s="227" t="str">
        <f t="shared" si="11"/>
        <v>390721</v>
      </c>
      <c r="G482" s="227" t="s">
        <v>98</v>
      </c>
    </row>
    <row r="483" spans="1:7">
      <c r="A483" s="227" t="s">
        <v>683</v>
      </c>
      <c r="B483" s="227" t="s">
        <v>684</v>
      </c>
      <c r="C483" s="227" t="s">
        <v>685</v>
      </c>
      <c r="D483" s="227">
        <v>39072991</v>
      </c>
      <c r="E483" s="227" t="s">
        <v>686</v>
      </c>
      <c r="F483" s="227" t="str">
        <f t="shared" si="11"/>
        <v>390729</v>
      </c>
      <c r="G483" s="227" t="s">
        <v>98</v>
      </c>
    </row>
    <row r="484" spans="1:7">
      <c r="A484" s="227" t="s">
        <v>687</v>
      </c>
      <c r="B484" s="227" t="s">
        <v>688</v>
      </c>
      <c r="C484" s="227" t="s">
        <v>689</v>
      </c>
      <c r="D484" s="227">
        <v>39073000</v>
      </c>
      <c r="E484" s="227" t="s">
        <v>688</v>
      </c>
      <c r="F484" s="227" t="str">
        <f t="shared" si="11"/>
        <v>390730</v>
      </c>
      <c r="G484" s="227" t="s">
        <v>98</v>
      </c>
    </row>
    <row r="485" spans="1:7">
      <c r="A485" s="227" t="s">
        <v>690</v>
      </c>
      <c r="B485" s="227" t="s">
        <v>691</v>
      </c>
      <c r="C485" s="227" t="s">
        <v>692</v>
      </c>
      <c r="D485" s="227">
        <v>39074000</v>
      </c>
      <c r="E485" s="227" t="s">
        <v>691</v>
      </c>
      <c r="F485" s="227" t="str">
        <f t="shared" si="11"/>
        <v>390740</v>
      </c>
      <c r="G485" s="227" t="s">
        <v>96</v>
      </c>
    </row>
    <row r="486" spans="1:7">
      <c r="A486" s="227" t="s">
        <v>693</v>
      </c>
      <c r="B486" s="227" t="s">
        <v>694</v>
      </c>
      <c r="C486" s="227" t="s">
        <v>695</v>
      </c>
      <c r="D486" s="227">
        <v>39075000</v>
      </c>
      <c r="E486" s="227" t="s">
        <v>694</v>
      </c>
      <c r="F486" s="227" t="str">
        <f t="shared" si="11"/>
        <v>390750</v>
      </c>
      <c r="G486" s="227" t="s">
        <v>98</v>
      </c>
    </row>
    <row r="487" spans="1:7">
      <c r="A487" s="227" t="s">
        <v>696</v>
      </c>
      <c r="B487" s="227" t="s">
        <v>697</v>
      </c>
      <c r="C487" s="227" t="s">
        <v>698</v>
      </c>
      <c r="D487" s="227">
        <v>39076100</v>
      </c>
      <c r="E487" s="227" t="s">
        <v>699</v>
      </c>
      <c r="F487" s="227" t="str">
        <f t="shared" si="11"/>
        <v>390761</v>
      </c>
      <c r="G487" s="227" t="s">
        <v>91</v>
      </c>
    </row>
    <row r="488" spans="1:7">
      <c r="A488" s="227" t="s">
        <v>700</v>
      </c>
      <c r="B488" s="227" t="s">
        <v>701</v>
      </c>
      <c r="C488" s="227" t="s">
        <v>702</v>
      </c>
      <c r="D488" s="227">
        <v>39076900</v>
      </c>
      <c r="E488" s="227" t="s">
        <v>703</v>
      </c>
      <c r="F488" s="227" t="str">
        <f t="shared" si="11"/>
        <v>390769</v>
      </c>
      <c r="G488" s="227" t="s">
        <v>91</v>
      </c>
    </row>
    <row r="489" spans="1:7">
      <c r="A489" s="227" t="s">
        <v>704</v>
      </c>
      <c r="B489" s="227" t="s">
        <v>705</v>
      </c>
      <c r="C489" s="227" t="s">
        <v>706</v>
      </c>
      <c r="D489" s="227">
        <v>39077000</v>
      </c>
      <c r="E489" s="227" t="s">
        <v>707</v>
      </c>
      <c r="F489" s="227" t="str">
        <f t="shared" si="11"/>
        <v>390770</v>
      </c>
      <c r="G489" s="227" t="s">
        <v>98</v>
      </c>
    </row>
    <row r="490" spans="1:7">
      <c r="A490" s="227" t="s">
        <v>708</v>
      </c>
      <c r="B490" s="227" t="s">
        <v>709</v>
      </c>
      <c r="C490" s="227" t="s">
        <v>710</v>
      </c>
      <c r="D490" s="227">
        <v>39079110</v>
      </c>
      <c r="E490" s="227" t="s">
        <v>711</v>
      </c>
      <c r="F490" s="227" t="str">
        <f t="shared" si="11"/>
        <v>390791</v>
      </c>
      <c r="G490" s="227" t="s">
        <v>98</v>
      </c>
    </row>
    <row r="491" spans="1:7">
      <c r="A491" s="227" t="s">
        <v>712</v>
      </c>
      <c r="B491" s="227" t="s">
        <v>713</v>
      </c>
      <c r="C491" s="227" t="s">
        <v>714</v>
      </c>
      <c r="D491" s="227">
        <v>39079190</v>
      </c>
      <c r="E491" s="227" t="s">
        <v>715</v>
      </c>
      <c r="F491" s="227" t="str">
        <f t="shared" si="11"/>
        <v>390791</v>
      </c>
      <c r="G491" s="227" t="s">
        <v>98</v>
      </c>
    </row>
    <row r="492" spans="1:7">
      <c r="A492" s="227" t="s">
        <v>716</v>
      </c>
      <c r="B492" s="227" t="s">
        <v>717</v>
      </c>
      <c r="C492" s="227" t="s">
        <v>718</v>
      </c>
      <c r="D492" s="227">
        <v>39081000</v>
      </c>
      <c r="E492" s="227" t="s">
        <v>719</v>
      </c>
      <c r="F492" s="227" t="str">
        <f t="shared" si="11"/>
        <v>390810</v>
      </c>
      <c r="G492" s="227" t="s">
        <v>95</v>
      </c>
    </row>
    <row r="493" spans="1:7">
      <c r="A493" s="227" t="s">
        <v>720</v>
      </c>
      <c r="B493" s="227" t="s">
        <v>721</v>
      </c>
      <c r="C493" s="227" t="s">
        <v>722</v>
      </c>
      <c r="D493" s="227">
        <v>39089000</v>
      </c>
      <c r="E493" s="227" t="s">
        <v>723</v>
      </c>
      <c r="F493" s="227" t="str">
        <f t="shared" si="11"/>
        <v>390890</v>
      </c>
      <c r="G493" s="227" t="s">
        <v>95</v>
      </c>
    </row>
    <row r="494" spans="1:7">
      <c r="A494" s="227" t="s">
        <v>724</v>
      </c>
      <c r="B494" s="227" t="s">
        <v>725</v>
      </c>
      <c r="C494" s="227" t="s">
        <v>726</v>
      </c>
      <c r="D494" s="227">
        <v>39091000</v>
      </c>
      <c r="E494" s="227" t="s">
        <v>727</v>
      </c>
      <c r="F494" s="227" t="str">
        <f t="shared" si="11"/>
        <v>390910</v>
      </c>
      <c r="G494" s="227" t="s">
        <v>26</v>
      </c>
    </row>
    <row r="495" spans="1:7">
      <c r="A495" s="227" t="s">
        <v>728</v>
      </c>
      <c r="B495" s="227" t="s">
        <v>729</v>
      </c>
      <c r="C495" s="227" t="s">
        <v>730</v>
      </c>
      <c r="D495" s="227">
        <v>39092000</v>
      </c>
      <c r="E495" s="227" t="s">
        <v>729</v>
      </c>
      <c r="F495" s="227" t="str">
        <f t="shared" si="11"/>
        <v>390920</v>
      </c>
      <c r="G495" s="227" t="s">
        <v>26</v>
      </c>
    </row>
    <row r="496" spans="1:7">
      <c r="A496" s="227" t="s">
        <v>731</v>
      </c>
      <c r="B496" s="227" t="s">
        <v>732</v>
      </c>
      <c r="C496" s="227" t="s">
        <v>733</v>
      </c>
      <c r="D496" s="227">
        <v>39093100</v>
      </c>
      <c r="E496" s="227" t="s">
        <v>734</v>
      </c>
      <c r="F496" s="227" t="str">
        <f t="shared" si="11"/>
        <v>390931</v>
      </c>
      <c r="G496" s="227" t="s">
        <v>26</v>
      </c>
    </row>
    <row r="497" spans="1:7">
      <c r="A497" s="227" t="s">
        <v>735</v>
      </c>
      <c r="B497" s="227" t="s">
        <v>736</v>
      </c>
      <c r="C497" s="227" t="s">
        <v>737</v>
      </c>
      <c r="D497" s="227">
        <v>39094000</v>
      </c>
      <c r="E497" s="227" t="s">
        <v>736</v>
      </c>
      <c r="F497" s="227" t="str">
        <f t="shared" si="11"/>
        <v>390940</v>
      </c>
      <c r="G497" s="227" t="s">
        <v>98</v>
      </c>
    </row>
    <row r="498" spans="1:7">
      <c r="A498" s="227" t="s">
        <v>738</v>
      </c>
      <c r="B498" s="227" t="s">
        <v>739</v>
      </c>
      <c r="C498" s="227" t="s">
        <v>740</v>
      </c>
      <c r="D498" s="227">
        <v>39095010</v>
      </c>
      <c r="E498" s="227" t="s">
        <v>741</v>
      </c>
      <c r="F498" s="227" t="str">
        <f t="shared" si="11"/>
        <v>390950</v>
      </c>
      <c r="G498" s="227" t="s">
        <v>93</v>
      </c>
    </row>
    <row r="499" spans="1:7">
      <c r="A499" s="227" t="s">
        <v>742</v>
      </c>
      <c r="B499" s="227" t="s">
        <v>743</v>
      </c>
      <c r="C499" s="227" t="s">
        <v>744</v>
      </c>
      <c r="D499" s="227">
        <v>39100000</v>
      </c>
      <c r="E499" s="227" t="s">
        <v>743</v>
      </c>
      <c r="F499" s="227" t="str">
        <f t="shared" si="11"/>
        <v>391000</v>
      </c>
      <c r="G499" s="227" t="s">
        <v>26</v>
      </c>
    </row>
    <row r="500" spans="1:7">
      <c r="A500" s="227" t="s">
        <v>745</v>
      </c>
      <c r="B500" s="227" t="s">
        <v>746</v>
      </c>
      <c r="C500" s="227" t="s">
        <v>747</v>
      </c>
      <c r="D500" s="227">
        <v>39111000</v>
      </c>
      <c r="E500" s="227" t="s">
        <v>748</v>
      </c>
      <c r="F500" s="227" t="str">
        <f t="shared" si="11"/>
        <v>391110</v>
      </c>
      <c r="G500" s="227" t="s">
        <v>98</v>
      </c>
    </row>
    <row r="501" spans="1:7">
      <c r="A501" s="227" t="s">
        <v>749</v>
      </c>
      <c r="B501" s="227" t="s">
        <v>750</v>
      </c>
      <c r="C501" s="227" t="s">
        <v>751</v>
      </c>
      <c r="D501" s="227">
        <v>39121100</v>
      </c>
      <c r="E501" s="227" t="s">
        <v>752</v>
      </c>
      <c r="F501" s="227" t="str">
        <f t="shared" si="11"/>
        <v>391211</v>
      </c>
      <c r="G501" s="227" t="s">
        <v>26</v>
      </c>
    </row>
    <row r="502" spans="1:7">
      <c r="A502" s="227" t="s">
        <v>753</v>
      </c>
      <c r="B502" s="227" t="s">
        <v>754</v>
      </c>
      <c r="C502" s="227"/>
      <c r="D502" s="227">
        <v>39123100</v>
      </c>
      <c r="E502" s="227" t="s">
        <v>755</v>
      </c>
      <c r="F502" s="227" t="str">
        <f t="shared" si="11"/>
        <v>391231</v>
      </c>
      <c r="G502" s="227" t="s">
        <v>26</v>
      </c>
    </row>
    <row r="503" spans="1:7">
      <c r="A503" s="227" t="s">
        <v>756</v>
      </c>
      <c r="B503" s="227" t="s">
        <v>757</v>
      </c>
      <c r="C503" s="227"/>
      <c r="D503" s="227">
        <v>39131000</v>
      </c>
      <c r="E503" s="227" t="s">
        <v>758</v>
      </c>
      <c r="F503" s="227" t="str">
        <f t="shared" si="11"/>
        <v>391310</v>
      </c>
      <c r="G503" s="227" t="s">
        <v>26</v>
      </c>
    </row>
    <row r="504" spans="1:7">
      <c r="A504" s="227" t="s">
        <v>759</v>
      </c>
      <c r="B504" s="227" t="s">
        <v>760</v>
      </c>
      <c r="C504" s="227" t="s">
        <v>761</v>
      </c>
      <c r="D504" s="227">
        <v>39139000</v>
      </c>
      <c r="E504" s="227" t="s">
        <v>762</v>
      </c>
      <c r="F504" s="227" t="str">
        <f t="shared" si="11"/>
        <v>391390</v>
      </c>
      <c r="G504" s="227" t="s">
        <v>26</v>
      </c>
    </row>
    <row r="505" spans="1:7">
      <c r="A505" s="227" t="s">
        <v>763</v>
      </c>
      <c r="B505" s="227" t="s">
        <v>764</v>
      </c>
      <c r="C505" s="227" t="s">
        <v>765</v>
      </c>
      <c r="D505" s="227">
        <v>39140000</v>
      </c>
      <c r="E505" s="227" t="s">
        <v>766</v>
      </c>
      <c r="F505" s="227" t="str">
        <f t="shared" si="11"/>
        <v>391400</v>
      </c>
      <c r="G505" s="227" t="s">
        <v>26</v>
      </c>
    </row>
  </sheetData>
  <sortState xmlns:xlrd2="http://schemas.microsoft.com/office/spreadsheetml/2017/richdata2" columnSort="1" ref="B85:U103">
    <sortCondition ref="B85:U85"/>
  </sortState>
  <mergeCells count="4">
    <mergeCell ref="A358:XFD359"/>
    <mergeCell ref="A409:XFD410"/>
    <mergeCell ref="A3:P4"/>
    <mergeCell ref="Q3:AF4"/>
  </mergeCells>
  <phoneticPr fontId="22" type="noConversion"/>
  <conditionalFormatting sqref="D414:P453">
    <cfRule type="dataBar" priority="60">
      <dataBar>
        <cfvo type="min"/>
        <cfvo type="max"/>
        <color rgb="FF63C384"/>
      </dataBar>
      <extLst>
        <ext xmlns:x14="http://schemas.microsoft.com/office/spreadsheetml/2009/9/main" uri="{B025F937-C7B1-47D3-B67F-A62EFF666E3E}">
          <x14:id>{957D7B16-265C-4623-A7A8-2B770FC37256}</x14:id>
        </ext>
      </extLst>
    </cfRule>
  </conditionalFormatting>
  <conditionalFormatting sqref="H368:H380 J368:M380">
    <cfRule type="cellIs" dxfId="136" priority="76" stopIfTrue="1" operator="notBetween">
      <formula>1</formula>
      <formula>4</formula>
    </cfRule>
    <cfRule type="dataBar" priority="86">
      <dataBar>
        <cfvo type="min"/>
        <cfvo type="num" val="4"/>
        <color rgb="FFFFC000"/>
      </dataBar>
      <extLst>
        <ext xmlns:x14="http://schemas.microsoft.com/office/spreadsheetml/2009/9/main" uri="{B025F937-C7B1-47D3-B67F-A62EFF666E3E}">
          <x14:id>{C5A53CB8-7286-4FE7-AE8E-AA89EC0DA347}</x14:id>
        </ext>
      </extLst>
    </cfRule>
  </conditionalFormatting>
  <conditionalFormatting sqref="H361:M367 H399:M403 I392:M392">
    <cfRule type="cellIs" dxfId="135" priority="82" stopIfTrue="1" operator="notBetween">
      <formula>1</formula>
      <formula>4</formula>
    </cfRule>
  </conditionalFormatting>
  <conditionalFormatting sqref="H364:M364">
    <cfRule type="dataBar" priority="81">
      <dataBar>
        <cfvo type="min"/>
        <cfvo type="num" val="4"/>
        <color rgb="FFFFC000"/>
      </dataBar>
      <extLst>
        <ext xmlns:x14="http://schemas.microsoft.com/office/spreadsheetml/2009/9/main" uri="{B025F937-C7B1-47D3-B67F-A62EFF666E3E}">
          <x14:id>{F8B1F0CB-9BC9-4040-9C43-D00C39456DD1}</x14:id>
        </ext>
      </extLst>
    </cfRule>
  </conditionalFormatting>
  <conditionalFormatting sqref="H365:M366 H361:M363">
    <cfRule type="dataBar" priority="83">
      <dataBar>
        <cfvo type="min"/>
        <cfvo type="num" val="4"/>
        <color rgb="FFFFC000"/>
      </dataBar>
      <extLst>
        <ext xmlns:x14="http://schemas.microsoft.com/office/spreadsheetml/2009/9/main" uri="{B025F937-C7B1-47D3-B67F-A62EFF666E3E}">
          <x14:id>{314B60D7-FC16-44D8-B26B-4C67A0B45523}</x14:id>
        </ext>
      </extLst>
    </cfRule>
  </conditionalFormatting>
  <conditionalFormatting sqref="H367:M367">
    <cfRule type="dataBar" priority="77">
      <dataBar>
        <cfvo type="min"/>
        <cfvo type="num" val="4"/>
        <color rgb="FFFFC000"/>
      </dataBar>
      <extLst>
        <ext xmlns:x14="http://schemas.microsoft.com/office/spreadsheetml/2009/9/main" uri="{B025F937-C7B1-47D3-B67F-A62EFF666E3E}">
          <x14:id>{A847D5C0-838A-4CB6-ABC9-B1E505FBCED8}</x14:id>
        </ext>
      </extLst>
    </cfRule>
  </conditionalFormatting>
  <conditionalFormatting sqref="H381:M381 I382:M391 I393:M393">
    <cfRule type="cellIs" dxfId="134" priority="7234" stopIfTrue="1" operator="notBetween">
      <formula>1</formula>
      <formula>4</formula>
    </cfRule>
    <cfRule type="dataBar" priority="7235">
      <dataBar>
        <cfvo type="min"/>
        <cfvo type="num" val="4"/>
        <color rgb="FFFFC000"/>
      </dataBar>
      <extLst>
        <ext xmlns:x14="http://schemas.microsoft.com/office/spreadsheetml/2009/9/main" uri="{B025F937-C7B1-47D3-B67F-A62EFF666E3E}">
          <x14:id>{DA710FBA-F523-4A4B-B5D7-85AAB235F786}</x14:id>
        </ext>
      </extLst>
    </cfRule>
  </conditionalFormatting>
  <conditionalFormatting sqref="H396:M396">
    <cfRule type="dataBar" priority="46">
      <dataBar>
        <cfvo type="min"/>
        <cfvo type="num" val="4"/>
        <color rgb="FFFFC000"/>
      </dataBar>
      <extLst>
        <ext xmlns:x14="http://schemas.microsoft.com/office/spreadsheetml/2009/9/main" uri="{B025F937-C7B1-47D3-B67F-A62EFF666E3E}">
          <x14:id>{15CA1832-E5DA-474E-8395-F35A08B234B2}</x14:id>
        </ext>
      </extLst>
    </cfRule>
  </conditionalFormatting>
  <conditionalFormatting sqref="H396:M397">
    <cfRule type="dataBar" priority="7">
      <dataBar>
        <cfvo type="min"/>
        <cfvo type="num" val="4"/>
        <color rgb="FFFFC000"/>
      </dataBar>
      <extLst>
        <ext xmlns:x14="http://schemas.microsoft.com/office/spreadsheetml/2009/9/main" uri="{B025F937-C7B1-47D3-B67F-A62EFF666E3E}">
          <x14:id>{1765B891-9FD3-4466-AC3B-51D94A9A59B5}</x14:id>
        </ext>
      </extLst>
    </cfRule>
  </conditionalFormatting>
  <conditionalFormatting sqref="H396:M398">
    <cfRule type="cellIs" dxfId="133" priority="8" stopIfTrue="1" operator="notBetween">
      <formula>1</formula>
      <formula>4</formula>
    </cfRule>
  </conditionalFormatting>
  <conditionalFormatting sqref="H396:M407">
    <cfRule type="containsBlanks" dxfId="132" priority="1">
      <formula>LEN(TRIM(H396))=0</formula>
    </cfRule>
  </conditionalFormatting>
  <conditionalFormatting sqref="H397:M397">
    <cfRule type="dataBar" priority="50">
      <dataBar>
        <cfvo type="min"/>
        <cfvo type="num" val="4"/>
        <color rgb="FFFFC000"/>
      </dataBar>
      <extLst>
        <ext xmlns:x14="http://schemas.microsoft.com/office/spreadsheetml/2009/9/main" uri="{B025F937-C7B1-47D3-B67F-A62EFF666E3E}">
          <x14:id>{B415458E-23C7-4872-A58E-3614C0AC9953}</x14:id>
        </ext>
      </extLst>
    </cfRule>
  </conditionalFormatting>
  <conditionalFormatting sqref="H398:M398">
    <cfRule type="dataBar" priority="23">
      <dataBar>
        <cfvo type="min"/>
        <cfvo type="num" val="4"/>
        <color rgb="FFFFC000"/>
      </dataBar>
      <extLst>
        <ext xmlns:x14="http://schemas.microsoft.com/office/spreadsheetml/2009/9/main" uri="{B025F937-C7B1-47D3-B67F-A62EFF666E3E}">
          <x14:id>{50D803DC-F918-44A2-9B4B-53F8F78F2E2D}</x14:id>
        </ext>
      </extLst>
    </cfRule>
  </conditionalFormatting>
  <conditionalFormatting sqref="H399:M399">
    <cfRule type="dataBar" priority="7764">
      <dataBar>
        <cfvo type="min"/>
        <cfvo type="num" val="4"/>
        <color rgb="FFFFC000"/>
      </dataBar>
      <extLst>
        <ext xmlns:x14="http://schemas.microsoft.com/office/spreadsheetml/2009/9/main" uri="{B025F937-C7B1-47D3-B67F-A62EFF666E3E}">
          <x14:id>{32F8DCD1-A21D-4A1C-BAAD-039F98995370}</x14:id>
        </ext>
      </extLst>
    </cfRule>
  </conditionalFormatting>
  <conditionalFormatting sqref="H400:M403">
    <cfRule type="dataBar" priority="55">
      <dataBar>
        <cfvo type="min"/>
        <cfvo type="num" val="4"/>
        <color rgb="FFFFC000"/>
      </dataBar>
      <extLst>
        <ext xmlns:x14="http://schemas.microsoft.com/office/spreadsheetml/2009/9/main" uri="{B025F937-C7B1-47D3-B67F-A62EFF666E3E}">
          <x14:id>{8413DB46-082A-41DF-A224-265A9591C829}</x14:id>
        </ext>
      </extLst>
    </cfRule>
  </conditionalFormatting>
  <conditionalFormatting sqref="H404:M405">
    <cfRule type="dataBar" priority="2">
      <dataBar>
        <cfvo type="min"/>
        <cfvo type="num" val="4"/>
        <color rgb="FFFFC000"/>
      </dataBar>
      <extLst>
        <ext xmlns:x14="http://schemas.microsoft.com/office/spreadsheetml/2009/9/main" uri="{B025F937-C7B1-47D3-B67F-A62EFF666E3E}">
          <x14:id>{75236DBD-38CF-4B11-8416-7AA6FC7AA87C}</x14:id>
        </ext>
      </extLst>
    </cfRule>
    <cfRule type="cellIs" dxfId="131" priority="4" stopIfTrue="1" operator="notBetween">
      <formula>1</formula>
      <formula>4</formula>
    </cfRule>
  </conditionalFormatting>
  <conditionalFormatting sqref="H406:M407">
    <cfRule type="dataBar" priority="10">
      <dataBar>
        <cfvo type="min"/>
        <cfvo type="num" val="4"/>
        <color rgb="FFFFC000"/>
      </dataBar>
      <extLst>
        <ext xmlns:x14="http://schemas.microsoft.com/office/spreadsheetml/2009/9/main" uri="{B025F937-C7B1-47D3-B67F-A62EFF666E3E}">
          <x14:id>{3A6E8455-6601-408B-9890-B5BABB8C463E}</x14:id>
        </ext>
      </extLst>
    </cfRule>
    <cfRule type="cellIs" dxfId="130" priority="12" stopIfTrue="1" operator="notBetween">
      <formula>1</formula>
      <formula>4</formula>
    </cfRule>
  </conditionalFormatting>
  <conditionalFormatting sqref="H396:O397 H361:O367 N398:O407">
    <cfRule type="containsBlanks" dxfId="129" priority="74">
      <formula>LEN(TRIM(H361))=0</formula>
    </cfRule>
  </conditionalFormatting>
  <conditionalFormatting sqref="I392:M392">
    <cfRule type="dataBar" priority="7246">
      <dataBar>
        <cfvo type="min"/>
        <cfvo type="num" val="4"/>
        <color rgb="FFFFC000"/>
      </dataBar>
      <extLst>
        <ext xmlns:x14="http://schemas.microsoft.com/office/spreadsheetml/2009/9/main" uri="{B025F937-C7B1-47D3-B67F-A62EFF666E3E}">
          <x14:id>{A2C837B7-AE95-4CC8-8AB9-469C2F7CB751}</x14:id>
        </ext>
      </extLst>
    </cfRule>
  </conditionalFormatting>
  <conditionalFormatting sqref="I382:N393 H368:H380 J368:N380 AL6:AQ31 H381:N381">
    <cfRule type="containsBlanks" dxfId="128" priority="140">
      <formula>LEN(TRIM(H6))=0</formula>
    </cfRule>
  </conditionalFormatting>
  <conditionalFormatting sqref="J6:N356">
    <cfRule type="dataBar" priority="94">
      <dataBar>
        <cfvo type="min"/>
        <cfvo type="num" val="4"/>
        <color rgb="FFFFC000"/>
      </dataBar>
      <extLst>
        <ext xmlns:x14="http://schemas.microsoft.com/office/spreadsheetml/2009/9/main" uri="{B025F937-C7B1-47D3-B67F-A62EFF666E3E}">
          <x14:id>{37D8D804-0BD8-4242-ABB5-D18A259F44D0}</x14:id>
        </ext>
      </extLst>
    </cfRule>
  </conditionalFormatting>
  <conditionalFormatting sqref="J6:O356">
    <cfRule type="containsBlanks" dxfId="127" priority="92">
      <formula>LEN(TRIM(J6))=0</formula>
    </cfRule>
  </conditionalFormatting>
  <conditionalFormatting sqref="N361:N366">
    <cfRule type="dataBar" priority="7803">
      <dataBar>
        <cfvo type="min"/>
        <cfvo type="max"/>
        <color rgb="FF3FCDFF"/>
      </dataBar>
      <extLst>
        <ext xmlns:x14="http://schemas.microsoft.com/office/spreadsheetml/2009/9/main" uri="{B025F937-C7B1-47D3-B67F-A62EFF666E3E}">
          <x14:id>{56CBFE8F-F7EC-4BFC-80CB-9A3DD0D2B040}</x14:id>
        </ext>
      </extLst>
    </cfRule>
  </conditionalFormatting>
  <conditionalFormatting sqref="N367">
    <cfRule type="dataBar" priority="7814">
      <dataBar>
        <cfvo type="min"/>
        <cfvo type="max"/>
        <color rgb="FF3FCDFF"/>
      </dataBar>
      <extLst>
        <ext xmlns:x14="http://schemas.microsoft.com/office/spreadsheetml/2009/9/main" uri="{B025F937-C7B1-47D3-B67F-A62EFF666E3E}">
          <x14:id>{6FE93D2E-655C-4C27-831E-5CA1DED7ACF5}</x14:id>
        </ext>
      </extLst>
    </cfRule>
  </conditionalFormatting>
  <conditionalFormatting sqref="N368:N380">
    <cfRule type="dataBar" priority="87">
      <dataBar>
        <cfvo type="min"/>
        <cfvo type="max"/>
        <color rgb="FF3FCDFF"/>
      </dataBar>
      <extLst>
        <ext xmlns:x14="http://schemas.microsoft.com/office/spreadsheetml/2009/9/main" uri="{B025F937-C7B1-47D3-B67F-A62EFF666E3E}">
          <x14:id>{047E5794-520E-4924-A857-97F0837ECB5A}</x14:id>
        </ext>
      </extLst>
    </cfRule>
  </conditionalFormatting>
  <conditionalFormatting sqref="N381:N391 N393">
    <cfRule type="dataBar" priority="67">
      <dataBar>
        <cfvo type="min"/>
        <cfvo type="max"/>
        <color rgb="FF3FCDFF"/>
      </dataBar>
      <extLst>
        <ext xmlns:x14="http://schemas.microsoft.com/office/spreadsheetml/2009/9/main" uri="{B025F937-C7B1-47D3-B67F-A62EFF666E3E}">
          <x14:id>{70530BA1-5CDA-43D4-8C4A-B3231D734415}</x14:id>
        </ext>
      </extLst>
    </cfRule>
  </conditionalFormatting>
  <conditionalFormatting sqref="N392">
    <cfRule type="dataBar" priority="63">
      <dataBar>
        <cfvo type="min"/>
        <cfvo type="max"/>
        <color rgb="FF3FCDFF"/>
      </dataBar>
      <extLst>
        <ext xmlns:x14="http://schemas.microsoft.com/office/spreadsheetml/2009/9/main" uri="{B025F937-C7B1-47D3-B67F-A62EFF666E3E}">
          <x14:id>{A302DE98-0780-44F9-923E-65E203657680}</x14:id>
        </ext>
      </extLst>
    </cfRule>
  </conditionalFormatting>
  <conditionalFormatting sqref="N396:N407">
    <cfRule type="dataBar" priority="51">
      <dataBar>
        <cfvo type="min"/>
        <cfvo type="max"/>
        <color rgb="FF3FCDFF"/>
      </dataBar>
      <extLst>
        <ext xmlns:x14="http://schemas.microsoft.com/office/spreadsheetml/2009/9/main" uri="{B025F937-C7B1-47D3-B67F-A62EFF666E3E}">
          <x14:id>{87103521-5D6E-47F7-9E88-9742125D88FE}</x14:id>
        </ext>
      </extLst>
    </cfRule>
  </conditionalFormatting>
  <conditionalFormatting sqref="O6:O356">
    <cfRule type="dataBar" priority="93">
      <dataBar>
        <cfvo type="min"/>
        <cfvo type="max"/>
        <color rgb="FF3FCDFF"/>
      </dataBar>
      <extLst>
        <ext xmlns:x14="http://schemas.microsoft.com/office/spreadsheetml/2009/9/main" uri="{B025F937-C7B1-47D3-B67F-A62EFF666E3E}">
          <x14:id>{E6E5D100-BB09-40AE-83ED-DF61489FE57A}</x14:id>
        </ext>
      </extLst>
    </cfRule>
  </conditionalFormatting>
  <conditionalFormatting sqref="O361:O366">
    <cfRule type="dataBar" priority="7805">
      <dataBar>
        <cfvo type="min"/>
        <cfvo type="max"/>
        <color rgb="FF3FCDFF"/>
      </dataBar>
      <extLst>
        <ext xmlns:x14="http://schemas.microsoft.com/office/spreadsheetml/2009/9/main" uri="{B025F937-C7B1-47D3-B67F-A62EFF666E3E}">
          <x14:id>{EEAECA58-0081-44D6-B716-A22A2B10F7E9}</x14:id>
        </ext>
      </extLst>
    </cfRule>
  </conditionalFormatting>
  <conditionalFormatting sqref="O367">
    <cfRule type="dataBar" priority="7816">
      <dataBar>
        <cfvo type="min"/>
        <cfvo type="max"/>
        <color rgb="FF3FCDFF"/>
      </dataBar>
      <extLst>
        <ext xmlns:x14="http://schemas.microsoft.com/office/spreadsheetml/2009/9/main" uri="{B025F937-C7B1-47D3-B67F-A62EFF666E3E}">
          <x14:id>{9AD96C49-F858-417F-A967-FF4065FDA1BA}</x14:id>
        </ext>
      </extLst>
    </cfRule>
  </conditionalFormatting>
  <conditionalFormatting sqref="O396:O407">
    <cfRule type="dataBar" priority="52">
      <dataBar>
        <cfvo type="min"/>
        <cfvo type="max"/>
        <color rgb="FF3FCDFF"/>
      </dataBar>
      <extLst>
        <ext xmlns:x14="http://schemas.microsoft.com/office/spreadsheetml/2009/9/main" uri="{B025F937-C7B1-47D3-B67F-A62EFF666E3E}">
          <x14:id>{A7BAE1DB-4773-4061-A98A-A2E1B905E283}</x14:id>
        </ext>
      </extLst>
    </cfRule>
  </conditionalFormatting>
  <conditionalFormatting sqref="P361:P367 P394:P395">
    <cfRule type="containsText" dxfId="126" priority="75" operator="containsText" text="Actual TC">
      <formula>NOT(ISERROR(SEARCH("Actual TC",P361)))</formula>
    </cfRule>
  </conditionalFormatting>
  <conditionalFormatting sqref="P398:P401">
    <cfRule type="containsText" dxfId="125" priority="35" operator="containsText" text="Actual TC">
      <formula>NOT(ISERROR(SEARCH("Actual TC",P398)))</formula>
    </cfRule>
  </conditionalFormatting>
  <conditionalFormatting sqref="P404:P407">
    <cfRule type="containsText" dxfId="124" priority="17" operator="containsText" text="Actual TC">
      <formula>NOT(ISERROR(SEARCH("Actual TC",P404)))</formula>
    </cfRule>
  </conditionalFormatting>
  <conditionalFormatting sqref="Z6:AD252">
    <cfRule type="dataBar" priority="89">
      <dataBar>
        <cfvo type="min"/>
        <cfvo type="num" val="4"/>
        <color rgb="FFFFC000"/>
      </dataBar>
      <extLst>
        <ext xmlns:x14="http://schemas.microsoft.com/office/spreadsheetml/2009/9/main" uri="{B025F937-C7B1-47D3-B67F-A62EFF666E3E}">
          <x14:id>{B2A54833-F921-45C7-86AF-14BEDB6573C7}</x14:id>
        </ext>
      </extLst>
    </cfRule>
  </conditionalFormatting>
  <conditionalFormatting sqref="Z6:AE252">
    <cfRule type="containsBlanks" dxfId="123" priority="88">
      <formula>LEN(TRIM(Z6))=0</formula>
    </cfRule>
  </conditionalFormatting>
  <conditionalFormatting sqref="AE5">
    <cfRule type="containsBlanks" dxfId="122" priority="90">
      <formula>LEN(TRIM(AE5))=0</formula>
    </cfRule>
  </conditionalFormatting>
  <conditionalFormatting sqref="AE5:AE252">
    <cfRule type="dataBar" priority="91">
      <dataBar>
        <cfvo type="min"/>
        <cfvo type="max"/>
        <color rgb="FF3FCDFF"/>
      </dataBar>
      <extLst>
        <ext xmlns:x14="http://schemas.microsoft.com/office/spreadsheetml/2009/9/main" uri="{B025F937-C7B1-47D3-B67F-A62EFF666E3E}">
          <x14:id>{89BE51AC-3D01-4EA8-B28B-4303EF3238DC}</x14:id>
        </ext>
      </extLst>
    </cfRule>
  </conditionalFormatting>
  <conditionalFormatting sqref="AL6:AP31">
    <cfRule type="dataBar" priority="141">
      <dataBar>
        <cfvo type="min"/>
        <cfvo type="num" val="4"/>
        <color rgb="FFFFC000"/>
      </dataBar>
      <extLst>
        <ext xmlns:x14="http://schemas.microsoft.com/office/spreadsheetml/2009/9/main" uri="{B025F937-C7B1-47D3-B67F-A62EFF666E3E}">
          <x14:id>{4025D62E-9601-4808-B8D7-46E4321D1A4D}</x14:id>
        </ext>
      </extLst>
    </cfRule>
  </conditionalFormatting>
  <conditionalFormatting sqref="AL35:AP60">
    <cfRule type="dataBar" priority="136">
      <dataBar>
        <cfvo type="min"/>
        <cfvo type="num" val="4"/>
        <color rgb="FFFFC000"/>
      </dataBar>
      <extLst>
        <ext xmlns:x14="http://schemas.microsoft.com/office/spreadsheetml/2009/9/main" uri="{B025F937-C7B1-47D3-B67F-A62EFF666E3E}">
          <x14:id>{9D137F0D-623C-4436-82E4-0FF64CCB4CBD}</x14:id>
        </ext>
      </extLst>
    </cfRule>
  </conditionalFormatting>
  <conditionalFormatting sqref="AL65:AP82">
    <cfRule type="dataBar" priority="130">
      <dataBar>
        <cfvo type="min"/>
        <cfvo type="num" val="4"/>
        <color rgb="FFFFC000"/>
      </dataBar>
      <extLst>
        <ext xmlns:x14="http://schemas.microsoft.com/office/spreadsheetml/2009/9/main" uri="{B025F937-C7B1-47D3-B67F-A62EFF666E3E}">
          <x14:id>{191EEFD1-35E4-43A7-8DA3-BA2547F5A824}</x14:id>
        </ext>
      </extLst>
    </cfRule>
  </conditionalFormatting>
  <conditionalFormatting sqref="AL86:AP103">
    <cfRule type="dataBar" priority="127">
      <dataBar>
        <cfvo type="min"/>
        <cfvo type="num" val="4"/>
        <color rgb="FFFFC000"/>
      </dataBar>
      <extLst>
        <ext xmlns:x14="http://schemas.microsoft.com/office/spreadsheetml/2009/9/main" uri="{B025F937-C7B1-47D3-B67F-A62EFF666E3E}">
          <x14:id>{022DCEBE-4556-43A7-BA0B-8B582A268167}</x14:id>
        </ext>
      </extLst>
    </cfRule>
  </conditionalFormatting>
  <conditionalFormatting sqref="AL35:AQ60">
    <cfRule type="containsBlanks" dxfId="121" priority="135">
      <formula>LEN(TRIM(AL35))=0</formula>
    </cfRule>
  </conditionalFormatting>
  <conditionalFormatting sqref="AL65:AQ82">
    <cfRule type="containsBlanks" dxfId="120" priority="128">
      <formula>LEN(TRIM(AL65))=0</formula>
    </cfRule>
  </conditionalFormatting>
  <conditionalFormatting sqref="AL86:AQ103">
    <cfRule type="containsBlanks" dxfId="119" priority="125">
      <formula>LEN(TRIM(AL86))=0</formula>
    </cfRule>
  </conditionalFormatting>
  <conditionalFormatting sqref="AQ5">
    <cfRule type="containsBlanks" dxfId="118" priority="138">
      <formula>LEN(TRIM(AQ5))=0</formula>
    </cfRule>
    <cfRule type="dataBar" priority="139">
      <dataBar>
        <cfvo type="min"/>
        <cfvo type="max"/>
        <color rgb="FF3FCDFF"/>
      </dataBar>
      <extLst>
        <ext xmlns:x14="http://schemas.microsoft.com/office/spreadsheetml/2009/9/main" uri="{B025F937-C7B1-47D3-B67F-A62EFF666E3E}">
          <x14:id>{CDCE2675-44D9-46E1-9BD7-620D376B4C5F}</x14:id>
        </ext>
      </extLst>
    </cfRule>
  </conditionalFormatting>
  <conditionalFormatting sqref="AQ6:AQ31">
    <cfRule type="dataBar" priority="142">
      <dataBar>
        <cfvo type="min"/>
        <cfvo type="max"/>
        <color rgb="FF3FCDFF"/>
      </dataBar>
      <extLst>
        <ext xmlns:x14="http://schemas.microsoft.com/office/spreadsheetml/2009/9/main" uri="{B025F937-C7B1-47D3-B67F-A62EFF666E3E}">
          <x14:id>{50296EDD-C114-4ADE-88F5-0FA0AC48579A}</x14:id>
        </ext>
      </extLst>
    </cfRule>
  </conditionalFormatting>
  <conditionalFormatting sqref="AQ34">
    <cfRule type="containsBlanks" dxfId="117" priority="133">
      <formula>LEN(TRIM(AQ34))=0</formula>
    </cfRule>
    <cfRule type="dataBar" priority="134">
      <dataBar>
        <cfvo type="min"/>
        <cfvo type="max"/>
        <color rgb="FF3FCDFF"/>
      </dataBar>
      <extLst>
        <ext xmlns:x14="http://schemas.microsoft.com/office/spreadsheetml/2009/9/main" uri="{B025F937-C7B1-47D3-B67F-A62EFF666E3E}">
          <x14:id>{EDC543FA-E2F2-4E9E-8D35-ADB9FAB0E485}</x14:id>
        </ext>
      </extLst>
    </cfRule>
  </conditionalFormatting>
  <conditionalFormatting sqref="AQ35:AQ60">
    <cfRule type="dataBar" priority="137">
      <dataBar>
        <cfvo type="min"/>
        <cfvo type="max"/>
        <color rgb="FF3FCDFF"/>
      </dataBar>
      <extLst>
        <ext xmlns:x14="http://schemas.microsoft.com/office/spreadsheetml/2009/9/main" uri="{B025F937-C7B1-47D3-B67F-A62EFF666E3E}">
          <x14:id>{183FCF22-9DC6-4407-BB22-645D6D64A123}</x14:id>
        </ext>
      </extLst>
    </cfRule>
  </conditionalFormatting>
  <conditionalFormatting sqref="AQ64">
    <cfRule type="containsBlanks" dxfId="116" priority="131">
      <formula>LEN(TRIM(AQ64))=0</formula>
    </cfRule>
    <cfRule type="dataBar" priority="132">
      <dataBar>
        <cfvo type="min"/>
        <cfvo type="max"/>
        <color rgb="FF3FCDFF"/>
      </dataBar>
      <extLst>
        <ext xmlns:x14="http://schemas.microsoft.com/office/spreadsheetml/2009/9/main" uri="{B025F937-C7B1-47D3-B67F-A62EFF666E3E}">
          <x14:id>{66277A20-B55F-4D0D-B4C2-D9E0600A8F6A}</x14:id>
        </ext>
      </extLst>
    </cfRule>
  </conditionalFormatting>
  <conditionalFormatting sqref="AQ65:AQ82">
    <cfRule type="dataBar" priority="129">
      <dataBar>
        <cfvo type="min"/>
        <cfvo type="max"/>
        <color rgb="FF3FCDFF"/>
      </dataBar>
      <extLst>
        <ext xmlns:x14="http://schemas.microsoft.com/office/spreadsheetml/2009/9/main" uri="{B025F937-C7B1-47D3-B67F-A62EFF666E3E}">
          <x14:id>{FFEBCA67-9D96-4735-ACE7-CC0B8953E484}</x14:id>
        </ext>
      </extLst>
    </cfRule>
  </conditionalFormatting>
  <conditionalFormatting sqref="AQ85">
    <cfRule type="containsBlanks" dxfId="115" priority="123">
      <formula>LEN(TRIM(AQ85))=0</formula>
    </cfRule>
    <cfRule type="dataBar" priority="124">
      <dataBar>
        <cfvo type="min"/>
        <cfvo type="max"/>
        <color rgb="FF3FCDFF"/>
      </dataBar>
      <extLst>
        <ext xmlns:x14="http://schemas.microsoft.com/office/spreadsheetml/2009/9/main" uri="{B025F937-C7B1-47D3-B67F-A62EFF666E3E}">
          <x14:id>{879A4CD8-B0E5-4FCA-BA5C-14C1CA131CE0}</x14:id>
        </ext>
      </extLst>
    </cfRule>
  </conditionalFormatting>
  <conditionalFormatting sqref="AQ86:AQ103">
    <cfRule type="dataBar" priority="126">
      <dataBar>
        <cfvo type="min"/>
        <cfvo type="max"/>
        <color rgb="FF3FCDFF"/>
      </dataBar>
      <extLst>
        <ext xmlns:x14="http://schemas.microsoft.com/office/spreadsheetml/2009/9/main" uri="{B025F937-C7B1-47D3-B67F-A62EFF666E3E}">
          <x14:id>{7FB02629-7082-4749-9045-14402CF85EFC}</x14:id>
        </ext>
      </extLst>
    </cfRule>
  </conditionalFormatting>
  <hyperlinks>
    <hyperlink ref="Y6" r:id="rId1" display="https://ec.europa.eu/eurostat/databrowser/view/DS-056120__custom_6262207/default/table" xr:uid="{2532401C-B5C0-485C-B3CE-34499572748E}"/>
    <hyperlink ref="Y7" r:id="rId2" display="https://ec.europa.eu/eurostat/databrowser/view/DS-056120__custom_6262207/default/table" xr:uid="{F2C39281-A432-4BC9-9A46-9A9C4A24492A}"/>
    <hyperlink ref="Y8" r:id="rId3" display="https://ec.europa.eu/eurostat/databrowser/view/DS-056120__custom_6262207/default/table" xr:uid="{2A1E9723-EDAD-4A09-AFA6-4F7FB3902A34}"/>
    <hyperlink ref="Y9" r:id="rId4" display="https://ec.europa.eu/eurostat/databrowser/view/DS-056120__custom_6262207/default/table" xr:uid="{A08ED7C8-47A4-43C5-8F82-AA334B7FDE59}"/>
    <hyperlink ref="Y10" r:id="rId5" display="https://ec.europa.eu/eurostat/databrowser/view/DS-056120__custom_6262207/default/table" xr:uid="{BDAEFBE1-0409-458C-A123-29F607056F06}"/>
    <hyperlink ref="Y11" r:id="rId6" display="https://ec.europa.eu/eurostat/databrowser/view/DS-056120__custom_6262207/default/table" xr:uid="{C8723139-0ACF-4014-ACBC-7C82DD7F491E}"/>
    <hyperlink ref="Y12" r:id="rId7" display="https://ec.europa.eu/eurostat/databrowser/view/DS-056120__custom_6262207/default/table" xr:uid="{29BDAF31-1F81-4B80-94EB-5B9A530369D0}"/>
    <hyperlink ref="Y13" r:id="rId8" display="https://ec.europa.eu/eurostat/databrowser/view/DS-056120__custom_6262207/default/table" xr:uid="{6A60C886-64ED-48E1-B916-E3C6749377F6}"/>
    <hyperlink ref="Y14" r:id="rId9" display="https://ec.europa.eu/eurostat/databrowser/view/DS-056120__custom_6262207/default/table" xr:uid="{38D911B1-1FEC-45B0-BAB5-7DEC126E27A0}"/>
    <hyperlink ref="Y15" r:id="rId10" display="https://ec.europa.eu/eurostat/databrowser/view/DS-056120__custom_6262207/default/table" xr:uid="{DF488355-3CBE-4DE1-81C6-833BE4F7F21F}"/>
    <hyperlink ref="Y16" r:id="rId11" display="https://ec.europa.eu/eurostat/databrowser/view/DS-056120__custom_6262207/default/table" xr:uid="{2C2C364C-5F81-4169-B9A6-6AD012C46786}"/>
    <hyperlink ref="Y17" r:id="rId12" display="https://ec.europa.eu/eurostat/databrowser/view/DS-056120__custom_6262207/default/table" xr:uid="{E2AE4D1A-DA78-432A-AECF-678E5B32C72E}"/>
    <hyperlink ref="Y18" r:id="rId13" display="https://ec.europa.eu/eurostat/databrowser/view/DS-056120__custom_6262207/default/table" xr:uid="{4A0D4EF2-B6E1-450C-9D0D-387A573C6756}"/>
    <hyperlink ref="Y19" r:id="rId14" display="https://ec.europa.eu/eurostat/databrowser/view/DS-056120__custom_6262207/default/table" xr:uid="{20866AB1-8053-4BE0-9EF9-82618EB43ABF}"/>
    <hyperlink ref="Y20" r:id="rId15" display="https://ec.europa.eu/eurostat/databrowser/view/DS-056120__custom_6262207/default/table" xr:uid="{52BC105D-75A8-4F77-A9A1-1C66A8376078}"/>
    <hyperlink ref="Y21" r:id="rId16" display="https://ec.europa.eu/eurostat/databrowser/view/DS-056120__custom_6262207/default/table" xr:uid="{5E210E42-840B-40CF-AE04-5C817F4BAE4E}"/>
    <hyperlink ref="Y22" r:id="rId17" display="https://ec.europa.eu/eurostat/databrowser/view/DS-056120__custom_6262207/default/table" xr:uid="{7CE4C73D-2D24-43EA-A980-623699CE308D}"/>
    <hyperlink ref="Y23" r:id="rId18" display="https://ec.europa.eu/eurostat/databrowser/view/DS-056120__custom_6262207/default/table" xr:uid="{F6294EA4-F26E-42E0-B867-03AFFBDC34C0}"/>
    <hyperlink ref="Y24" r:id="rId19" display="https://ec.europa.eu/eurostat/databrowser/view/DS-056120__custom_6262207/default/table" xr:uid="{7ED92D7C-9F44-4E35-AF26-CC1CEBB87234}"/>
    <hyperlink ref="Y25" r:id="rId20" display="https://ec.europa.eu/eurostat/databrowser/view/DS-056120__custom_6262207/default/table" xr:uid="{27911E0B-7018-40D8-B349-68ED9DC8AC72}"/>
    <hyperlink ref="Y26" r:id="rId21" display="https://ec.europa.eu/eurostat/databrowser/view/DS-056120__custom_6262207/default/table" xr:uid="{78901CE1-BE42-495E-B870-AE25041583CB}"/>
    <hyperlink ref="Y27" r:id="rId22" display="https://ec.europa.eu/eurostat/databrowser/view/DS-056120__custom_6262207/default/table" xr:uid="{5E52C520-0A21-4A56-AAD8-89530BC10525}"/>
    <hyperlink ref="Y28" r:id="rId23" display="https://ec.europa.eu/eurostat/databrowser/view/DS-056120__custom_6262207/default/table" xr:uid="{A582E0B7-E9C0-4710-AD73-1B2888E117C2}"/>
    <hyperlink ref="Y29" r:id="rId24" display="https://ec.europa.eu/eurostat/databrowser/view/DS-056120__custom_6262207/default/table" xr:uid="{3CA39AFA-6895-4806-8587-967CE002685C}"/>
    <hyperlink ref="Y30" r:id="rId25" display="https://ec.europa.eu/eurostat/databrowser/view/DS-056120__custom_6262207/default/table" xr:uid="{6AF3179C-56CF-4265-BE73-FA5AB1D237F2}"/>
    <hyperlink ref="Y31" r:id="rId26" display="https://ec.europa.eu/eurostat/databrowser/view/DS-056120__custom_6262207/default/table" xr:uid="{20BC9D64-C222-4D9B-AB22-E2AFEF6CC9B0}"/>
    <hyperlink ref="Y32" r:id="rId27" display="https://ec.europa.eu/eurostat/databrowser/view/DS-056120__custom_6262207/default/table" xr:uid="{0E3B1CEF-9545-4D2F-BB6A-C889B0AD898A}"/>
    <hyperlink ref="Y33" r:id="rId28" display="https://ec.europa.eu/eurostat/databrowser/view/DS-056120__custom_6262207/default/table" xr:uid="{DB156501-71CB-451C-A414-E60E64C75E8E}"/>
    <hyperlink ref="Y34" r:id="rId29" display="https://ec.europa.eu/eurostat/databrowser/view/DS-056120__custom_6262207/default/table" xr:uid="{1493192F-6117-4C1E-A0D1-231BD46DC34F}"/>
    <hyperlink ref="Y35" r:id="rId30" display="https://ec.europa.eu/eurostat/databrowser/view/DS-056120__custom_6262207/default/table" xr:uid="{F86E2BCA-E656-4A8A-98D5-D26E535FBB60}"/>
    <hyperlink ref="Y36" r:id="rId31" display="https://ec.europa.eu/eurostat/databrowser/view/DS-056120__custom_6262207/default/table" xr:uid="{6693E2EB-0CAA-4160-B0AE-44CD173132A5}"/>
    <hyperlink ref="Y37" r:id="rId32" display="https://ec.europa.eu/eurostat/databrowser/view/DS-056120__custom_6262207/default/table" xr:uid="{CD18DBD1-0803-4649-86C6-FCBFF2FA2EFC}"/>
    <hyperlink ref="Y38" r:id="rId33" display="https://ec.europa.eu/eurostat/databrowser/view/DS-056120__custom_6262207/default/table" xr:uid="{7FBF7F0A-E258-42FE-AD09-9F608DA16A90}"/>
    <hyperlink ref="Y39" r:id="rId34" display="https://ec.europa.eu/eurostat/databrowser/view/DS-056120__custom_6262207/default/table" xr:uid="{C73EB50C-E518-486D-9239-C9D9FE50D427}"/>
    <hyperlink ref="Y40" r:id="rId35" display="https://ec.europa.eu/eurostat/databrowser/view/DS-056120__custom_6262207/default/table" xr:uid="{41611FBD-DBE5-47C0-9E56-4B3441060704}"/>
    <hyperlink ref="Y41" r:id="rId36" display="https://ec.europa.eu/eurostat/databrowser/view/DS-056120__custom_6262207/default/table" xr:uid="{2C207456-EEA7-4DF3-876F-199C01FD4F34}"/>
    <hyperlink ref="Y42" r:id="rId37" display="https://ec.europa.eu/eurostat/databrowser/view/DS-056120__custom_6262207/default/table" xr:uid="{3C1A7158-89D5-47F4-815B-559ADDDE6732}"/>
    <hyperlink ref="Y43" r:id="rId38" display="https://ec.europa.eu/eurostat/databrowser/view/DS-056120__custom_6262207/default/table" xr:uid="{BA1660CA-2273-484B-9175-00789630DC18}"/>
    <hyperlink ref="Y44" r:id="rId39" display="https://ec.europa.eu/eurostat/databrowser/view/DS-056120__custom_6262207/default/table" xr:uid="{2D2B026F-4CEF-49FE-9735-D9FCD84BD645}"/>
    <hyperlink ref="Y45" r:id="rId40" display="https://ec.europa.eu/eurostat/databrowser/view/DS-056120__custom_6262207/default/table" xr:uid="{AA870769-4D72-4547-B777-0B408EDC2340}"/>
    <hyperlink ref="Y46" r:id="rId41" display="https://ec.europa.eu/eurostat/databrowser/view/DS-056120__custom_6262207/default/table" xr:uid="{04CB93A8-89B1-4176-BE1A-0C841338DB74}"/>
    <hyperlink ref="Y47" r:id="rId42" display="https://ec.europa.eu/eurostat/databrowser/view/DS-056120__custom_6262207/default/table" xr:uid="{4220298E-6B13-45F5-8FDA-B52F9DEC38C9}"/>
    <hyperlink ref="Y48" r:id="rId43" display="https://ec.europa.eu/eurostat/databrowser/view/DS-056120__custom_6262207/default/table" xr:uid="{00BBB445-6849-4A67-9132-6A869F8430E7}"/>
    <hyperlink ref="Y49" r:id="rId44" display="https://ec.europa.eu/eurostat/databrowser/view/DS-056120__custom_6262207/default/table" xr:uid="{5EACB9B1-A057-4F4C-8548-29E768545341}"/>
    <hyperlink ref="Y50" r:id="rId45" display="https://ec.europa.eu/eurostat/databrowser/view/DS-056120__custom_6262207/default/table" xr:uid="{06D784D7-D3C1-470A-AD63-B5351EFB4F82}"/>
    <hyperlink ref="Y51" r:id="rId46" display="https://ec.europa.eu/eurostat/databrowser/view/DS-056120__custom_6262207/default/table" xr:uid="{6712B6D2-4A7D-4F14-A457-6E1667273B8D}"/>
    <hyperlink ref="Y52" r:id="rId47" display="https://ec.europa.eu/eurostat/databrowser/view/DS-056120__custom_6262207/default/table" xr:uid="{4D7CB668-9EBD-4670-AD7B-9557BB1B25EC}"/>
    <hyperlink ref="Y53" r:id="rId48" display="https://ec.europa.eu/eurostat/databrowser/view/DS-056120__custom_6262207/default/table" xr:uid="{E36B517B-85E1-4A7A-B5EB-370687DCFC6F}"/>
    <hyperlink ref="Y54" r:id="rId49" display="https://ec.europa.eu/eurostat/databrowser/view/DS-056120__custom_6262207/default/table" xr:uid="{C6E2261B-69C8-48E0-979B-37B3D3750ED3}"/>
    <hyperlink ref="Y55" r:id="rId50" display="https://ec.europa.eu/eurostat/databrowser/view/DS-056120__custom_6262207/default/table" xr:uid="{96B4B31E-BE7D-4942-8A2E-B445E0817D19}"/>
    <hyperlink ref="Y56" r:id="rId51" display="https://ec.europa.eu/eurostat/databrowser/view/DS-056120__custom_6262207/default/table" xr:uid="{84615B4C-0E2D-4FE2-BE95-4DE17B607263}"/>
    <hyperlink ref="Y57" r:id="rId52" display="https://ec.europa.eu/eurostat/databrowser/view/DS-056120__custom_6262207/default/table" xr:uid="{16E34A55-480D-4FA7-92AC-08BAC4909B0E}"/>
    <hyperlink ref="Y58" r:id="rId53" display="https://ec.europa.eu/eurostat/databrowser/view/DS-056120__custom_6262207/default/table" xr:uid="{B4AD97B2-4C30-4FEB-A346-C6A8E74D8930}"/>
    <hyperlink ref="Y59" r:id="rId54" display="https://ec.europa.eu/eurostat/databrowser/view/DS-056120__custom_6262207/default/table" xr:uid="{FD4711DA-0499-4925-8B50-D6E771DEB584}"/>
    <hyperlink ref="Y60" r:id="rId55" display="https://ec.europa.eu/eurostat/databrowser/view/DS-056120__custom_6262207/default/table" xr:uid="{0D6C3D4E-F801-419D-963B-24A1EC627D22}"/>
    <hyperlink ref="Y61" r:id="rId56" display="https://ec.europa.eu/eurostat/databrowser/view/DS-056120__custom_6262207/default/table" xr:uid="{BCCC3F43-8BB5-4AA7-84E6-A43B10E30E56}"/>
    <hyperlink ref="Y62" r:id="rId57" display="https://ec.europa.eu/eurostat/databrowser/view/DS-056120__custom_6262207/default/table" xr:uid="{D83CF9AB-42FC-4589-BBF9-3EFE4E0E829F}"/>
    <hyperlink ref="Y63" r:id="rId58" display="https://ec.europa.eu/eurostat/databrowser/view/DS-056120__custom_6262207/default/table" xr:uid="{BF59CC96-5A42-4F72-90EE-A285125009B5}"/>
    <hyperlink ref="Y64" r:id="rId59" display="https://ec.europa.eu/eurostat/databrowser/view/DS-056120__custom_6262207/default/table" xr:uid="{0A18CC3B-0EC4-4084-A3E0-7115199AB433}"/>
    <hyperlink ref="Y65" r:id="rId60" display="https://ec.europa.eu/eurostat/databrowser/view/DS-056120__custom_6262207/default/table" xr:uid="{40C3C992-76A3-4063-9D99-F90B0036DBD8}"/>
    <hyperlink ref="Y66" r:id="rId61" display="https://ec.europa.eu/eurostat/databrowser/view/DS-056120__custom_6262207/default/table" xr:uid="{0DDBECAF-3A71-4FA3-B206-28164DF09ACE}"/>
    <hyperlink ref="Y67" r:id="rId62" display="https://ec.europa.eu/eurostat/databrowser/view/DS-056120__custom_6262207/default/table" xr:uid="{2061A951-F410-4389-8E8E-43DAA149E56A}"/>
    <hyperlink ref="Y68" r:id="rId63" display="https://ec.europa.eu/eurostat/databrowser/view/DS-056120__custom_6262207/default/table" xr:uid="{002DBF5A-2FC7-4267-A9C7-5DC0BE745DB6}"/>
    <hyperlink ref="Y69" r:id="rId64" display="https://ec.europa.eu/eurostat/databrowser/view/DS-056120__custom_6262207/default/table" xr:uid="{688E0A48-80AD-47CE-AC90-1EEFC37A3FDF}"/>
    <hyperlink ref="Y70" r:id="rId65" display="https://ec.europa.eu/eurostat/databrowser/view/DS-056120__custom_6262207/default/table" xr:uid="{796795EA-0DEC-44EE-A8F3-5125109E7641}"/>
    <hyperlink ref="Y71" r:id="rId66" display="https://ec.europa.eu/eurostat/databrowser/view/DS-056120__custom_6262207/default/table" xr:uid="{19864F3D-3C22-4669-8771-A33D0929A5D1}"/>
    <hyperlink ref="Y72" r:id="rId67" display="https://ec.europa.eu/eurostat/databrowser/view/DS-056120__custom_6262207/default/table" xr:uid="{BE85AC31-1544-470B-A374-D8F9E846F4F3}"/>
    <hyperlink ref="Y73" r:id="rId68" display="https://ec.europa.eu/eurostat/databrowser/view/DS-056120__custom_6262207/default/table" xr:uid="{BBDDEFAD-DDEB-410B-8181-19A10AFD66C8}"/>
    <hyperlink ref="Y74" r:id="rId69" display="https://ec.europa.eu/eurostat/databrowser/view/DS-056120__custom_6262207/default/table" xr:uid="{D0C6D508-AFC8-4F1D-A062-4B67BA062122}"/>
    <hyperlink ref="Y75" r:id="rId70" display="https://ec.europa.eu/eurostat/databrowser/view/DS-056120__custom_6262207/default/table" xr:uid="{54419CE0-8ECD-479E-B7B5-4A71B95F0163}"/>
    <hyperlink ref="Y76" r:id="rId71" display="https://ec.europa.eu/eurostat/databrowser/view/DS-056120__custom_6262207/default/table" xr:uid="{32427EAB-B0F6-401C-A41C-32EE5DE5A45D}"/>
    <hyperlink ref="Y77" r:id="rId72" display="https://ec.europa.eu/eurostat/databrowser/view/DS-056120__custom_6262207/default/table" xr:uid="{5D5B4631-767F-43DE-B1C5-60B6FBD473EB}"/>
    <hyperlink ref="Y78" r:id="rId73" display="https://ec.europa.eu/eurostat/databrowser/view/DS-056120__custom_6262207/default/table" xr:uid="{60C34F0E-F8AE-4224-B53C-641C957753F5}"/>
    <hyperlink ref="Y79" r:id="rId74" display="https://ec.europa.eu/eurostat/databrowser/view/DS-056120__custom_6262207/default/table" xr:uid="{41ABBED8-76BD-4174-AD3B-83293C58BD75}"/>
    <hyperlink ref="Y80" r:id="rId75" display="https://ec.europa.eu/eurostat/databrowser/view/DS-056120__custom_6262207/default/table" xr:uid="{D4BC0877-BFF4-4291-81C6-2AE2072C6050}"/>
    <hyperlink ref="Y81" r:id="rId76" display="https://ec.europa.eu/eurostat/databrowser/view/DS-056120__custom_6262207/default/table" xr:uid="{54575032-5977-4EB7-B4F3-8ECC85FB0BAC}"/>
    <hyperlink ref="Y82" r:id="rId77" display="https://ec.europa.eu/eurostat/databrowser/view/DS-056120__custom_6262207/default/table" xr:uid="{DBED5066-6A8C-40E7-8B98-A420FAF8872B}"/>
    <hyperlink ref="Y83" r:id="rId78" display="https://ec.europa.eu/eurostat/databrowser/view/DS-056120__custom_6262207/default/table" xr:uid="{3A9216A6-D896-419F-B320-EA4C0E63CD3C}"/>
    <hyperlink ref="Y84" r:id="rId79" display="https://ec.europa.eu/eurostat/databrowser/view/DS-056120__custom_6262207/default/table" xr:uid="{EC0BDEBF-5AB3-4253-8136-39D94C4BDAB9}"/>
    <hyperlink ref="Y85" r:id="rId80" display="https://ec.europa.eu/eurostat/databrowser/view/DS-056120__custom_6262207/default/table" xr:uid="{554C90A8-EB3A-41DE-81AC-81FE93B9E4FE}"/>
    <hyperlink ref="Y86" r:id="rId81" display="https://ec.europa.eu/eurostat/databrowser/view/DS-056120__custom_6262207/default/table" xr:uid="{DEFF26AA-FECD-42E2-BD8A-16BF56E5BFCE}"/>
    <hyperlink ref="Y87" r:id="rId82" display="https://ec.europa.eu/eurostat/databrowser/view/DS-056120__custom_6262207/default/table" xr:uid="{355ED88C-6484-41B5-BD50-F7454B445210}"/>
    <hyperlink ref="Y88" r:id="rId83" display="https://ec.europa.eu/eurostat/databrowser/view/DS-056120__custom_6262207/default/table" xr:uid="{25548C2D-FD13-44F7-91E8-77F573BF865D}"/>
    <hyperlink ref="Y89" r:id="rId84" display="https://ec.europa.eu/eurostat/databrowser/view/DS-056120__custom_6262207/default/table" xr:uid="{01F066F3-1BD7-4D6B-8C7F-D85FDBD38778}"/>
    <hyperlink ref="Y90" r:id="rId85" display="https://ec.europa.eu/eurostat/databrowser/view/DS-056120__custom_6262207/default/table" xr:uid="{A87D9D23-94F2-480F-B1CF-72B453C4C43C}"/>
    <hyperlink ref="Y91" r:id="rId86" display="https://ec.europa.eu/eurostat/databrowser/view/DS-056120__custom_6262207/default/table" xr:uid="{2220E0A0-9158-4DFA-8000-17BFBBB0C7FA}"/>
    <hyperlink ref="Y92" r:id="rId87" display="https://ec.europa.eu/eurostat/databrowser/view/DS-056120__custom_6262207/default/table" xr:uid="{56D0372A-70EC-4B41-A7AC-B59252734F56}"/>
    <hyperlink ref="Y93" r:id="rId88" display="https://ec.europa.eu/eurostat/databrowser/view/DS-056120__custom_6262207/default/table" xr:uid="{73BC0966-84B1-4F4A-96C3-90D516D6AA65}"/>
    <hyperlink ref="Y94" r:id="rId89" display="https://ec.europa.eu/eurostat/databrowser/view/DS-056120__custom_6262207/default/table" xr:uid="{7763A0CE-C0C2-462C-AE45-BF6142D73AF9}"/>
    <hyperlink ref="Y95" r:id="rId90" display="https://ec.europa.eu/eurostat/databrowser/view/DS-056120__custom_6262207/default/table" xr:uid="{78ED67C3-61EF-402B-A31A-5F524443BC76}"/>
    <hyperlink ref="Y96" r:id="rId91" display="https://ec.europa.eu/eurostat/databrowser/view/DS-056120__custom_6262207/default/table" xr:uid="{8CB9EC13-9095-4E94-95DF-0421361E41A1}"/>
    <hyperlink ref="Y97" r:id="rId92" display="https://ec.europa.eu/eurostat/databrowser/view/DS-056120__custom_6262207/default/table" xr:uid="{2B1E6A78-82B7-4B3E-81D4-81BAE0A1795F}"/>
    <hyperlink ref="Y98" r:id="rId93" display="https://ec.europa.eu/eurostat/databrowser/view/DS-056120__custom_6262207/default/table" xr:uid="{957C69C8-C781-4C2D-811E-38EBB61C71CA}"/>
    <hyperlink ref="Y99" r:id="rId94" display="https://ec.europa.eu/eurostat/databrowser/view/DS-056120__custom_6262207/default/table" xr:uid="{4E495C49-D04B-4665-965C-CB63667F4E5C}"/>
    <hyperlink ref="Y100" r:id="rId95" display="https://ec.europa.eu/eurostat/databrowser/view/DS-056120__custom_6262207/default/table" xr:uid="{00D6C774-5173-4797-B2ED-5BA209607DAC}"/>
    <hyperlink ref="Y101" r:id="rId96" display="https://ec.europa.eu/eurostat/databrowser/view/DS-056120__custom_6262207/default/table" xr:uid="{FF39A70A-9D53-4609-B693-ECB95E0E7689}"/>
    <hyperlink ref="Y102" r:id="rId97" display="https://ec.europa.eu/eurostat/databrowser/view/DS-056120__custom_6262207/default/table" xr:uid="{19F78673-8765-4A7B-A521-5A34E04F7904}"/>
    <hyperlink ref="Y103" r:id="rId98" display="https://ec.europa.eu/eurostat/databrowser/view/DS-056120__custom_6262207/default/table" xr:uid="{9789C94F-5528-4251-BD04-4564231D664C}"/>
    <hyperlink ref="Y104" r:id="rId99" display="https://ec.europa.eu/eurostat/databrowser/view/DS-056120__custom_6262207/default/table" xr:uid="{51A6B2E6-D9E4-4DCF-9730-FDA503FC6658}"/>
    <hyperlink ref="Y105" r:id="rId100" display="https://ec.europa.eu/eurostat/databrowser/view/DS-056120__custom_6262207/default/table" xr:uid="{656DD412-9BE0-4E57-AB80-D226E95E29E2}"/>
    <hyperlink ref="Y106" r:id="rId101" display="https://ec.europa.eu/eurostat/databrowser/view/DS-056120__custom_6262207/default/table" xr:uid="{335562E0-170D-48B3-B1BC-4904DD0CD9C8}"/>
    <hyperlink ref="Y107" r:id="rId102" display="https://ec.europa.eu/eurostat/databrowser/view/DS-056120__custom_6262207/default/table" xr:uid="{8DDBF21B-F522-4EDF-8A46-C4EB82370716}"/>
    <hyperlink ref="Y108" r:id="rId103" display="https://ec.europa.eu/eurostat/databrowser/view/DS-056120__custom_6262207/default/table" xr:uid="{FD30715B-7590-471A-9C67-D622F17480AF}"/>
    <hyperlink ref="Y109" r:id="rId104" display="https://ec.europa.eu/eurostat/databrowser/view/DS-056120__custom_6262207/default/table" xr:uid="{AEA74F5E-391E-446F-9484-C79FE6561721}"/>
    <hyperlink ref="Y110" r:id="rId105" display="https://ec.europa.eu/eurostat/databrowser/view/DS-056120__custom_6262207/default/table" xr:uid="{60352034-2390-4CD4-9D6B-69D5CA841833}"/>
    <hyperlink ref="Y111" r:id="rId106" display="https://ec.europa.eu/eurostat/databrowser/view/DS-056120__custom_6262207/default/table" xr:uid="{8D714DA1-09DF-4C4F-A386-4F82B9C02565}"/>
    <hyperlink ref="Y112" r:id="rId107" display="https://ec.europa.eu/eurostat/databrowser/view/DS-056120__custom_6262207/default/table" xr:uid="{F3102D62-3050-4145-B165-7F8F5F685AA8}"/>
    <hyperlink ref="Y113" r:id="rId108" display="https://ec.europa.eu/eurostat/databrowser/view/DS-056120__custom_6262207/default/table" xr:uid="{A04AD01A-105D-4BC3-A84F-D63D5611156A}"/>
    <hyperlink ref="Y114" r:id="rId109" display="https://ec.europa.eu/eurostat/databrowser/view/DS-056120__custom_6262207/default/table" xr:uid="{39ED6D35-6B3E-42CF-A472-28AF56295352}"/>
    <hyperlink ref="Y115" r:id="rId110" display="https://ec.europa.eu/eurostat/databrowser/view/DS-056120__custom_6262207/default/table" xr:uid="{0AA333BE-3595-4E41-8B28-B7FD3C0C3755}"/>
    <hyperlink ref="Y116" r:id="rId111" display="https://ec.europa.eu/eurostat/databrowser/view/DS-056120__custom_6262207/default/table" xr:uid="{A4859DCE-0966-4A41-A8B2-9ADCF58DFD1C}"/>
    <hyperlink ref="Y117" r:id="rId112" display="https://ec.europa.eu/eurostat/databrowser/view/DS-056120__custom_6262207/default/table" xr:uid="{4EA5EF32-4AC5-4881-A557-B59EB8280500}"/>
    <hyperlink ref="Y118" r:id="rId113" display="https://ec.europa.eu/eurostat/databrowser/view/DS-056120__custom_6262207/default/table" xr:uid="{7933828D-587E-4DC3-9AB3-2AB8106C01AF}"/>
    <hyperlink ref="Y119" r:id="rId114" display="https://ec.europa.eu/eurostat/databrowser/view/DS-056120__custom_6262207/default/table" xr:uid="{EDFB8688-8BA8-4C32-93FE-95348E8ED1AE}"/>
    <hyperlink ref="Y120" r:id="rId115" display="https://ec.europa.eu/eurostat/databrowser/view/DS-056120__custom_6262207/default/table" xr:uid="{54D1E602-379F-4980-BBEE-61887A4FAD31}"/>
    <hyperlink ref="Y121" r:id="rId116" display="https://ec.europa.eu/eurostat/databrowser/view/DS-056120__custom_6262207/default/table" xr:uid="{11B19414-4EB8-43C2-B8DA-83D6BDB7AECA}"/>
    <hyperlink ref="Y122" r:id="rId117" display="https://ec.europa.eu/eurostat/databrowser/view/DS-056120__custom_6262207/default/table" xr:uid="{C3B98125-125F-4CEA-A2CB-93D339064B39}"/>
    <hyperlink ref="Y123" r:id="rId118" display="https://ec.europa.eu/eurostat/databrowser/view/DS-056120__custom_6262207/default/table" xr:uid="{E0B368EE-2F54-4AD5-A7B5-D48EB0262486}"/>
    <hyperlink ref="Y124" r:id="rId119" display="https://ec.europa.eu/eurostat/databrowser/view/DS-056120__custom_6262207/default/table" xr:uid="{9EB99649-2663-4FDA-9DF4-3073EFFB455E}"/>
    <hyperlink ref="Y125" r:id="rId120" display="https://ec.europa.eu/eurostat/databrowser/view/DS-056120__custom_6262207/default/table" xr:uid="{1A717E65-540F-4F1E-9FDC-8B4B5B247035}"/>
    <hyperlink ref="Y126" r:id="rId121" display="https://ec.europa.eu/eurostat/databrowser/view/DS-056120__custom_6262207/default/table" xr:uid="{8BF891F5-E245-4A48-B5DE-017F58769A92}"/>
    <hyperlink ref="Y127" r:id="rId122" display="https://ec.europa.eu/eurostat/databrowser/view/DS-056120__custom_6262207/default/table" xr:uid="{7820DAC7-5D07-4DA5-B1F4-482FE5C47F12}"/>
    <hyperlink ref="Y128" r:id="rId123" display="https://ec.europa.eu/eurostat/databrowser/view/DS-056120__custom_6262207/default/table" xr:uid="{0243DE86-04B0-4A17-BD50-6C6AD5D8199F}"/>
    <hyperlink ref="Y129" r:id="rId124" display="https://ec.europa.eu/eurostat/databrowser/view/DS-056120__custom_6262207/default/table" xr:uid="{401ED45C-A29F-4248-9E01-3E664D3E7306}"/>
    <hyperlink ref="Y130" r:id="rId125" display="https://ec.europa.eu/eurostat/databrowser/view/DS-056120__custom_6262207/default/table" xr:uid="{B12837FC-8472-4763-87B2-610B83950A00}"/>
    <hyperlink ref="Y131" r:id="rId126" display="https://ec.europa.eu/eurostat/databrowser/view/DS-056120__custom_6262207/default/table" xr:uid="{65E3DF89-DEFE-45AF-951A-96D531D36B1B}"/>
    <hyperlink ref="Y132" r:id="rId127" display="https://ec.europa.eu/eurostat/databrowser/view/DS-056120__custom_6262207/default/table" xr:uid="{C0BCFC87-1D61-4184-9B9D-C1E663335696}"/>
    <hyperlink ref="Y133" r:id="rId128" display="https://ec.europa.eu/eurostat/databrowser/view/DS-056120__custom_6262207/default/table" xr:uid="{49D07438-6FD9-4DA1-A2F0-2F6982ABDE94}"/>
    <hyperlink ref="Y134" r:id="rId129" display="https://ec.europa.eu/eurostat/databrowser/view/DS-056120__custom_6262207/default/table" xr:uid="{E7F17930-6EA2-421D-81D0-97D6E7736DEF}"/>
    <hyperlink ref="Y135" r:id="rId130" display="https://ec.europa.eu/eurostat/databrowser/view/DS-056120__custom_6262207/default/table" xr:uid="{A12BF3EF-AA45-4E1B-AF98-7260DE9E886D}"/>
    <hyperlink ref="Y136" r:id="rId131" display="https://ec.europa.eu/eurostat/databrowser/view/DS-056120__custom_6262207/default/table" xr:uid="{A45EACD1-D345-4A21-BCC5-7D2D3A6BEB53}"/>
    <hyperlink ref="Y137" r:id="rId132" display="https://ec.europa.eu/eurostat/databrowser/view/DS-056120__custom_6262207/default/table" xr:uid="{FAE6600D-2D67-4474-86F7-60451EFACA81}"/>
    <hyperlink ref="Y138" r:id="rId133" display="https://ec.europa.eu/eurostat/databrowser/view/DS-056120__custom_6262207/default/table" xr:uid="{CADE381D-D03E-4460-BDFE-062AA996254E}"/>
    <hyperlink ref="Y139" r:id="rId134" display="https://ec.europa.eu/eurostat/databrowser/view/DS-056120__custom_6262207/default/table" xr:uid="{542E2038-2BD9-4868-9FE8-F3AFFF695AD7}"/>
    <hyperlink ref="Y140" r:id="rId135" display="https://ec.europa.eu/eurostat/databrowser/view/DS-056120__custom_6262207/default/table" xr:uid="{789F02DD-965C-4D86-9403-756B9D1907BD}"/>
    <hyperlink ref="Y141" r:id="rId136" display="https://ec.europa.eu/eurostat/databrowser/view/DS-056120__custom_6262207/default/table" xr:uid="{19E0A8B1-67F9-4FCA-A505-F8535C3965B7}"/>
    <hyperlink ref="Y142" r:id="rId137" display="https://ec.europa.eu/eurostat/databrowser/view/DS-056120__custom_6262207/default/table" xr:uid="{3190CB59-EE6A-4CCC-9D4B-696CA92B4538}"/>
    <hyperlink ref="Y143" r:id="rId138" display="https://ec.europa.eu/eurostat/databrowser/view/DS-056120__custom_6262207/default/table" xr:uid="{B0538B23-9F8E-470B-889E-AF2766C37622}"/>
    <hyperlink ref="Y144" r:id="rId139" display="https://ec.europa.eu/eurostat/databrowser/view/DS-056120__custom_6262207/default/table" xr:uid="{8A86B40E-561E-440D-9438-4356B91F7710}"/>
    <hyperlink ref="Y145" r:id="rId140" display="https://ec.europa.eu/eurostat/databrowser/view/DS-056120__custom_6262207/default/table" xr:uid="{5CFE90D8-4F3F-4150-8401-828ADF4066BA}"/>
    <hyperlink ref="Y146" r:id="rId141" display="https://ec.europa.eu/eurostat/databrowser/view/DS-056120__custom_6262207/default/table" xr:uid="{46C401AE-7320-43FD-8ECF-C73157EA2DD3}"/>
    <hyperlink ref="Y147" r:id="rId142" display="https://ec.europa.eu/eurostat/databrowser/view/DS-056120__custom_6262207/default/table" xr:uid="{49F03598-6044-4634-827B-FC601AE7C611}"/>
    <hyperlink ref="Y148" r:id="rId143" display="https://ec.europa.eu/eurostat/databrowser/view/DS-056120__custom_6262207/default/table" xr:uid="{C391C91F-F9C3-4EED-AD2C-3886AE0405E5}"/>
    <hyperlink ref="Y149" r:id="rId144" display="https://ec.europa.eu/eurostat/databrowser/view/DS-056120__custom_6262207/default/table" xr:uid="{276F135F-A217-4E1D-B290-6CA1557CAF54}"/>
    <hyperlink ref="Y150" r:id="rId145" display="https://ec.europa.eu/eurostat/databrowser/view/DS-056120__custom_6262207/default/table" xr:uid="{D5FE95FB-F1DC-4AD3-8C4D-4D9D30EA3F7A}"/>
    <hyperlink ref="Y151" r:id="rId146" display="https://ec.europa.eu/eurostat/databrowser/view/DS-056120__custom_6262207/default/table" xr:uid="{84BC926A-6E9F-4FE7-B812-637A4EA8CB62}"/>
    <hyperlink ref="Y152" r:id="rId147" display="https://ec.europa.eu/eurostat/databrowser/view/DS-056120__custom_6262207/default/table" xr:uid="{1ECA4B07-8F9D-4CC8-970D-0EB2FC406333}"/>
    <hyperlink ref="Y153" r:id="rId148" display="https://ec.europa.eu/eurostat/databrowser/view/DS-056120__custom_6262207/default/table" xr:uid="{25099F2F-85A8-4CE6-B774-B969A86B5EF7}"/>
    <hyperlink ref="Y154" r:id="rId149" display="https://ec.europa.eu/eurostat/databrowser/view/DS-056120__custom_6262207/default/table" xr:uid="{3BB06D3D-B0AF-4A8B-9C8B-88062045E40B}"/>
    <hyperlink ref="Y155" r:id="rId150" display="https://ec.europa.eu/eurostat/databrowser/view/DS-056120__custom_6262207/default/table" xr:uid="{B545D1C9-F4DD-4F1B-A4DE-A20CBFDA20DC}"/>
    <hyperlink ref="Y156" r:id="rId151" display="https://ec.europa.eu/eurostat/databrowser/view/DS-056120__custom_6262207/default/table" xr:uid="{6DB56DDC-156E-45B3-8E76-A5AAFDC055A4}"/>
    <hyperlink ref="Y157" r:id="rId152" display="https://ec.europa.eu/eurostat/databrowser/view/DS-056120__custom_6262207/default/table" xr:uid="{46863429-E295-42DE-86CA-1BC6324FE955}"/>
    <hyperlink ref="Y158" r:id="rId153" display="https://ec.europa.eu/eurostat/databrowser/view/DS-056120__custom_6262207/default/table" xr:uid="{055D0E8F-760B-4F17-9C41-56F9372931B6}"/>
    <hyperlink ref="Y159" r:id="rId154" display="https://ec.europa.eu/eurostat/databrowser/view/DS-056120__custom_6262207/default/table" xr:uid="{921ACE81-1154-452F-A28F-E36317261594}"/>
    <hyperlink ref="Y160" r:id="rId155" display="https://ec.europa.eu/eurostat/databrowser/view/DS-056120__custom_6262207/default/table" xr:uid="{FC8CD94C-C9FE-4A6B-A922-659D2FF5E58B}"/>
    <hyperlink ref="Y161" r:id="rId156" display="https://ec.europa.eu/eurostat/databrowser/view/DS-056120__custom_6262207/default/table" xr:uid="{978D1260-F543-42BF-88B7-ACA083F2B886}"/>
    <hyperlink ref="Y162" r:id="rId157" display="https://ec.europa.eu/eurostat/databrowser/view/DS-056120__custom_6262207/default/table" xr:uid="{6BE215AD-27F2-411B-B696-DD338997B249}"/>
    <hyperlink ref="Y163" r:id="rId158" display="https://ec.europa.eu/eurostat/databrowser/view/DS-056120__custom_6262207/default/table" xr:uid="{DCE19D8C-ABE2-41A5-9B13-BA21652BBE39}"/>
    <hyperlink ref="Y164" r:id="rId159" display="https://ec.europa.eu/eurostat/databrowser/view/DS-056120__custom_6262207/default/table" xr:uid="{F10833E3-6519-4DD8-B2F1-306B66A54BCC}"/>
    <hyperlink ref="Y165" r:id="rId160" display="https://ec.europa.eu/eurostat/databrowser/view/DS-056120__custom_6262207/default/table" xr:uid="{1522D38E-A472-4C6D-A4A5-4A579FA556D9}"/>
    <hyperlink ref="Y166" r:id="rId161" display="https://ec.europa.eu/eurostat/databrowser/view/DS-056120__custom_6262207/default/table" xr:uid="{A8A515AE-73E7-4AF4-A004-BBAC667761D6}"/>
    <hyperlink ref="Y167" r:id="rId162" display="https://ec.europa.eu/eurostat/databrowser/view/DS-056120__custom_6262207/default/table" xr:uid="{BA0AA0FA-36CF-47A4-B919-ACDF9D0C9DC3}"/>
    <hyperlink ref="Y168" r:id="rId163" display="https://ec.europa.eu/eurostat/databrowser/view/DS-056120__custom_6262207/default/table" xr:uid="{2552B7E6-338C-4CBE-94C4-38D6480D11BF}"/>
    <hyperlink ref="Y169" r:id="rId164" display="https://ec.europa.eu/eurostat/databrowser/view/DS-056120__custom_6262207/default/table" xr:uid="{640E04C5-EBBD-4FE5-A89A-8FC99BF17CD0}"/>
    <hyperlink ref="Y170" r:id="rId165" display="https://ec.europa.eu/eurostat/databrowser/view/DS-056120__custom_6262207/default/table" xr:uid="{C265DB43-85D3-40D2-BE38-CE2665CBEE49}"/>
    <hyperlink ref="Y171" r:id="rId166" display="https://ec.europa.eu/eurostat/databrowser/view/DS-056120__custom_6262207/default/table" xr:uid="{13428220-F65B-4BE7-8EB1-C78C83E606FC}"/>
    <hyperlink ref="Y172" r:id="rId167" display="https://ec.europa.eu/eurostat/databrowser/view/DS-056120__custom_6262207/default/table" xr:uid="{10B3ABC5-5ECA-4368-B0CF-F04F620C4327}"/>
    <hyperlink ref="Y173" r:id="rId168" display="https://ec.europa.eu/eurostat/databrowser/view/DS-056120__custom_6262207/default/table" xr:uid="{F1CB44EB-890C-4017-8DE3-FD3AF5D0A06F}"/>
    <hyperlink ref="Y174" r:id="rId169" display="https://ec.europa.eu/eurostat/databrowser/view/DS-056120__custom_6262207/default/table" xr:uid="{45182A93-F4ED-4654-99A7-B8EC74C4F223}"/>
    <hyperlink ref="Y175" r:id="rId170" display="https://ec.europa.eu/eurostat/databrowser/view/DS-056120__custom_6262207/default/table" xr:uid="{474B4F93-4AE0-49AC-A6D0-E809C0DBC009}"/>
    <hyperlink ref="Y176" r:id="rId171" display="https://ec.europa.eu/eurostat/databrowser/view/DS-056120__custom_6262207/default/table" xr:uid="{A9815282-8913-4B6A-8CD2-F2ECD71236F1}"/>
    <hyperlink ref="Y177" r:id="rId172" display="https://ec.europa.eu/eurostat/databrowser/view/DS-056120__custom_6262207/default/table" xr:uid="{C8EE7246-3D8E-4CD9-BE5C-E0A8D745D3F4}"/>
    <hyperlink ref="Y178" r:id="rId173" display="https://ec.europa.eu/eurostat/databrowser/view/DS-056120__custom_6262207/default/table" xr:uid="{C4DAA641-665D-42B4-9A3C-FDC9D526C620}"/>
    <hyperlink ref="Y179" r:id="rId174" display="https://ec.europa.eu/eurostat/databrowser/view/DS-056120__custom_6262207/default/table" xr:uid="{4FAAC208-9F76-4101-8C47-03F1C415997B}"/>
    <hyperlink ref="Y180" r:id="rId175" display="https://ec.europa.eu/eurostat/databrowser/view/DS-056120__custom_6262207/default/table" xr:uid="{1AB351ED-5067-4D1B-881D-7F855B9AF018}"/>
    <hyperlink ref="Y181" r:id="rId176" display="https://ec.europa.eu/eurostat/databrowser/view/DS-056120__custom_6262207/default/table" xr:uid="{51EACE68-17E2-4FCC-92F1-E4CD3E0652E1}"/>
    <hyperlink ref="Y182" r:id="rId177" display="https://ec.europa.eu/eurostat/databrowser/view/DS-056120__custom_6262207/default/table" xr:uid="{3A5FBADB-4CB6-41BE-BE3E-5096FCA5A295}"/>
    <hyperlink ref="Y183" r:id="rId178" display="https://ec.europa.eu/eurostat/databrowser/view/DS-056120__custom_6262207/default/table" xr:uid="{135ED266-88FE-4F97-A090-D281DBA4BC5E}"/>
    <hyperlink ref="Y184" r:id="rId179" display="https://ec.europa.eu/eurostat/databrowser/view/DS-056120__custom_6262207/default/table" xr:uid="{E2870E67-B3BE-411C-A76E-753999865CB9}"/>
    <hyperlink ref="Y185" r:id="rId180" display="https://ec.europa.eu/eurostat/databrowser/view/DS-056120__custom_6262207/default/table" xr:uid="{5E42F7E9-8F66-4F8F-872A-079833053551}"/>
    <hyperlink ref="Y186" r:id="rId181" display="https://ec.europa.eu/eurostat/databrowser/view/DS-056120__custom_6262207/default/table" xr:uid="{A42AFD0C-297F-46E9-965A-21ECC10D19DE}"/>
    <hyperlink ref="Y187" r:id="rId182" display="https://ec.europa.eu/eurostat/databrowser/view/DS-056120__custom_6262207/default/table" xr:uid="{3C38BEAB-779C-43C3-B6B1-D82581895508}"/>
    <hyperlink ref="Y188" r:id="rId183" display="https://ec.europa.eu/eurostat/databrowser/view/DS-056120__custom_6262207/default/table" xr:uid="{719FE2B0-B5DC-43C3-9F12-E246E77D2BEF}"/>
    <hyperlink ref="Y189" r:id="rId184" display="https://ec.europa.eu/eurostat/databrowser/view/DS-056120__custom_6262207/default/table" xr:uid="{0617E715-5175-459A-83E0-598BEBA68BE3}"/>
    <hyperlink ref="Y190" r:id="rId185" display="https://ec.europa.eu/eurostat/databrowser/view/DS-056120__custom_6262207/default/table" xr:uid="{0F317415-F1A6-4AFB-9B2D-525F18C63F95}"/>
    <hyperlink ref="Y191" r:id="rId186" display="https://ec.europa.eu/eurostat/databrowser/view/DS-056120__custom_6262207/default/table" xr:uid="{FB4D5B23-F739-43EF-BC7B-EA1E3D0AB759}"/>
    <hyperlink ref="Y192" r:id="rId187" display="https://ec.europa.eu/eurostat/databrowser/view/DS-056120__custom_6262207/default/table" xr:uid="{0DEDE10A-3933-4269-AAE5-F0C9B8B565BE}"/>
    <hyperlink ref="Y193" r:id="rId188" display="https://ec.europa.eu/eurostat/databrowser/view/DS-056120__custom_6262207/default/table" xr:uid="{A56AEFCB-36A3-4FF5-B74F-424EEC9CD282}"/>
    <hyperlink ref="Y194" r:id="rId189" display="https://ec.europa.eu/eurostat/databrowser/view/DS-056120__custom_6262207/default/table" xr:uid="{CD969810-0375-49B1-BB35-7AC60FCC94B9}"/>
    <hyperlink ref="Y195" r:id="rId190" display="https://ec.europa.eu/eurostat/databrowser/view/DS-056120__custom_6262207/default/table" xr:uid="{E00CF035-CDF5-4ED0-8B24-7C50B1BB9B90}"/>
    <hyperlink ref="Y196" r:id="rId191" display="https://ec.europa.eu/eurostat/databrowser/view/DS-056120__custom_6262207/default/table" xr:uid="{0FD394DA-D879-4055-B991-9BD05940D3A4}"/>
    <hyperlink ref="Y197" r:id="rId192" display="https://ec.europa.eu/eurostat/databrowser/view/DS-056120__custom_6262207/default/table" xr:uid="{D4F07208-2B6D-4B2F-BD35-22441BE38B23}"/>
    <hyperlink ref="Y198" r:id="rId193" display="https://ec.europa.eu/eurostat/databrowser/view/DS-056120__custom_6262207/default/table" xr:uid="{E77885F7-8F90-4EF6-A3DC-DD99F5DE7AEC}"/>
    <hyperlink ref="Y199" r:id="rId194" display="https://ec.europa.eu/eurostat/databrowser/view/DS-056120__custom_6262207/default/table" xr:uid="{F29C35B6-A038-4CF3-B5FF-69074FAACFD2}"/>
    <hyperlink ref="Y200" r:id="rId195" display="https://ec.europa.eu/eurostat/databrowser/view/DS-056120__custom_6262207/default/table" xr:uid="{2292579E-F63C-4BFC-8EDF-B85D58F9A7C1}"/>
    <hyperlink ref="Y201" r:id="rId196" display="https://ec.europa.eu/eurostat/databrowser/view/DS-056120__custom_6262207/default/table" xr:uid="{32D0FB83-516A-4A35-99F9-962000EB0DD2}"/>
    <hyperlink ref="Y202" r:id="rId197" display="https://ec.europa.eu/eurostat/databrowser/view/DS-056120__custom_6262207/default/table" xr:uid="{BC188EC3-B742-438C-AD32-9CE621A9C5FA}"/>
    <hyperlink ref="Y203" r:id="rId198" display="https://ec.europa.eu/eurostat/databrowser/view/DS-056120__custom_6262207/default/table" xr:uid="{0F29F02F-70DA-4D7C-9447-7998371F606D}"/>
    <hyperlink ref="Y204" r:id="rId199" display="https://ec.europa.eu/eurostat/databrowser/view/DS-056120__custom_6262207/default/table" xr:uid="{179546FA-8172-419B-BFBD-AE38667E6862}"/>
    <hyperlink ref="Y205" r:id="rId200" display="https://ec.europa.eu/eurostat/databrowser/view/DS-056120__custom_6262207/default/table" xr:uid="{BBACEE68-F6F7-4240-804F-ABC9F88D3EF1}"/>
    <hyperlink ref="Y206" r:id="rId201" display="https://ec.europa.eu/eurostat/databrowser/view/DS-056120__custom_6262207/default/table" xr:uid="{CD067C22-803C-459D-8C5F-9ADDCBDD9EEB}"/>
    <hyperlink ref="Y207" r:id="rId202" display="https://ec.europa.eu/eurostat/databrowser/view/DS-056120__custom_6262207/default/table" xr:uid="{9462A640-363D-4089-BCE5-2F9323B1068B}"/>
    <hyperlink ref="Y208" r:id="rId203" display="https://ec.europa.eu/eurostat/databrowser/view/DS-056120__custom_6262207/default/table" xr:uid="{84F91F04-BC8C-4703-A206-61C851989491}"/>
    <hyperlink ref="Y209" r:id="rId204" display="https://ec.europa.eu/eurostat/databrowser/view/DS-056120__custom_6262207/default/table" xr:uid="{97E869C9-CB4F-4581-87EF-0D769195E9AE}"/>
    <hyperlink ref="Y210" r:id="rId205" display="https://ec.europa.eu/eurostat/databrowser/view/DS-056120__custom_6262207/default/table" xr:uid="{66200AE5-695E-4F43-8958-987147D78442}"/>
    <hyperlink ref="Y211" r:id="rId206" display="https://ec.europa.eu/eurostat/databrowser/view/DS-056120__custom_6262207/default/table" xr:uid="{D6CFD66B-8549-412E-9596-28F32893947B}"/>
    <hyperlink ref="Y212" r:id="rId207" display="https://ec.europa.eu/eurostat/databrowser/view/DS-056120__custom_6262207/default/table" xr:uid="{C0A71988-BD9E-40E8-9F10-41D2B612FC5B}"/>
    <hyperlink ref="Y213" r:id="rId208" display="https://ec.europa.eu/eurostat/databrowser/view/DS-056120__custom_6262207/default/table" xr:uid="{0134B655-1CD6-43C5-926D-B90921FD218A}"/>
    <hyperlink ref="Y214" r:id="rId209" display="https://ec.europa.eu/eurostat/databrowser/view/DS-056120__custom_6262207/default/table" xr:uid="{EE1E0A53-577F-4FF1-9028-10B38B990980}"/>
    <hyperlink ref="Y215" r:id="rId210" display="https://ec.europa.eu/eurostat/databrowser/view/DS-056120__custom_6262207/default/table" xr:uid="{C816344D-8119-427A-9963-7E9446640CC4}"/>
    <hyperlink ref="Y216" r:id="rId211" display="https://ec.europa.eu/eurostat/databrowser/view/DS-056120__custom_6262207/default/table" xr:uid="{661EB852-610D-41E9-BB48-781DF664007A}"/>
    <hyperlink ref="Y217" r:id="rId212" display="https://ec.europa.eu/eurostat/databrowser/view/DS-056120__custom_6262207/default/table" xr:uid="{0DC1C5D9-0FB2-49A1-B30E-DB604FBEA6E9}"/>
    <hyperlink ref="Y218" r:id="rId213" display="https://ec.europa.eu/eurostat/databrowser/view/DS-056120__custom_6262207/default/table" xr:uid="{04928330-F01F-47E7-8ECA-0BFA367A544E}"/>
    <hyperlink ref="Y219" r:id="rId214" display="https://ec.europa.eu/eurostat/databrowser/view/DS-056120__custom_6262207/default/table" xr:uid="{E426F9C4-2448-4588-91F6-3C42D1FAC584}"/>
    <hyperlink ref="Y220" r:id="rId215" display="https://ec.europa.eu/eurostat/databrowser/view/DS-056120__custom_6262207/default/table" xr:uid="{2A5294DA-DC59-41E0-8FAA-238B92A23256}"/>
    <hyperlink ref="Y221" r:id="rId216" display="https://ec.europa.eu/eurostat/databrowser/view/DS-056120__custom_6262207/default/table" xr:uid="{8D886420-1AC3-42F2-ADBA-20FE8697686C}"/>
    <hyperlink ref="Y222" r:id="rId217" display="https://ec.europa.eu/eurostat/databrowser/view/DS-056120__custom_6262207/default/table" xr:uid="{3B5D8B9F-651D-4C9B-BC72-768C1E8C397F}"/>
    <hyperlink ref="Y223" r:id="rId218" display="https://ec.europa.eu/eurostat/databrowser/view/DS-056120__custom_6262207/default/table" xr:uid="{810711C7-7919-4BFE-B46E-3D80E7CAFDF3}"/>
    <hyperlink ref="Y224" r:id="rId219" display="https://ec.europa.eu/eurostat/databrowser/view/DS-056120__custom_6262207/default/table" xr:uid="{A182D5F8-B3F9-44AC-A8F0-CDCC5C2B2A8B}"/>
    <hyperlink ref="Y225" r:id="rId220" display="https://ec.europa.eu/eurostat/databrowser/view/DS-056120__custom_6262207/default/table" xr:uid="{EF6399B2-DCEA-4441-849F-72D8942937CC}"/>
    <hyperlink ref="Y226" r:id="rId221" display="https://ec.europa.eu/eurostat/databrowser/view/DS-056120__custom_6262207/default/table" xr:uid="{44599168-A5AB-4DA0-B20D-F5B131078BF8}"/>
    <hyperlink ref="Y227" r:id="rId222" display="https://ec.europa.eu/eurostat/databrowser/view/DS-056120__custom_6262207/default/table" xr:uid="{60781C66-EC30-4835-A493-884FB7818E15}"/>
    <hyperlink ref="Y228" r:id="rId223" display="https://ec.europa.eu/eurostat/databrowser/view/DS-056120__custom_6262207/default/table" xr:uid="{E32A6B78-C214-49CC-8CDF-AEB4CDF863AE}"/>
    <hyperlink ref="Y229" r:id="rId224" display="https://ec.europa.eu/eurostat/databrowser/view/DS-056120__custom_6262207/default/table" xr:uid="{A98118FC-F473-476F-B31A-F488F0F7A298}"/>
    <hyperlink ref="Y230" r:id="rId225" display="https://ec.europa.eu/eurostat/databrowser/view/DS-056120__custom_6262207/default/table" xr:uid="{AA0D0F4D-7259-4DCA-9CD0-DA58EF6F33F0}"/>
    <hyperlink ref="Y231" r:id="rId226" display="https://ec.europa.eu/eurostat/databrowser/view/DS-056120__custom_6262207/default/table" xr:uid="{5D44E765-056E-432B-816D-C6D0A49C8D57}"/>
    <hyperlink ref="Y232" r:id="rId227" display="https://ec.europa.eu/eurostat/databrowser/view/DS-056120__custom_6262207/default/table" xr:uid="{DD8A80F3-5650-4B00-A734-E4AB8392E9A5}"/>
    <hyperlink ref="Y233" r:id="rId228" display="https://ec.europa.eu/eurostat/databrowser/view/DS-056120__custom_6262207/default/table" xr:uid="{4AA22814-C2F3-4FE2-9310-6B7FA1823875}"/>
    <hyperlink ref="Y234" r:id="rId229" display="https://ec.europa.eu/eurostat/databrowser/view/DS-056120__custom_6262207/default/table" xr:uid="{13BFB366-D063-4943-9975-250C8761506E}"/>
    <hyperlink ref="Y235" r:id="rId230" display="https://ec.europa.eu/eurostat/databrowser/view/DS-056120__custom_6262207/default/table" xr:uid="{DBDD7DE4-D6DB-4F50-9179-341A0A06F862}"/>
    <hyperlink ref="Y236" r:id="rId231" display="https://ec.europa.eu/eurostat/databrowser/view/DS-056120__custom_6262207/default/table" xr:uid="{851B6413-F29C-460E-B9B2-4774171D4296}"/>
    <hyperlink ref="Y237" r:id="rId232" display="https://ec.europa.eu/eurostat/databrowser/view/DS-056120__custom_6262207/default/table" xr:uid="{EDD21B04-93AE-44C6-84D9-FB48CB56ACB6}"/>
    <hyperlink ref="Y238" r:id="rId233" display="https://ec.europa.eu/eurostat/databrowser/view/DS-056120__custom_6262207/default/table" xr:uid="{41D64DF3-5CB2-40F2-8FE8-8C91AE7AEE9E}"/>
    <hyperlink ref="Y239" r:id="rId234" display="https://ec.europa.eu/eurostat/databrowser/view/DS-056120__custom_6262207/default/table" xr:uid="{035B0496-EAFA-4198-BFBF-A544435F1E83}"/>
    <hyperlink ref="Y240" r:id="rId235" display="https://ec.europa.eu/eurostat/databrowser/view/DS-056120__custom_6262207/default/table" xr:uid="{3F0061A6-BB18-4824-8C68-2A44569094D3}"/>
    <hyperlink ref="Y241" r:id="rId236" display="https://ec.europa.eu/eurostat/databrowser/view/DS-056120__custom_6262207/default/table" xr:uid="{F5E9E301-A463-4FFC-8A70-0BA3F3E386A5}"/>
    <hyperlink ref="Y242" r:id="rId237" display="https://ec.europa.eu/eurostat/databrowser/view/DS-056120__custom_6262207/default/table" xr:uid="{0259FB23-D95D-4DF1-BDF2-4EA4889949A9}"/>
    <hyperlink ref="Y243" r:id="rId238" display="https://ec.europa.eu/eurostat/databrowser/view/DS-056120__custom_6262207/default/table" xr:uid="{517757E6-2146-4B43-AD97-980AAB4A8972}"/>
    <hyperlink ref="Y244" r:id="rId239" display="https://ec.europa.eu/eurostat/databrowser/view/DS-056120__custom_6262207/default/table" xr:uid="{BAD6E54C-C70F-42D1-BAC7-912CD49C0B77}"/>
    <hyperlink ref="Y245" r:id="rId240" display="https://ec.europa.eu/eurostat/databrowser/view/DS-056120__custom_6262207/default/table" xr:uid="{43CA15FD-687F-4670-89F3-C0A1C685360A}"/>
    <hyperlink ref="Y246" r:id="rId241" display="https://ec.europa.eu/eurostat/databrowser/view/DS-056120__custom_6262207/default/table" xr:uid="{EEA274BA-F4E9-4348-9656-ECAFFA1F5D85}"/>
    <hyperlink ref="Y247" r:id="rId242" display="https://ec.europa.eu/eurostat/databrowser/view/DS-056120__custom_6262207/default/table" xr:uid="{90D55E65-BE94-48EE-A8E0-35725D5DE336}"/>
    <hyperlink ref="Y248" r:id="rId243" display="https://ec.europa.eu/eurostat/databrowser/view/DS-056120__custom_6262207/default/table" xr:uid="{70866DCB-C39B-43C2-84BC-943124DD2A13}"/>
    <hyperlink ref="Y249" r:id="rId244" display="https://ec.europa.eu/eurostat/databrowser/view/DS-056120__custom_6262207/default/table" xr:uid="{B1ED9687-26BC-472E-A9E4-EE1AC6834918}"/>
    <hyperlink ref="Y250" r:id="rId245" display="https://ec.europa.eu/eurostat/databrowser/view/DS-056120__custom_6262207/default/table" xr:uid="{EDBD7703-AF46-4072-B9D3-CDC1AEF4C65D}"/>
    <hyperlink ref="Y251" r:id="rId246" display="https://ec.europa.eu/eurostat/databrowser/view/DS-056120__custom_6262207/default/table" xr:uid="{61CD4C07-ED2B-48A7-A0C7-AAEDEFA0E1DC}"/>
    <hyperlink ref="Y252" r:id="rId247" display="https://ec.europa.eu/eurostat/databrowser/view/DS-056120__custom_6262207/default/table" xr:uid="{E63D672E-76B7-4295-9355-B9EA16578AB2}"/>
  </hyperlinks>
  <pageMargins left="0.7" right="0.7" top="0.75" bottom="0.75" header="0.3" footer="0.3"/>
  <pageSetup orientation="portrait" r:id="rId248"/>
  <extLst>
    <ext xmlns:x14="http://schemas.microsoft.com/office/spreadsheetml/2009/9/main" uri="{78C0D931-6437-407d-A8EE-F0AAD7539E65}">
      <x14:conditionalFormattings>
        <x14:conditionalFormatting xmlns:xm="http://schemas.microsoft.com/office/excel/2006/main">
          <x14:cfRule type="dataBar" id="{957D7B16-265C-4623-A7A8-2B770FC37256}">
            <x14:dataBar minLength="0" maxLength="100" gradient="0">
              <x14:cfvo type="autoMin"/>
              <x14:cfvo type="autoMax"/>
              <x14:negativeFillColor rgb="FFFF0000"/>
              <x14:axisColor rgb="FF000000"/>
            </x14:dataBar>
          </x14:cfRule>
          <xm:sqref>D414:P453</xm:sqref>
        </x14:conditionalFormatting>
        <x14:conditionalFormatting xmlns:xm="http://schemas.microsoft.com/office/excel/2006/main">
          <x14:cfRule type="dataBar" id="{C5A53CB8-7286-4FE7-AE8E-AA89EC0DA347}">
            <x14:dataBar minLength="0" maxLength="100" gradient="0">
              <x14:cfvo type="autoMin"/>
              <x14:cfvo type="num">
                <xm:f>4</xm:f>
              </x14:cfvo>
              <x14:negativeFillColor rgb="FFFF0000"/>
              <x14:axisColor rgb="FF000000"/>
            </x14:dataBar>
          </x14:cfRule>
          <xm:sqref>H368:H380 J368:M380</xm:sqref>
        </x14:conditionalFormatting>
        <x14:conditionalFormatting xmlns:xm="http://schemas.microsoft.com/office/excel/2006/main">
          <x14:cfRule type="dataBar" id="{F8B1F0CB-9BC9-4040-9C43-D00C39456DD1}">
            <x14:dataBar minLength="0" maxLength="100" gradient="0">
              <x14:cfvo type="autoMin"/>
              <x14:cfvo type="num">
                <xm:f>4</xm:f>
              </x14:cfvo>
              <x14:negativeFillColor rgb="FFFF0000"/>
              <x14:axisColor rgb="FF000000"/>
            </x14:dataBar>
          </x14:cfRule>
          <xm:sqref>H364:M364</xm:sqref>
        </x14:conditionalFormatting>
        <x14:conditionalFormatting xmlns:xm="http://schemas.microsoft.com/office/excel/2006/main">
          <x14:cfRule type="dataBar" id="{314B60D7-FC16-44D8-B26B-4C67A0B45523}">
            <x14:dataBar minLength="0" maxLength="100" gradient="0">
              <x14:cfvo type="autoMin"/>
              <x14:cfvo type="num">
                <xm:f>4</xm:f>
              </x14:cfvo>
              <x14:negativeFillColor rgb="FFFF0000"/>
              <x14:axisColor rgb="FF000000"/>
            </x14:dataBar>
          </x14:cfRule>
          <xm:sqref>H365:M366 H361:M363</xm:sqref>
        </x14:conditionalFormatting>
        <x14:conditionalFormatting xmlns:xm="http://schemas.microsoft.com/office/excel/2006/main">
          <x14:cfRule type="dataBar" id="{A847D5C0-838A-4CB6-ABC9-B1E505FBCED8}">
            <x14:dataBar minLength="0" maxLength="100" gradient="0">
              <x14:cfvo type="autoMin"/>
              <x14:cfvo type="num">
                <xm:f>4</xm:f>
              </x14:cfvo>
              <x14:negativeFillColor rgb="FFFF0000"/>
              <x14:axisColor rgb="FF000000"/>
            </x14:dataBar>
          </x14:cfRule>
          <xm:sqref>H367:M367</xm:sqref>
        </x14:conditionalFormatting>
        <x14:conditionalFormatting xmlns:xm="http://schemas.microsoft.com/office/excel/2006/main">
          <x14:cfRule type="dataBar" id="{DA710FBA-F523-4A4B-B5D7-85AAB235F786}">
            <x14:dataBar minLength="0" maxLength="100" gradient="0">
              <x14:cfvo type="autoMin"/>
              <x14:cfvo type="num">
                <xm:f>4</xm:f>
              </x14:cfvo>
              <x14:negativeFillColor rgb="FFFF0000"/>
              <x14:axisColor rgb="FF000000"/>
            </x14:dataBar>
          </x14:cfRule>
          <xm:sqref>H381:M381 I382:M391 I393:M393</xm:sqref>
        </x14:conditionalFormatting>
        <x14:conditionalFormatting xmlns:xm="http://schemas.microsoft.com/office/excel/2006/main">
          <x14:cfRule type="dataBar" id="{15CA1832-E5DA-474E-8395-F35A08B234B2}">
            <x14:dataBar minLength="0" maxLength="100" gradient="0">
              <x14:cfvo type="autoMin"/>
              <x14:cfvo type="num">
                <xm:f>4</xm:f>
              </x14:cfvo>
              <x14:negativeFillColor rgb="FFFF0000"/>
              <x14:axisColor rgb="FF000000"/>
            </x14:dataBar>
          </x14:cfRule>
          <xm:sqref>H396:M396</xm:sqref>
        </x14:conditionalFormatting>
        <x14:conditionalFormatting xmlns:xm="http://schemas.microsoft.com/office/excel/2006/main">
          <x14:cfRule type="dataBar" id="{1765B891-9FD3-4466-AC3B-51D94A9A59B5}">
            <x14:dataBar minLength="0" maxLength="100" gradient="0">
              <x14:cfvo type="autoMin"/>
              <x14:cfvo type="num">
                <xm:f>4</xm:f>
              </x14:cfvo>
              <x14:negativeFillColor rgb="FFFF0000"/>
              <x14:axisColor rgb="FF000000"/>
            </x14:dataBar>
          </x14:cfRule>
          <xm:sqref>H396:M397</xm:sqref>
        </x14:conditionalFormatting>
        <x14:conditionalFormatting xmlns:xm="http://schemas.microsoft.com/office/excel/2006/main">
          <x14:cfRule type="dataBar" id="{B415458E-23C7-4872-A58E-3614C0AC9953}">
            <x14:dataBar minLength="0" maxLength="100" gradient="0">
              <x14:cfvo type="autoMin"/>
              <x14:cfvo type="num">
                <xm:f>4</xm:f>
              </x14:cfvo>
              <x14:negativeFillColor rgb="FFFF0000"/>
              <x14:axisColor rgb="FF000000"/>
            </x14:dataBar>
          </x14:cfRule>
          <xm:sqref>H397:M397</xm:sqref>
        </x14:conditionalFormatting>
        <x14:conditionalFormatting xmlns:xm="http://schemas.microsoft.com/office/excel/2006/main">
          <x14:cfRule type="dataBar" id="{50D803DC-F918-44A2-9B4B-53F8F78F2E2D}">
            <x14:dataBar minLength="0" maxLength="100" gradient="0">
              <x14:cfvo type="autoMin"/>
              <x14:cfvo type="num">
                <xm:f>4</xm:f>
              </x14:cfvo>
              <x14:negativeFillColor rgb="FFFF0000"/>
              <x14:axisColor rgb="FF000000"/>
            </x14:dataBar>
          </x14:cfRule>
          <xm:sqref>H398:M398</xm:sqref>
        </x14:conditionalFormatting>
        <x14:conditionalFormatting xmlns:xm="http://schemas.microsoft.com/office/excel/2006/main">
          <x14:cfRule type="dataBar" id="{32F8DCD1-A21D-4A1C-BAAD-039F98995370}">
            <x14:dataBar minLength="0" maxLength="100" gradient="0">
              <x14:cfvo type="autoMin"/>
              <x14:cfvo type="num">
                <xm:f>4</xm:f>
              </x14:cfvo>
              <x14:negativeFillColor rgb="FFFF0000"/>
              <x14:axisColor rgb="FF000000"/>
            </x14:dataBar>
          </x14:cfRule>
          <xm:sqref>H399:M399</xm:sqref>
        </x14:conditionalFormatting>
        <x14:conditionalFormatting xmlns:xm="http://schemas.microsoft.com/office/excel/2006/main">
          <x14:cfRule type="dataBar" id="{8413DB46-082A-41DF-A224-265A9591C829}">
            <x14:dataBar minLength="0" maxLength="100" gradient="0">
              <x14:cfvo type="autoMin"/>
              <x14:cfvo type="num">
                <xm:f>4</xm:f>
              </x14:cfvo>
              <x14:negativeFillColor rgb="FFFF0000"/>
              <x14:axisColor rgb="FF000000"/>
            </x14:dataBar>
          </x14:cfRule>
          <xm:sqref>H400:M403</xm:sqref>
        </x14:conditionalFormatting>
        <x14:conditionalFormatting xmlns:xm="http://schemas.microsoft.com/office/excel/2006/main">
          <x14:cfRule type="dataBar" id="{75236DBD-38CF-4B11-8416-7AA6FC7AA87C}">
            <x14:dataBar minLength="0" maxLength="100" gradient="0">
              <x14:cfvo type="autoMin"/>
              <x14:cfvo type="num">
                <xm:f>4</xm:f>
              </x14:cfvo>
              <x14:negativeFillColor rgb="FFFF0000"/>
              <x14:axisColor rgb="FF000000"/>
            </x14:dataBar>
          </x14:cfRule>
          <xm:sqref>H404:M405</xm:sqref>
        </x14:conditionalFormatting>
        <x14:conditionalFormatting xmlns:xm="http://schemas.microsoft.com/office/excel/2006/main">
          <x14:cfRule type="dataBar" id="{3A6E8455-6601-408B-9890-B5BABB8C463E}">
            <x14:dataBar minLength="0" maxLength="100" gradient="0">
              <x14:cfvo type="autoMin"/>
              <x14:cfvo type="num">
                <xm:f>4</xm:f>
              </x14:cfvo>
              <x14:negativeFillColor rgb="FFFF0000"/>
              <x14:axisColor rgb="FF000000"/>
            </x14:dataBar>
          </x14:cfRule>
          <xm:sqref>H406:M407</xm:sqref>
        </x14:conditionalFormatting>
        <x14:conditionalFormatting xmlns:xm="http://schemas.microsoft.com/office/excel/2006/main">
          <x14:cfRule type="dataBar" id="{A2C837B7-AE95-4CC8-8AB9-469C2F7CB751}">
            <x14:dataBar minLength="0" maxLength="100" gradient="0">
              <x14:cfvo type="autoMin"/>
              <x14:cfvo type="num">
                <xm:f>4</xm:f>
              </x14:cfvo>
              <x14:negativeFillColor rgb="FFFF0000"/>
              <x14:axisColor rgb="FF000000"/>
            </x14:dataBar>
          </x14:cfRule>
          <xm:sqref>I392:M392</xm:sqref>
        </x14:conditionalFormatting>
        <x14:conditionalFormatting xmlns:xm="http://schemas.microsoft.com/office/excel/2006/main">
          <x14:cfRule type="dataBar" id="{37D8D804-0BD8-4242-ABB5-D18A259F44D0}">
            <x14:dataBar minLength="0" maxLength="100" gradient="0">
              <x14:cfvo type="autoMin"/>
              <x14:cfvo type="num">
                <xm:f>4</xm:f>
              </x14:cfvo>
              <x14:negativeFillColor rgb="FFFF0000"/>
              <x14:axisColor rgb="FF000000"/>
            </x14:dataBar>
          </x14:cfRule>
          <xm:sqref>J6:N356</xm:sqref>
        </x14:conditionalFormatting>
        <x14:conditionalFormatting xmlns:xm="http://schemas.microsoft.com/office/excel/2006/main">
          <x14:cfRule type="dataBar" id="{56CBFE8F-F7EC-4BFC-80CB-9A3DD0D2B040}">
            <x14:dataBar minLength="0" maxLength="100" gradient="0">
              <x14:cfvo type="autoMin"/>
              <x14:cfvo type="autoMax"/>
              <x14:negativeFillColor rgb="FFFF0000"/>
              <x14:axisColor rgb="FF000000"/>
            </x14:dataBar>
          </x14:cfRule>
          <xm:sqref>N361:N366</xm:sqref>
        </x14:conditionalFormatting>
        <x14:conditionalFormatting xmlns:xm="http://schemas.microsoft.com/office/excel/2006/main">
          <x14:cfRule type="dataBar" id="{6FE93D2E-655C-4C27-831E-5CA1DED7ACF5}">
            <x14:dataBar minLength="0" maxLength="100" gradient="0">
              <x14:cfvo type="autoMin"/>
              <x14:cfvo type="autoMax"/>
              <x14:negativeFillColor rgb="FFFF0000"/>
              <x14:axisColor rgb="FF000000"/>
            </x14:dataBar>
          </x14:cfRule>
          <xm:sqref>N367</xm:sqref>
        </x14:conditionalFormatting>
        <x14:conditionalFormatting xmlns:xm="http://schemas.microsoft.com/office/excel/2006/main">
          <x14:cfRule type="dataBar" id="{047E5794-520E-4924-A857-97F0837ECB5A}">
            <x14:dataBar minLength="0" maxLength="100" gradient="0">
              <x14:cfvo type="autoMin"/>
              <x14:cfvo type="autoMax"/>
              <x14:negativeFillColor rgb="FFFF0000"/>
              <x14:axisColor rgb="FF000000"/>
            </x14:dataBar>
          </x14:cfRule>
          <xm:sqref>N368:N380</xm:sqref>
        </x14:conditionalFormatting>
        <x14:conditionalFormatting xmlns:xm="http://schemas.microsoft.com/office/excel/2006/main">
          <x14:cfRule type="dataBar" id="{70530BA1-5CDA-43D4-8C4A-B3231D734415}">
            <x14:dataBar minLength="0" maxLength="100" gradient="0">
              <x14:cfvo type="autoMin"/>
              <x14:cfvo type="autoMax"/>
              <x14:negativeFillColor rgb="FFFF0000"/>
              <x14:axisColor rgb="FF000000"/>
            </x14:dataBar>
          </x14:cfRule>
          <xm:sqref>N381:N391 N393</xm:sqref>
        </x14:conditionalFormatting>
        <x14:conditionalFormatting xmlns:xm="http://schemas.microsoft.com/office/excel/2006/main">
          <x14:cfRule type="dataBar" id="{A302DE98-0780-44F9-923E-65E203657680}">
            <x14:dataBar minLength="0" maxLength="100" gradient="0">
              <x14:cfvo type="autoMin"/>
              <x14:cfvo type="autoMax"/>
              <x14:negativeFillColor rgb="FFFF0000"/>
              <x14:axisColor rgb="FF000000"/>
            </x14:dataBar>
          </x14:cfRule>
          <xm:sqref>N392</xm:sqref>
        </x14:conditionalFormatting>
        <x14:conditionalFormatting xmlns:xm="http://schemas.microsoft.com/office/excel/2006/main">
          <x14:cfRule type="dataBar" id="{87103521-5D6E-47F7-9E88-9742125D88FE}">
            <x14:dataBar minLength="0" maxLength="100" gradient="0">
              <x14:cfvo type="autoMin"/>
              <x14:cfvo type="autoMax"/>
              <x14:negativeFillColor rgb="FFFF0000"/>
              <x14:axisColor rgb="FF000000"/>
            </x14:dataBar>
          </x14:cfRule>
          <xm:sqref>N396:N407</xm:sqref>
        </x14:conditionalFormatting>
        <x14:conditionalFormatting xmlns:xm="http://schemas.microsoft.com/office/excel/2006/main">
          <x14:cfRule type="dataBar" id="{E6E5D100-BB09-40AE-83ED-DF61489FE57A}">
            <x14:dataBar minLength="0" maxLength="100" gradient="0">
              <x14:cfvo type="autoMin"/>
              <x14:cfvo type="autoMax"/>
              <x14:negativeFillColor rgb="FFFF0000"/>
              <x14:axisColor rgb="FF000000"/>
            </x14:dataBar>
          </x14:cfRule>
          <xm:sqref>O6:O356</xm:sqref>
        </x14:conditionalFormatting>
        <x14:conditionalFormatting xmlns:xm="http://schemas.microsoft.com/office/excel/2006/main">
          <x14:cfRule type="dataBar" id="{EEAECA58-0081-44D6-B716-A22A2B10F7E9}">
            <x14:dataBar minLength="0" maxLength="100" gradient="0">
              <x14:cfvo type="autoMin"/>
              <x14:cfvo type="autoMax"/>
              <x14:negativeFillColor rgb="FFFF0000"/>
              <x14:axisColor rgb="FF000000"/>
            </x14:dataBar>
          </x14:cfRule>
          <xm:sqref>O361:O366</xm:sqref>
        </x14:conditionalFormatting>
        <x14:conditionalFormatting xmlns:xm="http://schemas.microsoft.com/office/excel/2006/main">
          <x14:cfRule type="dataBar" id="{9AD96C49-F858-417F-A967-FF4065FDA1BA}">
            <x14:dataBar minLength="0" maxLength="100" gradient="0">
              <x14:cfvo type="autoMin"/>
              <x14:cfvo type="autoMax"/>
              <x14:negativeFillColor rgb="FFFF0000"/>
              <x14:axisColor rgb="FF000000"/>
            </x14:dataBar>
          </x14:cfRule>
          <xm:sqref>O367</xm:sqref>
        </x14:conditionalFormatting>
        <x14:conditionalFormatting xmlns:xm="http://schemas.microsoft.com/office/excel/2006/main">
          <x14:cfRule type="dataBar" id="{A7BAE1DB-4773-4061-A98A-A2E1B905E283}">
            <x14:dataBar minLength="0" maxLength="100" gradient="0">
              <x14:cfvo type="autoMin"/>
              <x14:cfvo type="autoMax"/>
              <x14:negativeFillColor rgb="FFFF0000"/>
              <x14:axisColor rgb="FF000000"/>
            </x14:dataBar>
          </x14:cfRule>
          <xm:sqref>O396:O407</xm:sqref>
        </x14:conditionalFormatting>
        <x14:conditionalFormatting xmlns:xm="http://schemas.microsoft.com/office/excel/2006/main">
          <x14:cfRule type="dataBar" id="{B2A54833-F921-45C7-86AF-14BEDB6573C7}">
            <x14:dataBar minLength="0" maxLength="100" gradient="0">
              <x14:cfvo type="autoMin"/>
              <x14:cfvo type="num">
                <xm:f>4</xm:f>
              </x14:cfvo>
              <x14:negativeFillColor rgb="FFFF0000"/>
              <x14:axisColor rgb="FF000000"/>
            </x14:dataBar>
          </x14:cfRule>
          <xm:sqref>Z6:AD252</xm:sqref>
        </x14:conditionalFormatting>
        <x14:conditionalFormatting xmlns:xm="http://schemas.microsoft.com/office/excel/2006/main">
          <x14:cfRule type="dataBar" id="{89BE51AC-3D01-4EA8-B28B-4303EF3238DC}">
            <x14:dataBar minLength="0" maxLength="100" gradient="0">
              <x14:cfvo type="autoMin"/>
              <x14:cfvo type="autoMax"/>
              <x14:negativeFillColor rgb="FFFF0000"/>
              <x14:axisColor rgb="FF000000"/>
            </x14:dataBar>
          </x14:cfRule>
          <xm:sqref>AE5:AE252</xm:sqref>
        </x14:conditionalFormatting>
        <x14:conditionalFormatting xmlns:xm="http://schemas.microsoft.com/office/excel/2006/main">
          <x14:cfRule type="dataBar" id="{4025D62E-9601-4808-B8D7-46E4321D1A4D}">
            <x14:dataBar minLength="0" maxLength="100" gradient="0">
              <x14:cfvo type="autoMin"/>
              <x14:cfvo type="num">
                <xm:f>4</xm:f>
              </x14:cfvo>
              <x14:negativeFillColor rgb="FFFF0000"/>
              <x14:axisColor rgb="FF000000"/>
            </x14:dataBar>
          </x14:cfRule>
          <xm:sqref>AL6:AP31</xm:sqref>
        </x14:conditionalFormatting>
        <x14:conditionalFormatting xmlns:xm="http://schemas.microsoft.com/office/excel/2006/main">
          <x14:cfRule type="dataBar" id="{9D137F0D-623C-4436-82E4-0FF64CCB4CBD}">
            <x14:dataBar minLength="0" maxLength="100" gradient="0">
              <x14:cfvo type="autoMin"/>
              <x14:cfvo type="num">
                <xm:f>4</xm:f>
              </x14:cfvo>
              <x14:negativeFillColor rgb="FFFF0000"/>
              <x14:axisColor rgb="FF000000"/>
            </x14:dataBar>
          </x14:cfRule>
          <xm:sqref>AL35:AP60</xm:sqref>
        </x14:conditionalFormatting>
        <x14:conditionalFormatting xmlns:xm="http://schemas.microsoft.com/office/excel/2006/main">
          <x14:cfRule type="dataBar" id="{191EEFD1-35E4-43A7-8DA3-BA2547F5A824}">
            <x14:dataBar minLength="0" maxLength="100" gradient="0">
              <x14:cfvo type="autoMin"/>
              <x14:cfvo type="num">
                <xm:f>4</xm:f>
              </x14:cfvo>
              <x14:negativeFillColor rgb="FFFF0000"/>
              <x14:axisColor rgb="FF000000"/>
            </x14:dataBar>
          </x14:cfRule>
          <xm:sqref>AL65:AP82</xm:sqref>
        </x14:conditionalFormatting>
        <x14:conditionalFormatting xmlns:xm="http://schemas.microsoft.com/office/excel/2006/main">
          <x14:cfRule type="dataBar" id="{022DCEBE-4556-43A7-BA0B-8B582A268167}">
            <x14:dataBar minLength="0" maxLength="100" gradient="0">
              <x14:cfvo type="autoMin"/>
              <x14:cfvo type="num">
                <xm:f>4</xm:f>
              </x14:cfvo>
              <x14:negativeFillColor rgb="FFFF0000"/>
              <x14:axisColor rgb="FF000000"/>
            </x14:dataBar>
          </x14:cfRule>
          <xm:sqref>AL86:AP103</xm:sqref>
        </x14:conditionalFormatting>
        <x14:conditionalFormatting xmlns:xm="http://schemas.microsoft.com/office/excel/2006/main">
          <x14:cfRule type="dataBar" id="{CDCE2675-44D9-46E1-9BD7-620D376B4C5F}">
            <x14:dataBar minLength="0" maxLength="100" gradient="0">
              <x14:cfvo type="autoMin"/>
              <x14:cfvo type="autoMax"/>
              <x14:negativeFillColor rgb="FFFF0000"/>
              <x14:axisColor rgb="FF000000"/>
            </x14:dataBar>
          </x14:cfRule>
          <xm:sqref>AQ5</xm:sqref>
        </x14:conditionalFormatting>
        <x14:conditionalFormatting xmlns:xm="http://schemas.microsoft.com/office/excel/2006/main">
          <x14:cfRule type="dataBar" id="{50296EDD-C114-4ADE-88F5-0FA0AC48579A}">
            <x14:dataBar minLength="0" maxLength="100" gradient="0">
              <x14:cfvo type="autoMin"/>
              <x14:cfvo type="autoMax"/>
              <x14:negativeFillColor rgb="FFFF0000"/>
              <x14:axisColor rgb="FF000000"/>
            </x14:dataBar>
          </x14:cfRule>
          <xm:sqref>AQ6:AQ31</xm:sqref>
        </x14:conditionalFormatting>
        <x14:conditionalFormatting xmlns:xm="http://schemas.microsoft.com/office/excel/2006/main">
          <x14:cfRule type="dataBar" id="{EDC543FA-E2F2-4E9E-8D35-ADB9FAB0E485}">
            <x14:dataBar minLength="0" maxLength="100" gradient="0">
              <x14:cfvo type="autoMin"/>
              <x14:cfvo type="autoMax"/>
              <x14:negativeFillColor rgb="FFFF0000"/>
              <x14:axisColor rgb="FF000000"/>
            </x14:dataBar>
          </x14:cfRule>
          <xm:sqref>AQ34</xm:sqref>
        </x14:conditionalFormatting>
        <x14:conditionalFormatting xmlns:xm="http://schemas.microsoft.com/office/excel/2006/main">
          <x14:cfRule type="dataBar" id="{183FCF22-9DC6-4407-BB22-645D6D64A123}">
            <x14:dataBar minLength="0" maxLength="100" gradient="0">
              <x14:cfvo type="autoMin"/>
              <x14:cfvo type="autoMax"/>
              <x14:negativeFillColor rgb="FFFF0000"/>
              <x14:axisColor rgb="FF000000"/>
            </x14:dataBar>
          </x14:cfRule>
          <xm:sqref>AQ35:AQ60</xm:sqref>
        </x14:conditionalFormatting>
        <x14:conditionalFormatting xmlns:xm="http://schemas.microsoft.com/office/excel/2006/main">
          <x14:cfRule type="dataBar" id="{66277A20-B55F-4D0D-B4C2-D9E0600A8F6A}">
            <x14:dataBar minLength="0" maxLength="100" gradient="0">
              <x14:cfvo type="autoMin"/>
              <x14:cfvo type="autoMax"/>
              <x14:negativeFillColor rgb="FFFF0000"/>
              <x14:axisColor rgb="FF000000"/>
            </x14:dataBar>
          </x14:cfRule>
          <xm:sqref>AQ64</xm:sqref>
        </x14:conditionalFormatting>
        <x14:conditionalFormatting xmlns:xm="http://schemas.microsoft.com/office/excel/2006/main">
          <x14:cfRule type="dataBar" id="{FFEBCA67-9D96-4735-ACE7-CC0B8953E484}">
            <x14:dataBar minLength="0" maxLength="100" gradient="0">
              <x14:cfvo type="autoMin"/>
              <x14:cfvo type="autoMax"/>
              <x14:negativeFillColor rgb="FFFF0000"/>
              <x14:axisColor rgb="FF000000"/>
            </x14:dataBar>
          </x14:cfRule>
          <xm:sqref>AQ65:AQ82</xm:sqref>
        </x14:conditionalFormatting>
        <x14:conditionalFormatting xmlns:xm="http://schemas.microsoft.com/office/excel/2006/main">
          <x14:cfRule type="dataBar" id="{879A4CD8-B0E5-4FCA-BA5C-14C1CA131CE0}">
            <x14:dataBar minLength="0" maxLength="100" gradient="0">
              <x14:cfvo type="autoMin"/>
              <x14:cfvo type="autoMax"/>
              <x14:negativeFillColor rgb="FFFF0000"/>
              <x14:axisColor rgb="FF000000"/>
            </x14:dataBar>
          </x14:cfRule>
          <xm:sqref>AQ85</xm:sqref>
        </x14:conditionalFormatting>
        <x14:conditionalFormatting xmlns:xm="http://schemas.microsoft.com/office/excel/2006/main">
          <x14:cfRule type="dataBar" id="{7FB02629-7082-4749-9045-14402CF85EFC}">
            <x14:dataBar minLength="0" maxLength="100" gradient="0">
              <x14:cfvo type="autoMin"/>
              <x14:cfvo type="autoMax"/>
              <x14:negativeFillColor rgb="FFFF0000"/>
              <x14:axisColor rgb="FF000000"/>
            </x14:dataBar>
          </x14:cfRule>
          <xm:sqref>AQ86:AQ103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A2B4-F610-4ACA-874B-6C9943A9A89E}">
  <sheetPr>
    <tabColor theme="8"/>
  </sheetPr>
  <dimension ref="A1:AD190"/>
  <sheetViews>
    <sheetView topLeftCell="A117" zoomScale="85" zoomScaleNormal="85" workbookViewId="0">
      <selection activeCell="E133" sqref="E133"/>
    </sheetView>
  </sheetViews>
  <sheetFormatPr defaultRowHeight="15"/>
  <cols>
    <col min="1" max="1" width="27.140625" customWidth="1"/>
    <col min="2" max="2" width="28.7109375" customWidth="1"/>
    <col min="5" max="5" width="16.85546875" customWidth="1"/>
    <col min="6" max="6" width="17.28515625" customWidth="1"/>
    <col min="7" max="7" width="6.85546875" customWidth="1"/>
    <col min="8" max="8" width="7.85546875" customWidth="1"/>
    <col min="9" max="12" width="6.85546875" customWidth="1"/>
    <col min="13" max="13" width="10.5703125" bestFit="1" customWidth="1"/>
    <col min="14" max="14" width="6.85546875" customWidth="1"/>
    <col min="16" max="16" width="48.140625" bestFit="1" customWidth="1"/>
    <col min="20" max="20" width="20.28515625" customWidth="1"/>
    <col min="21" max="21" width="16.28515625" bestFit="1" customWidth="1"/>
    <col min="22" max="22" width="10.140625" bestFit="1" customWidth="1"/>
    <col min="23" max="23" width="8.28515625" bestFit="1" customWidth="1"/>
    <col min="24" max="24" width="14.7109375" bestFit="1" customWidth="1"/>
    <col min="25" max="25" width="12.7109375" bestFit="1" customWidth="1"/>
  </cols>
  <sheetData>
    <row r="1" spans="1:26" s="131" customFormat="1" ht="30" customHeight="1">
      <c r="R1" s="389"/>
    </row>
    <row r="2" spans="1:26" s="6" customFormat="1">
      <c r="A2" s="1017" t="s">
        <v>767</v>
      </c>
      <c r="B2" s="1017"/>
      <c r="C2" s="1017"/>
      <c r="D2" s="1017"/>
      <c r="E2" s="1017"/>
      <c r="F2" s="1017"/>
      <c r="G2" s="1017"/>
      <c r="H2" s="1017"/>
      <c r="I2" s="1017"/>
      <c r="J2" s="1017"/>
      <c r="K2" s="1017"/>
      <c r="L2" s="1017"/>
      <c r="M2" s="1017"/>
      <c r="N2" s="1017"/>
      <c r="O2" s="1017"/>
      <c r="P2" s="1017"/>
      <c r="Q2" s="1017"/>
    </row>
    <row r="3" spans="1:26" s="6" customFormat="1" ht="18.75" customHeight="1">
      <c r="A3" s="1018"/>
      <c r="B3" s="1018"/>
      <c r="C3" s="1018"/>
      <c r="D3" s="1018"/>
      <c r="E3" s="1018"/>
      <c r="F3" s="1018"/>
      <c r="G3" s="1018"/>
      <c r="H3" s="1018"/>
      <c r="I3" s="1018"/>
      <c r="J3" s="1018"/>
      <c r="K3" s="1018"/>
      <c r="L3" s="1018"/>
      <c r="M3" s="1018"/>
      <c r="N3" s="1018"/>
      <c r="O3" s="1018"/>
      <c r="P3" s="1018"/>
      <c r="Q3" s="1018"/>
      <c r="R3" s="389"/>
    </row>
    <row r="4" spans="1:26" s="6" customFormat="1" ht="15.75" thickBot="1">
      <c r="Z4"/>
    </row>
    <row r="5" spans="1:26" s="6" customFormat="1" ht="15.75" thickBot="1">
      <c r="A5" s="140" t="s">
        <v>131</v>
      </c>
      <c r="B5" s="140" t="s">
        <v>100</v>
      </c>
      <c r="C5" s="140" t="s">
        <v>101</v>
      </c>
      <c r="D5" s="140" t="s">
        <v>102</v>
      </c>
      <c r="E5" s="140" t="s">
        <v>775</v>
      </c>
      <c r="F5" s="228" t="s">
        <v>104</v>
      </c>
      <c r="G5" s="111" t="s">
        <v>134</v>
      </c>
      <c r="H5" s="112" t="s">
        <v>65</v>
      </c>
      <c r="I5" s="112" t="s">
        <v>67</v>
      </c>
      <c r="J5" s="112" t="s">
        <v>73</v>
      </c>
      <c r="K5" s="113" t="s">
        <v>79</v>
      </c>
      <c r="L5" s="114" t="s">
        <v>106</v>
      </c>
      <c r="M5" s="115" t="s">
        <v>123</v>
      </c>
      <c r="Z5"/>
    </row>
    <row r="6" spans="1:26" s="6" customFormat="1" ht="15.75" thickBot="1">
      <c r="A6" s="117" t="s">
        <v>180</v>
      </c>
      <c r="B6" s="143" t="s">
        <v>396</v>
      </c>
      <c r="C6" s="117">
        <v>1990</v>
      </c>
      <c r="D6" s="9" t="s">
        <v>92</v>
      </c>
      <c r="E6" s="343">
        <v>14.048770000000001</v>
      </c>
      <c r="F6" s="187" t="s">
        <v>778</v>
      </c>
      <c r="G6" s="253">
        <v>1</v>
      </c>
      <c r="H6" s="13">
        <v>1</v>
      </c>
      <c r="I6" s="13">
        <v>1</v>
      </c>
      <c r="J6" s="13">
        <v>1</v>
      </c>
      <c r="K6" s="322">
        <v>1</v>
      </c>
      <c r="L6" s="355">
        <f t="shared" ref="L6:L13" si="0">IF( OR( ISBLANK(G6),ISBLANK(H6), ISBLANK(I6), ISBLANK(J6), ISBLANK(K6) ), "", 1.5*SQRT( EXP(2.21*(G6-1)) + EXP(2.21*(H6-1)) + EXP(2.21*(I6-1)) + EXP(2.21*(J6-1)) + EXP(2.21*K6-1)   )/100*2.45 )</f>
        <v>9.9656111784768353E-2</v>
      </c>
      <c r="M6" s="33"/>
      <c r="Z6"/>
    </row>
    <row r="7" spans="1:26" s="6" customFormat="1" ht="15.75" thickBot="1">
      <c r="A7" s="117" t="s">
        <v>180</v>
      </c>
      <c r="B7" s="143" t="s">
        <v>396</v>
      </c>
      <c r="C7" s="117">
        <v>1995</v>
      </c>
      <c r="D7" s="9" t="s">
        <v>92</v>
      </c>
      <c r="E7" s="343">
        <v>15.103305000000001</v>
      </c>
      <c r="F7" s="187" t="s">
        <v>778</v>
      </c>
      <c r="G7" s="253">
        <v>1</v>
      </c>
      <c r="H7" s="13">
        <v>1</v>
      </c>
      <c r="I7" s="13">
        <v>1</v>
      </c>
      <c r="J7" s="13">
        <v>1</v>
      </c>
      <c r="K7" s="322">
        <v>1</v>
      </c>
      <c r="L7" s="355">
        <f t="shared" si="0"/>
        <v>9.9656111784768353E-2</v>
      </c>
      <c r="M7" s="33"/>
      <c r="Z7"/>
    </row>
    <row r="8" spans="1:26" s="6" customFormat="1" ht="15.75" thickBot="1">
      <c r="A8" s="117" t="s">
        <v>180</v>
      </c>
      <c r="B8" s="143" t="s">
        <v>396</v>
      </c>
      <c r="C8" s="117">
        <v>2000</v>
      </c>
      <c r="D8" s="9" t="s">
        <v>92</v>
      </c>
      <c r="E8" s="343">
        <v>16.7798639999999</v>
      </c>
      <c r="F8" s="187" t="s">
        <v>778</v>
      </c>
      <c r="G8" s="253">
        <v>1</v>
      </c>
      <c r="H8" s="13">
        <v>1</v>
      </c>
      <c r="I8" s="13">
        <v>1</v>
      </c>
      <c r="J8" s="13">
        <v>1</v>
      </c>
      <c r="K8" s="322">
        <v>1</v>
      </c>
      <c r="L8" s="355">
        <f t="shared" si="0"/>
        <v>9.9656111784768353E-2</v>
      </c>
      <c r="M8" s="33"/>
      <c r="Z8"/>
    </row>
    <row r="9" spans="1:26" s="6" customFormat="1" ht="15.75" thickBot="1">
      <c r="A9" s="117" t="s">
        <v>180</v>
      </c>
      <c r="B9" s="143" t="s">
        <v>396</v>
      </c>
      <c r="C9" s="117">
        <v>2005</v>
      </c>
      <c r="D9" s="9" t="s">
        <v>92</v>
      </c>
      <c r="E9" s="343">
        <v>17.777562999999997</v>
      </c>
      <c r="F9" s="187" t="s">
        <v>778</v>
      </c>
      <c r="G9" s="253">
        <v>1</v>
      </c>
      <c r="H9" s="13">
        <v>1</v>
      </c>
      <c r="I9" s="13">
        <v>1</v>
      </c>
      <c r="J9" s="13">
        <v>1</v>
      </c>
      <c r="K9" s="322">
        <v>1</v>
      </c>
      <c r="L9" s="355">
        <f t="shared" si="0"/>
        <v>9.9656111784768353E-2</v>
      </c>
      <c r="M9" s="33"/>
      <c r="Z9"/>
    </row>
    <row r="10" spans="1:26" s="131" customFormat="1" ht="30" customHeight="1" thickBot="1">
      <c r="A10" s="117" t="s">
        <v>180</v>
      </c>
      <c r="B10" s="143" t="s">
        <v>396</v>
      </c>
      <c r="C10" s="117">
        <v>2010</v>
      </c>
      <c r="D10" s="9" t="s">
        <v>92</v>
      </c>
      <c r="E10" s="343">
        <v>18.043420999999999</v>
      </c>
      <c r="F10" s="187" t="s">
        <v>778</v>
      </c>
      <c r="G10" s="253">
        <v>1</v>
      </c>
      <c r="H10" s="13">
        <v>1</v>
      </c>
      <c r="I10" s="13">
        <v>1</v>
      </c>
      <c r="J10" s="13">
        <v>1</v>
      </c>
      <c r="K10" s="322">
        <v>1</v>
      </c>
      <c r="L10" s="355">
        <f t="shared" si="0"/>
        <v>9.9656111784768353E-2</v>
      </c>
      <c r="M10" s="33"/>
      <c r="O10" s="6"/>
      <c r="P10" s="6"/>
      <c r="Q10" s="6"/>
      <c r="R10" s="6"/>
      <c r="Z10"/>
    </row>
    <row r="11" spans="1:26" s="6" customFormat="1" ht="30" customHeight="1" thickBot="1">
      <c r="A11" s="117" t="s">
        <v>180</v>
      </c>
      <c r="B11" s="143" t="s">
        <v>396</v>
      </c>
      <c r="C11" s="117">
        <v>2015</v>
      </c>
      <c r="D11" s="9" t="s">
        <v>92</v>
      </c>
      <c r="E11" s="343">
        <v>18.230867999999997</v>
      </c>
      <c r="F11" s="187" t="s">
        <v>778</v>
      </c>
      <c r="G11" s="253">
        <v>1</v>
      </c>
      <c r="H11" s="13">
        <v>1</v>
      </c>
      <c r="I11" s="13">
        <v>1</v>
      </c>
      <c r="J11" s="13">
        <v>1</v>
      </c>
      <c r="K11" s="322">
        <v>1</v>
      </c>
      <c r="L11" s="355">
        <f t="shared" si="0"/>
        <v>9.9656111784768353E-2</v>
      </c>
      <c r="M11" s="33"/>
      <c r="Z11"/>
    </row>
    <row r="12" spans="1:26" s="6" customFormat="1" ht="15.75" thickBot="1">
      <c r="A12" s="117" t="s">
        <v>180</v>
      </c>
      <c r="B12" s="143" t="s">
        <v>396</v>
      </c>
      <c r="C12" s="117">
        <v>2019</v>
      </c>
      <c r="D12" s="9" t="s">
        <v>92</v>
      </c>
      <c r="E12" s="343">
        <v>19.338638</v>
      </c>
      <c r="F12" s="187" t="s">
        <v>778</v>
      </c>
      <c r="G12" s="253">
        <v>1</v>
      </c>
      <c r="H12" s="13">
        <v>1</v>
      </c>
      <c r="I12" s="13">
        <v>1</v>
      </c>
      <c r="J12" s="13">
        <v>1</v>
      </c>
      <c r="K12" s="322">
        <v>1</v>
      </c>
      <c r="L12" s="355">
        <f t="shared" si="0"/>
        <v>9.9656111784768353E-2</v>
      </c>
      <c r="M12" s="33"/>
      <c r="Z12"/>
    </row>
    <row r="13" spans="1:26" s="6" customFormat="1" ht="15.75" thickBot="1">
      <c r="A13" s="117" t="s">
        <v>180</v>
      </c>
      <c r="B13" s="143" t="s">
        <v>396</v>
      </c>
      <c r="C13" s="117">
        <v>2020</v>
      </c>
      <c r="D13" s="9" t="s">
        <v>92</v>
      </c>
      <c r="E13" s="343">
        <v>16.756188426510999</v>
      </c>
      <c r="F13" s="187" t="s">
        <v>778</v>
      </c>
      <c r="G13" s="253">
        <v>1</v>
      </c>
      <c r="H13" s="13">
        <v>1</v>
      </c>
      <c r="I13" s="13">
        <v>1</v>
      </c>
      <c r="J13" s="13">
        <v>1</v>
      </c>
      <c r="K13" s="322">
        <v>1</v>
      </c>
      <c r="L13" s="355">
        <f t="shared" si="0"/>
        <v>9.9656111784768353E-2</v>
      </c>
      <c r="M13" s="33"/>
      <c r="Z13"/>
    </row>
    <row r="14" spans="1:26" s="6" customFormat="1" ht="15.75" thickBot="1">
      <c r="A14" s="140" t="s">
        <v>131</v>
      </c>
      <c r="B14" s="140" t="s">
        <v>100</v>
      </c>
      <c r="C14" s="140" t="s">
        <v>101</v>
      </c>
      <c r="D14" s="140" t="s">
        <v>102</v>
      </c>
      <c r="E14" s="140"/>
      <c r="F14" s="228" t="s">
        <v>104</v>
      </c>
      <c r="G14" s="111" t="s">
        <v>134</v>
      </c>
      <c r="H14" s="112" t="s">
        <v>65</v>
      </c>
      <c r="I14" s="112" t="s">
        <v>67</v>
      </c>
      <c r="J14" s="112" t="s">
        <v>73</v>
      </c>
      <c r="K14" s="113" t="s">
        <v>79</v>
      </c>
      <c r="L14" s="114" t="s">
        <v>106</v>
      </c>
      <c r="M14" s="115" t="s">
        <v>123</v>
      </c>
      <c r="Z14"/>
    </row>
    <row r="15" spans="1:26" s="6" customFormat="1" ht="15.75" thickBot="1">
      <c r="A15" s="117" t="s">
        <v>180</v>
      </c>
      <c r="B15" s="143" t="s">
        <v>396</v>
      </c>
      <c r="C15" s="117">
        <v>1990</v>
      </c>
      <c r="D15" s="9" t="s">
        <v>92</v>
      </c>
      <c r="E15" s="343">
        <v>9.7959110544217687</v>
      </c>
      <c r="F15" s="187" t="s">
        <v>783</v>
      </c>
      <c r="G15" s="253">
        <v>1</v>
      </c>
      <c r="H15" s="13">
        <v>1</v>
      </c>
      <c r="I15" s="13">
        <v>1</v>
      </c>
      <c r="J15" s="13">
        <v>1</v>
      </c>
      <c r="K15" s="322">
        <v>1</v>
      </c>
      <c r="L15" s="355">
        <f t="shared" ref="L15:L22" si="1">IF( OR( ISBLANK(G15),ISBLANK(H15), ISBLANK(I15), ISBLANK(J15), ISBLANK(K15) ), "", 1.5*SQRT( EXP(2.21*(G15-1)) + EXP(2.21*(H15-1)) + EXP(2.21*(I15-1)) + EXP(2.21*(J15-1)) + EXP(2.21*K15-1)   )/100*2.45 )</f>
        <v>9.9656111784768353E-2</v>
      </c>
      <c r="M15" s="33"/>
      <c r="Z15"/>
    </row>
    <row r="16" spans="1:26" s="6" customFormat="1" ht="30" customHeight="1" thickBot="1">
      <c r="A16" s="117" t="s">
        <v>180</v>
      </c>
      <c r="B16" s="143" t="s">
        <v>396</v>
      </c>
      <c r="C16" s="117">
        <v>1995</v>
      </c>
      <c r="D16" s="9" t="s">
        <v>92</v>
      </c>
      <c r="E16" s="343">
        <v>10.531216071428499</v>
      </c>
      <c r="F16" s="187" t="s">
        <v>783</v>
      </c>
      <c r="G16" s="253">
        <v>1</v>
      </c>
      <c r="H16" s="13">
        <v>1</v>
      </c>
      <c r="I16" s="13">
        <v>1</v>
      </c>
      <c r="J16" s="13">
        <v>1</v>
      </c>
      <c r="K16" s="322">
        <v>1</v>
      </c>
      <c r="L16" s="355">
        <f t="shared" si="1"/>
        <v>9.9656111784768353E-2</v>
      </c>
      <c r="M16" s="33"/>
      <c r="Z16"/>
    </row>
    <row r="17" spans="1:30" s="6" customFormat="1" ht="15.75" thickBot="1">
      <c r="A17" s="117" t="s">
        <v>180</v>
      </c>
      <c r="B17" s="143" t="s">
        <v>396</v>
      </c>
      <c r="C17" s="117">
        <v>2000</v>
      </c>
      <c r="D17" s="9" t="s">
        <v>92</v>
      </c>
      <c r="E17" s="343">
        <v>11.700245306122401</v>
      </c>
      <c r="F17" s="187" t="s">
        <v>783</v>
      </c>
      <c r="G17" s="253">
        <v>1</v>
      </c>
      <c r="H17" s="13">
        <v>1</v>
      </c>
      <c r="I17" s="13">
        <v>1</v>
      </c>
      <c r="J17" s="13">
        <v>1</v>
      </c>
      <c r="K17" s="322">
        <v>1</v>
      </c>
      <c r="L17" s="355">
        <f t="shared" si="1"/>
        <v>9.9656111784768353E-2</v>
      </c>
      <c r="M17" s="33"/>
      <c r="Z17"/>
    </row>
    <row r="18" spans="1:30" s="6" customFormat="1" ht="15.75" thickBot="1">
      <c r="A18" s="117" t="s">
        <v>180</v>
      </c>
      <c r="B18" s="143" t="s">
        <v>396</v>
      </c>
      <c r="C18" s="117">
        <v>2005</v>
      </c>
      <c r="D18" s="9" t="s">
        <v>92</v>
      </c>
      <c r="E18" s="343">
        <v>12.3959197789115</v>
      </c>
      <c r="F18" s="187" t="s">
        <v>783</v>
      </c>
      <c r="G18" s="253">
        <v>1</v>
      </c>
      <c r="H18" s="13">
        <v>1</v>
      </c>
      <c r="I18" s="13">
        <v>1</v>
      </c>
      <c r="J18" s="13">
        <v>1</v>
      </c>
      <c r="K18" s="322">
        <v>1</v>
      </c>
      <c r="L18" s="355">
        <f t="shared" si="1"/>
        <v>9.9656111784768353E-2</v>
      </c>
      <c r="M18" s="33"/>
      <c r="Z18"/>
    </row>
    <row r="19" spans="1:30" s="6" customFormat="1" ht="15.75" thickBot="1">
      <c r="A19" s="117" t="s">
        <v>180</v>
      </c>
      <c r="B19" s="143" t="s">
        <v>396</v>
      </c>
      <c r="C19" s="117">
        <v>2010</v>
      </c>
      <c r="D19" s="9" t="s">
        <v>92</v>
      </c>
      <c r="E19" s="343">
        <v>12.5812969557823</v>
      </c>
      <c r="F19" s="187" t="s">
        <v>783</v>
      </c>
      <c r="G19" s="253">
        <v>1</v>
      </c>
      <c r="H19" s="13">
        <v>1</v>
      </c>
      <c r="I19" s="13">
        <v>1</v>
      </c>
      <c r="J19" s="13">
        <v>1</v>
      </c>
      <c r="K19" s="322">
        <v>1</v>
      </c>
      <c r="L19" s="355">
        <f t="shared" si="1"/>
        <v>9.9656111784768353E-2</v>
      </c>
      <c r="M19" s="33"/>
      <c r="R19" s="389"/>
      <c r="Z19"/>
    </row>
    <row r="20" spans="1:30" s="6" customFormat="1" ht="15.75" thickBot="1">
      <c r="A20" s="117" t="s">
        <v>180</v>
      </c>
      <c r="B20" s="143" t="s">
        <v>396</v>
      </c>
      <c r="C20" s="117">
        <v>2015</v>
      </c>
      <c r="D20" s="9" t="s">
        <v>92</v>
      </c>
      <c r="E20" s="343">
        <v>12.711999795918301</v>
      </c>
      <c r="F20" s="187" t="s">
        <v>783</v>
      </c>
      <c r="G20" s="253">
        <v>1</v>
      </c>
      <c r="H20" s="13">
        <v>1</v>
      </c>
      <c r="I20" s="13">
        <v>1</v>
      </c>
      <c r="J20" s="13">
        <v>1</v>
      </c>
      <c r="K20" s="322">
        <v>1</v>
      </c>
      <c r="L20" s="355">
        <f t="shared" si="1"/>
        <v>9.9656111784768353E-2</v>
      </c>
      <c r="M20" s="33"/>
      <c r="Z20"/>
    </row>
    <row r="21" spans="1:30" s="6" customFormat="1" ht="15" customHeight="1" thickBot="1">
      <c r="A21" s="117" t="s">
        <v>180</v>
      </c>
      <c r="B21" s="143" t="s">
        <v>396</v>
      </c>
      <c r="C21" s="117">
        <v>2019</v>
      </c>
      <c r="D21" s="9" t="s">
        <v>92</v>
      </c>
      <c r="E21" s="343">
        <v>13.4844244557823</v>
      </c>
      <c r="F21" s="187" t="s">
        <v>783</v>
      </c>
      <c r="G21" s="253">
        <v>1</v>
      </c>
      <c r="H21" s="13">
        <v>1</v>
      </c>
      <c r="I21" s="13">
        <v>1</v>
      </c>
      <c r="J21" s="13">
        <v>1</v>
      </c>
      <c r="K21" s="322">
        <v>1</v>
      </c>
      <c r="L21" s="355">
        <f t="shared" si="1"/>
        <v>9.9656111784768353E-2</v>
      </c>
      <c r="M21" s="33"/>
      <c r="Z21"/>
    </row>
    <row r="22" spans="1:30" s="6" customFormat="1" ht="15" customHeight="1" thickBot="1">
      <c r="A22" s="117" t="s">
        <v>180</v>
      </c>
      <c r="B22" s="143" t="s">
        <v>396</v>
      </c>
      <c r="C22" s="117">
        <v>2020</v>
      </c>
      <c r="D22" s="9" t="s">
        <v>92</v>
      </c>
      <c r="E22" s="343">
        <v>11.683736828009399</v>
      </c>
      <c r="F22" s="187" t="s">
        <v>783</v>
      </c>
      <c r="G22" s="253">
        <v>1</v>
      </c>
      <c r="H22" s="13">
        <v>1</v>
      </c>
      <c r="I22" s="13">
        <v>1</v>
      </c>
      <c r="J22" s="13">
        <v>1</v>
      </c>
      <c r="K22" s="322">
        <v>1</v>
      </c>
      <c r="L22" s="355">
        <f t="shared" si="1"/>
        <v>9.9656111784768353E-2</v>
      </c>
      <c r="M22" s="33"/>
      <c r="Z22"/>
    </row>
    <row r="23" spans="1:30" s="6" customFormat="1" ht="15.75" thickBot="1">
      <c r="A23" s="140" t="s">
        <v>131</v>
      </c>
      <c r="B23" s="140" t="s">
        <v>100</v>
      </c>
      <c r="C23" s="140" t="s">
        <v>101</v>
      </c>
      <c r="D23" s="140" t="s">
        <v>102</v>
      </c>
      <c r="E23" s="140"/>
      <c r="F23" s="228" t="s">
        <v>104</v>
      </c>
      <c r="G23" s="111" t="s">
        <v>134</v>
      </c>
      <c r="H23" s="112" t="s">
        <v>65</v>
      </c>
      <c r="I23" s="112" t="s">
        <v>67</v>
      </c>
      <c r="J23" s="112" t="s">
        <v>73</v>
      </c>
      <c r="K23" s="113" t="s">
        <v>79</v>
      </c>
      <c r="L23" s="114" t="s">
        <v>106</v>
      </c>
      <c r="M23" s="115" t="s">
        <v>123</v>
      </c>
      <c r="Z23"/>
    </row>
    <row r="24" spans="1:30" s="6" customFormat="1" ht="15" customHeight="1" thickBot="1">
      <c r="A24" s="117" t="s">
        <v>180</v>
      </c>
      <c r="B24" s="143" t="s">
        <v>396</v>
      </c>
      <c r="C24" s="117">
        <v>1990</v>
      </c>
      <c r="D24" s="9" t="s">
        <v>92</v>
      </c>
      <c r="E24" s="343">
        <v>18.038811819727801</v>
      </c>
      <c r="F24" s="187" t="s">
        <v>784</v>
      </c>
      <c r="G24" s="253">
        <v>1</v>
      </c>
      <c r="H24" s="13">
        <v>1</v>
      </c>
      <c r="I24" s="13">
        <v>1</v>
      </c>
      <c r="J24" s="13">
        <v>1</v>
      </c>
      <c r="K24" s="322">
        <v>1</v>
      </c>
      <c r="L24" s="355">
        <f t="shared" ref="L24:L31" si="2">IF( OR( ISBLANK(G24),ISBLANK(H24), ISBLANK(I24), ISBLANK(J24), ISBLANK(K24) ), "", 1.5*SQRT( EXP(2.21*(G24-1)) + EXP(2.21*(H24-1)) + EXP(2.21*(I24-1)) + EXP(2.21*(J24-1)) + EXP(2.21*K24-1)   )/100*2.45 )</f>
        <v>9.9656111784768353E-2</v>
      </c>
      <c r="M24" s="33"/>
      <c r="Z24"/>
    </row>
    <row r="25" spans="1:30" s="6" customFormat="1" ht="15.75" thickBot="1">
      <c r="A25" s="117" t="s">
        <v>180</v>
      </c>
      <c r="B25" s="143" t="s">
        <v>396</v>
      </c>
      <c r="C25" s="117">
        <v>1995</v>
      </c>
      <c r="D25" s="9" t="s">
        <v>92</v>
      </c>
      <c r="E25" s="343">
        <v>19.392849107142801</v>
      </c>
      <c r="F25" s="187" t="s">
        <v>784</v>
      </c>
      <c r="G25" s="253">
        <v>1</v>
      </c>
      <c r="H25" s="13">
        <v>1</v>
      </c>
      <c r="I25" s="13">
        <v>1</v>
      </c>
      <c r="J25" s="13">
        <v>1</v>
      </c>
      <c r="K25" s="322">
        <v>1</v>
      </c>
      <c r="L25" s="355">
        <f t="shared" si="2"/>
        <v>9.9656111784768353E-2</v>
      </c>
      <c r="M25" s="33"/>
      <c r="Z25"/>
    </row>
    <row r="26" spans="1:30" s="131" customFormat="1" ht="30" customHeight="1" thickBot="1">
      <c r="A26" s="117" t="s">
        <v>180</v>
      </c>
      <c r="B26" s="143" t="s">
        <v>396</v>
      </c>
      <c r="C26" s="117">
        <v>2000</v>
      </c>
      <c r="D26" s="9" t="s">
        <v>92</v>
      </c>
      <c r="E26" s="343">
        <v>21.545573673469299</v>
      </c>
      <c r="F26" s="187" t="s">
        <v>784</v>
      </c>
      <c r="G26" s="253">
        <v>1</v>
      </c>
      <c r="H26" s="13">
        <v>1</v>
      </c>
      <c r="I26" s="13">
        <v>1</v>
      </c>
      <c r="J26" s="13">
        <v>1</v>
      </c>
      <c r="K26" s="322">
        <v>1</v>
      </c>
      <c r="L26" s="355">
        <f t="shared" si="2"/>
        <v>9.9656111784768353E-2</v>
      </c>
      <c r="M26" s="33"/>
      <c r="O26" s="6"/>
      <c r="P26" s="6"/>
      <c r="Q26" s="6"/>
      <c r="R26" s="6"/>
      <c r="Z26"/>
    </row>
    <row r="27" spans="1:30" s="6" customFormat="1" ht="30" customHeight="1" thickBot="1">
      <c r="A27" s="117" t="s">
        <v>180</v>
      </c>
      <c r="B27" s="143" t="s">
        <v>396</v>
      </c>
      <c r="C27" s="117">
        <v>2005</v>
      </c>
      <c r="D27" s="9" t="s">
        <v>92</v>
      </c>
      <c r="E27" s="343">
        <v>22.826632763605399</v>
      </c>
      <c r="F27" s="187" t="s">
        <v>784</v>
      </c>
      <c r="G27" s="253">
        <v>1</v>
      </c>
      <c r="H27" s="13">
        <v>1</v>
      </c>
      <c r="I27" s="13">
        <v>1</v>
      </c>
      <c r="J27" s="13">
        <v>1</v>
      </c>
      <c r="K27" s="322">
        <v>1</v>
      </c>
      <c r="L27" s="355">
        <f t="shared" si="2"/>
        <v>9.9656111784768353E-2</v>
      </c>
      <c r="M27" s="33"/>
      <c r="Z27"/>
      <c r="AA27" s="374"/>
      <c r="AB27"/>
    </row>
    <row r="28" spans="1:30" s="6" customFormat="1" ht="15.75" thickBot="1">
      <c r="A28" s="117" t="s">
        <v>180</v>
      </c>
      <c r="B28" s="143" t="s">
        <v>396</v>
      </c>
      <c r="C28" s="117">
        <v>2010</v>
      </c>
      <c r="D28" s="9" t="s">
        <v>92</v>
      </c>
      <c r="E28" s="343">
        <v>23.167998052721</v>
      </c>
      <c r="F28" s="187" t="s">
        <v>784</v>
      </c>
      <c r="G28" s="253">
        <v>1</v>
      </c>
      <c r="H28" s="13">
        <v>1</v>
      </c>
      <c r="I28" s="13">
        <v>1</v>
      </c>
      <c r="J28" s="13">
        <v>1</v>
      </c>
      <c r="K28" s="322">
        <v>1</v>
      </c>
      <c r="L28" s="355">
        <f t="shared" si="2"/>
        <v>9.9656111784768353E-2</v>
      </c>
      <c r="M28" s="33"/>
      <c r="Z28"/>
      <c r="AC28" s="374"/>
      <c r="AD28"/>
    </row>
    <row r="29" spans="1:30" s="6" customFormat="1" ht="15.75" thickBot="1">
      <c r="A29" s="117" t="s">
        <v>180</v>
      </c>
      <c r="B29" s="143" t="s">
        <v>396</v>
      </c>
      <c r="C29" s="117">
        <v>2015</v>
      </c>
      <c r="D29" s="9" t="s">
        <v>92</v>
      </c>
      <c r="E29" s="343">
        <v>23.408682551020402</v>
      </c>
      <c r="F29" s="187" t="s">
        <v>784</v>
      </c>
      <c r="G29" s="253">
        <v>1</v>
      </c>
      <c r="H29" s="13">
        <v>1</v>
      </c>
      <c r="I29" s="13">
        <v>1</v>
      </c>
      <c r="J29" s="13">
        <v>1</v>
      </c>
      <c r="K29" s="322">
        <v>1</v>
      </c>
      <c r="L29" s="355">
        <f t="shared" si="2"/>
        <v>9.9656111784768353E-2</v>
      </c>
      <c r="M29" s="33"/>
      <c r="Z29"/>
      <c r="AC29" s="374"/>
      <c r="AD29"/>
    </row>
    <row r="30" spans="1:30" s="6" customFormat="1" ht="15.75" thickBot="1">
      <c r="A30" s="117" t="s">
        <v>180</v>
      </c>
      <c r="B30" s="143" t="s">
        <v>396</v>
      </c>
      <c r="C30" s="117">
        <v>2019</v>
      </c>
      <c r="D30" s="9" t="s">
        <v>92</v>
      </c>
      <c r="E30" s="343">
        <v>24.831074302720999</v>
      </c>
      <c r="F30" s="187" t="s">
        <v>784</v>
      </c>
      <c r="G30" s="253">
        <v>1</v>
      </c>
      <c r="H30" s="13">
        <v>1</v>
      </c>
      <c r="I30" s="13">
        <v>1</v>
      </c>
      <c r="J30" s="13">
        <v>1</v>
      </c>
      <c r="K30" s="322">
        <v>1</v>
      </c>
      <c r="L30" s="355">
        <f t="shared" si="2"/>
        <v>9.9656111784768353E-2</v>
      </c>
      <c r="M30" s="33"/>
      <c r="Z30"/>
      <c r="AC30" s="374"/>
      <c r="AD30"/>
    </row>
    <row r="31" spans="1:30" s="6" customFormat="1">
      <c r="A31" s="117" t="s">
        <v>180</v>
      </c>
      <c r="B31" s="143" t="s">
        <v>396</v>
      </c>
      <c r="C31" s="117">
        <v>2020</v>
      </c>
      <c r="D31" s="9" t="s">
        <v>92</v>
      </c>
      <c r="E31" s="343">
        <v>21.5151739149929</v>
      </c>
      <c r="F31" s="187" t="s">
        <v>784</v>
      </c>
      <c r="G31" s="253">
        <v>1</v>
      </c>
      <c r="H31" s="13">
        <v>1</v>
      </c>
      <c r="I31" s="13">
        <v>1</v>
      </c>
      <c r="J31" s="13">
        <v>1</v>
      </c>
      <c r="K31" s="322">
        <v>1</v>
      </c>
      <c r="L31" s="355">
        <f t="shared" si="2"/>
        <v>9.9656111784768353E-2</v>
      </c>
      <c r="M31" s="33"/>
      <c r="Z31"/>
      <c r="AC31" s="374"/>
      <c r="AD31"/>
    </row>
    <row r="32" spans="1:30" s="6" customFormat="1">
      <c r="B32" s="882"/>
      <c r="D32" s="7"/>
      <c r="E32" s="883"/>
      <c r="F32" s="2"/>
      <c r="G32" s="1"/>
      <c r="H32" s="1"/>
      <c r="I32" s="1"/>
      <c r="J32" s="1"/>
      <c r="K32" s="1"/>
      <c r="L32" s="782"/>
      <c r="M32" s="7"/>
      <c r="Z32"/>
      <c r="AC32" s="374"/>
      <c r="AD32"/>
    </row>
    <row r="33" spans="1:30" s="6" customFormat="1">
      <c r="A33" s="881"/>
      <c r="B33" s="884"/>
      <c r="C33" s="881"/>
      <c r="D33" s="885"/>
      <c r="E33" s="886"/>
      <c r="F33" s="881"/>
      <c r="G33" s="881"/>
      <c r="H33" s="881"/>
      <c r="I33" s="881"/>
      <c r="J33" s="881"/>
      <c r="K33" s="881"/>
      <c r="L33" s="881"/>
      <c r="M33" s="881"/>
      <c r="N33" s="881"/>
      <c r="O33" s="881"/>
      <c r="P33" s="881"/>
      <c r="Q33" s="881"/>
      <c r="Z33"/>
      <c r="AC33" s="375"/>
      <c r="AD33"/>
    </row>
    <row r="34" spans="1:30" s="6" customFormat="1" ht="18.75">
      <c r="A34" s="388" t="s">
        <v>785</v>
      </c>
      <c r="B34" s="388"/>
      <c r="C34" s="388"/>
      <c r="D34" s="388"/>
      <c r="E34" s="388"/>
      <c r="F34" s="388"/>
      <c r="G34" s="388"/>
      <c r="H34" s="388"/>
      <c r="I34" s="388"/>
      <c r="J34" s="388"/>
      <c r="K34" s="388"/>
      <c r="L34" s="388"/>
      <c r="M34" s="388"/>
      <c r="N34" s="388"/>
      <c r="O34" s="388"/>
      <c r="P34" s="388"/>
      <c r="Q34" s="388"/>
      <c r="Z34"/>
    </row>
    <row r="35" spans="1:30" s="6" customFormat="1" ht="15.75" thickBot="1">
      <c r="K35"/>
      <c r="Z35"/>
    </row>
    <row r="36" spans="1:30" s="6" customFormat="1" ht="15.75" thickBot="1">
      <c r="A36" s="140" t="s">
        <v>131</v>
      </c>
      <c r="B36" s="140" t="s">
        <v>100</v>
      </c>
      <c r="C36" s="140" t="s">
        <v>101</v>
      </c>
      <c r="D36" s="140" t="s">
        <v>102</v>
      </c>
      <c r="E36" s="140"/>
      <c r="F36" s="228" t="s">
        <v>104</v>
      </c>
      <c r="G36" s="112" t="s">
        <v>135</v>
      </c>
      <c r="H36" s="112" t="s">
        <v>65</v>
      </c>
      <c r="I36" s="112" t="s">
        <v>67</v>
      </c>
      <c r="J36" s="112" t="s">
        <v>73</v>
      </c>
      <c r="K36" s="113" t="s">
        <v>79</v>
      </c>
      <c r="L36" s="114" t="s">
        <v>106</v>
      </c>
      <c r="M36" s="115" t="s">
        <v>123</v>
      </c>
      <c r="Z36"/>
    </row>
    <row r="37" spans="1:30" s="6" customFormat="1" ht="15.75" thickBot="1">
      <c r="A37" s="117" t="s">
        <v>182</v>
      </c>
      <c r="B37" s="143" t="s">
        <v>396</v>
      </c>
      <c r="C37" s="117">
        <v>1990</v>
      </c>
      <c r="D37" s="9" t="s">
        <v>92</v>
      </c>
      <c r="E37" s="222">
        <f>_xlfn.XLOOKUP('Tyre wear'!C37,'Scaling tables'!$B$3:$B$12,'Scaling tables'!$H$3:$H$12)*_xlfn.XLOOKUP('Tyre wear'!C37,'Tyre wear'!$C$6:$C$13,'Tyre wear'!$E$6:$E$13)</f>
        <v>393.48030195907643</v>
      </c>
      <c r="F37" s="187" t="s">
        <v>786</v>
      </c>
      <c r="G37" s="13">
        <v>1</v>
      </c>
      <c r="H37" s="13">
        <v>1</v>
      </c>
      <c r="I37" s="13">
        <v>1</v>
      </c>
      <c r="J37" s="13">
        <v>1</v>
      </c>
      <c r="K37" s="322">
        <v>2</v>
      </c>
      <c r="L37" s="355">
        <f>IF( OR( ISBLANK(G37),ISBLANK(H37), ISBLANK(I37), ISBLANK(J37), ISBLANK(K37) ), "", 1.5*SQRT( EXP(2.21*(G37-1)) + EXP(2.21*(H37-1)) + EXP(2.21*(I37-1)) + EXP(2.21*(J37-1)) + EXP(2.21*K37-1)   )/100*2.45 )</f>
        <v>0.2160744213792255</v>
      </c>
      <c r="M37" s="33"/>
      <c r="Z37"/>
    </row>
    <row r="38" spans="1:30" s="6" customFormat="1" ht="15.75" thickBot="1">
      <c r="A38" s="117" t="s">
        <v>182</v>
      </c>
      <c r="B38" s="143" t="s">
        <v>396</v>
      </c>
      <c r="C38" s="117">
        <v>1995</v>
      </c>
      <c r="D38" s="9" t="s">
        <v>92</v>
      </c>
      <c r="E38" s="222">
        <f>_xlfn.XLOOKUP('Tyre wear'!C38,'Scaling tables'!$B$3:$B$12,'Scaling tables'!$H$3:$H$12)*_xlfn.XLOOKUP('Tyre wear'!C38,'Tyre wear'!$C$6:$C$13,'Tyre wear'!$E$6:$E$13)</f>
        <v>414.53829746083062</v>
      </c>
      <c r="F38" s="187" t="s">
        <v>786</v>
      </c>
      <c r="G38" s="13">
        <v>1</v>
      </c>
      <c r="H38" s="13">
        <v>1</v>
      </c>
      <c r="I38" s="13">
        <v>1</v>
      </c>
      <c r="J38" s="13">
        <v>1</v>
      </c>
      <c r="K38" s="322">
        <v>2</v>
      </c>
      <c r="L38" s="355">
        <f t="shared" ref="L38:L44" si="3">IF( OR( ISBLANK(G38),ISBLANK(H38), ISBLANK(I38), ISBLANK(J38), ISBLANK(K38) ), "", 1.5*SQRT( EXP(2.21*(G38-1)) + EXP(2.21*(H38-1)) + EXP(2.21*(I38-1)) + EXP(2.21*(J38-1)) + EXP(2.21*K38-1)   )/100*2.45 )</f>
        <v>0.2160744213792255</v>
      </c>
      <c r="M38" s="33"/>
      <c r="Z38"/>
    </row>
    <row r="39" spans="1:30" s="6" customFormat="1" ht="15.75" thickBot="1">
      <c r="A39" s="117" t="s">
        <v>182</v>
      </c>
      <c r="B39" s="143" t="s">
        <v>396</v>
      </c>
      <c r="C39" s="117">
        <v>2000</v>
      </c>
      <c r="D39" s="9" t="s">
        <v>92</v>
      </c>
      <c r="E39" s="222">
        <f>_xlfn.XLOOKUP('Tyre wear'!C39,'Scaling tables'!$B$3:$B$12,'Scaling tables'!$H$3:$H$12)*_xlfn.XLOOKUP('Tyre wear'!C39,'Tyre wear'!$C$6:$C$13,'Tyre wear'!$E$6:$E$13)</f>
        <v>451.93964163246113</v>
      </c>
      <c r="F39" s="187" t="s">
        <v>786</v>
      </c>
      <c r="G39" s="13">
        <v>1</v>
      </c>
      <c r="H39" s="13">
        <v>1</v>
      </c>
      <c r="I39" s="13">
        <v>1</v>
      </c>
      <c r="J39" s="13">
        <v>1</v>
      </c>
      <c r="K39" s="322">
        <v>2</v>
      </c>
      <c r="L39" s="355">
        <f t="shared" si="3"/>
        <v>0.2160744213792255</v>
      </c>
      <c r="M39" s="33"/>
      <c r="R39"/>
      <c r="Z39"/>
    </row>
    <row r="40" spans="1:30" s="6" customFormat="1" ht="15.75" thickBot="1">
      <c r="A40" s="117" t="s">
        <v>182</v>
      </c>
      <c r="B40" s="143" t="s">
        <v>396</v>
      </c>
      <c r="C40" s="117">
        <v>2005</v>
      </c>
      <c r="D40" s="9" t="s">
        <v>92</v>
      </c>
      <c r="E40" s="222">
        <f>_xlfn.XLOOKUP('Tyre wear'!C40,'Scaling tables'!$B$3:$B$12,'Scaling tables'!$H$3:$H$12)*_xlfn.XLOOKUP('Tyre wear'!C40,'Tyre wear'!$C$6:$C$13,'Tyre wear'!$E$6:$E$13)</f>
        <v>473.98095485876485</v>
      </c>
      <c r="F40" s="187" t="s">
        <v>786</v>
      </c>
      <c r="G40" s="13">
        <v>1</v>
      </c>
      <c r="H40" s="13">
        <v>1</v>
      </c>
      <c r="I40" s="13">
        <v>1</v>
      </c>
      <c r="J40" s="13">
        <v>1</v>
      </c>
      <c r="K40" s="322">
        <v>2</v>
      </c>
      <c r="L40" s="355">
        <f t="shared" si="3"/>
        <v>0.2160744213792255</v>
      </c>
      <c r="M40" s="33"/>
      <c r="R40"/>
      <c r="Z40"/>
    </row>
    <row r="41" spans="1:30" s="6" customFormat="1" ht="15.75" thickBot="1">
      <c r="A41" s="117" t="s">
        <v>182</v>
      </c>
      <c r="B41" s="143" t="s">
        <v>396</v>
      </c>
      <c r="C41" s="117">
        <v>2010</v>
      </c>
      <c r="D41" s="9" t="s">
        <v>92</v>
      </c>
      <c r="E41" s="222">
        <f>_xlfn.XLOOKUP('Tyre wear'!C41,'Scaling tables'!$B$3:$B$12,'Scaling tables'!$H$3:$H$12)*_xlfn.XLOOKUP('Tyre wear'!C41,'Tyre wear'!$C$6:$C$13,'Tyre wear'!$E$6:$E$13)</f>
        <v>478.9472033360608</v>
      </c>
      <c r="F41" s="187" t="s">
        <v>786</v>
      </c>
      <c r="G41" s="13">
        <v>1</v>
      </c>
      <c r="H41" s="13">
        <v>1</v>
      </c>
      <c r="I41" s="13">
        <v>1</v>
      </c>
      <c r="J41" s="13">
        <v>1</v>
      </c>
      <c r="K41" s="322">
        <v>2</v>
      </c>
      <c r="L41" s="355">
        <f t="shared" si="3"/>
        <v>0.2160744213792255</v>
      </c>
      <c r="M41" s="33"/>
      <c r="R41"/>
      <c r="Z41"/>
    </row>
    <row r="42" spans="1:30" ht="15.75" thickBot="1">
      <c r="A42" s="117" t="s">
        <v>182</v>
      </c>
      <c r="B42" s="143" t="s">
        <v>396</v>
      </c>
      <c r="C42" s="117">
        <v>2015</v>
      </c>
      <c r="D42" s="9" t="s">
        <v>92</v>
      </c>
      <c r="E42" s="222">
        <f>_xlfn.XLOOKUP('Tyre wear'!C42,'Scaling tables'!$B$3:$B$12,'Scaling tables'!$H$3:$H$12)*_xlfn.XLOOKUP('Tyre wear'!C42,'Tyre wear'!$C$6:$C$13,'Tyre wear'!$E$6:$E$13)</f>
        <v>478.08873645143643</v>
      </c>
      <c r="F42" s="187" t="s">
        <v>786</v>
      </c>
      <c r="G42" s="13">
        <v>1</v>
      </c>
      <c r="H42" s="13">
        <v>1</v>
      </c>
      <c r="I42" s="13">
        <v>1</v>
      </c>
      <c r="J42" s="13">
        <v>1</v>
      </c>
      <c r="K42" s="322">
        <v>2</v>
      </c>
      <c r="L42" s="355">
        <f t="shared" si="3"/>
        <v>0.2160744213792255</v>
      </c>
      <c r="M42" s="33"/>
      <c r="P42" s="6"/>
      <c r="Q42" s="6"/>
    </row>
    <row r="43" spans="1:30" ht="15.75" thickBot="1">
      <c r="A43" s="117" t="s">
        <v>182</v>
      </c>
      <c r="B43" s="143" t="s">
        <v>396</v>
      </c>
      <c r="C43" s="117">
        <v>2019</v>
      </c>
      <c r="D43" s="9" t="s">
        <v>92</v>
      </c>
      <c r="E43" s="222">
        <f>_xlfn.XLOOKUP('Tyre wear'!C43,'Scaling tables'!$B$3:$B$12,'Scaling tables'!$H$3:$H$12)*_xlfn.XLOOKUP('Tyre wear'!C43,'Tyre wear'!$C$6:$C$13,'Tyre wear'!$E$6:$E$13)</f>
        <v>498.40670894401939</v>
      </c>
      <c r="F43" s="187" t="s">
        <v>786</v>
      </c>
      <c r="G43" s="13">
        <v>1</v>
      </c>
      <c r="H43" s="13">
        <v>1</v>
      </c>
      <c r="I43" s="13">
        <v>1</v>
      </c>
      <c r="J43" s="13">
        <v>1</v>
      </c>
      <c r="K43" s="322">
        <v>2</v>
      </c>
      <c r="L43" s="355">
        <f t="shared" si="3"/>
        <v>0.2160744213792255</v>
      </c>
      <c r="M43" s="33"/>
      <c r="P43" s="6"/>
      <c r="Q43" s="6"/>
    </row>
    <row r="44" spans="1:30" ht="15.75" thickBot="1">
      <c r="A44" s="117" t="s">
        <v>182</v>
      </c>
      <c r="B44" s="143" t="s">
        <v>396</v>
      </c>
      <c r="C44" s="117">
        <v>2020</v>
      </c>
      <c r="D44" s="9" t="s">
        <v>92</v>
      </c>
      <c r="E44" s="222">
        <f>_xlfn.XLOOKUP('Tyre wear'!C44,'Scaling tables'!$B$3:$B$12,'Scaling tables'!$H$3:$H$12)*_xlfn.XLOOKUP('Tyre wear'!C44,'Tyre wear'!$C$6:$C$13,'Tyre wear'!$E$6:$E$13)</f>
        <v>429.76922283483776</v>
      </c>
      <c r="F44" s="187" t="s">
        <v>786</v>
      </c>
      <c r="G44" s="13">
        <v>1</v>
      </c>
      <c r="H44" s="13">
        <v>1</v>
      </c>
      <c r="I44" s="13">
        <v>1</v>
      </c>
      <c r="J44" s="13">
        <v>1</v>
      </c>
      <c r="K44" s="322">
        <v>2</v>
      </c>
      <c r="L44" s="355">
        <f t="shared" si="3"/>
        <v>0.2160744213792255</v>
      </c>
      <c r="M44" s="33"/>
      <c r="P44" s="6"/>
      <c r="Q44" s="6"/>
    </row>
    <row r="45" spans="1:30" ht="15.75" thickBot="1">
      <c r="A45" s="140" t="s">
        <v>131</v>
      </c>
      <c r="B45" s="140" t="s">
        <v>100</v>
      </c>
      <c r="C45" s="140" t="s">
        <v>101</v>
      </c>
      <c r="D45" s="140" t="s">
        <v>102</v>
      </c>
      <c r="E45" s="140"/>
      <c r="F45" s="228" t="s">
        <v>104</v>
      </c>
      <c r="G45" s="112" t="s">
        <v>135</v>
      </c>
      <c r="H45" s="112" t="s">
        <v>65</v>
      </c>
      <c r="I45" s="112" t="s">
        <v>67</v>
      </c>
      <c r="J45" s="112" t="s">
        <v>73</v>
      </c>
      <c r="K45" s="113" t="s">
        <v>79</v>
      </c>
      <c r="L45" s="114" t="s">
        <v>106</v>
      </c>
      <c r="M45" s="115" t="s">
        <v>123</v>
      </c>
      <c r="P45" s="6"/>
      <c r="Q45" s="6"/>
    </row>
    <row r="46" spans="1:30" ht="15.75" thickBot="1">
      <c r="A46" s="117" t="s">
        <v>182</v>
      </c>
      <c r="B46" s="143" t="s">
        <v>396</v>
      </c>
      <c r="C46" s="117">
        <v>1990</v>
      </c>
      <c r="D46" s="9" t="s">
        <v>92</v>
      </c>
      <c r="E46" s="222">
        <f>_xlfn.XLOOKUP('Tyre wear'!C46,'Scaling tables'!$B$3:$B$12,'Scaling tables'!$H$3:$H$12)*_xlfn.XLOOKUP('Tyre wear'!C46,'Tyre wear'!$C$15:$C$22,'Tyre wear'!$E$15:$E$22)</f>
        <v>274.36551667214508</v>
      </c>
      <c r="F46" s="187" t="s">
        <v>787</v>
      </c>
      <c r="G46" s="13">
        <v>1</v>
      </c>
      <c r="H46" s="13">
        <v>1</v>
      </c>
      <c r="I46" s="13">
        <v>1</v>
      </c>
      <c r="J46" s="13">
        <v>1</v>
      </c>
      <c r="K46" s="322">
        <v>2</v>
      </c>
      <c r="L46" s="355">
        <f t="shared" ref="L46:L53" si="4">IF( OR( ISBLANK(G46),ISBLANK(H46), ISBLANK(I46), ISBLANK(J46), ISBLANK(K46) ), "", 1.5*SQRT( EXP(2.21*(G46-1)) + EXP(2.21*(H46-1)) + EXP(2.21*(I46-1)) + EXP(2.21*(J46-1)) + EXP(2.21*K46-1)   )/100*2.45 )</f>
        <v>0.2160744213792255</v>
      </c>
      <c r="M46" s="33"/>
      <c r="P46" s="6"/>
      <c r="Q46" s="6"/>
    </row>
    <row r="47" spans="1:30" ht="15.75" thickBot="1">
      <c r="A47" s="117" t="s">
        <v>182</v>
      </c>
      <c r="B47" s="143" t="s">
        <v>396</v>
      </c>
      <c r="C47" s="117">
        <v>1995</v>
      </c>
      <c r="D47" s="9" t="s">
        <v>92</v>
      </c>
      <c r="E47" s="222">
        <f>_xlfn.XLOOKUP('Tyre wear'!C47,'Scaling tables'!$B$3:$B$12,'Scaling tables'!$H$3:$H$12)*_xlfn.XLOOKUP('Tyre wear'!C47,'Tyre wear'!$C$15:$C$22,'Tyre wear'!$E$15:$E$22)</f>
        <v>289.04881285533907</v>
      </c>
      <c r="F47" s="187" t="s">
        <v>787</v>
      </c>
      <c r="G47" s="13">
        <v>1</v>
      </c>
      <c r="H47" s="13">
        <v>1</v>
      </c>
      <c r="I47" s="13">
        <v>1</v>
      </c>
      <c r="J47" s="13">
        <v>1</v>
      </c>
      <c r="K47" s="322">
        <v>2</v>
      </c>
      <c r="L47" s="355">
        <f t="shared" si="4"/>
        <v>0.2160744213792255</v>
      </c>
      <c r="M47" s="33"/>
      <c r="P47" s="6"/>
      <c r="Q47" s="6"/>
    </row>
    <row r="48" spans="1:30" ht="15.75" thickBot="1">
      <c r="A48" s="117" t="s">
        <v>182</v>
      </c>
      <c r="B48" s="143" t="s">
        <v>396</v>
      </c>
      <c r="C48" s="117">
        <v>2000</v>
      </c>
      <c r="D48" s="9" t="s">
        <v>92</v>
      </c>
      <c r="E48" s="222">
        <f>_xlfn.XLOOKUP('Tyre wear'!C48,'Scaling tables'!$B$3:$B$12,'Scaling tables'!$H$3:$H$12)*_xlfn.XLOOKUP('Tyre wear'!C48,'Tyre wear'!$C$15:$C$22,'Tyre wear'!$E$15:$E$22)</f>
        <v>315.12798141039013</v>
      </c>
      <c r="F48" s="187" t="s">
        <v>787</v>
      </c>
      <c r="G48" s="13">
        <v>1</v>
      </c>
      <c r="H48" s="13">
        <v>1</v>
      </c>
      <c r="I48" s="13">
        <v>1</v>
      </c>
      <c r="J48" s="13">
        <v>1</v>
      </c>
      <c r="K48" s="322">
        <v>2</v>
      </c>
      <c r="L48" s="355">
        <f t="shared" si="4"/>
        <v>0.2160744213792255</v>
      </c>
      <c r="M48" s="33"/>
      <c r="P48" s="6"/>
      <c r="Q48" s="6"/>
    </row>
    <row r="49" spans="1:17" ht="15.75" thickBot="1">
      <c r="A49" s="117" t="s">
        <v>182</v>
      </c>
      <c r="B49" s="143" t="s">
        <v>396</v>
      </c>
      <c r="C49" s="117">
        <v>2005</v>
      </c>
      <c r="D49" s="9" t="s">
        <v>92</v>
      </c>
      <c r="E49" s="222">
        <f>_xlfn.XLOOKUP('Tyre wear'!C49,'Scaling tables'!$B$3:$B$12,'Scaling tables'!$H$3:$H$12)*_xlfn.XLOOKUP('Tyre wear'!C49,'Tyre wear'!$C$15:$C$22,'Tyre wear'!$E$15:$E$22)</f>
        <v>330.49692430627994</v>
      </c>
      <c r="F49" s="187" t="s">
        <v>787</v>
      </c>
      <c r="G49" s="13">
        <v>1</v>
      </c>
      <c r="H49" s="13">
        <v>1</v>
      </c>
      <c r="I49" s="13">
        <v>1</v>
      </c>
      <c r="J49" s="13">
        <v>1</v>
      </c>
      <c r="K49" s="322">
        <v>2</v>
      </c>
      <c r="L49" s="355">
        <f t="shared" si="4"/>
        <v>0.2160744213792255</v>
      </c>
      <c r="M49" s="33"/>
      <c r="P49" s="6"/>
      <c r="Q49" s="6"/>
    </row>
    <row r="50" spans="1:17" ht="15.75" thickBot="1">
      <c r="A50" s="117" t="s">
        <v>182</v>
      </c>
      <c r="B50" s="143" t="s">
        <v>396</v>
      </c>
      <c r="C50" s="117">
        <v>2010</v>
      </c>
      <c r="D50" s="9" t="s">
        <v>92</v>
      </c>
      <c r="E50" s="222">
        <f>_xlfn.XLOOKUP('Tyre wear'!C50,'Scaling tables'!$B$3:$B$12,'Scaling tables'!$H$3:$H$12)*_xlfn.XLOOKUP('Tyre wear'!C50,'Tyre wear'!$C$15:$C$22,'Tyre wear'!$E$15:$E$22)</f>
        <v>333.95978463908972</v>
      </c>
      <c r="F50" s="187" t="s">
        <v>787</v>
      </c>
      <c r="G50" s="13">
        <v>1</v>
      </c>
      <c r="H50" s="13">
        <v>1</v>
      </c>
      <c r="I50" s="13">
        <v>1</v>
      </c>
      <c r="J50" s="13">
        <v>1</v>
      </c>
      <c r="K50" s="322">
        <v>2</v>
      </c>
      <c r="L50" s="355">
        <f t="shared" si="4"/>
        <v>0.2160744213792255</v>
      </c>
      <c r="M50" s="33"/>
      <c r="P50" s="6"/>
      <c r="Q50" s="6"/>
    </row>
    <row r="51" spans="1:17" ht="15.75" thickBot="1">
      <c r="A51" s="117" t="s">
        <v>182</v>
      </c>
      <c r="B51" s="143" t="s">
        <v>396</v>
      </c>
      <c r="C51" s="117">
        <v>2015</v>
      </c>
      <c r="D51" s="9" t="s">
        <v>92</v>
      </c>
      <c r="E51" s="222">
        <f>_xlfn.XLOOKUP('Tyre wear'!C51,'Scaling tables'!$B$3:$B$12,'Scaling tables'!$H$3:$H$12)*_xlfn.XLOOKUP('Tyre wear'!C51,'Tyre wear'!$C$15:$C$22,'Tyre wear'!$E$15:$E$22)</f>
        <v>333.36119378416316</v>
      </c>
      <c r="F51" s="187" t="s">
        <v>787</v>
      </c>
      <c r="G51" s="13">
        <v>1</v>
      </c>
      <c r="H51" s="13">
        <v>1</v>
      </c>
      <c r="I51" s="13">
        <v>1</v>
      </c>
      <c r="J51" s="13">
        <v>1</v>
      </c>
      <c r="K51" s="322">
        <v>2</v>
      </c>
      <c r="L51" s="355">
        <f t="shared" si="4"/>
        <v>0.2160744213792255</v>
      </c>
      <c r="M51" s="33"/>
      <c r="P51" s="6"/>
      <c r="Q51" s="6"/>
    </row>
    <row r="52" spans="1:17" ht="15.75" thickBot="1">
      <c r="A52" s="117" t="s">
        <v>182</v>
      </c>
      <c r="B52" s="143" t="s">
        <v>396</v>
      </c>
      <c r="C52" s="117">
        <v>2019</v>
      </c>
      <c r="D52" s="9" t="s">
        <v>92</v>
      </c>
      <c r="E52" s="222">
        <f>_xlfn.XLOOKUP('Tyre wear'!C52,'Scaling tables'!$B$3:$B$12,'Scaling tables'!$H$3:$H$12)*_xlfn.XLOOKUP('Tyre wear'!C52,'Tyre wear'!$C$15:$C$22,'Tyre wear'!$E$15:$E$22)</f>
        <v>347.5284875289928</v>
      </c>
      <c r="F52" s="187" t="s">
        <v>787</v>
      </c>
      <c r="G52" s="13">
        <v>1</v>
      </c>
      <c r="H52" s="13">
        <v>1</v>
      </c>
      <c r="I52" s="13">
        <v>1</v>
      </c>
      <c r="J52" s="13">
        <v>1</v>
      </c>
      <c r="K52" s="322">
        <v>2</v>
      </c>
      <c r="L52" s="355">
        <f t="shared" si="4"/>
        <v>0.2160744213792255</v>
      </c>
      <c r="M52" s="33"/>
      <c r="P52" s="6"/>
      <c r="Q52" s="6"/>
    </row>
    <row r="53" spans="1:17" ht="15.75" thickBot="1">
      <c r="A53" s="117" t="s">
        <v>182</v>
      </c>
      <c r="B53" s="143" t="s">
        <v>396</v>
      </c>
      <c r="C53" s="117">
        <v>2020</v>
      </c>
      <c r="D53" s="9" t="s">
        <v>92</v>
      </c>
      <c r="E53" s="222">
        <f>_xlfn.XLOOKUP('Tyre wear'!C53,'Scaling tables'!$B$3:$B$12,'Scaling tables'!$H$3:$H$12)*_xlfn.XLOOKUP('Tyre wear'!C53,'Tyre wear'!$C$15:$C$22,'Tyre wear'!$E$15:$E$22)</f>
        <v>299.66901592225156</v>
      </c>
      <c r="F53" s="187" t="s">
        <v>787</v>
      </c>
      <c r="G53" s="13">
        <v>1</v>
      </c>
      <c r="H53" s="13">
        <v>1</v>
      </c>
      <c r="I53" s="13">
        <v>1</v>
      </c>
      <c r="J53" s="13">
        <v>1</v>
      </c>
      <c r="K53" s="322">
        <v>2</v>
      </c>
      <c r="L53" s="355">
        <f t="shared" si="4"/>
        <v>0.2160744213792255</v>
      </c>
      <c r="M53" s="33"/>
      <c r="P53" s="6"/>
      <c r="Q53" s="6"/>
    </row>
    <row r="54" spans="1:17" ht="15.75" thickBot="1">
      <c r="A54" s="140" t="s">
        <v>131</v>
      </c>
      <c r="B54" s="140" t="s">
        <v>100</v>
      </c>
      <c r="C54" s="140" t="s">
        <v>101</v>
      </c>
      <c r="D54" s="140" t="s">
        <v>102</v>
      </c>
      <c r="E54" s="140"/>
      <c r="F54" s="228" t="s">
        <v>104</v>
      </c>
      <c r="G54" s="112" t="s">
        <v>135</v>
      </c>
      <c r="H54" s="112" t="s">
        <v>65</v>
      </c>
      <c r="I54" s="112" t="s">
        <v>67</v>
      </c>
      <c r="J54" s="112" t="s">
        <v>73</v>
      </c>
      <c r="K54" s="113" t="s">
        <v>79</v>
      </c>
      <c r="L54" s="114" t="s">
        <v>106</v>
      </c>
      <c r="M54" s="115" t="s">
        <v>123</v>
      </c>
      <c r="P54" s="6"/>
      <c r="Q54" s="6"/>
    </row>
    <row r="55" spans="1:17" ht="15.75" thickBot="1">
      <c r="A55" s="117" t="s">
        <v>182</v>
      </c>
      <c r="B55" s="143" t="s">
        <v>396</v>
      </c>
      <c r="C55" s="117">
        <v>1990</v>
      </c>
      <c r="D55" s="9" t="s">
        <v>92</v>
      </c>
      <c r="E55" s="222">
        <f>_xlfn.XLOOKUP('Tyre wear'!C55,'Scaling tables'!$B$3:$B$12,'Scaling tables'!$H$3:$H$12)*_xlfn.XLOOKUP('Tyre wear'!C55,'Tyre wear'!$C$24:$C$31,'Tyre wear'!$E$24:$E$31)</f>
        <v>505.23406118894758</v>
      </c>
      <c r="F55" s="187" t="s">
        <v>788</v>
      </c>
      <c r="G55" s="13">
        <v>1</v>
      </c>
      <c r="H55" s="13">
        <v>1</v>
      </c>
      <c r="I55" s="13">
        <v>1</v>
      </c>
      <c r="J55" s="13">
        <v>1</v>
      </c>
      <c r="K55" s="322">
        <v>2</v>
      </c>
      <c r="L55" s="355">
        <f t="shared" ref="L55:L62" si="5">IF( OR( ISBLANK(G55),ISBLANK(H55), ISBLANK(I55), ISBLANK(J55), ISBLANK(K55) ), "", 1.5*SQRT( EXP(2.21*(G55-1)) + EXP(2.21*(H55-1)) + EXP(2.21*(I55-1)) + EXP(2.21*(J55-1)) + EXP(2.21*K55-1)   )/100*2.45 )</f>
        <v>0.2160744213792255</v>
      </c>
      <c r="M55" s="33"/>
      <c r="P55" s="6"/>
      <c r="Q55" s="6"/>
    </row>
    <row r="56" spans="1:17" ht="15.75" thickBot="1">
      <c r="A56" s="117" t="s">
        <v>182</v>
      </c>
      <c r="B56" s="143" t="s">
        <v>396</v>
      </c>
      <c r="C56" s="117">
        <v>1995</v>
      </c>
      <c r="D56" s="9" t="s">
        <v>92</v>
      </c>
      <c r="E56" s="222">
        <f>_xlfn.XLOOKUP('Tyre wear'!C56,'Scaling tables'!$B$3:$B$12,'Scaling tables'!$H$3:$H$12)*_xlfn.XLOOKUP('Tyre wear'!C56,'Tyre wear'!$C$24:$C$31,'Tyre wear'!$E$24:$E$31)</f>
        <v>532.27281391654117</v>
      </c>
      <c r="F56" s="187" t="s">
        <v>788</v>
      </c>
      <c r="G56" s="13">
        <v>1</v>
      </c>
      <c r="H56" s="13">
        <v>1</v>
      </c>
      <c r="I56" s="13">
        <v>1</v>
      </c>
      <c r="J56" s="13">
        <v>1</v>
      </c>
      <c r="K56" s="322">
        <v>2</v>
      </c>
      <c r="L56" s="355">
        <f t="shared" si="5"/>
        <v>0.2160744213792255</v>
      </c>
      <c r="M56" s="33"/>
      <c r="P56" s="6"/>
      <c r="Q56" s="6"/>
    </row>
    <row r="57" spans="1:17" ht="15.75" thickBot="1">
      <c r="A57" s="117" t="s">
        <v>182</v>
      </c>
      <c r="B57" s="143" t="s">
        <v>396</v>
      </c>
      <c r="C57" s="117">
        <v>2000</v>
      </c>
      <c r="D57" s="9" t="s">
        <v>92</v>
      </c>
      <c r="E57" s="222">
        <f>_xlfn.XLOOKUP('Tyre wear'!C57,'Scaling tables'!$B$3:$B$12,'Scaling tables'!$H$3:$H$12)*_xlfn.XLOOKUP('Tyre wear'!C57,'Tyre wear'!$C$24:$C$31,'Tyre wear'!$E$24:$E$31)</f>
        <v>580.29664869474288</v>
      </c>
      <c r="F57" s="187" t="s">
        <v>788</v>
      </c>
      <c r="G57" s="13">
        <v>1</v>
      </c>
      <c r="H57" s="13">
        <v>1</v>
      </c>
      <c r="I57" s="13">
        <v>1</v>
      </c>
      <c r="J57" s="13">
        <v>1</v>
      </c>
      <c r="K57" s="322">
        <v>2</v>
      </c>
      <c r="L57" s="355">
        <f t="shared" si="5"/>
        <v>0.2160744213792255</v>
      </c>
      <c r="M57" s="33"/>
      <c r="P57" s="6"/>
      <c r="Q57" s="6"/>
    </row>
    <row r="58" spans="1:17" ht="15.75" thickBot="1">
      <c r="A58" s="117" t="s">
        <v>182</v>
      </c>
      <c r="B58" s="143" t="s">
        <v>396</v>
      </c>
      <c r="C58" s="117">
        <v>2005</v>
      </c>
      <c r="D58" s="9" t="s">
        <v>92</v>
      </c>
      <c r="E58" s="222">
        <f>_xlfn.XLOOKUP('Tyre wear'!C58,'Scaling tables'!$B$3:$B$12,'Scaling tables'!$H$3:$H$12)*_xlfn.XLOOKUP('Tyre wear'!C58,'Tyre wear'!$C$24:$C$31,'Tyre wear'!$E$24:$E$31)</f>
        <v>608.59799475912735</v>
      </c>
      <c r="F58" s="187" t="s">
        <v>788</v>
      </c>
      <c r="G58" s="13">
        <v>1</v>
      </c>
      <c r="H58" s="13">
        <v>1</v>
      </c>
      <c r="I58" s="13">
        <v>1</v>
      </c>
      <c r="J58" s="13">
        <v>1</v>
      </c>
      <c r="K58" s="322">
        <v>2</v>
      </c>
      <c r="L58" s="355">
        <f t="shared" si="5"/>
        <v>0.2160744213792255</v>
      </c>
      <c r="M58" s="33"/>
      <c r="P58" s="6"/>
      <c r="Q58" s="6"/>
    </row>
    <row r="59" spans="1:17" ht="15.75" thickBot="1">
      <c r="A59" s="117" t="s">
        <v>182</v>
      </c>
      <c r="B59" s="143" t="s">
        <v>396</v>
      </c>
      <c r="C59" s="117">
        <v>2010</v>
      </c>
      <c r="D59" s="9" t="s">
        <v>92</v>
      </c>
      <c r="E59" s="222">
        <f>_xlfn.XLOOKUP('Tyre wear'!C59,'Scaling tables'!$B$3:$B$12,'Scaling tables'!$H$3:$H$12)*_xlfn.XLOOKUP('Tyre wear'!C59,'Tyre wear'!$C$24:$C$31,'Tyre wear'!$E$24:$E$31)</f>
        <v>614.97472537198053</v>
      </c>
      <c r="F59" s="187" t="s">
        <v>788</v>
      </c>
      <c r="G59" s="13">
        <v>1</v>
      </c>
      <c r="H59" s="13">
        <v>1</v>
      </c>
      <c r="I59" s="13">
        <v>1</v>
      </c>
      <c r="J59" s="13">
        <v>1</v>
      </c>
      <c r="K59" s="322">
        <v>2</v>
      </c>
      <c r="L59" s="355">
        <f t="shared" si="5"/>
        <v>0.2160744213792255</v>
      </c>
      <c r="M59" s="33"/>
      <c r="P59" s="6"/>
      <c r="Q59" s="6"/>
    </row>
    <row r="60" spans="1:17" ht="15.75" thickBot="1">
      <c r="A60" s="117" t="s">
        <v>182</v>
      </c>
      <c r="B60" s="143" t="s">
        <v>396</v>
      </c>
      <c r="C60" s="117">
        <v>2015</v>
      </c>
      <c r="D60" s="9" t="s">
        <v>92</v>
      </c>
      <c r="E60" s="222">
        <f>_xlfn.XLOOKUP('Tyre wear'!C60,'Scaling tables'!$B$3:$B$12,'Scaling tables'!$H$3:$H$12)*_xlfn.XLOOKUP('Tyre wear'!C60,'Tyre wear'!$C$24:$C$31,'Tyre wear'!$E$24:$E$31)</f>
        <v>613.87244221230344</v>
      </c>
      <c r="F60" s="187" t="s">
        <v>788</v>
      </c>
      <c r="G60" s="13">
        <v>1</v>
      </c>
      <c r="H60" s="13">
        <v>1</v>
      </c>
      <c r="I60" s="13">
        <v>1</v>
      </c>
      <c r="J60" s="13">
        <v>1</v>
      </c>
      <c r="K60" s="322">
        <v>2</v>
      </c>
      <c r="L60" s="355">
        <f t="shared" si="5"/>
        <v>0.2160744213792255</v>
      </c>
      <c r="M60" s="33"/>
      <c r="P60" s="6"/>
      <c r="Q60" s="6"/>
    </row>
    <row r="61" spans="1:17" ht="15.75" thickBot="1">
      <c r="A61" s="117" t="s">
        <v>182</v>
      </c>
      <c r="B61" s="143" t="s">
        <v>396</v>
      </c>
      <c r="C61" s="117">
        <v>2019</v>
      </c>
      <c r="D61" s="9" t="s">
        <v>92</v>
      </c>
      <c r="E61" s="222">
        <f>_xlfn.XLOOKUP('Tyre wear'!C61,'Scaling tables'!$B$3:$B$12,'Scaling tables'!$H$3:$H$12)*_xlfn.XLOOKUP('Tyre wear'!C61,'Tyre wear'!$C$24:$C$31,'Tyre wear'!$E$24:$E$31)</f>
        <v>639.96099532777771</v>
      </c>
      <c r="F61" s="187" t="s">
        <v>788</v>
      </c>
      <c r="G61" s="13">
        <v>1</v>
      </c>
      <c r="H61" s="13">
        <v>1</v>
      </c>
      <c r="I61" s="13">
        <v>1</v>
      </c>
      <c r="J61" s="13">
        <v>1</v>
      </c>
      <c r="K61" s="322">
        <v>2</v>
      </c>
      <c r="L61" s="355">
        <f t="shared" si="5"/>
        <v>0.2160744213792255</v>
      </c>
      <c r="M61" s="33"/>
      <c r="P61" s="6"/>
      <c r="Q61" s="6"/>
    </row>
    <row r="62" spans="1:17">
      <c r="A62" s="117" t="s">
        <v>182</v>
      </c>
      <c r="B62" s="143" t="s">
        <v>396</v>
      </c>
      <c r="C62" s="117">
        <v>2020</v>
      </c>
      <c r="D62" s="9" t="s">
        <v>92</v>
      </c>
      <c r="E62" s="222">
        <f>_xlfn.XLOOKUP('Tyre wear'!C62,'Scaling tables'!$B$3:$B$12,'Scaling tables'!$H$3:$H$12)*_xlfn.XLOOKUP('Tyre wear'!C62,'Tyre wear'!$C$24:$C$31,'Tyre wear'!$E$24:$E$31)</f>
        <v>551.8295293202433</v>
      </c>
      <c r="F62" s="187" t="s">
        <v>788</v>
      </c>
      <c r="G62" s="13">
        <v>1</v>
      </c>
      <c r="H62" s="13">
        <v>1</v>
      </c>
      <c r="I62" s="13">
        <v>1</v>
      </c>
      <c r="J62" s="13">
        <v>1</v>
      </c>
      <c r="K62" s="322">
        <v>2</v>
      </c>
      <c r="L62" s="355">
        <f t="shared" si="5"/>
        <v>0.2160744213792255</v>
      </c>
      <c r="M62" s="33"/>
      <c r="P62" s="6"/>
      <c r="Q62" s="6"/>
    </row>
    <row r="63" spans="1:17">
      <c r="A63" s="6"/>
      <c r="B63" s="6"/>
      <c r="C63" s="6"/>
      <c r="D63" s="6"/>
      <c r="E63" s="6"/>
      <c r="F63" s="6"/>
      <c r="G63" s="6"/>
      <c r="H63" s="6"/>
      <c r="I63" s="6"/>
      <c r="J63" s="6"/>
      <c r="K63" s="6"/>
      <c r="L63" s="6"/>
      <c r="M63" s="6"/>
      <c r="N63" s="6"/>
      <c r="O63" s="6"/>
      <c r="P63" s="6"/>
      <c r="Q63" s="6"/>
    </row>
    <row r="64" spans="1:17" ht="19.5" thickBot="1">
      <c r="A64" s="388" t="s">
        <v>15</v>
      </c>
      <c r="B64" s="388"/>
      <c r="C64" s="388"/>
      <c r="D64" s="388"/>
      <c r="E64" s="388"/>
      <c r="F64" s="388"/>
      <c r="G64" s="388"/>
      <c r="H64" s="388"/>
      <c r="I64" s="388"/>
      <c r="J64" s="388"/>
      <c r="K64" s="388"/>
      <c r="L64" s="388"/>
      <c r="M64" s="388"/>
      <c r="N64" s="388"/>
      <c r="O64" s="388"/>
      <c r="P64" s="388"/>
      <c r="Q64" s="388"/>
    </row>
    <row r="65" spans="1:17" ht="15.75" thickBot="1">
      <c r="A65" s="507" t="s">
        <v>129</v>
      </c>
      <c r="B65" s="519" t="s">
        <v>130</v>
      </c>
      <c r="C65" s="507" t="s">
        <v>101</v>
      </c>
      <c r="D65" s="507" t="s">
        <v>131</v>
      </c>
      <c r="E65" s="506" t="s">
        <v>102</v>
      </c>
      <c r="F65" s="520" t="s">
        <v>132</v>
      </c>
      <c r="G65" s="520" t="s">
        <v>133</v>
      </c>
      <c r="H65" s="367" t="s">
        <v>104</v>
      </c>
      <c r="I65" s="111" t="s">
        <v>134</v>
      </c>
      <c r="J65" s="112" t="s">
        <v>135</v>
      </c>
      <c r="K65" s="112" t="s">
        <v>65</v>
      </c>
      <c r="L65" s="112" t="s">
        <v>67</v>
      </c>
      <c r="M65" s="112" t="s">
        <v>73</v>
      </c>
      <c r="N65" s="113" t="s">
        <v>79</v>
      </c>
      <c r="O65" s="114" t="s">
        <v>106</v>
      </c>
      <c r="P65" s="115" t="s">
        <v>123</v>
      </c>
      <c r="Q65" s="6"/>
    </row>
    <row r="66" spans="1:17">
      <c r="A66" t="s">
        <v>396</v>
      </c>
      <c r="B66" s="95" t="s">
        <v>269</v>
      </c>
      <c r="C66" s="521">
        <v>2020</v>
      </c>
      <c r="D66" s="95" t="s">
        <v>180</v>
      </c>
      <c r="E66" s="324" t="s">
        <v>789</v>
      </c>
      <c r="F66" s="524">
        <v>0.51183817172326096</v>
      </c>
      <c r="G66" s="324">
        <v>1</v>
      </c>
      <c r="H66" s="527" t="s">
        <v>790</v>
      </c>
      <c r="I66" s="407">
        <v>1</v>
      </c>
      <c r="J66" s="13"/>
      <c r="K66" s="13">
        <v>1</v>
      </c>
      <c r="L66" s="13">
        <v>1</v>
      </c>
      <c r="M66" s="13">
        <v>1</v>
      </c>
      <c r="N66" s="13">
        <v>1</v>
      </c>
      <c r="O66" s="177" t="str">
        <f>IF( OR( ISBLANK(J66),ISBLANK(K66), ISBLANK(L66), ISBLANK(M66), ISBLANK(N66) ), "", 1.5*SQRT( EXP(2.21*(J66-1)) + EXP(2.21*(K66-1)) + EXP(2.21*(L66-1)) + EXP(2.21*(M66-1)) + EXP(2.21*N66-1)   )/100*2.45 )</f>
        <v/>
      </c>
      <c r="P66" s="33"/>
      <c r="Q66" s="6"/>
    </row>
    <row r="67" spans="1:17">
      <c r="A67" t="s">
        <v>396</v>
      </c>
      <c r="B67" s="68" t="s">
        <v>398</v>
      </c>
      <c r="C67" s="522">
        <v>2020</v>
      </c>
      <c r="D67" s="68" t="s">
        <v>180</v>
      </c>
      <c r="E67" s="312" t="s">
        <v>789</v>
      </c>
      <c r="F67" s="525">
        <v>0.23042071552195001</v>
      </c>
      <c r="G67" s="312">
        <v>1</v>
      </c>
      <c r="H67" s="528" t="s">
        <v>790</v>
      </c>
      <c r="I67" s="173">
        <v>1</v>
      </c>
      <c r="J67" s="10"/>
      <c r="K67" s="10">
        <v>1</v>
      </c>
      <c r="L67" s="10">
        <v>1</v>
      </c>
      <c r="M67" s="10">
        <v>1</v>
      </c>
      <c r="N67" s="10">
        <v>1</v>
      </c>
      <c r="O67" s="178" t="str">
        <f t="shared" ref="O67:O68" si="6">IF( OR( ISBLANK(J67),ISBLANK(K67), ISBLANK(L67), ISBLANK(M67), ISBLANK(N67) ), "", 1.5*SQRT( EXP(2.21*(J67-1)) + EXP(2.21*(K67-1)) + EXP(2.21*(L67-1)) + EXP(2.21*(M67-1)) + EXP(2.21*N67-1)   )/100*2.45 )</f>
        <v/>
      </c>
      <c r="P67" s="34"/>
      <c r="Q67" s="6"/>
    </row>
    <row r="68" spans="1:17">
      <c r="A68" t="s">
        <v>396</v>
      </c>
      <c r="B68" s="68" t="s">
        <v>395</v>
      </c>
      <c r="C68" s="522">
        <v>2020</v>
      </c>
      <c r="D68" s="68" t="s">
        <v>180</v>
      </c>
      <c r="E68" s="312" t="s">
        <v>789</v>
      </c>
      <c r="F68" s="525">
        <v>0.257741112754788</v>
      </c>
      <c r="G68" s="312">
        <v>1</v>
      </c>
      <c r="H68" s="528" t="s">
        <v>790</v>
      </c>
      <c r="I68" s="173">
        <v>1</v>
      </c>
      <c r="J68" s="10"/>
      <c r="K68" s="10">
        <v>1</v>
      </c>
      <c r="L68" s="10">
        <v>1</v>
      </c>
      <c r="M68" s="10">
        <v>1</v>
      </c>
      <c r="N68" s="10">
        <v>1</v>
      </c>
      <c r="O68" s="178" t="str">
        <f t="shared" si="6"/>
        <v/>
      </c>
      <c r="P68" s="34"/>
      <c r="Q68" s="6"/>
    </row>
    <row r="69" spans="1:17">
      <c r="A69" t="s">
        <v>396</v>
      </c>
      <c r="B69" s="68" t="s">
        <v>269</v>
      </c>
      <c r="C69" s="522">
        <v>2020</v>
      </c>
      <c r="D69" s="68" t="s">
        <v>182</v>
      </c>
      <c r="E69" s="312" t="s">
        <v>789</v>
      </c>
      <c r="F69" s="525">
        <v>0.51183817172326096</v>
      </c>
      <c r="G69" s="312">
        <v>1</v>
      </c>
      <c r="H69" s="528" t="s">
        <v>791</v>
      </c>
      <c r="I69" s="173"/>
      <c r="J69" s="10">
        <v>1</v>
      </c>
      <c r="K69" s="10">
        <v>1</v>
      </c>
      <c r="L69" s="10">
        <v>1</v>
      </c>
      <c r="M69" s="10">
        <v>1</v>
      </c>
      <c r="N69" s="10">
        <v>3</v>
      </c>
      <c r="O69" s="178">
        <f>IF( OR( ISBLANK(J69),ISBLANK(K69), ISBLANK(L69), ISBLANK(M69), ISBLANK(N69) ), "", 1.5*SQRT( EXP(2.21*(J69-1)) + EXP(2.21*(K69-1)) + EXP(2.21*(L69-1)) + EXP(2.21*(M69-1)) + EXP(2.21*(N69-1))   )/100*2.45 )</f>
        <v>0.34297081055722239</v>
      </c>
      <c r="P69" s="34"/>
      <c r="Q69" s="6"/>
    </row>
    <row r="70" spans="1:17">
      <c r="A70" t="s">
        <v>396</v>
      </c>
      <c r="B70" s="68" t="s">
        <v>398</v>
      </c>
      <c r="C70" s="522">
        <v>2020</v>
      </c>
      <c r="D70" s="68" t="s">
        <v>182</v>
      </c>
      <c r="E70" s="312" t="s">
        <v>789</v>
      </c>
      <c r="F70" s="525">
        <v>0.23042071552195001</v>
      </c>
      <c r="G70" s="312">
        <v>1</v>
      </c>
      <c r="H70" s="528" t="s">
        <v>791</v>
      </c>
      <c r="I70" s="173"/>
      <c r="J70" s="10">
        <v>1</v>
      </c>
      <c r="K70" s="10">
        <v>1</v>
      </c>
      <c r="L70" s="10">
        <v>1</v>
      </c>
      <c r="M70" s="10">
        <v>1</v>
      </c>
      <c r="N70" s="10">
        <v>3</v>
      </c>
      <c r="O70" s="178">
        <f>IF( OR( ISBLANK(J70),ISBLANK(K70), ISBLANK(L70), ISBLANK(M70), ISBLANK(N70) ), "", 1.5*SQRT( EXP(2.21*(J70-1)) + EXP(2.21*(K70-1)) + EXP(2.21*(L70-1)) + EXP(2.21*(M70-1)) + EXP(2.21*(N70-1))   )/100*2.45 )</f>
        <v>0.34297081055722239</v>
      </c>
      <c r="P70" s="34"/>
      <c r="Q70" s="6"/>
    </row>
    <row r="71" spans="1:17" ht="15.75" thickBot="1">
      <c r="A71" t="s">
        <v>396</v>
      </c>
      <c r="B71" s="72" t="s">
        <v>395</v>
      </c>
      <c r="C71" s="523">
        <v>2020</v>
      </c>
      <c r="D71" s="72" t="s">
        <v>182</v>
      </c>
      <c r="E71" s="325" t="s">
        <v>789</v>
      </c>
      <c r="F71" s="526">
        <v>0.257741112754788</v>
      </c>
      <c r="G71" s="325">
        <v>1</v>
      </c>
      <c r="H71" s="529" t="s">
        <v>791</v>
      </c>
      <c r="I71" s="174"/>
      <c r="J71" s="14">
        <v>1</v>
      </c>
      <c r="K71" s="14">
        <v>1</v>
      </c>
      <c r="L71" s="14">
        <v>1</v>
      </c>
      <c r="M71" s="14">
        <v>1</v>
      </c>
      <c r="N71" s="14">
        <v>3</v>
      </c>
      <c r="O71" s="179">
        <f>IF( OR( ISBLANK(J71),ISBLANK(K71), ISBLANK(L71), ISBLANK(M71), ISBLANK(N71) ), "", 1.5*SQRT( EXP(2.21*(J71-1)) + EXP(2.21*(K71-1)) + EXP(2.21*(L71-1)) + EXP(2.21*(M71-1)) + EXP(2.21*(N71-1))   )/100*2.45 )</f>
        <v>0.34297081055722239</v>
      </c>
      <c r="P71" s="35"/>
      <c r="Q71" s="6"/>
    </row>
    <row r="72" spans="1:17" ht="15.75" thickBot="1">
      <c r="O72" s="6"/>
      <c r="P72" s="6"/>
      <c r="Q72" s="6"/>
    </row>
    <row r="73" spans="1:17" ht="15.75" thickBot="1">
      <c r="A73" s="65" t="s">
        <v>129</v>
      </c>
      <c r="B73" s="107" t="s">
        <v>130</v>
      </c>
      <c r="C73" s="109" t="s">
        <v>101</v>
      </c>
      <c r="D73" s="108" t="s">
        <v>131</v>
      </c>
      <c r="E73" s="109" t="s">
        <v>102</v>
      </c>
      <c r="F73" s="229" t="s">
        <v>132</v>
      </c>
      <c r="G73" s="108" t="s">
        <v>133</v>
      </c>
      <c r="H73" s="110" t="s">
        <v>104</v>
      </c>
      <c r="I73" s="111" t="s">
        <v>134</v>
      </c>
      <c r="J73" s="112" t="s">
        <v>135</v>
      </c>
      <c r="K73" s="112" t="s">
        <v>65</v>
      </c>
      <c r="L73" s="112" t="s">
        <v>67</v>
      </c>
      <c r="M73" s="112" t="s">
        <v>73</v>
      </c>
      <c r="N73" s="113" t="s">
        <v>79</v>
      </c>
      <c r="O73" s="114" t="s">
        <v>106</v>
      </c>
      <c r="P73" s="115" t="s">
        <v>123</v>
      </c>
    </row>
    <row r="74" spans="1:17" ht="15.75" thickBot="1">
      <c r="A74" s="152" t="s">
        <v>271</v>
      </c>
      <c r="B74" s="151" t="s">
        <v>231</v>
      </c>
      <c r="C74" s="33">
        <v>2020</v>
      </c>
      <c r="D74" s="39" t="s">
        <v>139</v>
      </c>
      <c r="E74" s="33" t="s">
        <v>139</v>
      </c>
      <c r="F74" s="264">
        <v>0.05</v>
      </c>
      <c r="G74" s="234">
        <v>2</v>
      </c>
      <c r="H74" s="530" t="s">
        <v>276</v>
      </c>
      <c r="I74" s="253">
        <v>1</v>
      </c>
      <c r="J74" s="13">
        <v>2</v>
      </c>
      <c r="K74" s="13">
        <v>1</v>
      </c>
      <c r="L74" s="13">
        <v>1</v>
      </c>
      <c r="M74" s="13">
        <v>2</v>
      </c>
      <c r="N74" s="13">
        <v>3</v>
      </c>
      <c r="O74" s="432">
        <f t="shared" ref="O74:O111" si="7">IF( OR( ISBLANK(I74),ISBLANK(K74), ISBLANK(L74), ISBLANK(M74), ISBLANK(N74) ), "", 1.5*SQRT( EXP(2.21*(I74-1)) + EXP(2.21*(K74-1)) + EXP(2.21*(L74-1)) + EXP(2.21*(M74-1)) + EXP(2.21*N74-1)   )/100*2.45 )</f>
        <v>0.62666868317065927</v>
      </c>
      <c r="P74" s="351"/>
    </row>
    <row r="75" spans="1:17">
      <c r="A75" s="152" t="s">
        <v>270</v>
      </c>
      <c r="B75" s="151" t="s">
        <v>231</v>
      </c>
      <c r="C75" s="33">
        <v>2020</v>
      </c>
      <c r="D75" s="39" t="s">
        <v>139</v>
      </c>
      <c r="E75" s="33" t="s">
        <v>139</v>
      </c>
      <c r="F75" s="264">
        <v>0.05</v>
      </c>
      <c r="G75" s="234">
        <v>2</v>
      </c>
      <c r="H75" s="530" t="s">
        <v>276</v>
      </c>
      <c r="I75" s="253">
        <v>1</v>
      </c>
      <c r="J75" s="13">
        <v>2</v>
      </c>
      <c r="K75" s="13">
        <v>1</v>
      </c>
      <c r="L75" s="13">
        <v>1</v>
      </c>
      <c r="M75" s="13">
        <v>2</v>
      </c>
      <c r="N75" s="13">
        <v>3</v>
      </c>
      <c r="O75" s="432">
        <f t="shared" ref="O75" si="8">IF( OR( ISBLANK(I75),ISBLANK(K75), ISBLANK(L75), ISBLANK(M75), ISBLANK(N75) ), "", 1.5*SQRT( EXP(2.21*(I75-1)) + EXP(2.21*(K75-1)) + EXP(2.21*(L75-1)) + EXP(2.21*(M75-1)) + EXP(2.21*N75-1)   )/100*2.45 )</f>
        <v>0.62666868317065927</v>
      </c>
      <c r="P75" s="232"/>
    </row>
    <row r="76" spans="1:17">
      <c r="A76" s="152" t="s">
        <v>398</v>
      </c>
      <c r="B76" s="152" t="s">
        <v>231</v>
      </c>
      <c r="C76" s="34">
        <v>2020</v>
      </c>
      <c r="D76" s="40" t="s">
        <v>139</v>
      </c>
      <c r="E76" s="34" t="s">
        <v>139</v>
      </c>
      <c r="F76" s="265">
        <v>0.05</v>
      </c>
      <c r="G76" s="235">
        <v>2</v>
      </c>
      <c r="H76" s="531" t="s">
        <v>276</v>
      </c>
      <c r="I76" s="252">
        <v>1</v>
      </c>
      <c r="J76" s="10">
        <v>2</v>
      </c>
      <c r="K76" s="10">
        <v>1</v>
      </c>
      <c r="L76" s="10">
        <v>1</v>
      </c>
      <c r="M76" s="10">
        <v>2</v>
      </c>
      <c r="N76" s="10">
        <v>3</v>
      </c>
      <c r="O76" s="433">
        <f t="shared" si="7"/>
        <v>0.62666868317065927</v>
      </c>
      <c r="P76" s="63"/>
    </row>
    <row r="77" spans="1:17">
      <c r="A77" s="152" t="s">
        <v>395</v>
      </c>
      <c r="B77" s="152" t="s">
        <v>231</v>
      </c>
      <c r="C77" s="34">
        <v>2020</v>
      </c>
      <c r="D77" s="40" t="s">
        <v>139</v>
      </c>
      <c r="E77" s="34" t="s">
        <v>139</v>
      </c>
      <c r="F77" s="265">
        <v>0.05</v>
      </c>
      <c r="G77" s="235">
        <v>2</v>
      </c>
      <c r="H77" s="531" t="s">
        <v>276</v>
      </c>
      <c r="I77" s="252">
        <v>1</v>
      </c>
      <c r="J77" s="10">
        <v>2</v>
      </c>
      <c r="K77" s="10">
        <v>1</v>
      </c>
      <c r="L77" s="10">
        <v>1</v>
      </c>
      <c r="M77" s="10">
        <v>2</v>
      </c>
      <c r="N77" s="10">
        <v>3</v>
      </c>
      <c r="O77" s="433">
        <f t="shared" si="7"/>
        <v>0.62666868317065927</v>
      </c>
      <c r="P77" s="63"/>
    </row>
    <row r="78" spans="1:17" ht="15.75" thickBot="1">
      <c r="A78" s="152" t="s">
        <v>271</v>
      </c>
      <c r="B78" s="152" t="s">
        <v>231</v>
      </c>
      <c r="C78" s="34">
        <v>2014</v>
      </c>
      <c r="D78" s="40" t="s">
        <v>139</v>
      </c>
      <c r="E78" s="34" t="s">
        <v>139</v>
      </c>
      <c r="F78" s="265">
        <v>0.1</v>
      </c>
      <c r="G78" s="235">
        <v>2</v>
      </c>
      <c r="H78" s="532" t="s">
        <v>277</v>
      </c>
      <c r="I78" s="252">
        <v>1</v>
      </c>
      <c r="J78" s="10">
        <v>2</v>
      </c>
      <c r="K78" s="10">
        <v>2</v>
      </c>
      <c r="L78" s="10">
        <v>1</v>
      </c>
      <c r="M78" s="10">
        <v>2</v>
      </c>
      <c r="N78" s="10">
        <v>3</v>
      </c>
      <c r="O78" s="433">
        <f t="shared" si="7"/>
        <v>0.63535377600823584</v>
      </c>
      <c r="P78" s="63"/>
    </row>
    <row r="79" spans="1:17">
      <c r="A79" s="152" t="s">
        <v>270</v>
      </c>
      <c r="B79" s="151" t="s">
        <v>231</v>
      </c>
      <c r="C79" s="34">
        <v>2014</v>
      </c>
      <c r="D79" s="40" t="s">
        <v>139</v>
      </c>
      <c r="E79" s="34" t="s">
        <v>139</v>
      </c>
      <c r="F79" s="265">
        <v>0.1</v>
      </c>
      <c r="G79" s="235">
        <v>2</v>
      </c>
      <c r="H79" s="532" t="s">
        <v>277</v>
      </c>
      <c r="I79" s="252">
        <v>1</v>
      </c>
      <c r="J79" s="10">
        <v>2</v>
      </c>
      <c r="K79" s="10">
        <v>2</v>
      </c>
      <c r="L79" s="10">
        <v>1</v>
      </c>
      <c r="M79" s="10">
        <v>2</v>
      </c>
      <c r="N79" s="10">
        <v>3</v>
      </c>
      <c r="O79" s="433">
        <f t="shared" ref="O79" si="9">IF( OR( ISBLANK(I79),ISBLANK(K79), ISBLANK(L79), ISBLANK(M79), ISBLANK(N79) ), "", 1.5*SQRT( EXP(2.21*(I79-1)) + EXP(2.21*(K79-1)) + EXP(2.21*(L79-1)) + EXP(2.21*(M79-1)) + EXP(2.21*N79-1)   )/100*2.45 )</f>
        <v>0.63535377600823584</v>
      </c>
      <c r="P79" s="63"/>
    </row>
    <row r="80" spans="1:17">
      <c r="A80" s="152" t="s">
        <v>398</v>
      </c>
      <c r="B80" s="152" t="s">
        <v>231</v>
      </c>
      <c r="C80" s="34">
        <v>2014</v>
      </c>
      <c r="D80" s="40" t="s">
        <v>139</v>
      </c>
      <c r="E80" s="34" t="s">
        <v>139</v>
      </c>
      <c r="F80" s="265">
        <v>0.1</v>
      </c>
      <c r="G80" s="235">
        <v>2</v>
      </c>
      <c r="H80" s="532" t="s">
        <v>277</v>
      </c>
      <c r="I80" s="252">
        <v>1</v>
      </c>
      <c r="J80" s="10">
        <v>2</v>
      </c>
      <c r="K80" s="10">
        <v>2</v>
      </c>
      <c r="L80" s="10">
        <v>1</v>
      </c>
      <c r="M80" s="10">
        <v>2</v>
      </c>
      <c r="N80" s="10">
        <v>3</v>
      </c>
      <c r="O80" s="433">
        <f t="shared" si="7"/>
        <v>0.63535377600823584</v>
      </c>
      <c r="P80" s="63"/>
    </row>
    <row r="81" spans="1:16">
      <c r="A81" s="152" t="s">
        <v>395</v>
      </c>
      <c r="B81" s="152" t="s">
        <v>231</v>
      </c>
      <c r="C81" s="34">
        <v>2014</v>
      </c>
      <c r="D81" s="40" t="s">
        <v>139</v>
      </c>
      <c r="E81" s="34" t="s">
        <v>139</v>
      </c>
      <c r="F81" s="265">
        <v>0.1</v>
      </c>
      <c r="G81" s="235">
        <v>2</v>
      </c>
      <c r="H81" s="532" t="s">
        <v>277</v>
      </c>
      <c r="I81" s="252">
        <v>1</v>
      </c>
      <c r="J81" s="10">
        <v>2</v>
      </c>
      <c r="K81" s="10">
        <v>2</v>
      </c>
      <c r="L81" s="10">
        <v>1</v>
      </c>
      <c r="M81" s="10">
        <v>2</v>
      </c>
      <c r="N81" s="10">
        <v>3</v>
      </c>
      <c r="O81" s="433">
        <f t="shared" si="7"/>
        <v>0.63535377600823584</v>
      </c>
      <c r="P81" s="63"/>
    </row>
    <row r="82" spans="1:16">
      <c r="A82" s="152" t="s">
        <v>269</v>
      </c>
      <c r="B82" s="152" t="s">
        <v>270</v>
      </c>
      <c r="C82" s="34" t="s">
        <v>139</v>
      </c>
      <c r="D82" s="40" t="s">
        <v>180</v>
      </c>
      <c r="E82" s="34" t="s">
        <v>139</v>
      </c>
      <c r="F82" s="265" t="s">
        <v>150</v>
      </c>
      <c r="G82" s="235">
        <v>1</v>
      </c>
      <c r="H82" s="40"/>
      <c r="I82" s="254"/>
      <c r="J82" s="66"/>
      <c r="K82" s="66"/>
      <c r="L82" s="66"/>
      <c r="M82" s="66"/>
      <c r="N82" s="300"/>
      <c r="O82" s="433" t="str">
        <f t="shared" si="7"/>
        <v/>
      </c>
      <c r="P82" s="63" t="s">
        <v>792</v>
      </c>
    </row>
    <row r="83" spans="1:16">
      <c r="A83" s="152" t="s">
        <v>269</v>
      </c>
      <c r="B83" s="152" t="s">
        <v>271</v>
      </c>
      <c r="C83" s="34">
        <v>2020</v>
      </c>
      <c r="D83" s="40" t="s">
        <v>180</v>
      </c>
      <c r="E83" s="34" t="s">
        <v>139</v>
      </c>
      <c r="F83" s="265">
        <v>0.9</v>
      </c>
      <c r="G83" s="235">
        <v>1</v>
      </c>
      <c r="H83" s="531" t="s">
        <v>276</v>
      </c>
      <c r="I83" s="252">
        <v>1</v>
      </c>
      <c r="J83" s="66"/>
      <c r="K83" s="10">
        <v>1</v>
      </c>
      <c r="L83" s="10">
        <v>1</v>
      </c>
      <c r="M83" s="10">
        <v>1</v>
      </c>
      <c r="N83" s="10">
        <v>1</v>
      </c>
      <c r="O83" s="433">
        <f t="shared" si="7"/>
        <v>9.9656111784768353E-2</v>
      </c>
      <c r="P83" s="63" t="s">
        <v>272</v>
      </c>
    </row>
    <row r="84" spans="1:16">
      <c r="A84" s="152" t="s">
        <v>398</v>
      </c>
      <c r="B84" s="152" t="s">
        <v>301</v>
      </c>
      <c r="C84" s="34">
        <v>2005</v>
      </c>
      <c r="D84" s="40" t="s">
        <v>139</v>
      </c>
      <c r="E84" s="34" t="s">
        <v>139</v>
      </c>
      <c r="F84" s="265">
        <v>0.1</v>
      </c>
      <c r="G84" s="235">
        <v>2</v>
      </c>
      <c r="H84" s="40" t="s">
        <v>302</v>
      </c>
      <c r="I84" s="252">
        <v>2</v>
      </c>
      <c r="J84" s="10">
        <v>2</v>
      </c>
      <c r="K84" s="10">
        <v>2</v>
      </c>
      <c r="L84" s="10">
        <v>2</v>
      </c>
      <c r="M84" s="10">
        <v>1</v>
      </c>
      <c r="N84" s="10">
        <v>1</v>
      </c>
      <c r="O84" s="433">
        <f t="shared" si="7"/>
        <v>0.20691468599228219</v>
      </c>
      <c r="P84" s="63"/>
    </row>
    <row r="85" spans="1:16">
      <c r="A85" s="152" t="s">
        <v>395</v>
      </c>
      <c r="B85" s="152" t="s">
        <v>301</v>
      </c>
      <c r="C85" s="34">
        <v>2005</v>
      </c>
      <c r="D85" s="40" t="s">
        <v>139</v>
      </c>
      <c r="E85" s="34" t="s">
        <v>139</v>
      </c>
      <c r="F85" s="265">
        <v>0.01</v>
      </c>
      <c r="G85" s="235">
        <v>2</v>
      </c>
      <c r="H85" s="40" t="s">
        <v>302</v>
      </c>
      <c r="I85" s="252">
        <v>2</v>
      </c>
      <c r="J85" s="10">
        <v>2</v>
      </c>
      <c r="K85" s="10">
        <v>2</v>
      </c>
      <c r="L85" s="10">
        <v>2</v>
      </c>
      <c r="M85" s="10">
        <v>1</v>
      </c>
      <c r="N85" s="10">
        <v>1</v>
      </c>
      <c r="O85" s="433">
        <f t="shared" si="7"/>
        <v>0.20691468599228219</v>
      </c>
      <c r="P85" s="63"/>
    </row>
    <row r="86" spans="1:16">
      <c r="A86" s="152" t="s">
        <v>269</v>
      </c>
      <c r="B86" s="152" t="s">
        <v>271</v>
      </c>
      <c r="C86" s="34">
        <v>2020</v>
      </c>
      <c r="D86" s="40" t="s">
        <v>182</v>
      </c>
      <c r="E86" s="34" t="s">
        <v>139</v>
      </c>
      <c r="F86" s="265">
        <v>0.05</v>
      </c>
      <c r="G86" s="235">
        <v>2</v>
      </c>
      <c r="H86" s="40" t="s">
        <v>273</v>
      </c>
      <c r="I86" s="66"/>
      <c r="J86" s="10">
        <v>1</v>
      </c>
      <c r="K86" s="10">
        <v>1</v>
      </c>
      <c r="L86" s="10">
        <v>2</v>
      </c>
      <c r="M86" s="10">
        <v>1</v>
      </c>
      <c r="N86" s="10">
        <v>4</v>
      </c>
      <c r="O86" s="433" t="str">
        <f t="shared" si="7"/>
        <v/>
      </c>
      <c r="P86" s="63" t="s">
        <v>274</v>
      </c>
    </row>
    <row r="87" spans="1:16">
      <c r="A87" s="152" t="s">
        <v>269</v>
      </c>
      <c r="B87" s="152" t="s">
        <v>270</v>
      </c>
      <c r="C87" s="34">
        <v>2020</v>
      </c>
      <c r="D87" s="40" t="s">
        <v>182</v>
      </c>
      <c r="E87" s="34" t="s">
        <v>139</v>
      </c>
      <c r="F87" s="265" t="s">
        <v>150</v>
      </c>
      <c r="G87" s="235">
        <v>1</v>
      </c>
      <c r="H87" s="40"/>
      <c r="I87" s="254"/>
      <c r="J87" s="66"/>
      <c r="K87" s="66"/>
      <c r="L87" s="66"/>
      <c r="M87" s="66"/>
      <c r="N87" s="300"/>
      <c r="O87" s="433" t="str">
        <f t="shared" si="7"/>
        <v/>
      </c>
      <c r="P87" s="63"/>
    </row>
    <row r="88" spans="1:16">
      <c r="A88" s="152" t="s">
        <v>398</v>
      </c>
      <c r="B88" s="152" t="s">
        <v>301</v>
      </c>
      <c r="C88" s="34">
        <v>2005</v>
      </c>
      <c r="D88" s="40" t="s">
        <v>139</v>
      </c>
      <c r="E88" s="34" t="s">
        <v>139</v>
      </c>
      <c r="F88" s="265">
        <v>0.02</v>
      </c>
      <c r="G88" s="235">
        <v>2</v>
      </c>
      <c r="H88" s="40" t="s">
        <v>302</v>
      </c>
      <c r="I88" s="252">
        <v>2</v>
      </c>
      <c r="J88" s="10">
        <v>2</v>
      </c>
      <c r="K88" s="10">
        <v>2</v>
      </c>
      <c r="L88" s="10">
        <v>2</v>
      </c>
      <c r="M88" s="10">
        <v>1</v>
      </c>
      <c r="N88" s="10">
        <v>1</v>
      </c>
      <c r="O88" s="433">
        <f t="shared" si="7"/>
        <v>0.20691468599228219</v>
      </c>
      <c r="P88" s="63"/>
    </row>
    <row r="89" spans="1:16">
      <c r="A89" s="152" t="s">
        <v>395</v>
      </c>
      <c r="B89" s="152" t="s">
        <v>301</v>
      </c>
      <c r="C89" s="34">
        <v>2005</v>
      </c>
      <c r="D89" s="40" t="s">
        <v>139</v>
      </c>
      <c r="E89" s="34" t="s">
        <v>139</v>
      </c>
      <c r="F89" s="265">
        <v>0.02</v>
      </c>
      <c r="G89" s="235">
        <v>2</v>
      </c>
      <c r="H89" s="40" t="s">
        <v>302</v>
      </c>
      <c r="I89" s="252">
        <v>2</v>
      </c>
      <c r="J89" s="10">
        <v>2</v>
      </c>
      <c r="K89" s="10">
        <v>2</v>
      </c>
      <c r="L89" s="10">
        <v>2</v>
      </c>
      <c r="M89" s="10">
        <v>1</v>
      </c>
      <c r="N89" s="10">
        <v>1</v>
      </c>
      <c r="O89" s="433">
        <f t="shared" si="7"/>
        <v>0.20691468599228219</v>
      </c>
      <c r="P89" s="63"/>
    </row>
    <row r="90" spans="1:16">
      <c r="A90" s="152" t="s">
        <v>271</v>
      </c>
      <c r="B90" s="152" t="s">
        <v>301</v>
      </c>
      <c r="C90" s="34">
        <v>2020</v>
      </c>
      <c r="D90" s="40" t="s">
        <v>139</v>
      </c>
      <c r="E90" s="34" t="s">
        <v>139</v>
      </c>
      <c r="F90" s="265">
        <v>0.8</v>
      </c>
      <c r="G90" s="235">
        <v>2</v>
      </c>
      <c r="H90" s="40" t="s">
        <v>381</v>
      </c>
      <c r="I90" s="252">
        <v>1</v>
      </c>
      <c r="J90" s="10">
        <v>2</v>
      </c>
      <c r="K90" s="10">
        <v>1</v>
      </c>
      <c r="L90" s="10">
        <v>1</v>
      </c>
      <c r="M90" s="10">
        <v>3</v>
      </c>
      <c r="N90" s="10">
        <v>3</v>
      </c>
      <c r="O90" s="433">
        <f t="shared" si="7"/>
        <v>0.70187535976129745</v>
      </c>
      <c r="P90" s="63"/>
    </row>
    <row r="91" spans="1:16">
      <c r="A91" s="152" t="s">
        <v>270</v>
      </c>
      <c r="B91" s="152" t="s">
        <v>301</v>
      </c>
      <c r="C91" s="34">
        <v>2005</v>
      </c>
      <c r="D91" s="40" t="s">
        <v>139</v>
      </c>
      <c r="E91" s="34" t="s">
        <v>139</v>
      </c>
      <c r="F91" s="265">
        <v>0.01</v>
      </c>
      <c r="G91" s="235">
        <v>2</v>
      </c>
      <c r="H91" s="40" t="s">
        <v>302</v>
      </c>
      <c r="I91" s="252">
        <v>2</v>
      </c>
      <c r="J91" s="10">
        <v>2</v>
      </c>
      <c r="K91" s="10">
        <v>2</v>
      </c>
      <c r="L91" s="10">
        <v>2</v>
      </c>
      <c r="M91" s="10">
        <v>1</v>
      </c>
      <c r="N91" s="10">
        <v>1</v>
      </c>
      <c r="O91" s="433">
        <f t="shared" si="7"/>
        <v>0.20691468599228219</v>
      </c>
      <c r="P91" s="63"/>
    </row>
    <row r="92" spans="1:16">
      <c r="A92" s="152" t="s">
        <v>271</v>
      </c>
      <c r="B92" s="152" t="s">
        <v>301</v>
      </c>
      <c r="C92" s="34">
        <v>2015</v>
      </c>
      <c r="D92" s="40" t="s">
        <v>139</v>
      </c>
      <c r="E92" s="34" t="s">
        <v>139</v>
      </c>
      <c r="F92" s="265">
        <v>0.9</v>
      </c>
      <c r="G92" s="235">
        <v>2</v>
      </c>
      <c r="H92" s="40" t="s">
        <v>379</v>
      </c>
      <c r="I92" s="252">
        <v>1</v>
      </c>
      <c r="J92" s="10">
        <v>2</v>
      </c>
      <c r="K92" s="10">
        <v>1</v>
      </c>
      <c r="L92" s="10">
        <v>1</v>
      </c>
      <c r="M92" s="10">
        <v>3</v>
      </c>
      <c r="N92" s="10">
        <v>3</v>
      </c>
      <c r="O92" s="433">
        <f t="shared" si="7"/>
        <v>0.70187535976129745</v>
      </c>
      <c r="P92" s="63"/>
    </row>
    <row r="93" spans="1:16">
      <c r="A93" s="152" t="s">
        <v>270</v>
      </c>
      <c r="B93" s="152" t="s">
        <v>301</v>
      </c>
      <c r="C93" s="34">
        <v>2005</v>
      </c>
      <c r="D93" s="40" t="s">
        <v>139</v>
      </c>
      <c r="E93" s="34" t="s">
        <v>139</v>
      </c>
      <c r="F93" s="265">
        <v>0.02</v>
      </c>
      <c r="G93" s="235">
        <v>2</v>
      </c>
      <c r="H93" s="40" t="s">
        <v>302</v>
      </c>
      <c r="I93" s="252">
        <v>2</v>
      </c>
      <c r="J93" s="10">
        <v>2</v>
      </c>
      <c r="K93" s="10">
        <v>2</v>
      </c>
      <c r="L93" s="10">
        <v>2</v>
      </c>
      <c r="M93" s="10">
        <v>1</v>
      </c>
      <c r="N93" s="10">
        <v>1</v>
      </c>
      <c r="O93" s="433">
        <f t="shared" si="7"/>
        <v>0.20691468599228219</v>
      </c>
      <c r="P93" s="63"/>
    </row>
    <row r="94" spans="1:16">
      <c r="A94" s="152" t="s">
        <v>270</v>
      </c>
      <c r="B94" s="152" t="s">
        <v>275</v>
      </c>
      <c r="C94" s="150" t="s">
        <v>139</v>
      </c>
      <c r="D94" s="154" t="s">
        <v>139</v>
      </c>
      <c r="E94" s="150" t="s">
        <v>139</v>
      </c>
      <c r="F94" s="293" t="s">
        <v>150</v>
      </c>
      <c r="G94" s="238">
        <v>1</v>
      </c>
      <c r="H94" s="154"/>
      <c r="I94" s="254"/>
      <c r="J94" s="66"/>
      <c r="K94" s="66"/>
      <c r="L94" s="66"/>
      <c r="M94" s="66"/>
      <c r="N94" s="300"/>
      <c r="O94" s="438"/>
      <c r="P94" s="512"/>
    </row>
    <row r="95" spans="1:16" ht="15.75" thickBot="1">
      <c r="A95" s="153" t="s">
        <v>271</v>
      </c>
      <c r="B95" s="153" t="s">
        <v>380</v>
      </c>
      <c r="C95" s="35" t="s">
        <v>139</v>
      </c>
      <c r="D95" s="41" t="s">
        <v>139</v>
      </c>
      <c r="E95" s="35" t="s">
        <v>139</v>
      </c>
      <c r="F95" s="41" t="s">
        <v>150</v>
      </c>
      <c r="G95" s="236">
        <v>1</v>
      </c>
      <c r="H95" s="41"/>
      <c r="I95" s="254"/>
      <c r="J95" s="66"/>
      <c r="K95" s="66"/>
      <c r="L95" s="66"/>
      <c r="M95" s="66"/>
      <c r="N95" s="300"/>
      <c r="O95" s="435" t="str">
        <f t="shared" si="7"/>
        <v/>
      </c>
      <c r="P95" s="62"/>
    </row>
    <row r="96" spans="1:16">
      <c r="I96" s="389"/>
      <c r="J96" s="389"/>
      <c r="K96" s="389"/>
      <c r="L96" s="389"/>
      <c r="M96" s="389"/>
      <c r="N96" s="389"/>
      <c r="O96" s="389" t="str">
        <f t="shared" si="7"/>
        <v/>
      </c>
      <c r="P96" s="389"/>
    </row>
    <row r="97" spans="1:16" ht="15.75" thickBot="1">
      <c r="A97" s="225" t="s">
        <v>793</v>
      </c>
      <c r="I97" s="389"/>
      <c r="J97" s="389"/>
      <c r="K97" s="389"/>
      <c r="L97" s="389"/>
      <c r="M97" s="389"/>
      <c r="N97" s="389"/>
      <c r="O97" s="389" t="str">
        <f t="shared" si="7"/>
        <v/>
      </c>
      <c r="P97" s="389"/>
    </row>
    <row r="98" spans="1:16">
      <c r="A98" s="33" t="s">
        <v>398</v>
      </c>
      <c r="B98" s="351" t="s">
        <v>394</v>
      </c>
      <c r="C98" s="39" t="s">
        <v>139</v>
      </c>
      <c r="D98" s="33" t="s">
        <v>139</v>
      </c>
      <c r="E98" s="39" t="s">
        <v>139</v>
      </c>
      <c r="F98" s="54" t="s">
        <v>150</v>
      </c>
      <c r="G98" s="168">
        <v>1</v>
      </c>
      <c r="H98" s="33"/>
      <c r="I98" s="254"/>
      <c r="J98" s="66"/>
      <c r="K98" s="66"/>
      <c r="L98" s="66"/>
      <c r="M98" s="66"/>
      <c r="N98" s="300"/>
      <c r="O98" s="177" t="str">
        <f t="shared" si="7"/>
        <v/>
      </c>
      <c r="P98" s="33" t="s">
        <v>794</v>
      </c>
    </row>
    <row r="99" spans="1:16">
      <c r="A99" s="34" t="s">
        <v>395</v>
      </c>
      <c r="B99" s="63" t="s">
        <v>258</v>
      </c>
      <c r="C99" s="40" t="s">
        <v>139</v>
      </c>
      <c r="D99" s="34" t="s">
        <v>139</v>
      </c>
      <c r="E99" s="40" t="s">
        <v>139</v>
      </c>
      <c r="F99" s="55">
        <v>0.1</v>
      </c>
      <c r="G99" s="169">
        <v>1</v>
      </c>
      <c r="H99" s="34" t="s">
        <v>379</v>
      </c>
      <c r="I99" s="173">
        <v>1</v>
      </c>
      <c r="J99" s="10">
        <v>3</v>
      </c>
      <c r="K99" s="10">
        <v>2</v>
      </c>
      <c r="L99" s="10">
        <v>1</v>
      </c>
      <c r="M99" s="10">
        <v>1</v>
      </c>
      <c r="N99" s="10">
        <v>2</v>
      </c>
      <c r="O99" s="178">
        <f t="shared" si="7"/>
        <v>0.24010193209435579</v>
      </c>
      <c r="P99" s="34"/>
    </row>
    <row r="100" spans="1:16">
      <c r="A100" s="34" t="s">
        <v>380</v>
      </c>
      <c r="B100" s="63" t="s">
        <v>258</v>
      </c>
      <c r="C100" s="40" t="s">
        <v>139</v>
      </c>
      <c r="D100" s="34" t="s">
        <v>139</v>
      </c>
      <c r="E100" s="40" t="s">
        <v>139</v>
      </c>
      <c r="F100" s="55">
        <v>0.1</v>
      </c>
      <c r="G100" s="169">
        <v>2</v>
      </c>
      <c r="H100" s="34" t="s">
        <v>379</v>
      </c>
      <c r="I100" s="173">
        <v>1</v>
      </c>
      <c r="J100" s="10">
        <v>3</v>
      </c>
      <c r="K100" s="10">
        <v>2</v>
      </c>
      <c r="L100" s="10">
        <v>1</v>
      </c>
      <c r="M100" s="10">
        <v>1</v>
      </c>
      <c r="N100" s="10">
        <v>2</v>
      </c>
      <c r="O100" s="178">
        <f t="shared" si="7"/>
        <v>0.24010193209435579</v>
      </c>
      <c r="P100" s="34"/>
    </row>
    <row r="101" spans="1:16">
      <c r="A101" s="34" t="s">
        <v>275</v>
      </c>
      <c r="B101" s="63" t="s">
        <v>258</v>
      </c>
      <c r="C101" s="40" t="s">
        <v>139</v>
      </c>
      <c r="D101" s="34" t="s">
        <v>139</v>
      </c>
      <c r="E101" s="40" t="s">
        <v>139</v>
      </c>
      <c r="F101" s="55">
        <v>0.1</v>
      </c>
      <c r="G101" s="169">
        <v>2</v>
      </c>
      <c r="H101" s="34" t="s">
        <v>379</v>
      </c>
      <c r="I101" s="173">
        <v>1</v>
      </c>
      <c r="J101" s="10">
        <v>3</v>
      </c>
      <c r="K101" s="10">
        <v>2</v>
      </c>
      <c r="L101" s="10">
        <v>1</v>
      </c>
      <c r="M101" s="10">
        <v>1</v>
      </c>
      <c r="N101" s="10">
        <v>2</v>
      </c>
      <c r="O101" s="178">
        <f>IF( OR( ISBLANK(I101),ISBLANK(K101), ISBLANK(L101), ISBLANK(M101), ISBLANK(N101) ), "", 1.5*SQRT( EXP(2.21*(I101-1)) + EXP(2.21*(K101-1)) + EXP(2.21*(L101-1)) + EXP(2.21*(M101-1)) + EXP(2.21*N101-1)   )/100*2.45 )</f>
        <v>0.24010193209435579</v>
      </c>
      <c r="P101" s="34" t="s">
        <v>795</v>
      </c>
    </row>
    <row r="102" spans="1:16">
      <c r="A102" s="34" t="s">
        <v>398</v>
      </c>
      <c r="B102" s="63" t="s">
        <v>378</v>
      </c>
      <c r="C102" s="312">
        <v>2015</v>
      </c>
      <c r="D102" s="34" t="s">
        <v>139</v>
      </c>
      <c r="E102" s="40" t="s">
        <v>139</v>
      </c>
      <c r="F102" s="55">
        <v>0.4</v>
      </c>
      <c r="G102" s="169">
        <v>2</v>
      </c>
      <c r="H102" s="34" t="s">
        <v>379</v>
      </c>
      <c r="I102" s="173">
        <v>1</v>
      </c>
      <c r="J102" s="10">
        <v>3</v>
      </c>
      <c r="K102" s="10">
        <v>2</v>
      </c>
      <c r="L102" s="10">
        <v>1</v>
      </c>
      <c r="M102" s="10">
        <v>1</v>
      </c>
      <c r="N102" s="10">
        <v>2</v>
      </c>
      <c r="O102" s="178">
        <f t="shared" si="7"/>
        <v>0.24010193209435579</v>
      </c>
      <c r="P102" s="34" t="s">
        <v>796</v>
      </c>
    </row>
    <row r="103" spans="1:16">
      <c r="A103" s="34" t="s">
        <v>395</v>
      </c>
      <c r="B103" s="63" t="s">
        <v>378</v>
      </c>
      <c r="C103" s="312">
        <v>2015</v>
      </c>
      <c r="D103" s="34" t="s">
        <v>139</v>
      </c>
      <c r="E103" s="40" t="s">
        <v>139</v>
      </c>
      <c r="F103" s="55">
        <v>0.9</v>
      </c>
      <c r="G103" s="169">
        <v>1</v>
      </c>
      <c r="H103" s="34" t="s">
        <v>379</v>
      </c>
      <c r="I103" s="173">
        <v>1</v>
      </c>
      <c r="J103" s="10">
        <v>3</v>
      </c>
      <c r="K103" s="10">
        <v>2</v>
      </c>
      <c r="L103" s="10">
        <v>1</v>
      </c>
      <c r="M103" s="10">
        <v>1</v>
      </c>
      <c r="N103" s="10">
        <v>2</v>
      </c>
      <c r="O103" s="178">
        <f t="shared" si="7"/>
        <v>0.24010193209435579</v>
      </c>
      <c r="P103" s="34"/>
    </row>
    <row r="104" spans="1:16">
      <c r="A104" s="34" t="s">
        <v>275</v>
      </c>
      <c r="B104" s="63" t="s">
        <v>378</v>
      </c>
      <c r="C104" s="312">
        <v>2015</v>
      </c>
      <c r="D104" s="34" t="s">
        <v>139</v>
      </c>
      <c r="E104" s="40" t="s">
        <v>139</v>
      </c>
      <c r="F104" s="55">
        <v>0.9</v>
      </c>
      <c r="G104" s="169">
        <v>2</v>
      </c>
      <c r="H104" s="34" t="s">
        <v>379</v>
      </c>
      <c r="I104" s="173">
        <v>1</v>
      </c>
      <c r="J104" s="10">
        <v>3</v>
      </c>
      <c r="K104" s="10">
        <v>2</v>
      </c>
      <c r="L104" s="10">
        <v>1</v>
      </c>
      <c r="M104" s="10">
        <v>1</v>
      </c>
      <c r="N104" s="10">
        <v>2</v>
      </c>
      <c r="O104" s="178">
        <f t="shared" si="7"/>
        <v>0.24010193209435579</v>
      </c>
      <c r="P104" s="34"/>
    </row>
    <row r="105" spans="1:16">
      <c r="A105" s="34" t="s">
        <v>380</v>
      </c>
      <c r="B105" s="63" t="s">
        <v>378</v>
      </c>
      <c r="C105" s="312">
        <v>2015</v>
      </c>
      <c r="D105" s="34" t="s">
        <v>139</v>
      </c>
      <c r="E105" s="40" t="s">
        <v>139</v>
      </c>
      <c r="F105" s="55">
        <v>0.9</v>
      </c>
      <c r="G105" s="169">
        <v>2</v>
      </c>
      <c r="H105" s="34" t="s">
        <v>379</v>
      </c>
      <c r="I105" s="173">
        <v>1</v>
      </c>
      <c r="J105" s="10">
        <v>3</v>
      </c>
      <c r="K105" s="10">
        <v>2</v>
      </c>
      <c r="L105" s="10">
        <v>1</v>
      </c>
      <c r="M105" s="10">
        <v>1</v>
      </c>
      <c r="N105" s="10">
        <v>2</v>
      </c>
      <c r="O105" s="178">
        <f t="shared" si="7"/>
        <v>0.24010193209435579</v>
      </c>
      <c r="P105" s="34"/>
    </row>
    <row r="106" spans="1:16">
      <c r="A106" s="34" t="s">
        <v>301</v>
      </c>
      <c r="B106" s="63" t="s">
        <v>179</v>
      </c>
      <c r="C106" s="40"/>
      <c r="D106" s="34" t="s">
        <v>139</v>
      </c>
      <c r="E106" s="40" t="s">
        <v>139</v>
      </c>
      <c r="F106" s="55" t="s">
        <v>150</v>
      </c>
      <c r="G106" s="169">
        <v>1</v>
      </c>
      <c r="H106" s="34" t="s">
        <v>302</v>
      </c>
      <c r="I106" s="254"/>
      <c r="J106" s="66"/>
      <c r="K106" s="66"/>
      <c r="L106" s="66"/>
      <c r="M106" s="66"/>
      <c r="N106" s="300"/>
      <c r="O106" s="178" t="str">
        <f t="shared" si="7"/>
        <v/>
      </c>
      <c r="P106" s="34"/>
    </row>
    <row r="107" spans="1:16">
      <c r="A107" s="34" t="s">
        <v>301</v>
      </c>
      <c r="B107" s="63" t="s">
        <v>232</v>
      </c>
      <c r="C107" s="40">
        <v>2020</v>
      </c>
      <c r="D107" s="34" t="s">
        <v>139</v>
      </c>
      <c r="E107" s="40" t="s">
        <v>139</v>
      </c>
      <c r="F107" s="55">
        <v>0.05</v>
      </c>
      <c r="G107" s="169">
        <v>2</v>
      </c>
      <c r="H107" s="34" t="s">
        <v>393</v>
      </c>
      <c r="I107" s="173">
        <v>1</v>
      </c>
      <c r="J107" s="10">
        <v>2</v>
      </c>
      <c r="K107" s="10">
        <v>1</v>
      </c>
      <c r="L107" s="10">
        <v>2</v>
      </c>
      <c r="M107" s="10">
        <v>2</v>
      </c>
      <c r="N107" s="10">
        <v>4</v>
      </c>
      <c r="O107" s="178">
        <f t="shared" si="7"/>
        <v>1.8595776954264098</v>
      </c>
      <c r="P107" s="34"/>
    </row>
    <row r="108" spans="1:16">
      <c r="A108" s="34" t="s">
        <v>394</v>
      </c>
      <c r="B108" s="63" t="s">
        <v>378</v>
      </c>
      <c r="C108" s="40">
        <v>2014</v>
      </c>
      <c r="D108" s="34" t="s">
        <v>180</v>
      </c>
      <c r="E108" s="40" t="s">
        <v>139</v>
      </c>
      <c r="F108" s="55" t="s">
        <v>150</v>
      </c>
      <c r="G108" s="169">
        <v>1</v>
      </c>
      <c r="H108" s="34" t="s">
        <v>381</v>
      </c>
      <c r="I108" s="173">
        <v>1</v>
      </c>
      <c r="J108" s="10">
        <v>2</v>
      </c>
      <c r="K108" s="10">
        <v>3</v>
      </c>
      <c r="L108" s="10">
        <v>1</v>
      </c>
      <c r="M108" s="10">
        <v>2</v>
      </c>
      <c r="N108" s="10">
        <v>1</v>
      </c>
      <c r="O108" s="178">
        <f t="shared" si="7"/>
        <v>0.36299901822375763</v>
      </c>
      <c r="P108" s="34"/>
    </row>
    <row r="109" spans="1:16">
      <c r="A109" s="34" t="s">
        <v>394</v>
      </c>
      <c r="B109" s="63" t="s">
        <v>258</v>
      </c>
      <c r="C109" s="40">
        <v>2014</v>
      </c>
      <c r="D109" s="34" t="s">
        <v>180</v>
      </c>
      <c r="E109" s="40" t="s">
        <v>139</v>
      </c>
      <c r="F109" s="55">
        <v>0.255</v>
      </c>
      <c r="G109" s="169">
        <v>2</v>
      </c>
      <c r="H109" s="34" t="s">
        <v>381</v>
      </c>
      <c r="I109" s="173">
        <v>1</v>
      </c>
      <c r="J109" s="10">
        <v>2</v>
      </c>
      <c r="K109" s="10">
        <v>3</v>
      </c>
      <c r="L109" s="10">
        <v>1</v>
      </c>
      <c r="M109" s="10">
        <v>2</v>
      </c>
      <c r="N109" s="10">
        <v>1</v>
      </c>
      <c r="O109" s="178">
        <f t="shared" si="7"/>
        <v>0.36299901822375763</v>
      </c>
      <c r="P109" s="34"/>
    </row>
    <row r="110" spans="1:16">
      <c r="A110" s="34" t="s">
        <v>394</v>
      </c>
      <c r="B110" s="63" t="s">
        <v>232</v>
      </c>
      <c r="C110" s="40">
        <v>2014</v>
      </c>
      <c r="D110" s="34" t="s">
        <v>180</v>
      </c>
      <c r="E110" s="40" t="s">
        <v>139</v>
      </c>
      <c r="F110" s="55">
        <f>0.526*0.66</f>
        <v>0.34716000000000002</v>
      </c>
      <c r="G110" s="169">
        <v>2</v>
      </c>
      <c r="H110" s="34" t="s">
        <v>381</v>
      </c>
      <c r="I110" s="173">
        <v>1</v>
      </c>
      <c r="J110" s="10">
        <v>2</v>
      </c>
      <c r="K110" s="10">
        <v>3</v>
      </c>
      <c r="L110" s="10">
        <v>1</v>
      </c>
      <c r="M110" s="10">
        <v>2</v>
      </c>
      <c r="N110" s="10">
        <v>1</v>
      </c>
      <c r="O110" s="178">
        <f t="shared" si="7"/>
        <v>0.36299901822375763</v>
      </c>
      <c r="P110" s="34" t="s">
        <v>797</v>
      </c>
    </row>
    <row r="111" spans="1:16" ht="15.75" thickBot="1">
      <c r="A111" s="35" t="s">
        <v>394</v>
      </c>
      <c r="B111" s="62" t="s">
        <v>266</v>
      </c>
      <c r="C111" s="41">
        <v>2014</v>
      </c>
      <c r="D111" s="35" t="s">
        <v>180</v>
      </c>
      <c r="E111" s="41" t="s">
        <v>139</v>
      </c>
      <c r="F111" s="56">
        <f>0.526*0.34</f>
        <v>0.17884000000000003</v>
      </c>
      <c r="G111" s="170">
        <v>2</v>
      </c>
      <c r="H111" s="35" t="s">
        <v>381</v>
      </c>
      <c r="I111" s="174">
        <v>1</v>
      </c>
      <c r="J111" s="14">
        <v>2</v>
      </c>
      <c r="K111" s="14">
        <v>3</v>
      </c>
      <c r="L111" s="14">
        <v>1</v>
      </c>
      <c r="M111" s="14">
        <v>2</v>
      </c>
      <c r="N111" s="14">
        <v>1</v>
      </c>
      <c r="O111" s="179">
        <f t="shared" si="7"/>
        <v>0.36299901822375763</v>
      </c>
      <c r="P111" s="35" t="s">
        <v>798</v>
      </c>
    </row>
    <row r="114" spans="1:17">
      <c r="A114" s="1011" t="s">
        <v>2005</v>
      </c>
      <c r="B114" s="1011"/>
      <c r="C114" s="1011"/>
      <c r="D114" s="1011"/>
      <c r="E114" s="1011"/>
      <c r="F114" s="1011"/>
      <c r="G114" s="1011"/>
      <c r="H114" s="1011"/>
      <c r="I114" s="1011"/>
      <c r="J114" s="1011"/>
      <c r="K114" s="1011"/>
      <c r="L114" s="1011"/>
      <c r="M114" s="1011"/>
      <c r="N114" s="1011"/>
      <c r="O114" s="1011"/>
      <c r="P114" s="1011"/>
      <c r="Q114" s="1011"/>
    </row>
    <row r="115" spans="1:17">
      <c r="A115" s="1011"/>
      <c r="B115" s="1011"/>
      <c r="C115" s="1011"/>
      <c r="D115" s="1011"/>
      <c r="E115" s="1011"/>
      <c r="F115" s="1011"/>
      <c r="G115" s="1011"/>
      <c r="H115" s="1011"/>
      <c r="I115" s="1011"/>
      <c r="J115" s="1011"/>
      <c r="K115" s="1011"/>
      <c r="L115" s="1011"/>
      <c r="M115" s="1011"/>
      <c r="N115" s="1011"/>
      <c r="O115" s="1011"/>
      <c r="P115" s="1011"/>
      <c r="Q115" s="1011"/>
    </row>
    <row r="117" spans="1:17">
      <c r="A117" s="117" t="s">
        <v>768</v>
      </c>
      <c r="B117" s="117"/>
      <c r="C117" s="117"/>
      <c r="D117" s="117"/>
      <c r="E117" s="117"/>
      <c r="F117" s="117"/>
    </row>
    <row r="118" spans="1:17">
      <c r="A118" s="227" t="s">
        <v>769</v>
      </c>
      <c r="B118" s="227" t="s">
        <v>770</v>
      </c>
      <c r="C118" s="227" t="s">
        <v>771</v>
      </c>
      <c r="D118" s="227" t="s">
        <v>772</v>
      </c>
      <c r="E118" s="227" t="s">
        <v>773</v>
      </c>
      <c r="F118" s="227" t="s">
        <v>774</v>
      </c>
    </row>
    <row r="119" spans="1:17">
      <c r="A119" s="227">
        <v>1990</v>
      </c>
      <c r="B119" s="227" t="s">
        <v>776</v>
      </c>
      <c r="C119" s="887">
        <v>9795.9110544217692</v>
      </c>
      <c r="D119" s="227" t="s">
        <v>777</v>
      </c>
      <c r="E119" s="888">
        <v>3605.0184353741402</v>
      </c>
      <c r="F119" s="888">
        <v>0.36801257334271897</v>
      </c>
    </row>
    <row r="120" spans="1:17">
      <c r="A120" s="227">
        <v>1990</v>
      </c>
      <c r="B120" s="227" t="s">
        <v>776</v>
      </c>
      <c r="C120" s="887">
        <v>14048.77</v>
      </c>
      <c r="D120" s="227" t="s">
        <v>779</v>
      </c>
      <c r="E120" s="227">
        <v>5170.1239999999998</v>
      </c>
      <c r="F120" s="888">
        <v>0.36801257334271897</v>
      </c>
    </row>
    <row r="121" spans="1:17">
      <c r="A121" s="227">
        <v>1990</v>
      </c>
      <c r="B121" s="227" t="s">
        <v>776</v>
      </c>
      <c r="C121" s="889">
        <v>18038.811819727802</v>
      </c>
      <c r="D121" s="227" t="s">
        <v>780</v>
      </c>
      <c r="E121" s="888">
        <v>6638.5095578231203</v>
      </c>
      <c r="F121" s="888">
        <v>0.36801257334271897</v>
      </c>
    </row>
    <row r="122" spans="1:17">
      <c r="A122" s="227">
        <v>1990</v>
      </c>
      <c r="B122" s="227" t="s">
        <v>781</v>
      </c>
      <c r="C122" s="887">
        <v>9795.9110544217692</v>
      </c>
      <c r="D122" s="227" t="s">
        <v>777</v>
      </c>
      <c r="E122" s="888">
        <v>3470.8689455782301</v>
      </c>
      <c r="F122" s="888">
        <v>0.35431813603610801</v>
      </c>
    </row>
    <row r="123" spans="1:17">
      <c r="A123" s="227">
        <v>1990</v>
      </c>
      <c r="B123" s="227" t="s">
        <v>781</v>
      </c>
      <c r="C123" s="887">
        <v>14048.77</v>
      </c>
      <c r="D123" s="227" t="s">
        <v>779</v>
      </c>
      <c r="E123" s="227">
        <v>4977.7340000000004</v>
      </c>
      <c r="F123" s="888">
        <v>0.35431813603610801</v>
      </c>
    </row>
    <row r="124" spans="1:17">
      <c r="A124" s="227">
        <v>1990</v>
      </c>
      <c r="B124" s="227" t="s">
        <v>781</v>
      </c>
      <c r="C124" s="889">
        <v>18038.811819727802</v>
      </c>
      <c r="D124" s="227" t="s">
        <v>780</v>
      </c>
      <c r="E124" s="888">
        <v>6391.4781802721</v>
      </c>
      <c r="F124" s="888">
        <v>0.35431813603610801</v>
      </c>
    </row>
    <row r="125" spans="1:17">
      <c r="A125" s="227">
        <v>1990</v>
      </c>
      <c r="B125" s="227" t="s">
        <v>782</v>
      </c>
      <c r="C125" s="887">
        <v>9795.9110544217692</v>
      </c>
      <c r="D125" s="227" t="s">
        <v>777</v>
      </c>
      <c r="E125" s="888">
        <v>2720.0236734693799</v>
      </c>
      <c r="F125" s="888">
        <v>0.27766929062117102</v>
      </c>
    </row>
    <row r="126" spans="1:17">
      <c r="A126" s="227">
        <v>1990</v>
      </c>
      <c r="B126" s="227" t="s">
        <v>782</v>
      </c>
      <c r="C126" s="887">
        <v>14048.77</v>
      </c>
      <c r="D126" s="227" t="s">
        <v>779</v>
      </c>
      <c r="E126" s="227">
        <v>3900.9119999999998</v>
      </c>
      <c r="F126" s="888">
        <v>0.27766929062117102</v>
      </c>
    </row>
    <row r="127" spans="1:17">
      <c r="A127" s="227">
        <v>1990</v>
      </c>
      <c r="B127" s="227" t="s">
        <v>782</v>
      </c>
      <c r="C127" s="889">
        <v>18038.811819727802</v>
      </c>
      <c r="D127" s="227" t="s">
        <v>780</v>
      </c>
      <c r="E127" s="888">
        <v>5008.8240816326497</v>
      </c>
      <c r="F127" s="888">
        <v>0.27766929062117102</v>
      </c>
    </row>
    <row r="128" spans="1:17">
      <c r="A128" s="227">
        <v>1995</v>
      </c>
      <c r="B128" s="227" t="s">
        <v>776</v>
      </c>
      <c r="C128" s="889">
        <v>10531.2160714285</v>
      </c>
      <c r="D128" s="227" t="s">
        <v>777</v>
      </c>
      <c r="E128" s="888">
        <v>4567.2933163265297</v>
      </c>
      <c r="F128" s="888">
        <v>0.43369097028762899</v>
      </c>
    </row>
    <row r="129" spans="1:6">
      <c r="A129" s="227">
        <v>1995</v>
      </c>
      <c r="B129" s="227" t="s">
        <v>776</v>
      </c>
      <c r="C129" s="887">
        <v>15103.305</v>
      </c>
      <c r="D129" s="227" t="s">
        <v>779</v>
      </c>
      <c r="E129" s="227">
        <v>6550.1670000000004</v>
      </c>
      <c r="F129" s="888">
        <v>0.43369097028762899</v>
      </c>
    </row>
    <row r="130" spans="1:6">
      <c r="A130" s="227">
        <v>1995</v>
      </c>
      <c r="B130" s="227" t="s">
        <v>776</v>
      </c>
      <c r="C130" s="889">
        <v>19392.8491071428</v>
      </c>
      <c r="D130" s="227" t="s">
        <v>780</v>
      </c>
      <c r="E130" s="888">
        <v>8410.50354591836</v>
      </c>
      <c r="F130" s="888">
        <v>0.43369097028762899</v>
      </c>
    </row>
    <row r="131" spans="1:6">
      <c r="A131" s="227">
        <v>1995</v>
      </c>
      <c r="B131" s="227" t="s">
        <v>781</v>
      </c>
      <c r="C131" s="889">
        <v>10531.2160714285</v>
      </c>
      <c r="D131" s="227" t="s">
        <v>777</v>
      </c>
      <c r="E131" s="888">
        <v>3200.3805102040801</v>
      </c>
      <c r="F131" s="227">
        <v>0.30389467735704201</v>
      </c>
    </row>
    <row r="132" spans="1:6">
      <c r="A132" s="227">
        <v>1995</v>
      </c>
      <c r="B132" s="227" t="s">
        <v>781</v>
      </c>
      <c r="C132" s="887">
        <v>15103.305</v>
      </c>
      <c r="D132" s="227" t="s">
        <v>779</v>
      </c>
      <c r="E132" s="888">
        <v>4589.8139999999903</v>
      </c>
      <c r="F132" s="227">
        <v>0.30389467735704201</v>
      </c>
    </row>
    <row r="133" spans="1:6">
      <c r="A133" s="227">
        <v>1995</v>
      </c>
      <c r="B133" s="227" t="s">
        <v>781</v>
      </c>
      <c r="C133" s="889">
        <v>19392.8491071428</v>
      </c>
      <c r="D133" s="227" t="s">
        <v>780</v>
      </c>
      <c r="E133" s="227">
        <v>5893.3836224489796</v>
      </c>
      <c r="F133" s="888">
        <v>0.30389467735704201</v>
      </c>
    </row>
    <row r="134" spans="1:6">
      <c r="A134" s="227">
        <v>1995</v>
      </c>
      <c r="B134" s="227" t="s">
        <v>782</v>
      </c>
      <c r="C134" s="889">
        <v>10531.2160714285</v>
      </c>
      <c r="D134" s="227" t="s">
        <v>777</v>
      </c>
      <c r="E134" s="888">
        <v>2763.5422448979498</v>
      </c>
      <c r="F134" s="888">
        <v>0.26241435235532801</v>
      </c>
    </row>
    <row r="135" spans="1:6">
      <c r="A135" s="227">
        <v>1995</v>
      </c>
      <c r="B135" s="227" t="s">
        <v>782</v>
      </c>
      <c r="C135" s="887">
        <v>15103.305</v>
      </c>
      <c r="D135" s="227" t="s">
        <v>779</v>
      </c>
      <c r="E135" s="227">
        <v>3963.3240000000001</v>
      </c>
      <c r="F135" s="888">
        <v>0.26241435235532801</v>
      </c>
    </row>
    <row r="136" spans="1:6">
      <c r="A136" s="227">
        <v>1995</v>
      </c>
      <c r="B136" s="227" t="s">
        <v>782</v>
      </c>
      <c r="C136" s="889">
        <v>19392.8491071428</v>
      </c>
      <c r="D136" s="227" t="s">
        <v>780</v>
      </c>
      <c r="E136" s="227">
        <v>5088.9619387755101</v>
      </c>
      <c r="F136" s="888">
        <v>0.26241435235532801</v>
      </c>
    </row>
    <row r="137" spans="1:6">
      <c r="A137" s="227">
        <v>2000</v>
      </c>
      <c r="B137" s="227" t="s">
        <v>776</v>
      </c>
      <c r="C137" s="889">
        <v>11700.245306122401</v>
      </c>
      <c r="D137" s="227" t="s">
        <v>777</v>
      </c>
      <c r="E137" s="888">
        <v>6023.5603231292498</v>
      </c>
      <c r="F137" s="227">
        <v>0.51482342169161799</v>
      </c>
    </row>
    <row r="138" spans="1:6">
      <c r="A138" s="227">
        <v>2000</v>
      </c>
      <c r="B138" s="227" t="s">
        <v>776</v>
      </c>
      <c r="C138" s="889">
        <v>16779.8639999999</v>
      </c>
      <c r="D138" s="227" t="s">
        <v>779</v>
      </c>
      <c r="E138" s="227">
        <v>8638.6669999999995</v>
      </c>
      <c r="F138" s="227">
        <v>0.51482342169161799</v>
      </c>
    </row>
    <row r="139" spans="1:6">
      <c r="A139" s="227">
        <v>2000</v>
      </c>
      <c r="B139" s="227" t="s">
        <v>776</v>
      </c>
      <c r="C139" s="889">
        <v>21545.573673469298</v>
      </c>
      <c r="D139" s="227" t="s">
        <v>780</v>
      </c>
      <c r="E139" s="888">
        <v>11092.1659608843</v>
      </c>
      <c r="F139" s="888">
        <v>0.51482342169161699</v>
      </c>
    </row>
    <row r="140" spans="1:6">
      <c r="A140" s="227">
        <v>2000</v>
      </c>
      <c r="B140" s="227" t="s">
        <v>781</v>
      </c>
      <c r="C140" s="889">
        <v>11700.245306122401</v>
      </c>
      <c r="D140" s="227" t="s">
        <v>777</v>
      </c>
      <c r="E140" s="888">
        <v>2729.0597108843499</v>
      </c>
      <c r="F140" s="888">
        <v>0.23324807638488601</v>
      </c>
    </row>
    <row r="141" spans="1:6">
      <c r="A141" s="227">
        <v>2000</v>
      </c>
      <c r="B141" s="227" t="s">
        <v>781</v>
      </c>
      <c r="C141" s="889">
        <v>16779.8639999999</v>
      </c>
      <c r="D141" s="227" t="s">
        <v>779</v>
      </c>
      <c r="E141" s="227">
        <v>3913.8710000000001</v>
      </c>
      <c r="F141" s="888">
        <v>0.23324807638488601</v>
      </c>
    </row>
    <row r="142" spans="1:6">
      <c r="A142" s="227">
        <v>2000</v>
      </c>
      <c r="B142" s="227" t="s">
        <v>781</v>
      </c>
      <c r="C142" s="889">
        <v>21545.573673469298</v>
      </c>
      <c r="D142" s="227" t="s">
        <v>780</v>
      </c>
      <c r="E142" s="888">
        <v>5025.4636139455697</v>
      </c>
      <c r="F142" s="888">
        <v>0.23324807638488601</v>
      </c>
    </row>
    <row r="143" spans="1:6">
      <c r="A143" s="227">
        <v>2000</v>
      </c>
      <c r="B143" s="227" t="s">
        <v>782</v>
      </c>
      <c r="C143" s="889">
        <v>11700.245306122401</v>
      </c>
      <c r="D143" s="227" t="s">
        <v>777</v>
      </c>
      <c r="E143" s="888">
        <v>2947.6252721088399</v>
      </c>
      <c r="F143" s="227">
        <v>0.25192850192349597</v>
      </c>
    </row>
    <row r="144" spans="1:6">
      <c r="A144" s="227">
        <v>2000</v>
      </c>
      <c r="B144" s="227" t="s">
        <v>782</v>
      </c>
      <c r="C144" s="889">
        <v>16779.8639999999</v>
      </c>
      <c r="D144" s="227" t="s">
        <v>779</v>
      </c>
      <c r="E144" s="227">
        <v>4227.326</v>
      </c>
      <c r="F144" s="227">
        <v>0.25192850192349597</v>
      </c>
    </row>
    <row r="145" spans="1:6">
      <c r="A145" s="227">
        <v>2000</v>
      </c>
      <c r="B145" s="227" t="s">
        <v>782</v>
      </c>
      <c r="C145" s="889">
        <v>21545.573673469298</v>
      </c>
      <c r="D145" s="227" t="s">
        <v>780</v>
      </c>
      <c r="E145" s="888">
        <v>5427.9440986394502</v>
      </c>
      <c r="F145" s="888">
        <v>0.25192850192349497</v>
      </c>
    </row>
    <row r="146" spans="1:6">
      <c r="A146" s="227">
        <v>2005</v>
      </c>
      <c r="B146" s="227" t="s">
        <v>776</v>
      </c>
      <c r="C146" s="889">
        <v>12395.919778911501</v>
      </c>
      <c r="D146" s="227" t="s">
        <v>777</v>
      </c>
      <c r="E146" s="888">
        <v>6396.0460204081601</v>
      </c>
      <c r="F146" s="888">
        <v>0.51597994618272403</v>
      </c>
    </row>
    <row r="147" spans="1:6">
      <c r="A147" s="227">
        <v>2005</v>
      </c>
      <c r="B147" s="227" t="s">
        <v>776</v>
      </c>
      <c r="C147" s="887">
        <v>17777.562999999998</v>
      </c>
      <c r="D147" s="227" t="s">
        <v>779</v>
      </c>
      <c r="E147" s="227">
        <v>9172.866</v>
      </c>
      <c r="F147" s="888">
        <v>0.51597994618272403</v>
      </c>
    </row>
    <row r="148" spans="1:6">
      <c r="A148" s="227">
        <v>2005</v>
      </c>
      <c r="B148" s="227" t="s">
        <v>776</v>
      </c>
      <c r="C148" s="889">
        <v>22826.632763605401</v>
      </c>
      <c r="D148" s="227" t="s">
        <v>780</v>
      </c>
      <c r="E148" s="888">
        <v>11778.0847448979</v>
      </c>
      <c r="F148" s="888">
        <v>0.51597994618272403</v>
      </c>
    </row>
    <row r="149" spans="1:6">
      <c r="A149" s="227">
        <v>2005</v>
      </c>
      <c r="B149" s="227" t="s">
        <v>781</v>
      </c>
      <c r="C149" s="889">
        <v>12395.919778911501</v>
      </c>
      <c r="D149" s="227" t="s">
        <v>777</v>
      </c>
      <c r="E149" s="888">
        <v>2854.1864115646199</v>
      </c>
      <c r="F149" s="888">
        <v>0.23025208798303701</v>
      </c>
    </row>
    <row r="150" spans="1:6">
      <c r="A150" s="227">
        <v>2005</v>
      </c>
      <c r="B150" s="227" t="s">
        <v>781</v>
      </c>
      <c r="C150" s="887">
        <v>17777.562999999998</v>
      </c>
      <c r="D150" s="227" t="s">
        <v>779</v>
      </c>
      <c r="E150" s="227">
        <v>4093.3209999999999</v>
      </c>
      <c r="F150" s="888">
        <v>0.23025208798303701</v>
      </c>
    </row>
    <row r="151" spans="1:6">
      <c r="A151" s="227">
        <v>2005</v>
      </c>
      <c r="B151" s="227" t="s">
        <v>781</v>
      </c>
      <c r="C151" s="889">
        <v>22826.632763605401</v>
      </c>
      <c r="D151" s="227" t="s">
        <v>780</v>
      </c>
      <c r="E151" s="888">
        <v>5255.8798554421701</v>
      </c>
      <c r="F151" s="888">
        <v>0.23025208798303701</v>
      </c>
    </row>
    <row r="152" spans="1:6">
      <c r="A152" s="227">
        <v>2005</v>
      </c>
      <c r="B152" s="227" t="s">
        <v>782</v>
      </c>
      <c r="C152" s="889">
        <v>12395.919778911501</v>
      </c>
      <c r="D152" s="227" t="s">
        <v>777</v>
      </c>
      <c r="E152" s="888">
        <v>3145.6873469387701</v>
      </c>
      <c r="F152" s="888">
        <v>0.253767965834237</v>
      </c>
    </row>
    <row r="153" spans="1:6">
      <c r="A153" s="227">
        <v>2005</v>
      </c>
      <c r="B153" s="227" t="s">
        <v>782</v>
      </c>
      <c r="C153" s="887">
        <v>17777.562999999998</v>
      </c>
      <c r="D153" s="227" t="s">
        <v>779</v>
      </c>
      <c r="E153" s="227">
        <v>4511.3760000000002</v>
      </c>
      <c r="F153" s="888">
        <v>0.253767965834237</v>
      </c>
    </row>
    <row r="154" spans="1:6">
      <c r="A154" s="227">
        <v>2005</v>
      </c>
      <c r="B154" s="227" t="s">
        <v>782</v>
      </c>
      <c r="C154" s="889">
        <v>22826.632763605401</v>
      </c>
      <c r="D154" s="227" t="s">
        <v>780</v>
      </c>
      <c r="E154" s="888">
        <v>5792.6681632652999</v>
      </c>
      <c r="F154" s="888">
        <v>0.253767965834237</v>
      </c>
    </row>
    <row r="155" spans="1:6">
      <c r="A155" s="227">
        <v>2010</v>
      </c>
      <c r="B155" s="227" t="s">
        <v>776</v>
      </c>
      <c r="C155" s="889">
        <v>12581.2969557823</v>
      </c>
      <c r="D155" s="227" t="s">
        <v>777</v>
      </c>
      <c r="E155" s="888">
        <v>6475.2931632652999</v>
      </c>
      <c r="F155" s="227">
        <v>0.51467612488784698</v>
      </c>
    </row>
    <row r="156" spans="1:6">
      <c r="A156" s="227">
        <v>2010</v>
      </c>
      <c r="B156" s="227" t="s">
        <v>776</v>
      </c>
      <c r="C156" s="887">
        <v>18043.420999999998</v>
      </c>
      <c r="D156" s="227" t="s">
        <v>779</v>
      </c>
      <c r="E156" s="227">
        <v>9286.518</v>
      </c>
      <c r="F156" s="227">
        <v>0.51467612488784698</v>
      </c>
    </row>
    <row r="157" spans="1:6">
      <c r="A157" s="227">
        <v>2010</v>
      </c>
      <c r="B157" s="227" t="s">
        <v>776</v>
      </c>
      <c r="C157" s="889">
        <v>23167.998052720999</v>
      </c>
      <c r="D157" s="227" t="s">
        <v>780</v>
      </c>
      <c r="E157" s="888">
        <v>11924.0154591836</v>
      </c>
      <c r="F157" s="888">
        <v>0.51467612488784598</v>
      </c>
    </row>
    <row r="158" spans="1:6">
      <c r="A158" s="227">
        <v>2010</v>
      </c>
      <c r="B158" s="227" t="s">
        <v>781</v>
      </c>
      <c r="C158" s="889">
        <v>12581.2969557823</v>
      </c>
      <c r="D158" s="227" t="s">
        <v>777</v>
      </c>
      <c r="E158" s="888">
        <v>2894.6230102040799</v>
      </c>
      <c r="F158" s="888">
        <v>0.230073498811561</v>
      </c>
    </row>
    <row r="159" spans="1:6">
      <c r="A159" s="227">
        <v>2010</v>
      </c>
      <c r="B159" s="227" t="s">
        <v>781</v>
      </c>
      <c r="C159" s="887">
        <v>18043.420999999998</v>
      </c>
      <c r="D159" s="227" t="s">
        <v>779</v>
      </c>
      <c r="E159" s="227">
        <v>4151.3130000000001</v>
      </c>
      <c r="F159" s="888">
        <v>0.230073498811561</v>
      </c>
    </row>
    <row r="160" spans="1:6">
      <c r="A160" s="227">
        <v>2010</v>
      </c>
      <c r="B160" s="227" t="s">
        <v>781</v>
      </c>
      <c r="C160" s="889">
        <v>23167.998052720999</v>
      </c>
      <c r="D160" s="227" t="s">
        <v>780</v>
      </c>
      <c r="E160" s="227">
        <v>5330.3423724489803</v>
      </c>
      <c r="F160" s="888">
        <v>0.230073498811561</v>
      </c>
    </row>
    <row r="161" spans="1:6">
      <c r="A161" s="227">
        <v>2010</v>
      </c>
      <c r="B161" s="227" t="s">
        <v>782</v>
      </c>
      <c r="C161" s="889">
        <v>12581.2969557823</v>
      </c>
      <c r="D161" s="227" t="s">
        <v>777</v>
      </c>
      <c r="E161" s="888">
        <v>3211.38078231292</v>
      </c>
      <c r="F161" s="888">
        <v>0.255250376300591</v>
      </c>
    </row>
    <row r="162" spans="1:6">
      <c r="A162" s="227">
        <v>2010</v>
      </c>
      <c r="B162" s="227" t="s">
        <v>782</v>
      </c>
      <c r="C162" s="887">
        <v>18043.420999999998</v>
      </c>
      <c r="D162" s="227" t="s">
        <v>779</v>
      </c>
      <c r="E162" s="227">
        <v>4605.59</v>
      </c>
      <c r="F162" s="888">
        <v>0.255250376300591</v>
      </c>
    </row>
    <row r="163" spans="1:6">
      <c r="A163" s="227">
        <v>2010</v>
      </c>
      <c r="B163" s="227" t="s">
        <v>782</v>
      </c>
      <c r="C163" s="889">
        <v>23167.998052720999</v>
      </c>
      <c r="D163" s="227" t="s">
        <v>780</v>
      </c>
      <c r="E163" s="888">
        <v>5913.6402210884298</v>
      </c>
      <c r="F163" s="888">
        <v>0.255250376300591</v>
      </c>
    </row>
    <row r="164" spans="1:6">
      <c r="A164" s="227">
        <v>2015</v>
      </c>
      <c r="B164" s="227" t="s">
        <v>776</v>
      </c>
      <c r="C164" s="889">
        <v>12711.9997959183</v>
      </c>
      <c r="D164" s="227" t="s">
        <v>777</v>
      </c>
      <c r="E164" s="888">
        <v>6532.1520748299299</v>
      </c>
      <c r="F164" s="888">
        <v>0.51385715699329204</v>
      </c>
    </row>
    <row r="165" spans="1:6">
      <c r="A165" s="227">
        <v>2015</v>
      </c>
      <c r="B165" s="227" t="s">
        <v>776</v>
      </c>
      <c r="C165" s="887">
        <v>18230.867999999999</v>
      </c>
      <c r="D165" s="227" t="s">
        <v>779</v>
      </c>
      <c r="E165" s="227">
        <v>9368.0619999999999</v>
      </c>
      <c r="F165" s="888">
        <v>0.51385715699329204</v>
      </c>
    </row>
    <row r="166" spans="1:6">
      <c r="A166" s="227">
        <v>2015</v>
      </c>
      <c r="B166" s="227" t="s">
        <v>776</v>
      </c>
      <c r="C166" s="889">
        <v>23408.6825510204</v>
      </c>
      <c r="D166" s="227" t="s">
        <v>780</v>
      </c>
      <c r="E166" s="888">
        <v>12028.7190646258</v>
      </c>
      <c r="F166" s="888">
        <v>0.51385715699329204</v>
      </c>
    </row>
    <row r="167" spans="1:6">
      <c r="A167" s="227">
        <v>2015</v>
      </c>
      <c r="B167" s="227" t="s">
        <v>781</v>
      </c>
      <c r="C167" s="889">
        <v>12711.9997959183</v>
      </c>
      <c r="D167" s="227" t="s">
        <v>777</v>
      </c>
      <c r="E167" s="888">
        <v>2919.1442176870701</v>
      </c>
      <c r="F167" s="888">
        <v>0.22963689935114401</v>
      </c>
    </row>
    <row r="168" spans="1:6">
      <c r="A168" s="227">
        <v>2015</v>
      </c>
      <c r="B168" s="227" t="s">
        <v>781</v>
      </c>
      <c r="C168" s="887">
        <v>18230.867999999999</v>
      </c>
      <c r="D168" s="227" t="s">
        <v>779</v>
      </c>
      <c r="E168" s="227">
        <v>4186.4799999999996</v>
      </c>
      <c r="F168" s="888">
        <v>0.22963689935114401</v>
      </c>
    </row>
    <row r="169" spans="1:6">
      <c r="A169" s="227">
        <v>2015</v>
      </c>
      <c r="B169" s="227" t="s">
        <v>781</v>
      </c>
      <c r="C169" s="889">
        <v>23408.6825510204</v>
      </c>
      <c r="D169" s="227" t="s">
        <v>780</v>
      </c>
      <c r="E169" s="888">
        <v>5375.49727891156</v>
      </c>
      <c r="F169" s="888">
        <v>0.22963689935114401</v>
      </c>
    </row>
    <row r="170" spans="1:6">
      <c r="A170" s="227">
        <v>2015</v>
      </c>
      <c r="B170" s="227" t="s">
        <v>782</v>
      </c>
      <c r="C170" s="889">
        <v>12711.9997959183</v>
      </c>
      <c r="D170" s="227" t="s">
        <v>777</v>
      </c>
      <c r="E170" s="888">
        <v>3260.7035034013602</v>
      </c>
      <c r="F170" s="888">
        <v>0.25650594365556201</v>
      </c>
    </row>
    <row r="171" spans="1:6">
      <c r="A171" s="227">
        <v>2015</v>
      </c>
      <c r="B171" s="227" t="s">
        <v>782</v>
      </c>
      <c r="C171" s="887">
        <v>18230.867999999999</v>
      </c>
      <c r="D171" s="227" t="s">
        <v>779</v>
      </c>
      <c r="E171" s="227">
        <v>4676.326</v>
      </c>
      <c r="F171" s="888">
        <v>0.25650594365556201</v>
      </c>
    </row>
    <row r="172" spans="1:6">
      <c r="A172" s="227">
        <v>2015</v>
      </c>
      <c r="B172" s="227" t="s">
        <v>782</v>
      </c>
      <c r="C172" s="889">
        <v>23408.6825510204</v>
      </c>
      <c r="D172" s="227" t="s">
        <v>780</v>
      </c>
      <c r="E172" s="888">
        <v>6004.4662074829903</v>
      </c>
      <c r="F172" s="888">
        <v>0.25650594365556201</v>
      </c>
    </row>
    <row r="173" spans="1:6">
      <c r="A173" s="227">
        <v>2019</v>
      </c>
      <c r="B173" s="227" t="s">
        <v>776</v>
      </c>
      <c r="C173" s="889">
        <v>13484.4244557823</v>
      </c>
      <c r="D173" s="227" t="s">
        <v>777</v>
      </c>
      <c r="E173" s="888">
        <v>6901.6436564625801</v>
      </c>
      <c r="F173" s="888">
        <v>0.51182337659973698</v>
      </c>
    </row>
    <row r="174" spans="1:6">
      <c r="A174" s="227">
        <v>2019</v>
      </c>
      <c r="B174" s="227" t="s">
        <v>776</v>
      </c>
      <c r="C174" s="887">
        <v>19338.637999999999</v>
      </c>
      <c r="D174" s="227" t="s">
        <v>779</v>
      </c>
      <c r="E174" s="227">
        <v>9897.9670000000006</v>
      </c>
      <c r="F174" s="888">
        <v>0.51182337659973698</v>
      </c>
    </row>
    <row r="175" spans="1:6">
      <c r="A175" s="227">
        <v>2019</v>
      </c>
      <c r="B175" s="227" t="s">
        <v>776</v>
      </c>
      <c r="C175" s="889">
        <v>24831.074302721001</v>
      </c>
      <c r="D175" s="227" t="s">
        <v>780</v>
      </c>
      <c r="E175" s="888">
        <v>12709.1242942176</v>
      </c>
      <c r="F175" s="888">
        <v>0.51182337659973698</v>
      </c>
    </row>
    <row r="176" spans="1:6">
      <c r="A176" s="227">
        <v>2019</v>
      </c>
      <c r="B176" s="227" t="s">
        <v>781</v>
      </c>
      <c r="C176" s="889">
        <v>13484.4244557823</v>
      </c>
      <c r="D176" s="227" t="s">
        <v>777</v>
      </c>
      <c r="E176" s="888">
        <v>3107.2547278911502</v>
      </c>
      <c r="F176" s="888">
        <v>0.23043287743428401</v>
      </c>
    </row>
    <row r="177" spans="1:6">
      <c r="A177" s="227">
        <v>2019</v>
      </c>
      <c r="B177" s="227" t="s">
        <v>781</v>
      </c>
      <c r="C177" s="887">
        <v>19338.637999999999</v>
      </c>
      <c r="D177" s="227" t="s">
        <v>779</v>
      </c>
      <c r="E177" s="227">
        <v>4456.2579999999998</v>
      </c>
      <c r="F177" s="888">
        <v>0.23043287743428401</v>
      </c>
    </row>
    <row r="178" spans="1:6">
      <c r="A178" s="227">
        <v>2019</v>
      </c>
      <c r="B178" s="227" t="s">
        <v>781</v>
      </c>
      <c r="C178" s="889">
        <v>24831.074302721001</v>
      </c>
      <c r="D178" s="227" t="s">
        <v>780</v>
      </c>
      <c r="E178" s="888">
        <v>5721.8959013605399</v>
      </c>
      <c r="F178" s="888">
        <v>0.23043287743428401</v>
      </c>
    </row>
    <row r="179" spans="1:6">
      <c r="A179" s="227">
        <v>2019</v>
      </c>
      <c r="B179" s="227" t="s">
        <v>782</v>
      </c>
      <c r="C179" s="889">
        <v>13484.4244557823</v>
      </c>
      <c r="D179" s="227" t="s">
        <v>777</v>
      </c>
      <c r="E179" s="888">
        <v>3475.52607142857</v>
      </c>
      <c r="F179" s="888">
        <v>0.25774374596597699</v>
      </c>
    </row>
    <row r="180" spans="1:6">
      <c r="A180" s="227">
        <v>2019</v>
      </c>
      <c r="B180" s="227" t="s">
        <v>782</v>
      </c>
      <c r="C180" s="887">
        <v>19338.637999999999</v>
      </c>
      <c r="D180" s="227" t="s">
        <v>779</v>
      </c>
      <c r="E180" s="888">
        <v>4984.4129999999996</v>
      </c>
      <c r="F180" s="888">
        <v>0.25774374596597699</v>
      </c>
    </row>
    <row r="181" spans="1:6">
      <c r="A181" s="227">
        <v>2019</v>
      </c>
      <c r="B181" s="227" t="s">
        <v>782</v>
      </c>
      <c r="C181" s="889">
        <v>24831.074302721001</v>
      </c>
      <c r="D181" s="227" t="s">
        <v>780</v>
      </c>
      <c r="E181" s="888">
        <v>6400.0541071428497</v>
      </c>
      <c r="F181" s="888">
        <v>0.25774374596597699</v>
      </c>
    </row>
    <row r="182" spans="1:6">
      <c r="A182" s="227">
        <v>2020</v>
      </c>
      <c r="B182" s="227" t="s">
        <v>776</v>
      </c>
      <c r="C182" s="889">
        <v>11683.7368280094</v>
      </c>
      <c r="D182" s="227" t="s">
        <v>777</v>
      </c>
      <c r="E182" s="888">
        <v>6118.5902748969302</v>
      </c>
      <c r="F182" s="888">
        <v>0.52368436271423302</v>
      </c>
    </row>
    <row r="183" spans="1:6">
      <c r="A183" s="227">
        <v>2020</v>
      </c>
      <c r="B183" s="227" t="s">
        <v>776</v>
      </c>
      <c r="C183" s="889">
        <v>16756.188426510998</v>
      </c>
      <c r="D183" s="227" t="s">
        <v>779</v>
      </c>
      <c r="E183" s="888">
        <v>8774.9538576570594</v>
      </c>
      <c r="F183" s="888">
        <v>0.52368436271423302</v>
      </c>
    </row>
    <row r="184" spans="1:6">
      <c r="A184" s="227">
        <v>2020</v>
      </c>
      <c r="B184" s="227" t="s">
        <v>776</v>
      </c>
      <c r="C184" s="889">
        <v>21515.173914992902</v>
      </c>
      <c r="D184" s="227" t="s">
        <v>780</v>
      </c>
      <c r="E184" s="888">
        <v>11267.160140358899</v>
      </c>
      <c r="F184" s="227">
        <v>0.52368436271423302</v>
      </c>
    </row>
    <row r="185" spans="1:6">
      <c r="A185" s="227">
        <v>2020</v>
      </c>
      <c r="B185" s="227" t="s">
        <v>781</v>
      </c>
      <c r="C185" s="889">
        <v>11683.7368280094</v>
      </c>
      <c r="D185" s="227" t="s">
        <v>777</v>
      </c>
      <c r="E185" s="888">
        <v>2584.5872312710599</v>
      </c>
      <c r="F185" s="888">
        <v>0.221212380021692</v>
      </c>
    </row>
    <row r="186" spans="1:6">
      <c r="A186" s="227">
        <v>2020</v>
      </c>
      <c r="B186" s="227" t="s">
        <v>781</v>
      </c>
      <c r="C186" s="889">
        <v>16756.188426510998</v>
      </c>
      <c r="D186" s="227" t="s">
        <v>779</v>
      </c>
      <c r="E186" s="888">
        <v>3706.6763219204599</v>
      </c>
      <c r="F186" s="888">
        <v>0.221212380021692</v>
      </c>
    </row>
    <row r="187" spans="1:6">
      <c r="A187" s="227">
        <v>2020</v>
      </c>
      <c r="B187" s="227" t="s">
        <v>781</v>
      </c>
      <c r="C187" s="889">
        <v>21515.173914992902</v>
      </c>
      <c r="D187" s="227" t="s">
        <v>780</v>
      </c>
      <c r="E187" s="888">
        <v>4759.4228283162302</v>
      </c>
      <c r="F187" s="888">
        <v>0.221212380021692</v>
      </c>
    </row>
    <row r="188" spans="1:6">
      <c r="A188" s="227">
        <v>2020</v>
      </c>
      <c r="B188" s="227" t="s">
        <v>782</v>
      </c>
      <c r="C188" s="889">
        <v>11683.7368280094</v>
      </c>
      <c r="D188" s="227" t="s">
        <v>777</v>
      </c>
      <c r="E188" s="888">
        <v>2980.5593218414201</v>
      </c>
      <c r="F188" s="888">
        <v>0.25510325726407401</v>
      </c>
    </row>
    <row r="189" spans="1:6">
      <c r="A189" s="227">
        <v>2020</v>
      </c>
      <c r="B189" s="227" t="s">
        <v>782</v>
      </c>
      <c r="C189" s="889">
        <v>16756.188426510998</v>
      </c>
      <c r="D189" s="227" t="s">
        <v>779</v>
      </c>
      <c r="E189" s="888">
        <v>4274.5582469335604</v>
      </c>
      <c r="F189" s="888">
        <v>0.25510325726407401</v>
      </c>
    </row>
    <row r="190" spans="1:6">
      <c r="A190" s="227">
        <v>2020</v>
      </c>
      <c r="B190" s="227" t="s">
        <v>782</v>
      </c>
      <c r="C190" s="889">
        <v>21515.173914992902</v>
      </c>
      <c r="D190" s="227" t="s">
        <v>780</v>
      </c>
      <c r="E190" s="888">
        <v>5488.5909463177504</v>
      </c>
      <c r="F190" s="888">
        <v>0.25510325726407401</v>
      </c>
    </row>
  </sheetData>
  <mergeCells count="2">
    <mergeCell ref="A114:Q115"/>
    <mergeCell ref="A2:Q3"/>
  </mergeCells>
  <conditionalFormatting sqref="G6:K13 G15:K22 G24:K32">
    <cfRule type="cellIs" dxfId="114" priority="7074" stopIfTrue="1" operator="notBetween">
      <formula>1</formula>
      <formula>4</formula>
    </cfRule>
    <cfRule type="dataBar" priority="7075">
      <dataBar>
        <cfvo type="min"/>
        <cfvo type="num" val="4"/>
        <color rgb="FFFFC000"/>
      </dataBar>
      <extLst>
        <ext xmlns:x14="http://schemas.microsoft.com/office/spreadsheetml/2009/9/main" uri="{B025F937-C7B1-47D3-B67F-A62EFF666E3E}">
          <x14:id>{DCB540DE-36C9-4332-BAD4-CAB1F9DBAEDD}</x14:id>
        </ext>
      </extLst>
    </cfRule>
  </conditionalFormatting>
  <conditionalFormatting sqref="G37:K44 G46:K53 G55:K62">
    <cfRule type="cellIs" dxfId="113" priority="7072" stopIfTrue="1" operator="notBetween">
      <formula>1</formula>
      <formula>4</formula>
    </cfRule>
    <cfRule type="dataBar" priority="7073">
      <dataBar>
        <cfvo type="min"/>
        <cfvo type="num" val="4"/>
        <color rgb="FFFFC000"/>
      </dataBar>
      <extLst>
        <ext xmlns:x14="http://schemas.microsoft.com/office/spreadsheetml/2009/9/main" uri="{B025F937-C7B1-47D3-B67F-A62EFF666E3E}">
          <x14:id>{ADB92FAB-58BB-4A44-BD27-F6CCA440A7CD}</x14:id>
        </ext>
      </extLst>
    </cfRule>
  </conditionalFormatting>
  <conditionalFormatting sqref="I86">
    <cfRule type="containsBlanks" dxfId="112" priority="1">
      <formula>LEN(TRIM(I86))=0</formula>
    </cfRule>
    <cfRule type="dataBar" priority="3">
      <dataBar>
        <cfvo type="min"/>
        <cfvo type="num" val="4"/>
        <color rgb="FFFFC000"/>
      </dataBar>
      <extLst>
        <ext xmlns:x14="http://schemas.microsoft.com/office/spreadsheetml/2009/9/main" uri="{B025F937-C7B1-47D3-B67F-A62EFF666E3E}">
          <x14:id>{30155963-B8E7-438D-B598-5CEE74DA6116}</x14:id>
        </ext>
      </extLst>
    </cfRule>
  </conditionalFormatting>
  <conditionalFormatting sqref="I66:N71">
    <cfRule type="cellIs" dxfId="111" priority="52" stopIfTrue="1" operator="notBetween">
      <formula>1</formula>
      <formula>4</formula>
    </cfRule>
    <cfRule type="dataBar" priority="53">
      <dataBar>
        <cfvo type="min"/>
        <cfvo type="num" val="4"/>
        <color rgb="FFFFC000"/>
      </dataBar>
      <extLst>
        <ext xmlns:x14="http://schemas.microsoft.com/office/spreadsheetml/2009/9/main" uri="{B025F937-C7B1-47D3-B67F-A62EFF666E3E}">
          <x14:id>{56B0826E-DB05-4F46-9EA0-83C8C7A7759C}</x14:id>
        </ext>
      </extLst>
    </cfRule>
  </conditionalFormatting>
  <conditionalFormatting sqref="I74:N81 I84:N85 I88:N89 I83 K83:N83 J86:N86">
    <cfRule type="dataBar" priority="6199">
      <dataBar>
        <cfvo type="min"/>
        <cfvo type="num" val="4"/>
        <color rgb="FFFFC000"/>
      </dataBar>
      <extLst>
        <ext xmlns:x14="http://schemas.microsoft.com/office/spreadsheetml/2009/9/main" uri="{B025F937-C7B1-47D3-B67F-A62EFF666E3E}">
          <x14:id>{152975D8-AA7B-48FF-96C8-A3635D86F63F}</x14:id>
        </ext>
      </extLst>
    </cfRule>
  </conditionalFormatting>
  <conditionalFormatting sqref="I74:N82">
    <cfRule type="cellIs" dxfId="110" priority="23" stopIfTrue="1" operator="notBetween">
      <formula>1</formula>
      <formula>4</formula>
    </cfRule>
  </conditionalFormatting>
  <conditionalFormatting sqref="I82:N82">
    <cfRule type="dataBar" priority="24">
      <dataBar>
        <cfvo type="min"/>
        <cfvo type="num" val="4"/>
        <color rgb="FFFFC000"/>
      </dataBar>
      <extLst>
        <ext xmlns:x14="http://schemas.microsoft.com/office/spreadsheetml/2009/9/main" uri="{B025F937-C7B1-47D3-B67F-A62EFF666E3E}">
          <x14:id>{CD33A977-1C24-4834-9920-1C263E4A3C54}</x14:id>
        </ext>
      </extLst>
    </cfRule>
  </conditionalFormatting>
  <conditionalFormatting sqref="I83:N85">
    <cfRule type="cellIs" dxfId="109" priority="5" stopIfTrue="1" operator="notBetween">
      <formula>1</formula>
      <formula>4</formula>
    </cfRule>
  </conditionalFormatting>
  <conditionalFormatting sqref="I86:N86">
    <cfRule type="cellIs" dxfId="108" priority="2" stopIfTrue="1" operator="notBetween">
      <formula>1</formula>
      <formula>4</formula>
    </cfRule>
  </conditionalFormatting>
  <conditionalFormatting sqref="I87:N87">
    <cfRule type="containsBlanks" dxfId="107" priority="19">
      <formula>LEN(TRIM(I87))=0</formula>
    </cfRule>
    <cfRule type="dataBar" priority="21">
      <dataBar>
        <cfvo type="min"/>
        <cfvo type="num" val="4"/>
        <color rgb="FFFFC000"/>
      </dataBar>
      <extLst>
        <ext xmlns:x14="http://schemas.microsoft.com/office/spreadsheetml/2009/9/main" uri="{B025F937-C7B1-47D3-B67F-A62EFF666E3E}">
          <x14:id>{9612EF93-58C4-4663-9A0C-7E810B1E0D57}</x14:id>
        </ext>
      </extLst>
    </cfRule>
  </conditionalFormatting>
  <conditionalFormatting sqref="I87:N93">
    <cfRule type="cellIs" dxfId="106" priority="20" stopIfTrue="1" operator="notBetween">
      <formula>1</formula>
      <formula>4</formula>
    </cfRule>
  </conditionalFormatting>
  <conditionalFormatting sqref="I90:N90 I92:N92 I99:N105">
    <cfRule type="dataBar" priority="7052">
      <dataBar>
        <cfvo type="min"/>
        <cfvo type="num" val="4"/>
        <color rgb="FFFFC000"/>
      </dataBar>
      <extLst>
        <ext xmlns:x14="http://schemas.microsoft.com/office/spreadsheetml/2009/9/main" uri="{B025F937-C7B1-47D3-B67F-A62EFF666E3E}">
          <x14:id>{6B8C1DD6-10C5-4D14-8A53-7C18EAC20BAD}</x14:id>
        </ext>
      </extLst>
    </cfRule>
  </conditionalFormatting>
  <conditionalFormatting sqref="I91:N91">
    <cfRule type="dataBar" priority="74">
      <dataBar>
        <cfvo type="min"/>
        <cfvo type="num" val="4"/>
        <color rgb="FFFFC000"/>
      </dataBar>
      <extLst>
        <ext xmlns:x14="http://schemas.microsoft.com/office/spreadsheetml/2009/9/main" uri="{B025F937-C7B1-47D3-B67F-A62EFF666E3E}">
          <x14:id>{711D344D-A5F7-440B-AF92-3C409F3D22EA}</x14:id>
        </ext>
      </extLst>
    </cfRule>
  </conditionalFormatting>
  <conditionalFormatting sqref="I93:N93">
    <cfRule type="dataBar" priority="71">
      <dataBar>
        <cfvo type="min"/>
        <cfvo type="num" val="4"/>
        <color rgb="FFFFC000"/>
      </dataBar>
      <extLst>
        <ext xmlns:x14="http://schemas.microsoft.com/office/spreadsheetml/2009/9/main" uri="{B025F937-C7B1-47D3-B67F-A62EFF666E3E}">
          <x14:id>{27A81EB9-B538-4A61-9CAF-D128D989E8C2}</x14:id>
        </ext>
      </extLst>
    </cfRule>
  </conditionalFormatting>
  <conditionalFormatting sqref="I94:N94">
    <cfRule type="dataBar" priority="18">
      <dataBar>
        <cfvo type="min"/>
        <cfvo type="num" val="4"/>
        <color rgb="FFFFC000"/>
      </dataBar>
      <extLst>
        <ext xmlns:x14="http://schemas.microsoft.com/office/spreadsheetml/2009/9/main" uri="{B025F937-C7B1-47D3-B67F-A62EFF666E3E}">
          <x14:id>{C9F98A99-3F58-482A-88AB-05F7BEBC7614}</x14:id>
        </ext>
      </extLst>
    </cfRule>
  </conditionalFormatting>
  <conditionalFormatting sqref="I94:N95">
    <cfRule type="cellIs" dxfId="105" priority="14" stopIfTrue="1" operator="notBetween">
      <formula>1</formula>
      <formula>4</formula>
    </cfRule>
  </conditionalFormatting>
  <conditionalFormatting sqref="I95:N95">
    <cfRule type="dataBar" priority="15">
      <dataBar>
        <cfvo type="min"/>
        <cfvo type="num" val="4"/>
        <color rgb="FFFFC000"/>
      </dataBar>
      <extLst>
        <ext xmlns:x14="http://schemas.microsoft.com/office/spreadsheetml/2009/9/main" uri="{B025F937-C7B1-47D3-B67F-A62EFF666E3E}">
          <x14:id>{E41DE07D-63BC-42CE-9DC5-C4AADB3EDE1F}</x14:id>
        </ext>
      </extLst>
    </cfRule>
  </conditionalFormatting>
  <conditionalFormatting sqref="I98:N98">
    <cfRule type="dataBar" priority="12">
      <dataBar>
        <cfvo type="min"/>
        <cfvo type="num" val="4"/>
        <color rgb="FFFFC000"/>
      </dataBar>
      <extLst>
        <ext xmlns:x14="http://schemas.microsoft.com/office/spreadsheetml/2009/9/main" uri="{B025F937-C7B1-47D3-B67F-A62EFF666E3E}">
          <x14:id>{F11D9087-F61B-44AB-A8AC-79DAA6843418}</x14:id>
        </ext>
      </extLst>
    </cfRule>
  </conditionalFormatting>
  <conditionalFormatting sqref="I98:N105">
    <cfRule type="cellIs" dxfId="104" priority="11" stopIfTrue="1" operator="notBetween">
      <formula>1</formula>
      <formula>4</formula>
    </cfRule>
  </conditionalFormatting>
  <conditionalFormatting sqref="I106:N106">
    <cfRule type="dataBar" priority="9">
      <dataBar>
        <cfvo type="min"/>
        <cfvo type="num" val="4"/>
        <color rgb="FFFFC000"/>
      </dataBar>
      <extLst>
        <ext xmlns:x14="http://schemas.microsoft.com/office/spreadsheetml/2009/9/main" uri="{B025F937-C7B1-47D3-B67F-A62EFF666E3E}">
          <x14:id>{96721975-CDD2-4502-AB05-8F23B05BF476}</x14:id>
        </ext>
      </extLst>
    </cfRule>
  </conditionalFormatting>
  <conditionalFormatting sqref="I106:N111">
    <cfRule type="cellIs" dxfId="103" priority="8" stopIfTrue="1" operator="notBetween">
      <formula>1</formula>
      <formula>4</formula>
    </cfRule>
  </conditionalFormatting>
  <conditionalFormatting sqref="I107:N111">
    <cfRule type="dataBar" priority="68">
      <dataBar>
        <cfvo type="min"/>
        <cfvo type="num" val="4"/>
        <color rgb="FFFFC000"/>
      </dataBar>
      <extLst>
        <ext xmlns:x14="http://schemas.microsoft.com/office/spreadsheetml/2009/9/main" uri="{B025F937-C7B1-47D3-B67F-A62EFF666E3E}">
          <x14:id>{63AF278D-6551-4FB1-B290-744D45B9329C}</x14:id>
        </ext>
      </extLst>
    </cfRule>
  </conditionalFormatting>
  <conditionalFormatting sqref="I66:O71">
    <cfRule type="containsBlanks" dxfId="102" priority="48">
      <formula>LEN(TRIM(I66))=0</formula>
    </cfRule>
  </conditionalFormatting>
  <conditionalFormatting sqref="I74:O81 I88:O93 I83 K83:O83 I84:O85 J86:O86 G6:L13 G15:L22 G24:L32 G37:L44 G46:L53 G55:L62 O86:O87">
    <cfRule type="containsBlanks" dxfId="101" priority="54">
      <formula>LEN(TRIM(G6))=0</formula>
    </cfRule>
  </conditionalFormatting>
  <conditionalFormatting sqref="I82:O82">
    <cfRule type="containsBlanks" dxfId="100" priority="22">
      <formula>LEN(TRIM(I82))=0</formula>
    </cfRule>
  </conditionalFormatting>
  <conditionalFormatting sqref="I94:O95">
    <cfRule type="containsBlanks" dxfId="99" priority="13">
      <formula>LEN(TRIM(I94))=0</formula>
    </cfRule>
  </conditionalFormatting>
  <conditionalFormatting sqref="I98:O98">
    <cfRule type="containsBlanks" dxfId="98" priority="10">
      <formula>LEN(TRIM(I98))=0</formula>
    </cfRule>
  </conditionalFormatting>
  <conditionalFormatting sqref="I99:O105">
    <cfRule type="containsBlanks" dxfId="97" priority="61">
      <formula>LEN(TRIM(I99))=0</formula>
    </cfRule>
  </conditionalFormatting>
  <conditionalFormatting sqref="I106:O111">
    <cfRule type="containsBlanks" dxfId="96" priority="7">
      <formula>LEN(TRIM(I106))=0</formula>
    </cfRule>
  </conditionalFormatting>
  <conditionalFormatting sqref="J83">
    <cfRule type="containsBlanks" dxfId="95" priority="4">
      <formula>LEN(TRIM(J83))=0</formula>
    </cfRule>
    <cfRule type="dataBar" priority="6">
      <dataBar>
        <cfvo type="min"/>
        <cfvo type="num" val="4"/>
        <color rgb="FFFFC000"/>
      </dataBar>
      <extLst>
        <ext xmlns:x14="http://schemas.microsoft.com/office/spreadsheetml/2009/9/main" uri="{B025F937-C7B1-47D3-B67F-A62EFF666E3E}">
          <x14:id>{14B3B793-97DA-44DC-AA59-3D827B7767A8}</x14:id>
        </ext>
      </extLst>
    </cfRule>
  </conditionalFormatting>
  <conditionalFormatting sqref="L6:L13 L15:L22 L24:L32">
    <cfRule type="dataBar" priority="65">
      <dataBar>
        <cfvo type="min"/>
        <cfvo type="max"/>
        <color rgb="FF3FCDFF"/>
      </dataBar>
      <extLst>
        <ext xmlns:x14="http://schemas.microsoft.com/office/spreadsheetml/2009/9/main" uri="{B025F937-C7B1-47D3-B67F-A62EFF666E3E}">
          <x14:id>{F1D4216C-C9FF-4C0F-BA74-EC395E595ED5}</x14:id>
        </ext>
      </extLst>
    </cfRule>
  </conditionalFormatting>
  <conditionalFormatting sqref="L37:L44 L46:L53 L55:L62">
    <cfRule type="dataBar" priority="55">
      <dataBar>
        <cfvo type="min"/>
        <cfvo type="max"/>
        <color rgb="FF3FCDFF"/>
      </dataBar>
      <extLst>
        <ext xmlns:x14="http://schemas.microsoft.com/office/spreadsheetml/2009/9/main" uri="{B025F937-C7B1-47D3-B67F-A62EFF666E3E}">
          <x14:id>{456EBB81-E99B-46FC-9949-767AFA9F3E04}</x14:id>
        </ext>
      </extLst>
    </cfRule>
  </conditionalFormatting>
  <conditionalFormatting sqref="M6:M13 M15:M22 M24:M32 P74:P95 P98:P111">
    <cfRule type="containsText" dxfId="94" priority="62" operator="containsText" text="Actual TC">
      <formula>NOT(ISERROR(SEARCH("Actual TC",M6)))</formula>
    </cfRule>
  </conditionalFormatting>
  <conditionalFormatting sqref="M37:M44">
    <cfRule type="containsText" dxfId="93" priority="57" operator="containsText" text="Actual TC">
      <formula>NOT(ISERROR(SEARCH("Actual TC",M37)))</formula>
    </cfRule>
  </conditionalFormatting>
  <conditionalFormatting sqref="M46:M53">
    <cfRule type="containsText" dxfId="92" priority="26" operator="containsText" text="Actual TC">
      <formula>NOT(ISERROR(SEARCH("Actual TC",M46)))</formula>
    </cfRule>
  </conditionalFormatting>
  <conditionalFormatting sqref="M55:M62">
    <cfRule type="containsText" dxfId="91" priority="25" operator="containsText" text="Actual TC">
      <formula>NOT(ISERROR(SEARCH("Actual TC",M55)))</formula>
    </cfRule>
  </conditionalFormatting>
  <conditionalFormatting sqref="O66:O71">
    <cfRule type="dataBar" priority="49">
      <dataBar>
        <cfvo type="min"/>
        <cfvo type="max"/>
        <color rgb="FF3FCDFF"/>
      </dataBar>
      <extLst>
        <ext xmlns:x14="http://schemas.microsoft.com/office/spreadsheetml/2009/9/main" uri="{B025F937-C7B1-47D3-B67F-A62EFF666E3E}">
          <x14:id>{E76B985C-F8AB-4C78-A7B7-935AA2595120}</x14:id>
        </ext>
      </extLst>
    </cfRule>
  </conditionalFormatting>
  <conditionalFormatting sqref="O98:O111 O74:O95">
    <cfRule type="dataBar" priority="7062">
      <dataBar>
        <cfvo type="min"/>
        <cfvo type="max"/>
        <color rgb="FF3FCDFF"/>
      </dataBar>
      <extLst>
        <ext xmlns:x14="http://schemas.microsoft.com/office/spreadsheetml/2009/9/main" uri="{B025F937-C7B1-47D3-B67F-A62EFF666E3E}">
          <x14:id>{CD7F0C31-ED61-44FF-B686-52F2EDCD8991}</x14:id>
        </ext>
      </extLst>
    </cfRule>
  </conditionalFormatting>
  <conditionalFormatting sqref="P66:P71">
    <cfRule type="containsText" dxfId="90" priority="51" operator="containsText" text="Actual TC">
      <formula>NOT(ISERROR(SEARCH("Actual TC",P66)))</formula>
    </cfRule>
  </conditionalFormatting>
  <hyperlinks>
    <hyperlink ref="H78" r:id="rId1" display="https://doi.org/10.1016/j.resconrec.2023.107389" xr:uid="{EBB46BC3-E32D-4856-87C0-507F496CDDCA}"/>
    <hyperlink ref="H80" r:id="rId2" display="https://doi.org/10.1016/j.resconrec.2023.107389" xr:uid="{7724DFB2-8084-4E36-B02A-550522E673EA}"/>
    <hyperlink ref="H81" r:id="rId3" display="https://doi.org/10.1016/j.resconrec.2023.107389" xr:uid="{44FC5FA4-6753-4640-ACAB-E79234432100}"/>
    <hyperlink ref="H79" r:id="rId4" display="https://doi.org/10.1016/j.resconrec.2023.107389" xr:uid="{9722A920-0406-4E92-AF66-8F6C41D0F478}"/>
  </hyperlinks>
  <pageMargins left="0.7" right="0.7" top="0.75" bottom="0.75" header="0.3" footer="0.3"/>
  <pageSetup orientation="portrait" r:id="rId5"/>
  <extLst>
    <ext xmlns:x14="http://schemas.microsoft.com/office/spreadsheetml/2009/9/main" uri="{78C0D931-6437-407d-A8EE-F0AAD7539E65}">
      <x14:conditionalFormattings>
        <x14:conditionalFormatting xmlns:xm="http://schemas.microsoft.com/office/excel/2006/main">
          <x14:cfRule type="dataBar" id="{DCB540DE-36C9-4332-BAD4-CAB1F9DBAEDD}">
            <x14:dataBar minLength="0" maxLength="100" gradient="0">
              <x14:cfvo type="autoMin"/>
              <x14:cfvo type="num">
                <xm:f>4</xm:f>
              </x14:cfvo>
              <x14:negativeFillColor rgb="FFFF0000"/>
              <x14:axisColor rgb="FF000000"/>
            </x14:dataBar>
          </x14:cfRule>
          <xm:sqref>G6:K13 G15:K22 G24:K32</xm:sqref>
        </x14:conditionalFormatting>
        <x14:conditionalFormatting xmlns:xm="http://schemas.microsoft.com/office/excel/2006/main">
          <x14:cfRule type="dataBar" id="{ADB92FAB-58BB-4A44-BD27-F6CCA440A7CD}">
            <x14:dataBar minLength="0" maxLength="100" gradient="0">
              <x14:cfvo type="autoMin"/>
              <x14:cfvo type="num">
                <xm:f>4</xm:f>
              </x14:cfvo>
              <x14:negativeFillColor rgb="FFFF0000"/>
              <x14:axisColor rgb="FF000000"/>
            </x14:dataBar>
          </x14:cfRule>
          <xm:sqref>G37:K44 G46:K53 G55:K62</xm:sqref>
        </x14:conditionalFormatting>
        <x14:conditionalFormatting xmlns:xm="http://schemas.microsoft.com/office/excel/2006/main">
          <x14:cfRule type="dataBar" id="{30155963-B8E7-438D-B598-5CEE74DA6116}">
            <x14:dataBar minLength="0" maxLength="100" gradient="0">
              <x14:cfvo type="autoMin"/>
              <x14:cfvo type="num">
                <xm:f>4</xm:f>
              </x14:cfvo>
              <x14:negativeFillColor rgb="FFFF0000"/>
              <x14:axisColor rgb="FF000000"/>
            </x14:dataBar>
          </x14:cfRule>
          <xm:sqref>I86</xm:sqref>
        </x14:conditionalFormatting>
        <x14:conditionalFormatting xmlns:xm="http://schemas.microsoft.com/office/excel/2006/main">
          <x14:cfRule type="dataBar" id="{56B0826E-DB05-4F46-9EA0-83C8C7A7759C}">
            <x14:dataBar minLength="0" maxLength="100" gradient="0">
              <x14:cfvo type="autoMin"/>
              <x14:cfvo type="num">
                <xm:f>4</xm:f>
              </x14:cfvo>
              <x14:negativeFillColor rgb="FFFF0000"/>
              <x14:axisColor rgb="FF000000"/>
            </x14:dataBar>
          </x14:cfRule>
          <xm:sqref>I66:N71</xm:sqref>
        </x14:conditionalFormatting>
        <x14:conditionalFormatting xmlns:xm="http://schemas.microsoft.com/office/excel/2006/main">
          <x14:cfRule type="dataBar" id="{152975D8-AA7B-48FF-96C8-A3635D86F63F}">
            <x14:dataBar minLength="0" maxLength="100" gradient="0">
              <x14:cfvo type="autoMin"/>
              <x14:cfvo type="num">
                <xm:f>4</xm:f>
              </x14:cfvo>
              <x14:negativeFillColor rgb="FFFF0000"/>
              <x14:axisColor rgb="FF000000"/>
            </x14:dataBar>
          </x14:cfRule>
          <xm:sqref>I74:N81 I84:N85 I88:N89 I83 K83:N83 J86:N86</xm:sqref>
        </x14:conditionalFormatting>
        <x14:conditionalFormatting xmlns:xm="http://schemas.microsoft.com/office/excel/2006/main">
          <x14:cfRule type="dataBar" id="{CD33A977-1C24-4834-9920-1C263E4A3C54}">
            <x14:dataBar minLength="0" maxLength="100" gradient="0">
              <x14:cfvo type="autoMin"/>
              <x14:cfvo type="num">
                <xm:f>4</xm:f>
              </x14:cfvo>
              <x14:negativeFillColor rgb="FFFF0000"/>
              <x14:axisColor rgb="FF000000"/>
            </x14:dataBar>
          </x14:cfRule>
          <xm:sqref>I82:N82</xm:sqref>
        </x14:conditionalFormatting>
        <x14:conditionalFormatting xmlns:xm="http://schemas.microsoft.com/office/excel/2006/main">
          <x14:cfRule type="dataBar" id="{9612EF93-58C4-4663-9A0C-7E810B1E0D57}">
            <x14:dataBar minLength="0" maxLength="100" gradient="0">
              <x14:cfvo type="autoMin"/>
              <x14:cfvo type="num">
                <xm:f>4</xm:f>
              </x14:cfvo>
              <x14:negativeFillColor rgb="FFFF0000"/>
              <x14:axisColor rgb="FF000000"/>
            </x14:dataBar>
          </x14:cfRule>
          <xm:sqref>I87:N87</xm:sqref>
        </x14:conditionalFormatting>
        <x14:conditionalFormatting xmlns:xm="http://schemas.microsoft.com/office/excel/2006/main">
          <x14:cfRule type="dataBar" id="{6B8C1DD6-10C5-4D14-8A53-7C18EAC20BAD}">
            <x14:dataBar minLength="0" maxLength="100" gradient="0">
              <x14:cfvo type="autoMin"/>
              <x14:cfvo type="num">
                <xm:f>4</xm:f>
              </x14:cfvo>
              <x14:negativeFillColor rgb="FFFF0000"/>
              <x14:axisColor rgb="FF000000"/>
            </x14:dataBar>
          </x14:cfRule>
          <xm:sqref>I90:N90 I92:N92 I99:N105</xm:sqref>
        </x14:conditionalFormatting>
        <x14:conditionalFormatting xmlns:xm="http://schemas.microsoft.com/office/excel/2006/main">
          <x14:cfRule type="dataBar" id="{711D344D-A5F7-440B-AF92-3C409F3D22EA}">
            <x14:dataBar minLength="0" maxLength="100" gradient="0">
              <x14:cfvo type="autoMin"/>
              <x14:cfvo type="num">
                <xm:f>4</xm:f>
              </x14:cfvo>
              <x14:negativeFillColor rgb="FFFF0000"/>
              <x14:axisColor rgb="FF000000"/>
            </x14:dataBar>
          </x14:cfRule>
          <xm:sqref>I91:N91</xm:sqref>
        </x14:conditionalFormatting>
        <x14:conditionalFormatting xmlns:xm="http://schemas.microsoft.com/office/excel/2006/main">
          <x14:cfRule type="dataBar" id="{27A81EB9-B538-4A61-9CAF-D128D989E8C2}">
            <x14:dataBar minLength="0" maxLength="100" gradient="0">
              <x14:cfvo type="autoMin"/>
              <x14:cfvo type="num">
                <xm:f>4</xm:f>
              </x14:cfvo>
              <x14:negativeFillColor rgb="FFFF0000"/>
              <x14:axisColor rgb="FF000000"/>
            </x14:dataBar>
          </x14:cfRule>
          <xm:sqref>I93:N93</xm:sqref>
        </x14:conditionalFormatting>
        <x14:conditionalFormatting xmlns:xm="http://schemas.microsoft.com/office/excel/2006/main">
          <x14:cfRule type="dataBar" id="{C9F98A99-3F58-482A-88AB-05F7BEBC7614}">
            <x14:dataBar minLength="0" maxLength="100" gradient="0">
              <x14:cfvo type="autoMin"/>
              <x14:cfvo type="num">
                <xm:f>4</xm:f>
              </x14:cfvo>
              <x14:negativeFillColor rgb="FFFF0000"/>
              <x14:axisColor rgb="FF000000"/>
            </x14:dataBar>
          </x14:cfRule>
          <xm:sqref>I94:N94</xm:sqref>
        </x14:conditionalFormatting>
        <x14:conditionalFormatting xmlns:xm="http://schemas.microsoft.com/office/excel/2006/main">
          <x14:cfRule type="dataBar" id="{E41DE07D-63BC-42CE-9DC5-C4AADB3EDE1F}">
            <x14:dataBar minLength="0" maxLength="100" gradient="0">
              <x14:cfvo type="autoMin"/>
              <x14:cfvo type="num">
                <xm:f>4</xm:f>
              </x14:cfvo>
              <x14:negativeFillColor rgb="FFFF0000"/>
              <x14:axisColor rgb="FF000000"/>
            </x14:dataBar>
          </x14:cfRule>
          <xm:sqref>I95:N95</xm:sqref>
        </x14:conditionalFormatting>
        <x14:conditionalFormatting xmlns:xm="http://schemas.microsoft.com/office/excel/2006/main">
          <x14:cfRule type="dataBar" id="{F11D9087-F61B-44AB-A8AC-79DAA6843418}">
            <x14:dataBar minLength="0" maxLength="100" gradient="0">
              <x14:cfvo type="autoMin"/>
              <x14:cfvo type="num">
                <xm:f>4</xm:f>
              </x14:cfvo>
              <x14:negativeFillColor rgb="FFFF0000"/>
              <x14:axisColor rgb="FF000000"/>
            </x14:dataBar>
          </x14:cfRule>
          <xm:sqref>I98:N98</xm:sqref>
        </x14:conditionalFormatting>
        <x14:conditionalFormatting xmlns:xm="http://schemas.microsoft.com/office/excel/2006/main">
          <x14:cfRule type="dataBar" id="{96721975-CDD2-4502-AB05-8F23B05BF476}">
            <x14:dataBar minLength="0" maxLength="100" gradient="0">
              <x14:cfvo type="autoMin"/>
              <x14:cfvo type="num">
                <xm:f>4</xm:f>
              </x14:cfvo>
              <x14:negativeFillColor rgb="FFFF0000"/>
              <x14:axisColor rgb="FF000000"/>
            </x14:dataBar>
          </x14:cfRule>
          <xm:sqref>I106:N106</xm:sqref>
        </x14:conditionalFormatting>
        <x14:conditionalFormatting xmlns:xm="http://schemas.microsoft.com/office/excel/2006/main">
          <x14:cfRule type="dataBar" id="{63AF278D-6551-4FB1-B290-744D45B9329C}">
            <x14:dataBar minLength="0" maxLength="100" gradient="0">
              <x14:cfvo type="autoMin"/>
              <x14:cfvo type="num">
                <xm:f>4</xm:f>
              </x14:cfvo>
              <x14:negativeFillColor rgb="FFFF0000"/>
              <x14:axisColor rgb="FF000000"/>
            </x14:dataBar>
          </x14:cfRule>
          <xm:sqref>I107:N111</xm:sqref>
        </x14:conditionalFormatting>
        <x14:conditionalFormatting xmlns:xm="http://schemas.microsoft.com/office/excel/2006/main">
          <x14:cfRule type="dataBar" id="{14B3B793-97DA-44DC-AA59-3D827B7767A8}">
            <x14:dataBar minLength="0" maxLength="100" gradient="0">
              <x14:cfvo type="autoMin"/>
              <x14:cfvo type="num">
                <xm:f>4</xm:f>
              </x14:cfvo>
              <x14:negativeFillColor rgb="FFFF0000"/>
              <x14:axisColor rgb="FF000000"/>
            </x14:dataBar>
          </x14:cfRule>
          <xm:sqref>J83</xm:sqref>
        </x14:conditionalFormatting>
        <x14:conditionalFormatting xmlns:xm="http://schemas.microsoft.com/office/excel/2006/main">
          <x14:cfRule type="dataBar" id="{F1D4216C-C9FF-4C0F-BA74-EC395E595ED5}">
            <x14:dataBar minLength="0" maxLength="100" gradient="0">
              <x14:cfvo type="autoMin"/>
              <x14:cfvo type="autoMax"/>
              <x14:negativeFillColor rgb="FFFF0000"/>
              <x14:axisColor rgb="FF000000"/>
            </x14:dataBar>
          </x14:cfRule>
          <xm:sqref>L6:L13 L15:L22 L24:L32</xm:sqref>
        </x14:conditionalFormatting>
        <x14:conditionalFormatting xmlns:xm="http://schemas.microsoft.com/office/excel/2006/main">
          <x14:cfRule type="dataBar" id="{456EBB81-E99B-46FC-9949-767AFA9F3E04}">
            <x14:dataBar minLength="0" maxLength="100" gradient="0">
              <x14:cfvo type="autoMin"/>
              <x14:cfvo type="autoMax"/>
              <x14:negativeFillColor rgb="FFFF0000"/>
              <x14:axisColor rgb="FF000000"/>
            </x14:dataBar>
          </x14:cfRule>
          <xm:sqref>L37:L44 L46:L53 L55:L62</xm:sqref>
        </x14:conditionalFormatting>
        <x14:conditionalFormatting xmlns:xm="http://schemas.microsoft.com/office/excel/2006/main">
          <x14:cfRule type="dataBar" id="{E76B985C-F8AB-4C78-A7B7-935AA2595120}">
            <x14:dataBar minLength="0" maxLength="100" gradient="0">
              <x14:cfvo type="autoMin"/>
              <x14:cfvo type="autoMax"/>
              <x14:negativeFillColor rgb="FFFF0000"/>
              <x14:axisColor rgb="FF000000"/>
            </x14:dataBar>
          </x14:cfRule>
          <xm:sqref>O66:O71</xm:sqref>
        </x14:conditionalFormatting>
        <x14:conditionalFormatting xmlns:xm="http://schemas.microsoft.com/office/excel/2006/main">
          <x14:cfRule type="dataBar" id="{CD7F0C31-ED61-44FF-B686-52F2EDCD8991}">
            <x14:dataBar minLength="0" maxLength="100" gradient="0">
              <x14:cfvo type="autoMin"/>
              <x14:cfvo type="autoMax"/>
              <x14:negativeFillColor rgb="FFFF0000"/>
              <x14:axisColor rgb="FF000000"/>
            </x14:dataBar>
          </x14:cfRule>
          <xm:sqref>O98:O111 O74:O95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8EDF-3B93-4267-BDF4-561D15195B80}">
  <sheetPr>
    <tabColor theme="8"/>
  </sheetPr>
  <dimension ref="A1:AGJ323"/>
  <sheetViews>
    <sheetView topLeftCell="A109" zoomScale="85" zoomScaleNormal="85" workbookViewId="0">
      <selection activeCell="A142" sqref="A142:P144"/>
    </sheetView>
  </sheetViews>
  <sheetFormatPr defaultRowHeight="15"/>
  <cols>
    <col min="1" max="1" width="55.7109375" customWidth="1"/>
    <col min="2" max="2" width="45.28515625" customWidth="1"/>
    <col min="3" max="5" width="15.7109375" customWidth="1"/>
    <col min="6" max="6" width="10.7109375" style="6" customWidth="1"/>
    <col min="7" max="7" width="25.7109375" customWidth="1"/>
    <col min="8" max="15" width="10.7109375" hidden="1" customWidth="1"/>
    <col min="16" max="16" width="171.7109375" customWidth="1"/>
    <col min="18" max="18" width="14.140625" bestFit="1" customWidth="1"/>
  </cols>
  <sheetData>
    <row r="1" spans="1:19" s="6" customFormat="1" ht="30" customHeight="1">
      <c r="A1" s="1022" t="s">
        <v>801</v>
      </c>
      <c r="B1" s="1022"/>
      <c r="C1" s="1022"/>
      <c r="D1" s="1022"/>
      <c r="E1" s="1022"/>
      <c r="F1" s="1022"/>
      <c r="G1" s="1022"/>
      <c r="H1" s="1022"/>
      <c r="I1" s="1022"/>
      <c r="J1" s="1022"/>
      <c r="K1" s="1022"/>
      <c r="L1" s="1022"/>
      <c r="M1" s="1022"/>
      <c r="N1" s="1022"/>
      <c r="O1" s="1022"/>
      <c r="P1" s="1022"/>
      <c r="Q1" s="1022"/>
      <c r="R1" s="1022"/>
      <c r="S1" s="1022"/>
    </row>
    <row r="2" spans="1:19">
      <c r="A2" s="321" t="s">
        <v>802</v>
      </c>
      <c r="B2" s="321" t="s">
        <v>131</v>
      </c>
      <c r="C2" s="321" t="s">
        <v>101</v>
      </c>
      <c r="D2" s="321" t="s">
        <v>803</v>
      </c>
      <c r="E2" s="1043" t="s">
        <v>104</v>
      </c>
      <c r="F2" s="1044"/>
      <c r="G2" s="1044"/>
      <c r="H2" s="1044"/>
      <c r="I2" s="1044"/>
      <c r="J2" s="1044"/>
      <c r="K2" s="1044"/>
      <c r="L2" s="1044"/>
      <c r="M2" s="1044"/>
      <c r="N2" s="1044"/>
      <c r="O2" s="1044"/>
    </row>
    <row r="3" spans="1:19">
      <c r="A3" s="117" t="s">
        <v>804</v>
      </c>
      <c r="B3" s="117" t="s">
        <v>180</v>
      </c>
      <c r="C3" s="117">
        <v>2014</v>
      </c>
      <c r="D3" s="320">
        <v>161.19999999999999</v>
      </c>
      <c r="E3" s="1019" t="s">
        <v>805</v>
      </c>
      <c r="F3" s="1019"/>
      <c r="G3" s="1019"/>
      <c r="H3" s="1020" t="s">
        <v>806</v>
      </c>
      <c r="I3" s="1020"/>
      <c r="J3" s="1020"/>
      <c r="K3" s="1020"/>
      <c r="L3" s="1020"/>
      <c r="M3" s="1020"/>
      <c r="N3" s="1020"/>
      <c r="O3" s="1020"/>
    </row>
    <row r="4" spans="1:19">
      <c r="A4" s="117" t="s">
        <v>804</v>
      </c>
      <c r="B4" s="117" t="s">
        <v>180</v>
      </c>
      <c r="C4" s="117">
        <v>2015</v>
      </c>
      <c r="D4" s="320">
        <v>138.19999999999999</v>
      </c>
      <c r="E4" s="1019" t="s">
        <v>807</v>
      </c>
      <c r="F4" s="1019"/>
      <c r="G4" s="1019"/>
      <c r="H4" s="1021" t="s">
        <v>808</v>
      </c>
      <c r="I4" s="1021"/>
      <c r="J4" s="1021"/>
      <c r="K4" s="1021"/>
      <c r="L4" s="1021"/>
      <c r="M4" s="1021"/>
      <c r="N4" s="1021"/>
      <c r="O4" s="1021"/>
    </row>
    <row r="5" spans="1:19">
      <c r="A5" s="117" t="s">
        <v>804</v>
      </c>
      <c r="B5" s="117" t="s">
        <v>180</v>
      </c>
      <c r="C5" s="117">
        <v>2016</v>
      </c>
      <c r="D5" s="117">
        <v>110</v>
      </c>
      <c r="E5" s="1019" t="s">
        <v>807</v>
      </c>
      <c r="F5" s="1019"/>
      <c r="G5" s="1019"/>
      <c r="H5" s="1021" t="s">
        <v>808</v>
      </c>
      <c r="I5" s="1021"/>
      <c r="J5" s="1021"/>
      <c r="K5" s="1021"/>
      <c r="L5" s="1021"/>
      <c r="M5" s="1021"/>
      <c r="N5" s="1021"/>
      <c r="O5" s="1021"/>
    </row>
    <row r="6" spans="1:19">
      <c r="A6" s="117" t="s">
        <v>804</v>
      </c>
      <c r="B6" s="117" t="s">
        <v>180</v>
      </c>
      <c r="C6" s="117">
        <v>2017</v>
      </c>
      <c r="D6" s="117">
        <v>109.1</v>
      </c>
      <c r="E6" s="1019" t="s">
        <v>809</v>
      </c>
      <c r="F6" s="1019"/>
      <c r="G6" s="1019"/>
      <c r="H6" s="1021" t="s">
        <v>810</v>
      </c>
      <c r="I6" s="1021"/>
      <c r="J6" s="1021"/>
      <c r="K6" s="1021"/>
      <c r="L6" s="1021"/>
      <c r="M6" s="1021"/>
      <c r="N6" s="1021"/>
      <c r="O6" s="1021"/>
    </row>
    <row r="7" spans="1:19">
      <c r="A7" s="117" t="s">
        <v>804</v>
      </c>
      <c r="B7" s="117" t="s">
        <v>180</v>
      </c>
      <c r="C7" s="117">
        <v>2018</v>
      </c>
      <c r="D7" s="117">
        <v>108.2</v>
      </c>
      <c r="E7" s="1019" t="s">
        <v>809</v>
      </c>
      <c r="F7" s="1019"/>
      <c r="G7" s="1019"/>
      <c r="H7" s="1021" t="s">
        <v>810</v>
      </c>
      <c r="I7" s="1021"/>
      <c r="J7" s="1021"/>
      <c r="K7" s="1021"/>
      <c r="L7" s="1021"/>
      <c r="M7" s="1021"/>
      <c r="N7" s="1021"/>
      <c r="O7" s="1021"/>
    </row>
    <row r="8" spans="1:19">
      <c r="A8" s="117" t="s">
        <v>804</v>
      </c>
      <c r="B8" s="117" t="s">
        <v>180</v>
      </c>
      <c r="C8" s="117">
        <v>2019</v>
      </c>
      <c r="D8" s="117">
        <v>106.1</v>
      </c>
      <c r="E8" s="1019" t="s">
        <v>811</v>
      </c>
      <c r="F8" s="1019"/>
      <c r="G8" s="1019"/>
      <c r="H8" s="1021" t="s">
        <v>812</v>
      </c>
      <c r="I8" s="1021"/>
      <c r="J8" s="1021"/>
      <c r="K8" s="1021"/>
      <c r="L8" s="1021"/>
      <c r="M8" s="1021"/>
      <c r="N8" s="1021"/>
      <c r="O8" s="1021"/>
    </row>
    <row r="9" spans="1:19">
      <c r="A9" s="117" t="s">
        <v>804</v>
      </c>
      <c r="B9" s="117" t="s">
        <v>180</v>
      </c>
      <c r="C9" s="117">
        <v>2020</v>
      </c>
      <c r="D9" s="320">
        <v>112</v>
      </c>
      <c r="E9" s="1019" t="s">
        <v>813</v>
      </c>
      <c r="F9" s="1019"/>
      <c r="G9" s="1019"/>
      <c r="H9" s="1021" t="s">
        <v>814</v>
      </c>
      <c r="I9" s="1021"/>
      <c r="J9" s="1021"/>
      <c r="K9" s="1021"/>
      <c r="L9" s="1021"/>
      <c r="M9" s="1021"/>
      <c r="N9" s="1021"/>
      <c r="O9" s="1021"/>
    </row>
    <row r="10" spans="1:19">
      <c r="A10" s="117" t="s">
        <v>804</v>
      </c>
      <c r="B10" s="117" t="s">
        <v>180</v>
      </c>
      <c r="C10" s="117">
        <v>2021</v>
      </c>
      <c r="D10" s="117">
        <v>109.5</v>
      </c>
      <c r="E10" s="1019" t="s">
        <v>813</v>
      </c>
      <c r="F10" s="1019"/>
      <c r="G10" s="1019"/>
      <c r="H10" s="1021" t="s">
        <v>814</v>
      </c>
      <c r="I10" s="1021"/>
      <c r="J10" s="1021"/>
      <c r="K10" s="1021"/>
      <c r="L10" s="1021"/>
      <c r="M10" s="1021"/>
      <c r="N10" s="1021"/>
      <c r="O10" s="1021"/>
    </row>
    <row r="11" spans="1:19">
      <c r="A11" s="117" t="s">
        <v>804</v>
      </c>
      <c r="B11" s="117" t="s">
        <v>180</v>
      </c>
      <c r="C11" s="117">
        <v>2022</v>
      </c>
      <c r="D11" s="117">
        <v>98.2</v>
      </c>
      <c r="E11" s="1019" t="s">
        <v>813</v>
      </c>
      <c r="F11" s="1019"/>
      <c r="G11" s="1019"/>
      <c r="H11" s="1021" t="s">
        <v>814</v>
      </c>
      <c r="I11" s="1021"/>
      <c r="J11" s="1021"/>
      <c r="K11" s="1021"/>
      <c r="L11" s="1021"/>
      <c r="M11" s="1021"/>
      <c r="N11" s="1021"/>
      <c r="O11" s="1021"/>
    </row>
    <row r="12" spans="1:19">
      <c r="G12" s="342">
        <v>2015</v>
      </c>
      <c r="H12" s="342">
        <v>2016</v>
      </c>
      <c r="I12" s="342">
        <v>2017</v>
      </c>
      <c r="J12" s="342">
        <v>2018</v>
      </c>
      <c r="K12" s="342">
        <v>2019</v>
      </c>
      <c r="L12" s="342">
        <v>2020</v>
      </c>
      <c r="M12" s="342">
        <v>2021</v>
      </c>
      <c r="N12" s="342">
        <v>2022</v>
      </c>
    </row>
    <row r="13" spans="1:19" s="76" customFormat="1" ht="45" customHeight="1">
      <c r="A13" s="182" t="s">
        <v>129</v>
      </c>
      <c r="B13" s="182" t="s">
        <v>130</v>
      </c>
      <c r="C13" s="182" t="s">
        <v>815</v>
      </c>
      <c r="D13" s="1034" t="s">
        <v>104</v>
      </c>
      <c r="E13" s="1034"/>
      <c r="F13" s="182" t="s">
        <v>816</v>
      </c>
      <c r="G13" s="638" t="s">
        <v>803</v>
      </c>
      <c r="H13" s="638" t="s">
        <v>803</v>
      </c>
      <c r="I13" s="638" t="s">
        <v>803</v>
      </c>
      <c r="J13" s="638" t="s">
        <v>803</v>
      </c>
      <c r="K13" s="638" t="s">
        <v>803</v>
      </c>
      <c r="L13" s="638" t="s">
        <v>803</v>
      </c>
      <c r="M13" s="638" t="s">
        <v>803</v>
      </c>
      <c r="N13" s="638" t="s">
        <v>803</v>
      </c>
    </row>
    <row r="14" spans="1:19">
      <c r="A14" s="227" t="s">
        <v>804</v>
      </c>
      <c r="B14" s="227" t="s">
        <v>817</v>
      </c>
      <c r="C14" s="315">
        <v>0.48</v>
      </c>
      <c r="D14" s="1032" t="s">
        <v>818</v>
      </c>
      <c r="E14" s="1033"/>
      <c r="F14" s="117" t="s">
        <v>819</v>
      </c>
      <c r="G14" s="320">
        <f>$D$4*$C14</f>
        <v>66.335999999999999</v>
      </c>
      <c r="H14" s="320">
        <f>$D$5*$C14</f>
        <v>52.8</v>
      </c>
      <c r="I14" s="320">
        <f>$D$6*$C14</f>
        <v>52.367999999999995</v>
      </c>
      <c r="J14" s="320">
        <f>$D$7*$C14</f>
        <v>51.936</v>
      </c>
      <c r="K14" s="320">
        <f>$D$8*$C14</f>
        <v>50.927999999999997</v>
      </c>
      <c r="L14" s="320">
        <f>$D$9*$C14</f>
        <v>53.76</v>
      </c>
      <c r="M14" s="320">
        <f>$D$10*$C14</f>
        <v>52.559999999999995</v>
      </c>
      <c r="N14" s="320">
        <f>$D$11*$C14</f>
        <v>47.136000000000003</v>
      </c>
    </row>
    <row r="15" spans="1:19">
      <c r="A15" s="227" t="s">
        <v>804</v>
      </c>
      <c r="B15" s="227" t="s">
        <v>820</v>
      </c>
      <c r="C15" s="315">
        <v>0.24</v>
      </c>
      <c r="D15" s="1032" t="s">
        <v>818</v>
      </c>
      <c r="E15" s="1033"/>
      <c r="F15" s="117" t="s">
        <v>819</v>
      </c>
      <c r="G15" s="320">
        <f t="shared" ref="G15:G19" si="0">$D$4*$C15</f>
        <v>33.167999999999999</v>
      </c>
      <c r="H15" s="320">
        <f t="shared" ref="H15:H19" si="1">$D$5*$C15</f>
        <v>26.4</v>
      </c>
      <c r="I15" s="320">
        <f t="shared" ref="I15:I19" si="2">$D$6*$C15</f>
        <v>26.183999999999997</v>
      </c>
      <c r="J15" s="320">
        <f t="shared" ref="J15:J19" si="3">$D$7*$C15</f>
        <v>25.968</v>
      </c>
      <c r="K15" s="320">
        <f t="shared" ref="K15:K19" si="4">$D$8*$C15</f>
        <v>25.463999999999999</v>
      </c>
      <c r="L15" s="320">
        <f t="shared" ref="L15:L19" si="5">$D$9*$C15</f>
        <v>26.88</v>
      </c>
      <c r="M15" s="320">
        <f t="shared" ref="M15:M19" si="6">$D$10*$C15</f>
        <v>26.279999999999998</v>
      </c>
      <c r="N15" s="320">
        <f t="shared" ref="N15:N19" si="7">$D$11*$C15</f>
        <v>23.568000000000001</v>
      </c>
    </row>
    <row r="16" spans="1:19">
      <c r="A16" s="227" t="s">
        <v>804</v>
      </c>
      <c r="B16" s="227" t="s">
        <v>821</v>
      </c>
      <c r="C16" s="315">
        <v>0.09</v>
      </c>
      <c r="D16" s="1032" t="s">
        <v>818</v>
      </c>
      <c r="E16" s="1033"/>
      <c r="F16" s="117" t="s">
        <v>819</v>
      </c>
      <c r="G16" s="320">
        <f t="shared" si="0"/>
        <v>12.437999999999999</v>
      </c>
      <c r="H16" s="320">
        <f t="shared" si="1"/>
        <v>9.9</v>
      </c>
      <c r="I16" s="320">
        <f t="shared" si="2"/>
        <v>9.8189999999999991</v>
      </c>
      <c r="J16" s="320">
        <f t="shared" si="3"/>
        <v>9.7379999999999995</v>
      </c>
      <c r="K16" s="320">
        <f t="shared" si="4"/>
        <v>9.5489999999999995</v>
      </c>
      <c r="L16" s="320">
        <f t="shared" si="5"/>
        <v>10.08</v>
      </c>
      <c r="M16" s="320">
        <f t="shared" si="6"/>
        <v>9.8550000000000004</v>
      </c>
      <c r="N16" s="320">
        <f t="shared" si="7"/>
        <v>8.8379999999999992</v>
      </c>
    </row>
    <row r="17" spans="1:14">
      <c r="A17" s="318" t="s">
        <v>804</v>
      </c>
      <c r="B17" s="318" t="s">
        <v>822</v>
      </c>
      <c r="C17" s="636">
        <v>0.08</v>
      </c>
      <c r="D17" s="1041" t="s">
        <v>818</v>
      </c>
      <c r="E17" s="1042"/>
      <c r="F17" s="117" t="s">
        <v>823</v>
      </c>
      <c r="G17" s="320">
        <f t="shared" si="0"/>
        <v>11.055999999999999</v>
      </c>
      <c r="H17" s="320">
        <f t="shared" si="1"/>
        <v>8.8000000000000007</v>
      </c>
      <c r="I17" s="320">
        <f t="shared" si="2"/>
        <v>8.7279999999999998</v>
      </c>
      <c r="J17" s="320">
        <f t="shared" si="3"/>
        <v>8.6560000000000006</v>
      </c>
      <c r="K17" s="320">
        <f t="shared" si="4"/>
        <v>8.4879999999999995</v>
      </c>
      <c r="L17" s="320">
        <f t="shared" si="5"/>
        <v>8.9600000000000009</v>
      </c>
      <c r="M17" s="320">
        <f t="shared" si="6"/>
        <v>8.76</v>
      </c>
      <c r="N17" s="320">
        <f t="shared" si="7"/>
        <v>7.8560000000000008</v>
      </c>
    </row>
    <row r="18" spans="1:14">
      <c r="A18" s="318" t="s">
        <v>804</v>
      </c>
      <c r="B18" s="318" t="s">
        <v>824</v>
      </c>
      <c r="C18" s="636">
        <v>7.0000000000000007E-2</v>
      </c>
      <c r="D18" s="1041" t="s">
        <v>818</v>
      </c>
      <c r="E18" s="1042"/>
      <c r="F18" s="117" t="s">
        <v>823</v>
      </c>
      <c r="G18" s="320">
        <f t="shared" si="0"/>
        <v>9.6739999999999995</v>
      </c>
      <c r="H18" s="320">
        <f t="shared" si="1"/>
        <v>7.7000000000000011</v>
      </c>
      <c r="I18" s="320">
        <f t="shared" si="2"/>
        <v>7.6370000000000005</v>
      </c>
      <c r="J18" s="320">
        <f t="shared" si="3"/>
        <v>7.5740000000000007</v>
      </c>
      <c r="K18" s="320">
        <f t="shared" si="4"/>
        <v>7.4270000000000005</v>
      </c>
      <c r="L18" s="320">
        <f t="shared" si="5"/>
        <v>7.8400000000000007</v>
      </c>
      <c r="M18" s="320">
        <f t="shared" si="6"/>
        <v>7.6650000000000009</v>
      </c>
      <c r="N18" s="320">
        <f t="shared" si="7"/>
        <v>6.8740000000000006</v>
      </c>
    </row>
    <row r="19" spans="1:14">
      <c r="A19" s="318" t="s">
        <v>804</v>
      </c>
      <c r="B19" s="318" t="s">
        <v>825</v>
      </c>
      <c r="C19" s="636">
        <v>0.04</v>
      </c>
      <c r="D19" s="1041" t="s">
        <v>818</v>
      </c>
      <c r="E19" s="1042"/>
      <c r="F19" s="117" t="s">
        <v>823</v>
      </c>
      <c r="G19" s="320">
        <f t="shared" si="0"/>
        <v>5.5279999999999996</v>
      </c>
      <c r="H19" s="320">
        <f t="shared" si="1"/>
        <v>4.4000000000000004</v>
      </c>
      <c r="I19" s="320">
        <f t="shared" si="2"/>
        <v>4.3639999999999999</v>
      </c>
      <c r="J19" s="320">
        <f t="shared" si="3"/>
        <v>4.3280000000000003</v>
      </c>
      <c r="K19" s="320">
        <f t="shared" si="4"/>
        <v>4.2439999999999998</v>
      </c>
      <c r="L19" s="320">
        <f t="shared" si="5"/>
        <v>4.4800000000000004</v>
      </c>
      <c r="M19" s="320">
        <f t="shared" si="6"/>
        <v>4.38</v>
      </c>
      <c r="N19" s="320">
        <f t="shared" si="7"/>
        <v>3.9280000000000004</v>
      </c>
    </row>
    <row r="20" spans="1:14" s="76" customFormat="1" ht="45" customHeight="1">
      <c r="A20" s="182" t="s">
        <v>129</v>
      </c>
      <c r="B20" s="182" t="s">
        <v>130</v>
      </c>
      <c r="C20" s="182" t="s">
        <v>815</v>
      </c>
      <c r="D20" s="1034" t="s">
        <v>104</v>
      </c>
      <c r="E20" s="1034"/>
      <c r="F20" s="182" t="s">
        <v>816</v>
      </c>
      <c r="G20" s="639" t="s">
        <v>803</v>
      </c>
      <c r="H20" s="639" t="s">
        <v>803</v>
      </c>
      <c r="I20" s="639" t="s">
        <v>803</v>
      </c>
      <c r="J20" s="639" t="s">
        <v>803</v>
      </c>
      <c r="K20" s="639" t="s">
        <v>803</v>
      </c>
      <c r="L20" s="639" t="s">
        <v>803</v>
      </c>
      <c r="M20" s="639" t="s">
        <v>803</v>
      </c>
      <c r="N20" s="639" t="s">
        <v>803</v>
      </c>
    </row>
    <row r="21" spans="1:14">
      <c r="A21" s="227" t="s">
        <v>817</v>
      </c>
      <c r="B21" s="227" t="s">
        <v>432</v>
      </c>
      <c r="C21" s="635">
        <f>1/7</f>
        <v>0.14285714285714285</v>
      </c>
      <c r="D21" s="1035" t="s">
        <v>826</v>
      </c>
      <c r="E21" s="1036"/>
      <c r="F21" s="117" t="s">
        <v>819</v>
      </c>
      <c r="G21" s="130">
        <f>$C21*$G$14</f>
        <v>9.4765714285714271</v>
      </c>
      <c r="H21" s="130">
        <f>$C21*$H$14</f>
        <v>7.5428571428571418</v>
      </c>
      <c r="I21" s="130">
        <f t="shared" ref="I21:I27" si="8">$C21*$I$14</f>
        <v>7.4811428571428564</v>
      </c>
      <c r="J21" s="130">
        <f t="shared" ref="J21:J27" si="9">$C21*$J$14</f>
        <v>7.419428571428571</v>
      </c>
      <c r="K21" s="130">
        <f t="shared" ref="K21:K27" si="10">$C21*$K$14</f>
        <v>7.2754285714285709</v>
      </c>
      <c r="L21" s="130">
        <f t="shared" ref="L21:L27" si="11">$C21*$L$14</f>
        <v>7.68</v>
      </c>
      <c r="M21" s="130">
        <f t="shared" ref="M21:M27" si="12">$C21*$M$14</f>
        <v>7.5085714285714271</v>
      </c>
      <c r="N21" s="130">
        <f t="shared" ref="N21:N27" si="13">$C21*$N$14</f>
        <v>6.733714285714286</v>
      </c>
    </row>
    <row r="22" spans="1:14">
      <c r="A22" s="227" t="s">
        <v>817</v>
      </c>
      <c r="B22" s="227" t="s">
        <v>434</v>
      </c>
      <c r="C22" s="635">
        <f t="shared" ref="C22:C27" si="14">1/7</f>
        <v>0.14285714285714285</v>
      </c>
      <c r="D22" s="1037"/>
      <c r="E22" s="1038"/>
      <c r="F22" s="117" t="s">
        <v>819</v>
      </c>
      <c r="G22" s="130">
        <f t="shared" ref="G22:G27" si="15">$C22*$G$14</f>
        <v>9.4765714285714271</v>
      </c>
      <c r="H22" s="130">
        <f t="shared" ref="H22:H27" si="16">$C22*$H$14</f>
        <v>7.5428571428571418</v>
      </c>
      <c r="I22" s="130">
        <f t="shared" si="8"/>
        <v>7.4811428571428564</v>
      </c>
      <c r="J22" s="130">
        <f t="shared" si="9"/>
        <v>7.419428571428571</v>
      </c>
      <c r="K22" s="130">
        <f t="shared" si="10"/>
        <v>7.2754285714285709</v>
      </c>
      <c r="L22" s="130">
        <f t="shared" si="11"/>
        <v>7.68</v>
      </c>
      <c r="M22" s="130">
        <f t="shared" si="12"/>
        <v>7.5085714285714271</v>
      </c>
      <c r="N22" s="130">
        <f t="shared" si="13"/>
        <v>6.733714285714286</v>
      </c>
    </row>
    <row r="23" spans="1:14">
      <c r="A23" s="227" t="s">
        <v>817</v>
      </c>
      <c r="B23" s="227" t="s">
        <v>435</v>
      </c>
      <c r="C23" s="635">
        <f t="shared" si="14"/>
        <v>0.14285714285714285</v>
      </c>
      <c r="D23" s="1037"/>
      <c r="E23" s="1038"/>
      <c r="F23" s="117" t="s">
        <v>819</v>
      </c>
      <c r="G23" s="130">
        <f t="shared" si="15"/>
        <v>9.4765714285714271</v>
      </c>
      <c r="H23" s="130">
        <f t="shared" si="16"/>
        <v>7.5428571428571418</v>
      </c>
      <c r="I23" s="130">
        <f t="shared" si="8"/>
        <v>7.4811428571428564</v>
      </c>
      <c r="J23" s="130">
        <f t="shared" si="9"/>
        <v>7.419428571428571</v>
      </c>
      <c r="K23" s="130">
        <f t="shared" si="10"/>
        <v>7.2754285714285709</v>
      </c>
      <c r="L23" s="130">
        <f t="shared" si="11"/>
        <v>7.68</v>
      </c>
      <c r="M23" s="130">
        <f t="shared" si="12"/>
        <v>7.5085714285714271</v>
      </c>
      <c r="N23" s="130">
        <f t="shared" si="13"/>
        <v>6.733714285714286</v>
      </c>
    </row>
    <row r="24" spans="1:14">
      <c r="A24" s="227" t="s">
        <v>817</v>
      </c>
      <c r="B24" s="227" t="s">
        <v>436</v>
      </c>
      <c r="C24" s="635">
        <f t="shared" si="14"/>
        <v>0.14285714285714285</v>
      </c>
      <c r="D24" s="1037"/>
      <c r="E24" s="1038"/>
      <c r="F24" s="117" t="s">
        <v>819</v>
      </c>
      <c r="G24" s="130">
        <f t="shared" si="15"/>
        <v>9.4765714285714271</v>
      </c>
      <c r="H24" s="130">
        <f t="shared" si="16"/>
        <v>7.5428571428571418</v>
      </c>
      <c r="I24" s="130">
        <f t="shared" si="8"/>
        <v>7.4811428571428564</v>
      </c>
      <c r="J24" s="130">
        <f t="shared" si="9"/>
        <v>7.419428571428571</v>
      </c>
      <c r="K24" s="130">
        <f t="shared" si="10"/>
        <v>7.2754285714285709</v>
      </c>
      <c r="L24" s="130">
        <f t="shared" si="11"/>
        <v>7.68</v>
      </c>
      <c r="M24" s="130">
        <f t="shared" si="12"/>
        <v>7.5085714285714271</v>
      </c>
      <c r="N24" s="130">
        <f t="shared" si="13"/>
        <v>6.733714285714286</v>
      </c>
    </row>
    <row r="25" spans="1:14">
      <c r="A25" s="227" t="s">
        <v>817</v>
      </c>
      <c r="B25" s="227" t="s">
        <v>437</v>
      </c>
      <c r="C25" s="635">
        <f t="shared" si="14"/>
        <v>0.14285714285714285</v>
      </c>
      <c r="D25" s="1037"/>
      <c r="E25" s="1038"/>
      <c r="F25" s="117" t="s">
        <v>819</v>
      </c>
      <c r="G25" s="130">
        <f t="shared" si="15"/>
        <v>9.4765714285714271</v>
      </c>
      <c r="H25" s="130">
        <f t="shared" si="16"/>
        <v>7.5428571428571418</v>
      </c>
      <c r="I25" s="130">
        <f t="shared" si="8"/>
        <v>7.4811428571428564</v>
      </c>
      <c r="J25" s="130">
        <f t="shared" si="9"/>
        <v>7.419428571428571</v>
      </c>
      <c r="K25" s="130">
        <f t="shared" si="10"/>
        <v>7.2754285714285709</v>
      </c>
      <c r="L25" s="130">
        <f t="shared" si="11"/>
        <v>7.68</v>
      </c>
      <c r="M25" s="130">
        <f t="shared" si="12"/>
        <v>7.5085714285714271</v>
      </c>
      <c r="N25" s="130">
        <f t="shared" si="13"/>
        <v>6.733714285714286</v>
      </c>
    </row>
    <row r="26" spans="1:14">
      <c r="A26" s="227" t="s">
        <v>817</v>
      </c>
      <c r="B26" s="227" t="s">
        <v>438</v>
      </c>
      <c r="C26" s="635">
        <f t="shared" si="14"/>
        <v>0.14285714285714285</v>
      </c>
      <c r="D26" s="1037"/>
      <c r="E26" s="1038"/>
      <c r="F26" s="117" t="s">
        <v>819</v>
      </c>
      <c r="G26" s="130">
        <f t="shared" si="15"/>
        <v>9.4765714285714271</v>
      </c>
      <c r="H26" s="130">
        <f t="shared" si="16"/>
        <v>7.5428571428571418</v>
      </c>
      <c r="I26" s="130">
        <f t="shared" si="8"/>
        <v>7.4811428571428564</v>
      </c>
      <c r="J26" s="130">
        <f t="shared" si="9"/>
        <v>7.419428571428571</v>
      </c>
      <c r="K26" s="130">
        <f t="shared" si="10"/>
        <v>7.2754285714285709</v>
      </c>
      <c r="L26" s="130">
        <f t="shared" si="11"/>
        <v>7.68</v>
      </c>
      <c r="M26" s="130">
        <f t="shared" si="12"/>
        <v>7.5085714285714271</v>
      </c>
      <c r="N26" s="130">
        <f t="shared" si="13"/>
        <v>6.733714285714286</v>
      </c>
    </row>
    <row r="27" spans="1:14">
      <c r="A27" s="227" t="s">
        <v>817</v>
      </c>
      <c r="B27" s="227" t="s">
        <v>827</v>
      </c>
      <c r="C27" s="635">
        <f t="shared" si="14"/>
        <v>0.14285714285714285</v>
      </c>
      <c r="D27" s="1039"/>
      <c r="E27" s="1040"/>
      <c r="F27" s="117" t="s">
        <v>819</v>
      </c>
      <c r="G27" s="130">
        <f t="shared" si="15"/>
        <v>9.4765714285714271</v>
      </c>
      <c r="H27" s="130">
        <f t="shared" si="16"/>
        <v>7.5428571428571418</v>
      </c>
      <c r="I27" s="130">
        <f t="shared" si="8"/>
        <v>7.4811428571428564</v>
      </c>
      <c r="J27" s="130">
        <f t="shared" si="9"/>
        <v>7.419428571428571</v>
      </c>
      <c r="K27" s="130">
        <f t="shared" si="10"/>
        <v>7.2754285714285709</v>
      </c>
      <c r="L27" s="130">
        <f t="shared" si="11"/>
        <v>7.68</v>
      </c>
      <c r="M27" s="130">
        <f t="shared" si="12"/>
        <v>7.5085714285714271</v>
      </c>
      <c r="N27" s="130">
        <f t="shared" si="13"/>
        <v>6.733714285714286</v>
      </c>
    </row>
    <row r="28" spans="1:14">
      <c r="A28" s="227" t="s">
        <v>820</v>
      </c>
      <c r="B28" s="227" t="s">
        <v>440</v>
      </c>
      <c r="C28" s="130">
        <f>1/5</f>
        <v>0.2</v>
      </c>
      <c r="D28" s="1035" t="s">
        <v>826</v>
      </c>
      <c r="E28" s="1036"/>
      <c r="F28" s="117" t="s">
        <v>819</v>
      </c>
      <c r="G28" s="130">
        <f>C28*$G$15</f>
        <v>6.6336000000000004</v>
      </c>
      <c r="H28" s="130">
        <f>$C28*$H$15</f>
        <v>5.28</v>
      </c>
      <c r="I28" s="130">
        <f>$C28*$I$15</f>
        <v>5.2367999999999997</v>
      </c>
      <c r="J28" s="130">
        <f>$C28*$J$15</f>
        <v>5.1936</v>
      </c>
      <c r="K28" s="130">
        <f>$C28*$K$15</f>
        <v>5.0928000000000004</v>
      </c>
      <c r="L28" s="130">
        <f>$C28*$L$15</f>
        <v>5.3760000000000003</v>
      </c>
      <c r="M28" s="130">
        <f>$C28*$M$15</f>
        <v>5.2560000000000002</v>
      </c>
      <c r="N28" s="130">
        <f>$C28*$N$15</f>
        <v>4.7136000000000005</v>
      </c>
    </row>
    <row r="29" spans="1:14">
      <c r="A29" s="227" t="s">
        <v>820</v>
      </c>
      <c r="B29" s="227" t="s">
        <v>441</v>
      </c>
      <c r="C29" s="130">
        <f t="shared" ref="C29:C32" si="17">1/5</f>
        <v>0.2</v>
      </c>
      <c r="D29" s="1037"/>
      <c r="E29" s="1038"/>
      <c r="F29" s="117" t="s">
        <v>819</v>
      </c>
      <c r="G29" s="130">
        <f t="shared" ref="G29:G32" si="18">C29*$G$15</f>
        <v>6.6336000000000004</v>
      </c>
      <c r="H29" s="130">
        <f t="shared" ref="H29:H32" si="19">$C29*$H$15</f>
        <v>5.28</v>
      </c>
      <c r="I29" s="130">
        <f>$C29*$I$15</f>
        <v>5.2367999999999997</v>
      </c>
      <c r="J29" s="130">
        <f>$C29*$J$15</f>
        <v>5.1936</v>
      </c>
      <c r="K29" s="130">
        <f>$C29*$K$15</f>
        <v>5.0928000000000004</v>
      </c>
      <c r="L29" s="130">
        <f>$C29*$L$15</f>
        <v>5.3760000000000003</v>
      </c>
      <c r="M29" s="130">
        <f>$C29*$M$15</f>
        <v>5.2560000000000002</v>
      </c>
      <c r="N29" s="130">
        <f>$C29*$N$15</f>
        <v>4.7136000000000005</v>
      </c>
    </row>
    <row r="30" spans="1:14">
      <c r="A30" s="227" t="s">
        <v>820</v>
      </c>
      <c r="B30" s="227" t="s">
        <v>442</v>
      </c>
      <c r="C30" s="130">
        <f t="shared" si="17"/>
        <v>0.2</v>
      </c>
      <c r="D30" s="1037"/>
      <c r="E30" s="1038"/>
      <c r="F30" s="117" t="s">
        <v>819</v>
      </c>
      <c r="G30" s="130">
        <f t="shared" si="18"/>
        <v>6.6336000000000004</v>
      </c>
      <c r="H30" s="130">
        <f t="shared" si="19"/>
        <v>5.28</v>
      </c>
      <c r="I30" s="130">
        <f>$C30*$I$15</f>
        <v>5.2367999999999997</v>
      </c>
      <c r="J30" s="130">
        <f>$C30*$J$15</f>
        <v>5.1936</v>
      </c>
      <c r="K30" s="130">
        <f>$C30*$K$15</f>
        <v>5.0928000000000004</v>
      </c>
      <c r="L30" s="130">
        <f>$C30*$L$15</f>
        <v>5.3760000000000003</v>
      </c>
      <c r="M30" s="130">
        <f>$C30*$M$15</f>
        <v>5.2560000000000002</v>
      </c>
      <c r="N30" s="130">
        <f>$C30*$N$15</f>
        <v>4.7136000000000005</v>
      </c>
    </row>
    <row r="31" spans="1:14">
      <c r="A31" s="227" t="s">
        <v>820</v>
      </c>
      <c r="B31" s="227" t="s">
        <v>443</v>
      </c>
      <c r="C31" s="130">
        <f t="shared" si="17"/>
        <v>0.2</v>
      </c>
      <c r="D31" s="1037"/>
      <c r="E31" s="1038"/>
      <c r="F31" s="117" t="s">
        <v>819</v>
      </c>
      <c r="G31" s="130">
        <f t="shared" si="18"/>
        <v>6.6336000000000004</v>
      </c>
      <c r="H31" s="130">
        <f t="shared" si="19"/>
        <v>5.28</v>
      </c>
      <c r="I31" s="130">
        <f>$C31*$I$15</f>
        <v>5.2367999999999997</v>
      </c>
      <c r="J31" s="130">
        <f>$C31*$J$15</f>
        <v>5.1936</v>
      </c>
      <c r="K31" s="130">
        <f>$C31*$K$15</f>
        <v>5.0928000000000004</v>
      </c>
      <c r="L31" s="130">
        <f>$C31*$L$15</f>
        <v>5.3760000000000003</v>
      </c>
      <c r="M31" s="130">
        <f>$C31*$M$15</f>
        <v>5.2560000000000002</v>
      </c>
      <c r="N31" s="130">
        <f>$C31*$N$15</f>
        <v>4.7136000000000005</v>
      </c>
    </row>
    <row r="32" spans="1:14">
      <c r="A32" s="227" t="s">
        <v>820</v>
      </c>
      <c r="B32" s="227" t="s">
        <v>444</v>
      </c>
      <c r="C32" s="130">
        <f t="shared" si="17"/>
        <v>0.2</v>
      </c>
      <c r="D32" s="1039"/>
      <c r="E32" s="1040"/>
      <c r="F32" s="117" t="s">
        <v>819</v>
      </c>
      <c r="G32" s="130">
        <f t="shared" si="18"/>
        <v>6.6336000000000004</v>
      </c>
      <c r="H32" s="130">
        <f t="shared" si="19"/>
        <v>5.28</v>
      </c>
      <c r="I32" s="130">
        <f>$C32*$I$15</f>
        <v>5.2367999999999997</v>
      </c>
      <c r="J32" s="130">
        <f>$C32*$J$15</f>
        <v>5.1936</v>
      </c>
      <c r="K32" s="130">
        <f>$C32*$K$15</f>
        <v>5.0928000000000004</v>
      </c>
      <c r="L32" s="130">
        <f>$C32*$L$15</f>
        <v>5.3760000000000003</v>
      </c>
      <c r="M32" s="130">
        <f>$C32*$M$15</f>
        <v>5.2560000000000002</v>
      </c>
      <c r="N32" s="130">
        <f>$C32*$N$15</f>
        <v>4.7136000000000005</v>
      </c>
    </row>
    <row r="33" spans="1:19">
      <c r="A33" s="227" t="s">
        <v>821</v>
      </c>
      <c r="B33" s="227" t="s">
        <v>445</v>
      </c>
      <c r="C33" s="130">
        <v>0.5</v>
      </c>
      <c r="D33" s="1035" t="s">
        <v>826</v>
      </c>
      <c r="E33" s="1036"/>
      <c r="F33" s="117" t="s">
        <v>819</v>
      </c>
      <c r="G33" s="130">
        <f>C33*$G$16</f>
        <v>6.2189999999999994</v>
      </c>
      <c r="H33" s="130">
        <f>$C33*$H$16</f>
        <v>4.95</v>
      </c>
      <c r="I33" s="130">
        <f>$C33*$I$16</f>
        <v>4.9094999999999995</v>
      </c>
      <c r="J33" s="130">
        <f>$C33*$J$16</f>
        <v>4.8689999999999998</v>
      </c>
      <c r="K33" s="130">
        <f>$C33*$K$16</f>
        <v>4.7744999999999997</v>
      </c>
      <c r="L33" s="130">
        <f>$C33*$L$16</f>
        <v>5.04</v>
      </c>
      <c r="M33" s="130">
        <f>$C33*$M$16</f>
        <v>4.9275000000000002</v>
      </c>
      <c r="N33" s="130">
        <f>$C33*$N$16</f>
        <v>4.4189999999999996</v>
      </c>
    </row>
    <row r="34" spans="1:19">
      <c r="A34" s="227" t="s">
        <v>821</v>
      </c>
      <c r="B34" s="227" t="s">
        <v>446</v>
      </c>
      <c r="C34" s="130">
        <v>0.5</v>
      </c>
      <c r="D34" s="1039"/>
      <c r="E34" s="1040"/>
      <c r="F34" s="117" t="s">
        <v>819</v>
      </c>
      <c r="G34" s="130">
        <f>C34*$G$16</f>
        <v>6.2189999999999994</v>
      </c>
      <c r="H34" s="130">
        <f>$C34*$H$16</f>
        <v>4.95</v>
      </c>
      <c r="I34" s="130">
        <f>$C34*$I$16</f>
        <v>4.9094999999999995</v>
      </c>
      <c r="J34" s="130">
        <f>$C34*$J$16</f>
        <v>4.8689999999999998</v>
      </c>
      <c r="K34" s="130">
        <f>$C34*$K$16</f>
        <v>4.7744999999999997</v>
      </c>
      <c r="L34" s="130">
        <f>$C34*$L$16</f>
        <v>5.04</v>
      </c>
      <c r="M34" s="130">
        <f>$C34*$M$16</f>
        <v>4.9275000000000002</v>
      </c>
      <c r="N34" s="130">
        <f>$C34*$N$16</f>
        <v>4.4189999999999996</v>
      </c>
    </row>
    <row r="35" spans="1:19" s="76" customFormat="1" ht="45" customHeight="1">
      <c r="A35" s="182" t="s">
        <v>129</v>
      </c>
      <c r="B35" s="182" t="s">
        <v>130</v>
      </c>
      <c r="C35" s="182" t="s">
        <v>815</v>
      </c>
      <c r="D35" s="1034" t="s">
        <v>104</v>
      </c>
      <c r="E35" s="1034"/>
      <c r="F35" s="182" t="s">
        <v>816</v>
      </c>
      <c r="G35" s="638" t="s">
        <v>828</v>
      </c>
      <c r="H35" s="638" t="s">
        <v>828</v>
      </c>
      <c r="I35" s="638" t="s">
        <v>828</v>
      </c>
      <c r="J35" s="638" t="s">
        <v>828</v>
      </c>
      <c r="K35" s="638" t="s">
        <v>828</v>
      </c>
      <c r="L35" s="638" t="s">
        <v>828</v>
      </c>
      <c r="M35" s="638" t="s">
        <v>828</v>
      </c>
      <c r="N35" s="638" t="s">
        <v>828</v>
      </c>
    </row>
    <row r="36" spans="1:19">
      <c r="A36" s="227" t="s">
        <v>432</v>
      </c>
      <c r="B36" s="227" t="s">
        <v>829</v>
      </c>
      <c r="C36" s="635">
        <v>0.75</v>
      </c>
      <c r="D36" s="1019" t="s">
        <v>830</v>
      </c>
      <c r="E36" s="1019"/>
      <c r="F36" s="117" t="s">
        <v>819</v>
      </c>
      <c r="G36" s="130">
        <f>$C36*G21</f>
        <v>7.1074285714285708</v>
      </c>
      <c r="H36" s="130">
        <f t="shared" ref="H36:N36" si="20">$C36*H21</f>
        <v>5.6571428571428566</v>
      </c>
      <c r="I36" s="130">
        <f t="shared" si="20"/>
        <v>5.6108571428571423</v>
      </c>
      <c r="J36" s="130">
        <f t="shared" si="20"/>
        <v>5.5645714285714281</v>
      </c>
      <c r="K36" s="130">
        <f t="shared" si="20"/>
        <v>5.4565714285714284</v>
      </c>
      <c r="L36" s="130">
        <f t="shared" si="20"/>
        <v>5.76</v>
      </c>
      <c r="M36" s="130">
        <f t="shared" si="20"/>
        <v>5.6314285714285699</v>
      </c>
      <c r="N36" s="130">
        <f t="shared" si="20"/>
        <v>5.0502857142857147</v>
      </c>
    </row>
    <row r="37" spans="1:19">
      <c r="A37" s="227" t="s">
        <v>434</v>
      </c>
      <c r="B37" s="227" t="s">
        <v>831</v>
      </c>
      <c r="C37" s="635">
        <v>0.8</v>
      </c>
      <c r="D37" s="1019" t="s">
        <v>830</v>
      </c>
      <c r="E37" s="1019"/>
      <c r="F37" s="117" t="s">
        <v>819</v>
      </c>
      <c r="G37" s="130">
        <f t="shared" ref="G37:N49" si="21">$C37*G22</f>
        <v>7.581257142857142</v>
      </c>
      <c r="H37" s="130">
        <f t="shared" si="21"/>
        <v>6.0342857142857138</v>
      </c>
      <c r="I37" s="130">
        <f t="shared" si="21"/>
        <v>5.9849142857142859</v>
      </c>
      <c r="J37" s="130">
        <f t="shared" si="21"/>
        <v>5.935542857142857</v>
      </c>
      <c r="K37" s="130">
        <f t="shared" si="21"/>
        <v>5.8203428571428573</v>
      </c>
      <c r="L37" s="130">
        <f t="shared" si="21"/>
        <v>6.1440000000000001</v>
      </c>
      <c r="M37" s="130">
        <f t="shared" si="21"/>
        <v>6.0068571428571422</v>
      </c>
      <c r="N37" s="130">
        <f t="shared" si="21"/>
        <v>5.386971428571429</v>
      </c>
    </row>
    <row r="38" spans="1:19">
      <c r="A38" s="227" t="s">
        <v>435</v>
      </c>
      <c r="B38" s="227" t="s">
        <v>832</v>
      </c>
      <c r="C38" s="635">
        <v>0.5</v>
      </c>
      <c r="D38" s="1019" t="s">
        <v>830</v>
      </c>
      <c r="E38" s="1019"/>
      <c r="F38" s="117" t="s">
        <v>819</v>
      </c>
      <c r="G38" s="130">
        <f t="shared" si="21"/>
        <v>4.7382857142857135</v>
      </c>
      <c r="H38" s="130">
        <f t="shared" si="21"/>
        <v>3.7714285714285709</v>
      </c>
      <c r="I38" s="130">
        <f t="shared" si="21"/>
        <v>3.7405714285714282</v>
      </c>
      <c r="J38" s="130">
        <f t="shared" si="21"/>
        <v>3.7097142857142855</v>
      </c>
      <c r="K38" s="130">
        <f t="shared" si="21"/>
        <v>3.6377142857142855</v>
      </c>
      <c r="L38" s="130">
        <f t="shared" si="21"/>
        <v>3.84</v>
      </c>
      <c r="M38" s="130">
        <f t="shared" si="21"/>
        <v>3.7542857142857136</v>
      </c>
      <c r="N38" s="130">
        <f t="shared" si="21"/>
        <v>3.366857142857143</v>
      </c>
    </row>
    <row r="39" spans="1:19">
      <c r="A39" s="227" t="s">
        <v>436</v>
      </c>
      <c r="B39" s="227" t="s">
        <v>833</v>
      </c>
      <c r="C39" s="635">
        <v>0.55000000000000004</v>
      </c>
      <c r="D39" s="1019" t="s">
        <v>830</v>
      </c>
      <c r="E39" s="1019"/>
      <c r="F39" s="117" t="s">
        <v>819</v>
      </c>
      <c r="G39" s="130">
        <f t="shared" si="21"/>
        <v>5.2121142857142857</v>
      </c>
      <c r="H39" s="130">
        <f t="shared" si="21"/>
        <v>4.1485714285714286</v>
      </c>
      <c r="I39" s="130">
        <f t="shared" si="21"/>
        <v>4.1146285714285717</v>
      </c>
      <c r="J39" s="130">
        <f t="shared" si="21"/>
        <v>4.080685714285714</v>
      </c>
      <c r="K39" s="130">
        <f t="shared" si="21"/>
        <v>4.0014857142857148</v>
      </c>
      <c r="L39" s="130">
        <f t="shared" si="21"/>
        <v>4.2240000000000002</v>
      </c>
      <c r="M39" s="130">
        <f t="shared" si="21"/>
        <v>4.129714285714285</v>
      </c>
      <c r="N39" s="130">
        <f t="shared" si="21"/>
        <v>3.7035428571428577</v>
      </c>
    </row>
    <row r="40" spans="1:19">
      <c r="A40" s="227" t="s">
        <v>437</v>
      </c>
      <c r="B40" s="227" t="s">
        <v>834</v>
      </c>
      <c r="C40" s="635">
        <v>0.55000000000000004</v>
      </c>
      <c r="D40" s="1019" t="s">
        <v>830</v>
      </c>
      <c r="E40" s="1019"/>
      <c r="F40" s="117" t="s">
        <v>819</v>
      </c>
      <c r="G40" s="130">
        <f t="shared" si="21"/>
        <v>5.2121142857142857</v>
      </c>
      <c r="H40" s="130">
        <f t="shared" si="21"/>
        <v>4.1485714285714286</v>
      </c>
      <c r="I40" s="130">
        <f t="shared" si="21"/>
        <v>4.1146285714285717</v>
      </c>
      <c r="J40" s="130">
        <f t="shared" si="21"/>
        <v>4.080685714285714</v>
      </c>
      <c r="K40" s="130">
        <f t="shared" si="21"/>
        <v>4.0014857142857148</v>
      </c>
      <c r="L40" s="130">
        <f t="shared" si="21"/>
        <v>4.2240000000000002</v>
      </c>
      <c r="M40" s="130">
        <f t="shared" si="21"/>
        <v>4.129714285714285</v>
      </c>
      <c r="N40" s="130">
        <f t="shared" si="21"/>
        <v>3.7035428571428577</v>
      </c>
    </row>
    <row r="41" spans="1:19">
      <c r="A41" s="227" t="s">
        <v>438</v>
      </c>
      <c r="B41" s="227" t="s">
        <v>835</v>
      </c>
      <c r="C41" s="635">
        <v>0.75</v>
      </c>
      <c r="D41" s="1019" t="s">
        <v>830</v>
      </c>
      <c r="E41" s="1019"/>
      <c r="F41" s="117" t="s">
        <v>819</v>
      </c>
      <c r="G41" s="130">
        <f t="shared" si="21"/>
        <v>7.1074285714285708</v>
      </c>
      <c r="H41" s="130">
        <f t="shared" si="21"/>
        <v>5.6571428571428566</v>
      </c>
      <c r="I41" s="130">
        <f t="shared" si="21"/>
        <v>5.6108571428571423</v>
      </c>
      <c r="J41" s="130">
        <f t="shared" si="21"/>
        <v>5.5645714285714281</v>
      </c>
      <c r="K41" s="130">
        <f t="shared" si="21"/>
        <v>5.4565714285714284</v>
      </c>
      <c r="L41" s="130">
        <f t="shared" si="21"/>
        <v>5.76</v>
      </c>
      <c r="M41" s="130">
        <f t="shared" si="21"/>
        <v>5.6314285714285699</v>
      </c>
      <c r="N41" s="130">
        <f t="shared" si="21"/>
        <v>5.0502857142857147</v>
      </c>
    </row>
    <row r="42" spans="1:19">
      <c r="A42" s="227" t="s">
        <v>827</v>
      </c>
      <c r="B42" s="227" t="s">
        <v>836</v>
      </c>
      <c r="C42" s="635">
        <v>0.6</v>
      </c>
      <c r="D42" s="1019" t="s">
        <v>830</v>
      </c>
      <c r="E42" s="1019"/>
      <c r="F42" s="117" t="s">
        <v>819</v>
      </c>
      <c r="G42" s="130">
        <f t="shared" si="21"/>
        <v>5.6859428571428561</v>
      </c>
      <c r="H42" s="130">
        <f t="shared" si="21"/>
        <v>4.5257142857142849</v>
      </c>
      <c r="I42" s="130">
        <f t="shared" si="21"/>
        <v>4.4886857142857135</v>
      </c>
      <c r="J42" s="130">
        <f t="shared" si="21"/>
        <v>4.4516571428571421</v>
      </c>
      <c r="K42" s="130">
        <f t="shared" si="21"/>
        <v>4.3652571428571427</v>
      </c>
      <c r="L42" s="130">
        <f t="shared" si="21"/>
        <v>4.6079999999999997</v>
      </c>
      <c r="M42" s="130">
        <f t="shared" si="21"/>
        <v>4.5051428571428564</v>
      </c>
      <c r="N42" s="130">
        <f t="shared" si="21"/>
        <v>4.0402285714285711</v>
      </c>
    </row>
    <row r="43" spans="1:19">
      <c r="A43" s="227" t="s">
        <v>440</v>
      </c>
      <c r="B43" s="227" t="s">
        <v>837</v>
      </c>
      <c r="C43" s="130">
        <v>0.65</v>
      </c>
      <c r="D43" s="1019" t="s">
        <v>830</v>
      </c>
      <c r="E43" s="1019"/>
      <c r="F43" s="117" t="s">
        <v>819</v>
      </c>
      <c r="G43" s="130">
        <f t="shared" si="21"/>
        <v>4.3118400000000001</v>
      </c>
      <c r="H43" s="130">
        <f t="shared" si="21"/>
        <v>3.4320000000000004</v>
      </c>
      <c r="I43" s="130">
        <f t="shared" si="21"/>
        <v>3.4039199999999998</v>
      </c>
      <c r="J43" s="130">
        <f t="shared" si="21"/>
        <v>3.3758400000000002</v>
      </c>
      <c r="K43" s="130">
        <f t="shared" si="21"/>
        <v>3.3103200000000004</v>
      </c>
      <c r="L43" s="130">
        <f t="shared" si="21"/>
        <v>3.4944000000000002</v>
      </c>
      <c r="M43" s="130">
        <f t="shared" si="21"/>
        <v>3.4164000000000003</v>
      </c>
      <c r="N43" s="130">
        <f t="shared" si="21"/>
        <v>3.0638400000000003</v>
      </c>
    </row>
    <row r="44" spans="1:19" ht="15" customHeight="1">
      <c r="A44" s="227" t="s">
        <v>441</v>
      </c>
      <c r="B44" s="227" t="s">
        <v>838</v>
      </c>
      <c r="C44" s="130">
        <v>0.2</v>
      </c>
      <c r="D44" s="1019" t="s">
        <v>830</v>
      </c>
      <c r="E44" s="1019"/>
      <c r="F44" s="117" t="s">
        <v>819</v>
      </c>
      <c r="G44" s="130">
        <f t="shared" si="21"/>
        <v>1.3267200000000001</v>
      </c>
      <c r="H44" s="130">
        <f t="shared" si="21"/>
        <v>1.056</v>
      </c>
      <c r="I44" s="130">
        <f t="shared" si="21"/>
        <v>1.0473600000000001</v>
      </c>
      <c r="J44" s="130">
        <f t="shared" si="21"/>
        <v>1.0387200000000001</v>
      </c>
      <c r="K44" s="130">
        <f t="shared" si="21"/>
        <v>1.0185600000000001</v>
      </c>
      <c r="L44" s="130">
        <f t="shared" si="21"/>
        <v>1.0752000000000002</v>
      </c>
      <c r="M44" s="130">
        <f t="shared" si="21"/>
        <v>1.0512000000000001</v>
      </c>
      <c r="N44" s="130">
        <f t="shared" si="21"/>
        <v>0.94272000000000011</v>
      </c>
    </row>
    <row r="45" spans="1:19" s="6" customFormat="1" ht="15" customHeight="1">
      <c r="A45" s="227" t="s">
        <v>442</v>
      </c>
      <c r="B45" s="227" t="s">
        <v>839</v>
      </c>
      <c r="C45" s="130">
        <v>0.55000000000000004</v>
      </c>
      <c r="D45" s="1019" t="s">
        <v>830</v>
      </c>
      <c r="E45" s="1019"/>
      <c r="F45" s="117" t="s">
        <v>819</v>
      </c>
      <c r="G45" s="130">
        <f t="shared" si="21"/>
        <v>3.6484800000000006</v>
      </c>
      <c r="H45" s="130">
        <f t="shared" si="21"/>
        <v>2.9040000000000004</v>
      </c>
      <c r="I45" s="130">
        <f t="shared" si="21"/>
        <v>2.8802400000000001</v>
      </c>
      <c r="J45" s="130">
        <f t="shared" si="21"/>
        <v>2.8564800000000004</v>
      </c>
      <c r="K45" s="130">
        <f t="shared" si="21"/>
        <v>2.8010400000000004</v>
      </c>
      <c r="L45" s="130">
        <f t="shared" si="21"/>
        <v>2.9568000000000003</v>
      </c>
      <c r="M45" s="130">
        <f t="shared" si="21"/>
        <v>2.8908000000000005</v>
      </c>
      <c r="N45" s="130">
        <f t="shared" si="21"/>
        <v>2.5924800000000006</v>
      </c>
      <c r="O45"/>
      <c r="P45"/>
      <c r="Q45"/>
      <c r="R45"/>
      <c r="S45"/>
    </row>
    <row r="46" spans="1:19">
      <c r="A46" s="227" t="s">
        <v>443</v>
      </c>
      <c r="B46" s="227" t="s">
        <v>840</v>
      </c>
      <c r="C46" s="130">
        <v>0.55000000000000004</v>
      </c>
      <c r="D46" s="1019" t="s">
        <v>830</v>
      </c>
      <c r="E46" s="1019"/>
      <c r="F46" s="117" t="s">
        <v>819</v>
      </c>
      <c r="G46" s="130">
        <f t="shared" si="21"/>
        <v>3.6484800000000006</v>
      </c>
      <c r="H46" s="130">
        <f t="shared" si="21"/>
        <v>2.9040000000000004</v>
      </c>
      <c r="I46" s="130">
        <f t="shared" si="21"/>
        <v>2.8802400000000001</v>
      </c>
      <c r="J46" s="130">
        <f t="shared" si="21"/>
        <v>2.8564800000000004</v>
      </c>
      <c r="K46" s="130">
        <f t="shared" si="21"/>
        <v>2.8010400000000004</v>
      </c>
      <c r="L46" s="130">
        <f t="shared" si="21"/>
        <v>2.9568000000000003</v>
      </c>
      <c r="M46" s="130">
        <f t="shared" si="21"/>
        <v>2.8908000000000005</v>
      </c>
      <c r="N46" s="130">
        <f t="shared" si="21"/>
        <v>2.5924800000000006</v>
      </c>
    </row>
    <row r="47" spans="1:19">
      <c r="A47" s="227" t="s">
        <v>444</v>
      </c>
      <c r="B47" s="227" t="s">
        <v>841</v>
      </c>
      <c r="C47" s="130">
        <v>0.65</v>
      </c>
      <c r="D47" s="1019" t="s">
        <v>830</v>
      </c>
      <c r="E47" s="1019"/>
      <c r="F47" s="117" t="s">
        <v>819</v>
      </c>
      <c r="G47" s="130">
        <f t="shared" si="21"/>
        <v>4.3118400000000001</v>
      </c>
      <c r="H47" s="130">
        <f t="shared" si="21"/>
        <v>3.4320000000000004</v>
      </c>
      <c r="I47" s="130">
        <f t="shared" si="21"/>
        <v>3.4039199999999998</v>
      </c>
      <c r="J47" s="130">
        <f t="shared" si="21"/>
        <v>3.3758400000000002</v>
      </c>
      <c r="K47" s="130">
        <f t="shared" si="21"/>
        <v>3.3103200000000004</v>
      </c>
      <c r="L47" s="130">
        <f t="shared" si="21"/>
        <v>3.4944000000000002</v>
      </c>
      <c r="M47" s="130">
        <f t="shared" si="21"/>
        <v>3.4164000000000003</v>
      </c>
      <c r="N47" s="130">
        <f t="shared" si="21"/>
        <v>3.0638400000000003</v>
      </c>
    </row>
    <row r="48" spans="1:19">
      <c r="A48" s="227" t="s">
        <v>445</v>
      </c>
      <c r="B48" s="227" t="s">
        <v>842</v>
      </c>
      <c r="C48" s="130">
        <v>0.5</v>
      </c>
      <c r="D48" s="1019" t="s">
        <v>830</v>
      </c>
      <c r="E48" s="1019"/>
      <c r="F48" s="117" t="s">
        <v>819</v>
      </c>
      <c r="G48" s="130">
        <f t="shared" si="21"/>
        <v>3.1094999999999997</v>
      </c>
      <c r="H48" s="130">
        <f t="shared" si="21"/>
        <v>2.4750000000000001</v>
      </c>
      <c r="I48" s="130">
        <f t="shared" si="21"/>
        <v>2.4547499999999998</v>
      </c>
      <c r="J48" s="130">
        <f t="shared" si="21"/>
        <v>2.4344999999999999</v>
      </c>
      <c r="K48" s="130">
        <f t="shared" si="21"/>
        <v>2.3872499999999999</v>
      </c>
      <c r="L48" s="130">
        <f t="shared" si="21"/>
        <v>2.52</v>
      </c>
      <c r="M48" s="130">
        <f t="shared" si="21"/>
        <v>2.4637500000000001</v>
      </c>
      <c r="N48" s="130">
        <f t="shared" si="21"/>
        <v>2.2094999999999998</v>
      </c>
    </row>
    <row r="49" spans="1:868">
      <c r="A49" s="227" t="s">
        <v>446</v>
      </c>
      <c r="B49" s="227" t="s">
        <v>843</v>
      </c>
      <c r="C49" s="130">
        <v>0.6</v>
      </c>
      <c r="D49" s="1019" t="s">
        <v>830</v>
      </c>
      <c r="E49" s="1019"/>
      <c r="F49" s="117" t="s">
        <v>819</v>
      </c>
      <c r="G49" s="130">
        <f t="shared" si="21"/>
        <v>3.7313999999999994</v>
      </c>
      <c r="H49" s="130">
        <f t="shared" si="21"/>
        <v>2.97</v>
      </c>
      <c r="I49" s="130">
        <f t="shared" si="21"/>
        <v>2.9456999999999995</v>
      </c>
      <c r="J49" s="130">
        <f t="shared" si="21"/>
        <v>2.9213999999999998</v>
      </c>
      <c r="K49" s="130">
        <f t="shared" si="21"/>
        <v>2.8646999999999996</v>
      </c>
      <c r="L49" s="130">
        <f t="shared" si="21"/>
        <v>3.024</v>
      </c>
      <c r="M49" s="130">
        <f t="shared" si="21"/>
        <v>2.9565000000000001</v>
      </c>
      <c r="N49" s="130">
        <f t="shared" si="21"/>
        <v>2.6513999999999998</v>
      </c>
    </row>
    <row r="50" spans="1:868">
      <c r="C50" s="106"/>
      <c r="D50" s="16"/>
      <c r="E50" s="16"/>
      <c r="G50" s="106"/>
      <c r="H50" s="106"/>
      <c r="I50" s="106"/>
      <c r="J50" s="106"/>
      <c r="K50" s="106"/>
      <c r="L50" s="106"/>
      <c r="M50" s="106"/>
      <c r="N50" s="106"/>
    </row>
    <row r="51" spans="1:868" s="6" customFormat="1" ht="30" customHeight="1">
      <c r="A51" s="1029" t="s">
        <v>844</v>
      </c>
      <c r="B51" s="1030"/>
      <c r="C51" s="1030"/>
      <c r="D51" s="1030"/>
      <c r="E51" s="1030"/>
      <c r="F51" s="1030"/>
      <c r="G51" s="1031"/>
      <c r="H51" s="106"/>
      <c r="I51" s="106"/>
      <c r="J51" s="106"/>
      <c r="K51" s="106"/>
      <c r="L51" s="106"/>
      <c r="M51" s="106"/>
      <c r="N51" s="106"/>
    </row>
    <row r="52" spans="1:868" ht="30" customHeight="1">
      <c r="A52" s="631" t="s">
        <v>100</v>
      </c>
      <c r="B52" s="641" t="s">
        <v>101</v>
      </c>
      <c r="C52" s="632" t="s">
        <v>102</v>
      </c>
      <c r="D52" s="632" t="s">
        <v>103</v>
      </c>
      <c r="E52" s="632" t="s">
        <v>104</v>
      </c>
      <c r="F52" s="633" t="s">
        <v>105</v>
      </c>
      <c r="G52" s="633" t="s">
        <v>65</v>
      </c>
      <c r="H52" s="633" t="s">
        <v>67</v>
      </c>
      <c r="I52" s="633" t="s">
        <v>73</v>
      </c>
      <c r="J52" s="633" t="s">
        <v>79</v>
      </c>
      <c r="K52" s="640" t="s">
        <v>106</v>
      </c>
      <c r="L52" s="1023" t="s">
        <v>107</v>
      </c>
      <c r="M52" s="1024"/>
      <c r="N52" s="1025"/>
      <c r="O52" s="6"/>
    </row>
    <row r="53" spans="1:868" s="2" customFormat="1">
      <c r="A53" s="227" t="s">
        <v>118</v>
      </c>
      <c r="B53" s="122">
        <v>2019</v>
      </c>
      <c r="C53" s="9" t="s">
        <v>99</v>
      </c>
      <c r="D53" s="813">
        <f>SUM(L36:L49)</f>
        <v>54.081600000000002</v>
      </c>
      <c r="E53" s="227" t="s">
        <v>805</v>
      </c>
      <c r="F53" s="9">
        <v>1</v>
      </c>
      <c r="G53" s="9">
        <v>1</v>
      </c>
      <c r="H53" s="9">
        <v>2</v>
      </c>
      <c r="I53" s="9">
        <v>1</v>
      </c>
      <c r="J53" s="9">
        <v>2</v>
      </c>
      <c r="K53" s="186">
        <f>IF( OR( ISBLANK(F53),ISBLANK(G53), ISBLANK(H53), ISBLANK(I53), ISBLANK(J53) ), "", 1.5*SQRT(   EXP(2.21*(F53-1)) + EXP(2.21*(G53-1)) + EXP(2.21*(H53-1)) + EXP(2.21*(I53-1)) + EXP(2.21*J53)   )/100*2.45 )</f>
        <v>0.35859414261160716</v>
      </c>
      <c r="L53" s="1026" t="s">
        <v>120</v>
      </c>
      <c r="M53" s="1027"/>
      <c r="N53" s="1028"/>
      <c r="O53" s="6"/>
    </row>
    <row r="54" spans="1:868" s="6" customFormat="1" ht="30" customHeight="1">
      <c r="C54" s="106"/>
      <c r="G54" s="106"/>
      <c r="H54" s="106"/>
      <c r="I54" s="106"/>
      <c r="J54" s="106"/>
      <c r="K54" s="106"/>
      <c r="L54" s="106"/>
      <c r="M54" s="106"/>
      <c r="N54" s="106"/>
    </row>
    <row r="55" spans="1:868" s="6" customFormat="1" ht="30" customHeight="1">
      <c r="A55" s="1029" t="s">
        <v>845</v>
      </c>
      <c r="B55" s="1030"/>
      <c r="C55" s="1030"/>
      <c r="D55" s="1030"/>
      <c r="E55" s="1030"/>
      <c r="F55" s="1030"/>
      <c r="G55" s="1031"/>
      <c r="H55" s="106"/>
      <c r="I55" s="106"/>
      <c r="J55" s="106"/>
      <c r="K55" s="106"/>
      <c r="L55" s="106"/>
      <c r="M55" s="106"/>
      <c r="N55" s="106"/>
    </row>
    <row r="56" spans="1:868" ht="30" customHeight="1">
      <c r="A56" s="631" t="s">
        <v>100</v>
      </c>
      <c r="B56" s="641" t="s">
        <v>101</v>
      </c>
      <c r="C56" s="632" t="s">
        <v>102</v>
      </c>
      <c r="D56" s="632" t="s">
        <v>103</v>
      </c>
      <c r="E56" s="632" t="s">
        <v>104</v>
      </c>
      <c r="F56" s="633" t="s">
        <v>105</v>
      </c>
      <c r="G56" s="633" t="s">
        <v>65</v>
      </c>
      <c r="H56" s="633" t="s">
        <v>67</v>
      </c>
      <c r="I56" s="633" t="s">
        <v>73</v>
      </c>
      <c r="J56" s="633" t="s">
        <v>79</v>
      </c>
      <c r="K56" s="640" t="s">
        <v>106</v>
      </c>
      <c r="L56" s="1023" t="s">
        <v>107</v>
      </c>
      <c r="M56" s="1024"/>
      <c r="N56" s="1025"/>
      <c r="O56" s="6"/>
    </row>
    <row r="57" spans="1:868" s="2" customFormat="1">
      <c r="A57" s="227" t="s">
        <v>118</v>
      </c>
      <c r="B57" s="9">
        <v>2019</v>
      </c>
      <c r="C57" s="9" t="s">
        <v>99</v>
      </c>
      <c r="D57" s="320">
        <v>2326</v>
      </c>
      <c r="E57" s="227" t="s">
        <v>128</v>
      </c>
      <c r="F57" s="9">
        <v>1</v>
      </c>
      <c r="G57" s="9">
        <v>1</v>
      </c>
      <c r="H57" s="9">
        <v>2</v>
      </c>
      <c r="I57" s="9">
        <v>1</v>
      </c>
      <c r="J57" s="9">
        <v>2</v>
      </c>
      <c r="K57" s="186">
        <v>0.47802211380704585</v>
      </c>
      <c r="L57" s="1026"/>
      <c r="M57" s="1027"/>
      <c r="N57" s="1028"/>
      <c r="O57" s="6"/>
    </row>
    <row r="58" spans="1:868">
      <c r="C58" s="106"/>
      <c r="D58" s="16"/>
      <c r="E58" s="16"/>
      <c r="G58" s="106"/>
    </row>
    <row r="59" spans="1:868" s="6" customFormat="1" ht="30" customHeight="1">
      <c r="A59" s="1022" t="s">
        <v>846</v>
      </c>
      <c r="B59" s="1022"/>
      <c r="C59" s="1022"/>
      <c r="D59" s="1022"/>
      <c r="E59" s="1022"/>
      <c r="F59" s="1022"/>
      <c r="G59" s="1022"/>
      <c r="H59" s="1022"/>
      <c r="I59" s="1022"/>
      <c r="J59" s="1022"/>
      <c r="K59" s="1022"/>
      <c r="L59" s="1022"/>
      <c r="M59" s="1022"/>
      <c r="N59" s="1022"/>
      <c r="O59" s="1022"/>
      <c r="P59" s="1022"/>
      <c r="Q59" s="1022"/>
      <c r="R59" s="1022"/>
      <c r="S59" s="1022"/>
    </row>
    <row r="60" spans="1:868" s="2" customFormat="1" ht="30" customHeight="1" thickBot="1">
      <c r="A60" s="757" t="s">
        <v>129</v>
      </c>
      <c r="B60" s="757" t="s">
        <v>130</v>
      </c>
      <c r="C60" s="758" t="s">
        <v>131</v>
      </c>
      <c r="D60" s="758" t="s">
        <v>102</v>
      </c>
      <c r="E60" s="759" t="s">
        <v>132</v>
      </c>
      <c r="F60" s="758" t="s">
        <v>133</v>
      </c>
      <c r="G60" s="758" t="s">
        <v>104</v>
      </c>
      <c r="H60" s="760" t="s">
        <v>134</v>
      </c>
      <c r="I60" s="760" t="s">
        <v>135</v>
      </c>
      <c r="J60" s="760" t="s">
        <v>65</v>
      </c>
      <c r="K60" s="760" t="s">
        <v>67</v>
      </c>
      <c r="L60" s="760" t="s">
        <v>73</v>
      </c>
      <c r="M60" s="760" t="s">
        <v>79</v>
      </c>
      <c r="N60" s="761" t="s">
        <v>136</v>
      </c>
      <c r="O60" s="761" t="s">
        <v>137</v>
      </c>
      <c r="P60" s="762" t="s">
        <v>123</v>
      </c>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row>
    <row r="61" spans="1:868" s="1" customFormat="1">
      <c r="A61" s="650" t="s">
        <v>118</v>
      </c>
      <c r="B61" s="802" t="s">
        <v>432</v>
      </c>
      <c r="C61" s="33" t="s">
        <v>139</v>
      </c>
      <c r="D61" s="121" t="s">
        <v>99</v>
      </c>
      <c r="E61" s="764">
        <f t="shared" ref="E61:E74" si="22">(G36)/(SUM($G$36:$G$49))</f>
        <v>0.10650572468270171</v>
      </c>
      <c r="F61" s="11">
        <v>1</v>
      </c>
      <c r="G61" s="11" t="s">
        <v>433</v>
      </c>
      <c r="H61" s="13">
        <v>1</v>
      </c>
      <c r="I61" s="13">
        <v>2</v>
      </c>
      <c r="J61" s="13">
        <v>2</v>
      </c>
      <c r="K61" s="13">
        <v>1</v>
      </c>
      <c r="L61" s="13">
        <v>1</v>
      </c>
      <c r="M61" s="13">
        <v>2</v>
      </c>
      <c r="N61" s="431">
        <f t="shared" ref="N61" si="23">IF( OR( ISBLANK(H61),ISBLANK(J61), ISBLANK(K61), ISBLANK(L61), ISBLANK(M61) ), "", 1.5*SQRT(   EXP(2.21*(H61-1)) + EXP(2.21*(J61-1)) + EXP(2.21*(K61-1)) + EXP(2.21*(L61-1)) + EXP(2.21*M61)   )/100*2.45 )</f>
        <v>0.35859414261160716</v>
      </c>
      <c r="O61" s="431">
        <f t="shared" ref="O61" si="24">IF( OR( ISBLANK(I61),ISBLANK(J61), ISBLANK(K61), ISBLANK(L61), ISBLANK(M61) ), "", 1.5*SQRT( EXP(2.21*(I61-1)) + EXP(2.21*(J61-1)) + EXP(2.21*(K61-1)) + EXP(2.21*(L61-1)) + EXP(2.21*M61)   )/100*2.45 )</f>
        <v>0.37356464144298934</v>
      </c>
      <c r="P61" s="42"/>
      <c r="Q61" s="443"/>
      <c r="R61" s="443"/>
      <c r="S61" s="443"/>
      <c r="T61" s="443"/>
      <c r="U61" s="443"/>
      <c r="V61" s="443"/>
      <c r="W61" s="443"/>
      <c r="X61" s="443"/>
      <c r="Y61" s="443"/>
      <c r="Z61" s="443"/>
      <c r="AA61" s="443"/>
      <c r="AB61" s="443"/>
      <c r="AC61" s="443"/>
      <c r="AD61" s="443"/>
      <c r="AE61" s="443"/>
      <c r="AF61" s="443"/>
      <c r="AG61" s="443"/>
      <c r="AH61" s="443"/>
      <c r="AI61" s="443"/>
      <c r="AJ61" s="443"/>
      <c r="AK61" s="443"/>
      <c r="AL61" s="443"/>
      <c r="AM61" s="443"/>
      <c r="AN61" s="443"/>
      <c r="AO61" s="443"/>
      <c r="AP61" s="443"/>
      <c r="AQ61" s="443"/>
      <c r="AR61" s="443"/>
      <c r="AS61" s="443"/>
      <c r="AT61" s="443"/>
      <c r="AU61" s="443"/>
      <c r="AV61" s="443"/>
      <c r="AW61" s="443"/>
      <c r="AX61" s="443"/>
      <c r="AY61" s="443"/>
      <c r="AZ61" s="443"/>
      <c r="BA61" s="443"/>
      <c r="BB61" s="443"/>
      <c r="BC61" s="443"/>
      <c r="BD61" s="443"/>
      <c r="BE61" s="443"/>
      <c r="BF61" s="443"/>
      <c r="BG61" s="443"/>
      <c r="BH61" s="443"/>
      <c r="BI61" s="443"/>
      <c r="BJ61" s="443"/>
      <c r="BK61" s="443"/>
      <c r="BL61" s="443"/>
      <c r="BM61" s="443"/>
      <c r="BN61" s="443"/>
      <c r="BO61" s="443"/>
      <c r="BP61" s="443"/>
      <c r="BQ61" s="443"/>
      <c r="BR61" s="443"/>
      <c r="BS61" s="443"/>
      <c r="BT61" s="443"/>
      <c r="BU61" s="443"/>
      <c r="BV61" s="443"/>
      <c r="BW61" s="443"/>
      <c r="BX61" s="443"/>
      <c r="BY61" s="443"/>
      <c r="BZ61" s="443"/>
      <c r="CA61" s="443"/>
      <c r="CB61" s="443"/>
      <c r="CC61" s="443"/>
      <c r="CD61" s="443"/>
      <c r="CE61" s="443"/>
      <c r="CF61" s="443"/>
      <c r="CG61" s="443"/>
      <c r="CH61" s="443"/>
      <c r="CI61" s="443"/>
      <c r="CJ61" s="443"/>
      <c r="CK61" s="443"/>
      <c r="CL61" s="443"/>
      <c r="CM61" s="443"/>
      <c r="CN61" s="443"/>
      <c r="CO61" s="443"/>
      <c r="CP61" s="443"/>
      <c r="CQ61" s="443"/>
      <c r="CR61" s="443"/>
      <c r="CS61" s="443"/>
      <c r="CT61" s="443"/>
      <c r="CU61" s="443"/>
      <c r="CV61" s="443"/>
      <c r="CW61" s="443"/>
      <c r="CX61" s="443"/>
      <c r="CY61" s="443"/>
      <c r="CZ61" s="443"/>
      <c r="DA61" s="443"/>
      <c r="DB61" s="443"/>
      <c r="DC61" s="443"/>
      <c r="DD61" s="443"/>
      <c r="DE61" s="443"/>
      <c r="DF61" s="443"/>
      <c r="DG61" s="443"/>
      <c r="DH61" s="443"/>
      <c r="DI61" s="443"/>
      <c r="DJ61" s="443"/>
      <c r="DK61" s="443"/>
      <c r="DL61" s="443"/>
      <c r="DM61" s="443"/>
      <c r="DN61" s="443"/>
      <c r="DO61" s="443"/>
      <c r="DP61" s="443"/>
      <c r="DQ61" s="443"/>
      <c r="DR61" s="443"/>
      <c r="DS61" s="443"/>
      <c r="DT61" s="443"/>
      <c r="DU61" s="443"/>
      <c r="DV61" s="443"/>
      <c r="DW61" s="443"/>
      <c r="DX61" s="443"/>
      <c r="DY61" s="443"/>
      <c r="DZ61" s="443"/>
      <c r="EA61" s="443"/>
      <c r="EB61" s="443"/>
      <c r="EC61" s="443"/>
      <c r="ED61" s="443"/>
      <c r="EE61" s="443"/>
      <c r="EF61" s="443"/>
      <c r="EG61" s="443"/>
      <c r="EH61" s="443"/>
      <c r="EI61" s="443"/>
      <c r="EJ61" s="443"/>
      <c r="EK61" s="443"/>
      <c r="EL61" s="443"/>
      <c r="EM61" s="443"/>
      <c r="EN61" s="443"/>
      <c r="EO61" s="443"/>
      <c r="EP61" s="443"/>
      <c r="EQ61" s="443"/>
      <c r="ER61" s="443"/>
      <c r="ES61" s="443"/>
      <c r="ET61" s="443"/>
      <c r="EU61" s="443"/>
      <c r="EV61" s="443"/>
      <c r="EW61" s="443"/>
      <c r="EX61" s="443"/>
      <c r="EY61" s="443"/>
      <c r="EZ61" s="443"/>
      <c r="FA61" s="443"/>
      <c r="FB61" s="443"/>
      <c r="FC61" s="443"/>
      <c r="FD61" s="443"/>
      <c r="FE61" s="443"/>
      <c r="FF61" s="443"/>
      <c r="FG61" s="443"/>
      <c r="FH61" s="443"/>
      <c r="FI61" s="443"/>
      <c r="FJ61" s="443"/>
      <c r="FK61" s="443"/>
      <c r="FL61" s="443"/>
      <c r="FM61" s="443"/>
      <c r="FN61" s="443"/>
      <c r="FO61" s="443"/>
      <c r="FP61" s="443"/>
      <c r="FQ61" s="443"/>
      <c r="FR61" s="443"/>
      <c r="FS61" s="443"/>
      <c r="FT61" s="443"/>
      <c r="FU61" s="443"/>
      <c r="FV61" s="443"/>
      <c r="FW61" s="443"/>
      <c r="FX61" s="443"/>
      <c r="FY61" s="443"/>
      <c r="FZ61" s="443"/>
      <c r="GA61" s="443"/>
      <c r="GB61" s="443"/>
      <c r="GC61" s="443"/>
      <c r="GD61" s="443"/>
      <c r="GE61" s="443"/>
      <c r="GF61" s="443"/>
      <c r="GG61" s="443"/>
      <c r="GH61" s="443"/>
      <c r="GI61" s="443"/>
      <c r="GJ61" s="443"/>
      <c r="GK61" s="443"/>
      <c r="GL61" s="443"/>
      <c r="GM61" s="443"/>
      <c r="GN61" s="443"/>
      <c r="GO61" s="443"/>
      <c r="GP61" s="443"/>
      <c r="GQ61" s="443"/>
      <c r="GR61" s="443"/>
      <c r="GS61" s="443"/>
      <c r="GT61" s="443"/>
      <c r="GU61" s="443"/>
      <c r="GV61" s="443"/>
      <c r="GW61" s="443"/>
      <c r="GX61" s="443"/>
      <c r="GY61" s="443"/>
      <c r="GZ61" s="443"/>
      <c r="HA61" s="443"/>
      <c r="HB61" s="443"/>
      <c r="HC61" s="443"/>
      <c r="HD61" s="443"/>
      <c r="HE61" s="443"/>
      <c r="HF61" s="443"/>
      <c r="HG61" s="443"/>
      <c r="HH61" s="443"/>
      <c r="HI61" s="443"/>
      <c r="HJ61" s="443"/>
      <c r="HK61" s="443"/>
      <c r="HL61" s="443"/>
      <c r="HM61" s="443"/>
      <c r="HN61" s="443"/>
      <c r="HO61" s="443"/>
      <c r="HP61" s="443"/>
      <c r="HQ61" s="443"/>
      <c r="HR61" s="443"/>
      <c r="HS61" s="443"/>
      <c r="HT61" s="443"/>
      <c r="HU61" s="443"/>
      <c r="HV61" s="443"/>
      <c r="HW61" s="443"/>
      <c r="HX61" s="443"/>
      <c r="HY61" s="443"/>
      <c r="HZ61" s="443"/>
      <c r="IA61" s="443"/>
      <c r="IB61" s="443"/>
      <c r="IC61" s="443"/>
      <c r="ID61" s="443"/>
      <c r="IE61" s="443"/>
      <c r="IF61" s="443"/>
      <c r="IG61" s="443"/>
      <c r="IH61" s="443"/>
      <c r="II61" s="443"/>
      <c r="IJ61" s="443"/>
      <c r="IK61" s="443"/>
      <c r="IL61" s="443"/>
      <c r="IM61" s="443"/>
      <c r="IN61" s="443"/>
      <c r="IO61" s="443"/>
      <c r="IP61" s="443"/>
      <c r="IQ61" s="443"/>
      <c r="IR61" s="443"/>
      <c r="IS61" s="443"/>
      <c r="IT61" s="443"/>
      <c r="IU61" s="443"/>
      <c r="IV61" s="443"/>
      <c r="IW61" s="443"/>
      <c r="IX61" s="443"/>
      <c r="IY61" s="443"/>
      <c r="IZ61" s="443"/>
      <c r="JA61" s="443"/>
      <c r="JB61" s="443"/>
      <c r="JC61" s="443"/>
      <c r="JD61" s="443"/>
      <c r="JE61" s="443"/>
      <c r="JF61" s="443"/>
      <c r="JG61" s="443"/>
      <c r="JH61" s="443"/>
      <c r="JI61" s="443"/>
      <c r="JJ61" s="443"/>
      <c r="JK61" s="443"/>
      <c r="JL61" s="443"/>
      <c r="JM61" s="443"/>
      <c r="JN61" s="443"/>
      <c r="JO61" s="443"/>
      <c r="JP61" s="443"/>
      <c r="JQ61" s="443"/>
      <c r="JR61" s="443"/>
      <c r="JS61" s="443"/>
      <c r="JT61" s="443"/>
      <c r="JU61" s="443"/>
      <c r="JV61" s="443"/>
      <c r="JW61" s="443"/>
      <c r="JX61" s="443"/>
      <c r="JY61" s="443"/>
      <c r="JZ61" s="443"/>
      <c r="KA61" s="443"/>
      <c r="KB61" s="443"/>
      <c r="KC61" s="443"/>
      <c r="KD61" s="443"/>
      <c r="KE61" s="443"/>
      <c r="KF61" s="443"/>
      <c r="KG61" s="443"/>
      <c r="KH61" s="443"/>
      <c r="KI61" s="443"/>
      <c r="KJ61" s="443"/>
      <c r="KK61" s="443"/>
      <c r="KL61" s="443"/>
      <c r="KM61" s="443"/>
      <c r="KN61" s="443"/>
      <c r="KO61" s="443"/>
      <c r="KP61" s="443"/>
      <c r="KQ61" s="443"/>
      <c r="KR61" s="443"/>
      <c r="KS61" s="443"/>
      <c r="KT61" s="443"/>
      <c r="KU61" s="443"/>
      <c r="KV61" s="443"/>
      <c r="KW61" s="443"/>
      <c r="KX61" s="443"/>
      <c r="KY61" s="443"/>
      <c r="KZ61" s="443"/>
      <c r="LA61" s="443"/>
      <c r="LB61" s="443"/>
      <c r="LC61" s="443"/>
      <c r="LD61" s="443"/>
      <c r="LE61" s="443"/>
      <c r="LF61" s="443"/>
      <c r="LG61" s="443"/>
      <c r="LH61" s="443"/>
      <c r="LI61" s="443"/>
      <c r="LJ61" s="443"/>
      <c r="LK61" s="443"/>
      <c r="LL61" s="443"/>
      <c r="LM61" s="443"/>
      <c r="LN61" s="443"/>
      <c r="LO61" s="443"/>
      <c r="LP61" s="443"/>
      <c r="LQ61" s="443"/>
      <c r="LR61" s="443"/>
      <c r="LS61" s="443"/>
      <c r="LT61" s="443"/>
      <c r="LU61" s="443"/>
      <c r="LV61" s="443"/>
      <c r="LW61" s="443"/>
      <c r="LX61" s="443"/>
      <c r="LY61" s="443"/>
      <c r="LZ61" s="443"/>
      <c r="MA61" s="443"/>
      <c r="MB61" s="443"/>
      <c r="MC61" s="443"/>
      <c r="MD61" s="443"/>
      <c r="ME61" s="443"/>
      <c r="MF61" s="443"/>
      <c r="MG61" s="443"/>
      <c r="MH61" s="443"/>
      <c r="MI61" s="443"/>
      <c r="MJ61" s="443"/>
      <c r="MK61" s="443"/>
      <c r="ML61" s="443"/>
      <c r="MM61" s="443"/>
      <c r="MN61" s="443"/>
      <c r="MO61" s="443"/>
      <c r="MP61" s="443"/>
      <c r="MQ61" s="443"/>
      <c r="MR61" s="443"/>
      <c r="MS61" s="443"/>
      <c r="MT61" s="443"/>
      <c r="MU61" s="443"/>
      <c r="MV61" s="443"/>
      <c r="MW61" s="443"/>
      <c r="MX61" s="443"/>
      <c r="MY61" s="443"/>
      <c r="MZ61" s="443"/>
      <c r="NA61" s="443"/>
      <c r="NB61" s="443"/>
      <c r="NC61" s="443"/>
      <c r="ND61" s="443"/>
      <c r="NE61" s="443"/>
      <c r="NF61" s="443"/>
      <c r="NG61" s="443"/>
      <c r="NH61" s="443"/>
      <c r="NI61" s="443"/>
      <c r="NJ61" s="443"/>
      <c r="NK61" s="443"/>
      <c r="NL61" s="443"/>
      <c r="NM61" s="443"/>
      <c r="NN61" s="443"/>
      <c r="NO61" s="443"/>
      <c r="NP61" s="443"/>
      <c r="NQ61" s="443"/>
      <c r="NR61" s="443"/>
      <c r="NS61" s="443"/>
      <c r="NT61" s="443"/>
      <c r="NU61" s="443"/>
      <c r="NV61" s="443"/>
      <c r="NW61" s="443"/>
      <c r="NX61" s="443"/>
      <c r="NY61" s="443"/>
      <c r="NZ61" s="443"/>
      <c r="OA61" s="443"/>
      <c r="OB61" s="443"/>
      <c r="OC61" s="443"/>
      <c r="OD61" s="443"/>
      <c r="OE61" s="443"/>
      <c r="OF61" s="443"/>
      <c r="OG61" s="443"/>
      <c r="OH61" s="443"/>
      <c r="OI61" s="443"/>
      <c r="OJ61" s="443"/>
      <c r="OK61" s="443"/>
      <c r="OL61" s="443"/>
      <c r="OM61" s="443"/>
      <c r="ON61" s="443"/>
      <c r="OO61" s="443"/>
      <c r="OP61" s="443"/>
      <c r="OQ61" s="443"/>
      <c r="OR61" s="443"/>
      <c r="OS61" s="443"/>
      <c r="OT61" s="443"/>
      <c r="OU61" s="443"/>
      <c r="OV61" s="443"/>
      <c r="OW61" s="443"/>
      <c r="OX61" s="443"/>
      <c r="OY61" s="443"/>
      <c r="OZ61" s="443"/>
      <c r="PA61" s="443"/>
      <c r="PB61" s="443"/>
      <c r="PC61" s="443"/>
      <c r="PD61" s="443"/>
      <c r="PE61" s="443"/>
      <c r="PF61" s="443"/>
      <c r="PG61" s="443"/>
      <c r="PH61" s="443"/>
      <c r="PI61" s="443"/>
      <c r="PJ61" s="443"/>
      <c r="PK61" s="443"/>
      <c r="PL61" s="443"/>
      <c r="PM61" s="443"/>
      <c r="PN61" s="443"/>
      <c r="PO61" s="443"/>
      <c r="PP61" s="443"/>
      <c r="PQ61" s="443"/>
      <c r="PR61" s="443"/>
      <c r="PS61" s="443"/>
      <c r="PT61" s="443"/>
      <c r="PU61" s="443"/>
      <c r="PV61" s="443"/>
      <c r="PW61" s="443"/>
      <c r="PX61" s="443"/>
      <c r="PY61" s="443"/>
      <c r="PZ61" s="443"/>
      <c r="QA61" s="443"/>
      <c r="QB61" s="443"/>
      <c r="QC61" s="443"/>
      <c r="QD61" s="443"/>
      <c r="QE61" s="443"/>
      <c r="QF61" s="443"/>
      <c r="QG61" s="443"/>
      <c r="QH61" s="443"/>
      <c r="QI61" s="443"/>
      <c r="QJ61" s="443"/>
      <c r="QK61" s="443"/>
      <c r="QL61" s="443"/>
      <c r="QM61" s="443"/>
      <c r="QN61" s="443"/>
      <c r="QO61" s="443"/>
      <c r="QP61" s="443"/>
      <c r="QQ61" s="443"/>
      <c r="QR61" s="443"/>
      <c r="QS61" s="443"/>
      <c r="QT61" s="443"/>
      <c r="QU61" s="443"/>
      <c r="QV61" s="443"/>
      <c r="QW61" s="443"/>
      <c r="QX61" s="443"/>
      <c r="QY61" s="443"/>
      <c r="QZ61" s="443"/>
      <c r="RA61" s="443"/>
      <c r="RB61" s="443"/>
      <c r="RC61" s="443"/>
      <c r="RD61" s="443"/>
      <c r="RE61" s="443"/>
      <c r="RF61" s="443"/>
      <c r="RG61" s="443"/>
      <c r="RH61" s="443"/>
      <c r="RI61" s="443"/>
      <c r="RJ61" s="443"/>
      <c r="RK61" s="443"/>
      <c r="RL61" s="443"/>
      <c r="RM61" s="443"/>
      <c r="RN61" s="443"/>
      <c r="RO61" s="443"/>
      <c r="RP61" s="443"/>
      <c r="RQ61" s="443"/>
      <c r="RR61" s="443"/>
      <c r="RS61" s="443"/>
      <c r="RT61" s="443"/>
      <c r="RU61" s="443"/>
      <c r="RV61" s="443"/>
      <c r="RW61" s="443"/>
      <c r="RX61" s="443"/>
      <c r="RY61" s="443"/>
      <c r="RZ61" s="443"/>
      <c r="SA61" s="443"/>
      <c r="SB61" s="443"/>
      <c r="SC61" s="443"/>
      <c r="SD61" s="443"/>
      <c r="SE61" s="443"/>
      <c r="SF61" s="443"/>
      <c r="SG61" s="443"/>
      <c r="SH61" s="443"/>
      <c r="SI61" s="443"/>
      <c r="SJ61" s="443"/>
      <c r="SK61" s="443"/>
      <c r="SL61" s="443"/>
      <c r="SM61" s="443"/>
      <c r="SN61" s="443"/>
      <c r="SO61" s="443"/>
      <c r="SP61" s="443"/>
      <c r="SQ61" s="443"/>
      <c r="SR61" s="443"/>
      <c r="SS61" s="443"/>
      <c r="ST61" s="443"/>
      <c r="SU61" s="443"/>
      <c r="SV61" s="443"/>
      <c r="SW61" s="443"/>
      <c r="SX61" s="443"/>
      <c r="SY61" s="443"/>
      <c r="SZ61" s="443"/>
      <c r="TA61" s="443"/>
      <c r="TB61" s="443"/>
      <c r="TC61" s="443"/>
      <c r="TD61" s="443"/>
      <c r="TE61" s="443"/>
      <c r="TF61" s="443"/>
      <c r="TG61" s="443"/>
      <c r="TH61" s="443"/>
      <c r="TI61" s="443"/>
      <c r="TJ61" s="443"/>
      <c r="TK61" s="443"/>
      <c r="TL61" s="443"/>
      <c r="TM61" s="443"/>
      <c r="TN61" s="443"/>
      <c r="TO61" s="443"/>
      <c r="TP61" s="443"/>
      <c r="TQ61" s="443"/>
      <c r="TR61" s="443"/>
      <c r="TS61" s="443"/>
      <c r="TT61" s="443"/>
      <c r="TU61" s="443"/>
      <c r="TV61" s="443"/>
      <c r="TW61" s="443"/>
      <c r="TX61" s="443"/>
      <c r="TY61" s="443"/>
      <c r="TZ61" s="443"/>
      <c r="UA61" s="443"/>
      <c r="UB61" s="443"/>
      <c r="UC61" s="443"/>
      <c r="UD61" s="443"/>
      <c r="UE61" s="443"/>
      <c r="UF61" s="443"/>
      <c r="UG61" s="443"/>
      <c r="UH61" s="443"/>
      <c r="UI61" s="443"/>
      <c r="UJ61" s="443"/>
      <c r="UK61" s="443"/>
      <c r="UL61" s="443"/>
      <c r="UM61" s="443"/>
      <c r="UN61" s="443"/>
      <c r="UO61" s="443"/>
      <c r="UP61" s="443"/>
      <c r="UQ61" s="443"/>
      <c r="UR61" s="443"/>
      <c r="US61" s="443"/>
      <c r="UT61" s="443"/>
      <c r="UU61" s="443"/>
      <c r="UV61" s="443"/>
      <c r="UW61" s="443"/>
      <c r="UX61" s="443"/>
      <c r="UY61" s="443"/>
      <c r="UZ61" s="443"/>
      <c r="VA61" s="443"/>
      <c r="VB61" s="443"/>
      <c r="VC61" s="443"/>
      <c r="VD61" s="443"/>
      <c r="VE61" s="443"/>
      <c r="VF61" s="443"/>
      <c r="VG61" s="443"/>
      <c r="VH61" s="443"/>
      <c r="VI61" s="443"/>
      <c r="VJ61" s="443"/>
      <c r="VK61" s="443"/>
      <c r="VL61" s="443"/>
      <c r="VM61" s="443"/>
      <c r="VN61" s="443"/>
      <c r="VO61" s="443"/>
      <c r="VP61" s="443"/>
      <c r="VQ61" s="443"/>
      <c r="VR61" s="443"/>
      <c r="VS61" s="443"/>
      <c r="VT61" s="443"/>
      <c r="VU61" s="443"/>
      <c r="VV61" s="443"/>
      <c r="VW61" s="443"/>
      <c r="VX61" s="443"/>
      <c r="VY61" s="443"/>
      <c r="VZ61" s="443"/>
      <c r="WA61" s="443"/>
      <c r="WB61" s="443"/>
      <c r="WC61" s="443"/>
      <c r="WD61" s="443"/>
      <c r="WE61" s="443"/>
      <c r="WF61" s="443"/>
      <c r="WG61" s="443"/>
      <c r="WH61" s="443"/>
      <c r="WI61" s="443"/>
      <c r="WJ61" s="443"/>
      <c r="WK61" s="443"/>
      <c r="WL61" s="443"/>
      <c r="WM61" s="443"/>
      <c r="WN61" s="443"/>
      <c r="WO61" s="443"/>
      <c r="WP61" s="443"/>
      <c r="WQ61" s="443"/>
      <c r="WR61" s="443"/>
      <c r="WS61" s="443"/>
      <c r="WT61" s="443"/>
      <c r="WU61" s="443"/>
      <c r="WV61" s="443"/>
      <c r="WW61" s="443"/>
      <c r="WX61" s="443"/>
      <c r="WY61" s="443"/>
      <c r="WZ61" s="443"/>
      <c r="XA61" s="443"/>
      <c r="XB61" s="443"/>
      <c r="XC61" s="443"/>
      <c r="XD61" s="443"/>
      <c r="XE61" s="443"/>
      <c r="XF61" s="443"/>
      <c r="XG61" s="443"/>
      <c r="XH61" s="443"/>
      <c r="XI61" s="443"/>
      <c r="XJ61" s="443"/>
      <c r="XK61" s="443"/>
      <c r="XL61" s="443"/>
      <c r="XM61" s="443"/>
      <c r="XN61" s="443"/>
      <c r="XO61" s="443"/>
      <c r="XP61" s="443"/>
      <c r="XQ61" s="443"/>
      <c r="XR61" s="443"/>
      <c r="XS61" s="443"/>
      <c r="XT61" s="443"/>
      <c r="XU61" s="443"/>
      <c r="XV61" s="443"/>
      <c r="XW61" s="443"/>
      <c r="XX61" s="443"/>
      <c r="XY61" s="443"/>
      <c r="XZ61" s="443"/>
      <c r="YA61" s="443"/>
      <c r="YB61" s="443"/>
      <c r="YC61" s="443"/>
      <c r="YD61" s="443"/>
      <c r="YE61" s="443"/>
      <c r="YF61" s="443"/>
      <c r="YG61" s="443"/>
      <c r="YH61" s="443"/>
      <c r="YI61" s="443"/>
      <c r="YJ61" s="443"/>
      <c r="YK61" s="443"/>
      <c r="YL61" s="443"/>
      <c r="YM61" s="443"/>
      <c r="YN61" s="443"/>
      <c r="YO61" s="443"/>
      <c r="YP61" s="443"/>
      <c r="YQ61" s="443"/>
      <c r="YR61" s="443"/>
      <c r="YS61" s="443"/>
      <c r="YT61" s="443"/>
      <c r="YU61" s="443"/>
      <c r="YV61" s="443"/>
      <c r="YW61" s="443"/>
      <c r="YX61" s="443"/>
      <c r="YY61" s="443"/>
      <c r="YZ61" s="443"/>
      <c r="ZA61" s="443"/>
      <c r="ZB61" s="443"/>
      <c r="ZC61" s="443"/>
      <c r="ZD61" s="443"/>
      <c r="ZE61" s="443"/>
      <c r="ZF61" s="443"/>
      <c r="ZG61" s="443"/>
      <c r="ZH61" s="443"/>
      <c r="ZI61" s="443"/>
      <c r="ZJ61" s="443"/>
      <c r="ZK61" s="443"/>
      <c r="ZL61" s="443"/>
      <c r="ZM61" s="443"/>
      <c r="ZN61" s="443"/>
      <c r="ZO61" s="443"/>
      <c r="ZP61" s="443"/>
      <c r="ZQ61" s="443"/>
      <c r="ZR61" s="443"/>
      <c r="ZS61" s="443"/>
      <c r="ZT61" s="443"/>
      <c r="ZU61" s="443"/>
      <c r="ZV61" s="443"/>
      <c r="ZW61" s="443"/>
      <c r="ZX61" s="443"/>
      <c r="ZY61" s="443"/>
      <c r="ZZ61" s="443"/>
      <c r="AAA61" s="443"/>
      <c r="AAB61" s="443"/>
      <c r="AAC61" s="443"/>
      <c r="AAD61" s="443"/>
      <c r="AAE61" s="443"/>
      <c r="AAF61" s="443"/>
      <c r="AAG61" s="443"/>
      <c r="AAH61" s="443"/>
      <c r="AAI61" s="443"/>
      <c r="AAJ61" s="443"/>
      <c r="AAK61" s="443"/>
      <c r="AAL61" s="443"/>
      <c r="AAM61" s="443"/>
      <c r="AAN61" s="443"/>
      <c r="AAO61" s="443"/>
      <c r="AAP61" s="443"/>
      <c r="AAQ61" s="443"/>
      <c r="AAR61" s="443"/>
      <c r="AAS61" s="443"/>
      <c r="AAT61" s="443"/>
      <c r="AAU61" s="443"/>
      <c r="AAV61" s="443"/>
      <c r="AAW61" s="443"/>
      <c r="AAX61" s="443"/>
      <c r="AAY61" s="443"/>
      <c r="AAZ61" s="443"/>
      <c r="ABA61" s="443"/>
      <c r="ABB61" s="443"/>
      <c r="ABC61" s="443"/>
      <c r="ABD61" s="443"/>
      <c r="ABE61" s="443"/>
      <c r="ABF61" s="443"/>
      <c r="ABG61" s="443"/>
      <c r="ABH61" s="443"/>
      <c r="ABI61" s="443"/>
      <c r="ABJ61" s="443"/>
      <c r="ABK61" s="443"/>
      <c r="ABL61" s="443"/>
      <c r="ABM61" s="443"/>
      <c r="ABN61" s="443"/>
      <c r="ABO61" s="443"/>
      <c r="ABP61" s="443"/>
      <c r="ABQ61" s="443"/>
      <c r="ABR61" s="443"/>
      <c r="ABS61" s="443"/>
      <c r="ABT61" s="443"/>
      <c r="ABU61" s="443"/>
      <c r="ABV61" s="443"/>
      <c r="ABW61" s="443"/>
      <c r="ABX61" s="443"/>
      <c r="ABY61" s="443"/>
      <c r="ABZ61" s="443"/>
      <c r="ACA61" s="443"/>
      <c r="ACB61" s="443"/>
      <c r="ACC61" s="443"/>
      <c r="ACD61" s="443"/>
      <c r="ACE61" s="443"/>
      <c r="ACF61" s="443"/>
      <c r="ACG61" s="443"/>
      <c r="ACH61" s="443"/>
      <c r="ACI61" s="443"/>
      <c r="ACJ61" s="443"/>
      <c r="ACK61" s="443"/>
      <c r="ACL61" s="443"/>
      <c r="ACM61" s="443"/>
      <c r="ACN61" s="443"/>
      <c r="ACO61" s="443"/>
      <c r="ACP61" s="443"/>
      <c r="ACQ61" s="443"/>
      <c r="ACR61" s="443"/>
      <c r="ACS61" s="443"/>
      <c r="ACT61" s="443"/>
      <c r="ACU61" s="443"/>
      <c r="ACV61" s="443"/>
      <c r="ACW61" s="443"/>
      <c r="ACX61" s="443"/>
      <c r="ACY61" s="443"/>
      <c r="ACZ61" s="443"/>
      <c r="ADA61" s="443"/>
      <c r="ADB61" s="443"/>
      <c r="ADC61" s="443"/>
      <c r="ADD61" s="443"/>
      <c r="ADE61" s="443"/>
      <c r="ADF61" s="443"/>
      <c r="ADG61" s="443"/>
      <c r="ADH61" s="443"/>
      <c r="ADI61" s="443"/>
      <c r="ADJ61" s="443"/>
      <c r="ADK61" s="443"/>
      <c r="ADL61" s="443"/>
      <c r="ADM61" s="443"/>
      <c r="ADN61" s="443"/>
      <c r="ADO61" s="443"/>
      <c r="ADP61" s="443"/>
      <c r="ADQ61" s="443"/>
      <c r="ADR61" s="443"/>
      <c r="ADS61" s="443"/>
      <c r="ADT61" s="443"/>
      <c r="ADU61" s="443"/>
      <c r="ADV61" s="443"/>
      <c r="ADW61" s="443"/>
      <c r="ADX61" s="443"/>
      <c r="ADY61" s="443"/>
      <c r="ADZ61" s="443"/>
      <c r="AEA61" s="443"/>
      <c r="AEB61" s="443"/>
      <c r="AEC61" s="443"/>
      <c r="AED61" s="443"/>
      <c r="AEE61" s="443"/>
      <c r="AEF61" s="443"/>
      <c r="AEG61" s="443"/>
      <c r="AEH61" s="443"/>
      <c r="AEI61" s="443"/>
      <c r="AEJ61" s="443"/>
      <c r="AEK61" s="443"/>
      <c r="AEL61" s="443"/>
      <c r="AEM61" s="443"/>
      <c r="AEN61" s="443"/>
      <c r="AEO61" s="443"/>
      <c r="AEP61" s="443"/>
      <c r="AEQ61" s="443"/>
      <c r="AER61" s="443"/>
      <c r="AES61" s="443"/>
      <c r="AET61" s="443"/>
      <c r="AEU61" s="443"/>
      <c r="AEV61" s="443"/>
      <c r="AEW61" s="443"/>
      <c r="AEX61" s="443"/>
      <c r="AEY61" s="443"/>
      <c r="AEZ61" s="443"/>
      <c r="AFA61" s="443"/>
      <c r="AFB61" s="443"/>
      <c r="AFC61" s="443"/>
      <c r="AFD61" s="443"/>
      <c r="AFE61" s="443"/>
      <c r="AFF61" s="443"/>
      <c r="AFG61" s="443"/>
      <c r="AFH61" s="443"/>
      <c r="AFI61" s="443"/>
      <c r="AFJ61" s="443"/>
      <c r="AFK61" s="443"/>
      <c r="AFL61" s="443"/>
      <c r="AFM61" s="443"/>
      <c r="AFN61" s="443"/>
      <c r="AFO61" s="443"/>
      <c r="AFP61" s="443"/>
      <c r="AFQ61" s="443"/>
      <c r="AFR61" s="443"/>
      <c r="AFS61" s="443"/>
      <c r="AFT61" s="443"/>
      <c r="AFU61" s="443"/>
      <c r="AFV61" s="443"/>
      <c r="AFW61" s="443"/>
      <c r="AFX61" s="443"/>
      <c r="AFY61" s="443"/>
      <c r="AFZ61" s="443"/>
      <c r="AGA61" s="443"/>
      <c r="AGB61" s="443"/>
      <c r="AGC61" s="443"/>
      <c r="AGD61" s="443"/>
      <c r="AGE61" s="443"/>
      <c r="AGF61" s="443"/>
      <c r="AGG61" s="443"/>
      <c r="AGH61" s="443"/>
      <c r="AGI61" s="443"/>
      <c r="AGJ61" s="443"/>
    </row>
    <row r="62" spans="1:868" s="1" customFormat="1">
      <c r="A62" s="652" t="s">
        <v>118</v>
      </c>
      <c r="B62" s="799" t="s">
        <v>434</v>
      </c>
      <c r="C62" s="34" t="s">
        <v>139</v>
      </c>
      <c r="D62" s="122" t="s">
        <v>99</v>
      </c>
      <c r="E62" s="637">
        <f t="shared" si="22"/>
        <v>0.11360610632821515</v>
      </c>
      <c r="F62" s="9">
        <v>1</v>
      </c>
      <c r="G62" s="9" t="s">
        <v>433</v>
      </c>
      <c r="H62" s="10">
        <v>1</v>
      </c>
      <c r="I62" s="10">
        <v>2</v>
      </c>
      <c r="J62" s="10">
        <v>2</v>
      </c>
      <c r="K62" s="10">
        <v>1</v>
      </c>
      <c r="L62" s="10">
        <v>1</v>
      </c>
      <c r="M62" s="10">
        <v>2</v>
      </c>
      <c r="N62" s="411">
        <f t="shared" ref="N62:N129" si="25">IF( OR( ISBLANK(H62),ISBLANK(J62), ISBLANK(K62), ISBLANK(L62), ISBLANK(M62) ), "", 1.5*SQRT(   EXP(2.21*(H62-1)) + EXP(2.21*(J62-1)) + EXP(2.21*(K62-1)) + EXP(2.21*(L62-1)) + EXP(2.21*M62)   )/100*2.45 )</f>
        <v>0.35859414261160716</v>
      </c>
      <c r="O62" s="411">
        <f t="shared" ref="O62:O129" si="26">IF( OR( ISBLANK(I62),ISBLANK(J62), ISBLANK(K62), ISBLANK(L62), ISBLANK(M62) ), "", 1.5*SQRT( EXP(2.21*(I62-1)) + EXP(2.21*(J62-1)) + EXP(2.21*(K62-1)) + EXP(2.21*(L62-1)) + EXP(2.21*M62)   )/100*2.45 )</f>
        <v>0.37356464144298934</v>
      </c>
      <c r="P62" s="43"/>
      <c r="Q62" s="443"/>
      <c r="R62" s="443"/>
      <c r="S62" s="443"/>
      <c r="T62" s="443"/>
      <c r="U62" s="443"/>
      <c r="V62" s="443"/>
      <c r="W62" s="443"/>
      <c r="X62" s="443"/>
      <c r="Y62" s="443"/>
      <c r="Z62" s="443"/>
      <c r="AA62" s="443"/>
      <c r="AB62" s="443"/>
      <c r="AC62" s="443"/>
      <c r="AD62" s="443"/>
      <c r="AE62" s="443"/>
      <c r="AF62" s="443"/>
      <c r="AG62" s="443"/>
      <c r="AH62" s="443"/>
      <c r="AI62" s="443"/>
      <c r="AJ62" s="443"/>
      <c r="AK62" s="443"/>
      <c r="AL62" s="443"/>
      <c r="AM62" s="443"/>
      <c r="AN62" s="443"/>
      <c r="AO62" s="443"/>
      <c r="AP62" s="443"/>
      <c r="AQ62" s="443"/>
      <c r="AR62" s="443"/>
      <c r="AS62" s="443"/>
      <c r="AT62" s="443"/>
      <c r="AU62" s="443"/>
      <c r="AV62" s="443"/>
      <c r="AW62" s="443"/>
      <c r="AX62" s="443"/>
      <c r="AY62" s="443"/>
      <c r="AZ62" s="443"/>
      <c r="BA62" s="443"/>
      <c r="BB62" s="443"/>
      <c r="BC62" s="443"/>
      <c r="BD62" s="443"/>
      <c r="BE62" s="443"/>
      <c r="BF62" s="443"/>
      <c r="BG62" s="443"/>
      <c r="BH62" s="443"/>
      <c r="BI62" s="443"/>
      <c r="BJ62" s="443"/>
      <c r="BK62" s="443"/>
      <c r="BL62" s="443"/>
      <c r="BM62" s="443"/>
      <c r="BN62" s="443"/>
      <c r="BO62" s="443"/>
      <c r="BP62" s="443"/>
      <c r="BQ62" s="443"/>
      <c r="BR62" s="443"/>
      <c r="BS62" s="443"/>
      <c r="BT62" s="443"/>
      <c r="BU62" s="443"/>
      <c r="BV62" s="443"/>
      <c r="BW62" s="443"/>
      <c r="BX62" s="443"/>
      <c r="BY62" s="443"/>
      <c r="BZ62" s="443"/>
      <c r="CA62" s="443"/>
      <c r="CB62" s="443"/>
      <c r="CC62" s="443"/>
      <c r="CD62" s="443"/>
      <c r="CE62" s="443"/>
      <c r="CF62" s="443"/>
      <c r="CG62" s="443"/>
      <c r="CH62" s="443"/>
      <c r="CI62" s="443"/>
      <c r="CJ62" s="443"/>
      <c r="CK62" s="443"/>
      <c r="CL62" s="443"/>
      <c r="CM62" s="443"/>
      <c r="CN62" s="443"/>
      <c r="CO62" s="443"/>
      <c r="CP62" s="443"/>
      <c r="CQ62" s="443"/>
      <c r="CR62" s="443"/>
      <c r="CS62" s="443"/>
      <c r="CT62" s="443"/>
      <c r="CU62" s="443"/>
      <c r="CV62" s="443"/>
      <c r="CW62" s="443"/>
      <c r="CX62" s="443"/>
      <c r="CY62" s="443"/>
      <c r="CZ62" s="443"/>
      <c r="DA62" s="443"/>
      <c r="DB62" s="443"/>
      <c r="DC62" s="443"/>
      <c r="DD62" s="443"/>
      <c r="DE62" s="443"/>
      <c r="DF62" s="443"/>
      <c r="DG62" s="443"/>
      <c r="DH62" s="443"/>
      <c r="DI62" s="443"/>
      <c r="DJ62" s="443"/>
      <c r="DK62" s="443"/>
      <c r="DL62" s="443"/>
      <c r="DM62" s="443"/>
      <c r="DN62" s="443"/>
      <c r="DO62" s="443"/>
      <c r="DP62" s="443"/>
      <c r="DQ62" s="443"/>
      <c r="DR62" s="443"/>
      <c r="DS62" s="443"/>
      <c r="DT62" s="443"/>
      <c r="DU62" s="443"/>
      <c r="DV62" s="443"/>
      <c r="DW62" s="443"/>
      <c r="DX62" s="443"/>
      <c r="DY62" s="443"/>
      <c r="DZ62" s="443"/>
      <c r="EA62" s="443"/>
      <c r="EB62" s="443"/>
      <c r="EC62" s="443"/>
      <c r="ED62" s="443"/>
      <c r="EE62" s="443"/>
      <c r="EF62" s="443"/>
      <c r="EG62" s="443"/>
      <c r="EH62" s="443"/>
      <c r="EI62" s="443"/>
      <c r="EJ62" s="443"/>
      <c r="EK62" s="443"/>
      <c r="EL62" s="443"/>
      <c r="EM62" s="443"/>
      <c r="EN62" s="443"/>
      <c r="EO62" s="443"/>
      <c r="EP62" s="443"/>
      <c r="EQ62" s="443"/>
      <c r="ER62" s="443"/>
      <c r="ES62" s="443"/>
      <c r="ET62" s="443"/>
      <c r="EU62" s="443"/>
      <c r="EV62" s="443"/>
      <c r="EW62" s="443"/>
      <c r="EX62" s="443"/>
      <c r="EY62" s="443"/>
      <c r="EZ62" s="443"/>
      <c r="FA62" s="443"/>
      <c r="FB62" s="443"/>
      <c r="FC62" s="443"/>
      <c r="FD62" s="443"/>
      <c r="FE62" s="443"/>
      <c r="FF62" s="443"/>
      <c r="FG62" s="443"/>
      <c r="FH62" s="443"/>
      <c r="FI62" s="443"/>
      <c r="FJ62" s="443"/>
      <c r="FK62" s="443"/>
      <c r="FL62" s="443"/>
      <c r="FM62" s="443"/>
      <c r="FN62" s="443"/>
      <c r="FO62" s="443"/>
      <c r="FP62" s="443"/>
      <c r="FQ62" s="443"/>
      <c r="FR62" s="443"/>
      <c r="FS62" s="443"/>
      <c r="FT62" s="443"/>
      <c r="FU62" s="443"/>
      <c r="FV62" s="443"/>
      <c r="FW62" s="443"/>
      <c r="FX62" s="443"/>
      <c r="FY62" s="443"/>
      <c r="FZ62" s="443"/>
      <c r="GA62" s="443"/>
      <c r="GB62" s="443"/>
      <c r="GC62" s="443"/>
      <c r="GD62" s="443"/>
      <c r="GE62" s="443"/>
      <c r="GF62" s="443"/>
      <c r="GG62" s="443"/>
      <c r="GH62" s="443"/>
      <c r="GI62" s="443"/>
      <c r="GJ62" s="443"/>
      <c r="GK62" s="443"/>
      <c r="GL62" s="443"/>
      <c r="GM62" s="443"/>
      <c r="GN62" s="443"/>
      <c r="GO62" s="443"/>
      <c r="GP62" s="443"/>
      <c r="GQ62" s="443"/>
      <c r="GR62" s="443"/>
      <c r="GS62" s="443"/>
      <c r="GT62" s="443"/>
      <c r="GU62" s="443"/>
      <c r="GV62" s="443"/>
      <c r="GW62" s="443"/>
      <c r="GX62" s="443"/>
      <c r="GY62" s="443"/>
      <c r="GZ62" s="443"/>
      <c r="HA62" s="443"/>
      <c r="HB62" s="443"/>
      <c r="HC62" s="443"/>
      <c r="HD62" s="443"/>
      <c r="HE62" s="443"/>
      <c r="HF62" s="443"/>
      <c r="HG62" s="443"/>
      <c r="HH62" s="443"/>
      <c r="HI62" s="443"/>
      <c r="HJ62" s="443"/>
      <c r="HK62" s="443"/>
      <c r="HL62" s="443"/>
      <c r="HM62" s="443"/>
      <c r="HN62" s="443"/>
      <c r="HO62" s="443"/>
      <c r="HP62" s="443"/>
      <c r="HQ62" s="443"/>
      <c r="HR62" s="443"/>
      <c r="HS62" s="443"/>
      <c r="HT62" s="443"/>
      <c r="HU62" s="443"/>
      <c r="HV62" s="443"/>
      <c r="HW62" s="443"/>
      <c r="HX62" s="443"/>
      <c r="HY62" s="443"/>
      <c r="HZ62" s="443"/>
      <c r="IA62" s="443"/>
      <c r="IB62" s="443"/>
      <c r="IC62" s="443"/>
      <c r="ID62" s="443"/>
      <c r="IE62" s="443"/>
      <c r="IF62" s="443"/>
      <c r="IG62" s="443"/>
      <c r="IH62" s="443"/>
      <c r="II62" s="443"/>
      <c r="IJ62" s="443"/>
      <c r="IK62" s="443"/>
      <c r="IL62" s="443"/>
      <c r="IM62" s="443"/>
      <c r="IN62" s="443"/>
      <c r="IO62" s="443"/>
      <c r="IP62" s="443"/>
      <c r="IQ62" s="443"/>
      <c r="IR62" s="443"/>
      <c r="IS62" s="443"/>
      <c r="IT62" s="443"/>
      <c r="IU62" s="443"/>
      <c r="IV62" s="443"/>
      <c r="IW62" s="443"/>
      <c r="IX62" s="443"/>
      <c r="IY62" s="443"/>
      <c r="IZ62" s="443"/>
      <c r="JA62" s="443"/>
      <c r="JB62" s="443"/>
      <c r="JC62" s="443"/>
      <c r="JD62" s="443"/>
      <c r="JE62" s="443"/>
      <c r="JF62" s="443"/>
      <c r="JG62" s="443"/>
      <c r="JH62" s="443"/>
      <c r="JI62" s="443"/>
      <c r="JJ62" s="443"/>
      <c r="JK62" s="443"/>
      <c r="JL62" s="443"/>
      <c r="JM62" s="443"/>
      <c r="JN62" s="443"/>
      <c r="JO62" s="443"/>
      <c r="JP62" s="443"/>
      <c r="JQ62" s="443"/>
      <c r="JR62" s="443"/>
      <c r="JS62" s="443"/>
      <c r="JT62" s="443"/>
      <c r="JU62" s="443"/>
      <c r="JV62" s="443"/>
      <c r="JW62" s="443"/>
      <c r="JX62" s="443"/>
      <c r="JY62" s="443"/>
      <c r="JZ62" s="443"/>
      <c r="KA62" s="443"/>
      <c r="KB62" s="443"/>
      <c r="KC62" s="443"/>
      <c r="KD62" s="443"/>
      <c r="KE62" s="443"/>
      <c r="KF62" s="443"/>
      <c r="KG62" s="443"/>
      <c r="KH62" s="443"/>
      <c r="KI62" s="443"/>
      <c r="KJ62" s="443"/>
      <c r="KK62" s="443"/>
      <c r="KL62" s="443"/>
      <c r="KM62" s="443"/>
      <c r="KN62" s="443"/>
      <c r="KO62" s="443"/>
      <c r="KP62" s="443"/>
      <c r="KQ62" s="443"/>
      <c r="KR62" s="443"/>
      <c r="KS62" s="443"/>
      <c r="KT62" s="443"/>
      <c r="KU62" s="443"/>
      <c r="KV62" s="443"/>
      <c r="KW62" s="443"/>
      <c r="KX62" s="443"/>
      <c r="KY62" s="443"/>
      <c r="KZ62" s="443"/>
      <c r="LA62" s="443"/>
      <c r="LB62" s="443"/>
      <c r="LC62" s="443"/>
      <c r="LD62" s="443"/>
      <c r="LE62" s="443"/>
      <c r="LF62" s="443"/>
      <c r="LG62" s="443"/>
      <c r="LH62" s="443"/>
      <c r="LI62" s="443"/>
      <c r="LJ62" s="443"/>
      <c r="LK62" s="443"/>
      <c r="LL62" s="443"/>
      <c r="LM62" s="443"/>
      <c r="LN62" s="443"/>
      <c r="LO62" s="443"/>
      <c r="LP62" s="443"/>
      <c r="LQ62" s="443"/>
      <c r="LR62" s="443"/>
      <c r="LS62" s="443"/>
      <c r="LT62" s="443"/>
      <c r="LU62" s="443"/>
      <c r="LV62" s="443"/>
      <c r="LW62" s="443"/>
      <c r="LX62" s="443"/>
      <c r="LY62" s="443"/>
      <c r="LZ62" s="443"/>
      <c r="MA62" s="443"/>
      <c r="MB62" s="443"/>
      <c r="MC62" s="443"/>
      <c r="MD62" s="443"/>
      <c r="ME62" s="443"/>
      <c r="MF62" s="443"/>
      <c r="MG62" s="443"/>
      <c r="MH62" s="443"/>
      <c r="MI62" s="443"/>
      <c r="MJ62" s="443"/>
      <c r="MK62" s="443"/>
      <c r="ML62" s="443"/>
      <c r="MM62" s="443"/>
      <c r="MN62" s="443"/>
      <c r="MO62" s="443"/>
      <c r="MP62" s="443"/>
      <c r="MQ62" s="443"/>
      <c r="MR62" s="443"/>
      <c r="MS62" s="443"/>
      <c r="MT62" s="443"/>
      <c r="MU62" s="443"/>
      <c r="MV62" s="443"/>
      <c r="MW62" s="443"/>
      <c r="MX62" s="443"/>
      <c r="MY62" s="443"/>
      <c r="MZ62" s="443"/>
      <c r="NA62" s="443"/>
      <c r="NB62" s="443"/>
      <c r="NC62" s="443"/>
      <c r="ND62" s="443"/>
      <c r="NE62" s="443"/>
      <c r="NF62" s="443"/>
      <c r="NG62" s="443"/>
      <c r="NH62" s="443"/>
      <c r="NI62" s="443"/>
      <c r="NJ62" s="443"/>
      <c r="NK62" s="443"/>
      <c r="NL62" s="443"/>
      <c r="NM62" s="443"/>
      <c r="NN62" s="443"/>
      <c r="NO62" s="443"/>
      <c r="NP62" s="443"/>
      <c r="NQ62" s="443"/>
      <c r="NR62" s="443"/>
      <c r="NS62" s="443"/>
      <c r="NT62" s="443"/>
      <c r="NU62" s="443"/>
      <c r="NV62" s="443"/>
      <c r="NW62" s="443"/>
      <c r="NX62" s="443"/>
      <c r="NY62" s="443"/>
      <c r="NZ62" s="443"/>
      <c r="OA62" s="443"/>
      <c r="OB62" s="443"/>
      <c r="OC62" s="443"/>
      <c r="OD62" s="443"/>
      <c r="OE62" s="443"/>
      <c r="OF62" s="443"/>
      <c r="OG62" s="443"/>
      <c r="OH62" s="443"/>
      <c r="OI62" s="443"/>
      <c r="OJ62" s="443"/>
      <c r="OK62" s="443"/>
      <c r="OL62" s="443"/>
      <c r="OM62" s="443"/>
      <c r="ON62" s="443"/>
      <c r="OO62" s="443"/>
      <c r="OP62" s="443"/>
      <c r="OQ62" s="443"/>
      <c r="OR62" s="443"/>
      <c r="OS62" s="443"/>
      <c r="OT62" s="443"/>
      <c r="OU62" s="443"/>
      <c r="OV62" s="443"/>
      <c r="OW62" s="443"/>
      <c r="OX62" s="443"/>
      <c r="OY62" s="443"/>
      <c r="OZ62" s="443"/>
      <c r="PA62" s="443"/>
      <c r="PB62" s="443"/>
      <c r="PC62" s="443"/>
      <c r="PD62" s="443"/>
      <c r="PE62" s="443"/>
      <c r="PF62" s="443"/>
      <c r="PG62" s="443"/>
      <c r="PH62" s="443"/>
      <c r="PI62" s="443"/>
      <c r="PJ62" s="443"/>
      <c r="PK62" s="443"/>
      <c r="PL62" s="443"/>
      <c r="PM62" s="443"/>
      <c r="PN62" s="443"/>
      <c r="PO62" s="443"/>
      <c r="PP62" s="443"/>
      <c r="PQ62" s="443"/>
      <c r="PR62" s="443"/>
      <c r="PS62" s="443"/>
      <c r="PT62" s="443"/>
      <c r="PU62" s="443"/>
      <c r="PV62" s="443"/>
      <c r="PW62" s="443"/>
      <c r="PX62" s="443"/>
      <c r="PY62" s="443"/>
      <c r="PZ62" s="443"/>
      <c r="QA62" s="443"/>
      <c r="QB62" s="443"/>
      <c r="QC62" s="443"/>
      <c r="QD62" s="443"/>
      <c r="QE62" s="443"/>
      <c r="QF62" s="443"/>
      <c r="QG62" s="443"/>
      <c r="QH62" s="443"/>
      <c r="QI62" s="443"/>
      <c r="QJ62" s="443"/>
      <c r="QK62" s="443"/>
      <c r="QL62" s="443"/>
      <c r="QM62" s="443"/>
      <c r="QN62" s="443"/>
      <c r="QO62" s="443"/>
      <c r="QP62" s="443"/>
      <c r="QQ62" s="443"/>
      <c r="QR62" s="443"/>
      <c r="QS62" s="443"/>
      <c r="QT62" s="443"/>
      <c r="QU62" s="443"/>
      <c r="QV62" s="443"/>
      <c r="QW62" s="443"/>
      <c r="QX62" s="443"/>
      <c r="QY62" s="443"/>
      <c r="QZ62" s="443"/>
      <c r="RA62" s="443"/>
      <c r="RB62" s="443"/>
      <c r="RC62" s="443"/>
      <c r="RD62" s="443"/>
      <c r="RE62" s="443"/>
      <c r="RF62" s="443"/>
      <c r="RG62" s="443"/>
      <c r="RH62" s="443"/>
      <c r="RI62" s="443"/>
      <c r="RJ62" s="443"/>
      <c r="RK62" s="443"/>
      <c r="RL62" s="443"/>
      <c r="RM62" s="443"/>
      <c r="RN62" s="443"/>
      <c r="RO62" s="443"/>
      <c r="RP62" s="443"/>
      <c r="RQ62" s="443"/>
      <c r="RR62" s="443"/>
      <c r="RS62" s="443"/>
      <c r="RT62" s="443"/>
      <c r="RU62" s="443"/>
      <c r="RV62" s="443"/>
      <c r="RW62" s="443"/>
      <c r="RX62" s="443"/>
      <c r="RY62" s="443"/>
      <c r="RZ62" s="443"/>
      <c r="SA62" s="443"/>
      <c r="SB62" s="443"/>
      <c r="SC62" s="443"/>
      <c r="SD62" s="443"/>
      <c r="SE62" s="443"/>
      <c r="SF62" s="443"/>
      <c r="SG62" s="443"/>
      <c r="SH62" s="443"/>
      <c r="SI62" s="443"/>
      <c r="SJ62" s="443"/>
      <c r="SK62" s="443"/>
      <c r="SL62" s="443"/>
      <c r="SM62" s="443"/>
      <c r="SN62" s="443"/>
      <c r="SO62" s="443"/>
      <c r="SP62" s="443"/>
      <c r="SQ62" s="443"/>
      <c r="SR62" s="443"/>
      <c r="SS62" s="443"/>
      <c r="ST62" s="443"/>
      <c r="SU62" s="443"/>
      <c r="SV62" s="443"/>
      <c r="SW62" s="443"/>
      <c r="SX62" s="443"/>
      <c r="SY62" s="443"/>
      <c r="SZ62" s="443"/>
      <c r="TA62" s="443"/>
      <c r="TB62" s="443"/>
      <c r="TC62" s="443"/>
      <c r="TD62" s="443"/>
      <c r="TE62" s="443"/>
      <c r="TF62" s="443"/>
      <c r="TG62" s="443"/>
      <c r="TH62" s="443"/>
      <c r="TI62" s="443"/>
      <c r="TJ62" s="443"/>
      <c r="TK62" s="443"/>
      <c r="TL62" s="443"/>
      <c r="TM62" s="443"/>
      <c r="TN62" s="443"/>
      <c r="TO62" s="443"/>
      <c r="TP62" s="443"/>
      <c r="TQ62" s="443"/>
      <c r="TR62" s="443"/>
      <c r="TS62" s="443"/>
      <c r="TT62" s="443"/>
      <c r="TU62" s="443"/>
      <c r="TV62" s="443"/>
      <c r="TW62" s="443"/>
      <c r="TX62" s="443"/>
      <c r="TY62" s="443"/>
      <c r="TZ62" s="443"/>
      <c r="UA62" s="443"/>
      <c r="UB62" s="443"/>
      <c r="UC62" s="443"/>
      <c r="UD62" s="443"/>
      <c r="UE62" s="443"/>
      <c r="UF62" s="443"/>
      <c r="UG62" s="443"/>
      <c r="UH62" s="443"/>
      <c r="UI62" s="443"/>
      <c r="UJ62" s="443"/>
      <c r="UK62" s="443"/>
      <c r="UL62" s="443"/>
      <c r="UM62" s="443"/>
      <c r="UN62" s="443"/>
      <c r="UO62" s="443"/>
      <c r="UP62" s="443"/>
      <c r="UQ62" s="443"/>
      <c r="UR62" s="443"/>
      <c r="US62" s="443"/>
      <c r="UT62" s="443"/>
      <c r="UU62" s="443"/>
      <c r="UV62" s="443"/>
      <c r="UW62" s="443"/>
      <c r="UX62" s="443"/>
      <c r="UY62" s="443"/>
      <c r="UZ62" s="443"/>
      <c r="VA62" s="443"/>
      <c r="VB62" s="443"/>
      <c r="VC62" s="443"/>
      <c r="VD62" s="443"/>
      <c r="VE62" s="443"/>
      <c r="VF62" s="443"/>
      <c r="VG62" s="443"/>
      <c r="VH62" s="443"/>
      <c r="VI62" s="443"/>
      <c r="VJ62" s="443"/>
      <c r="VK62" s="443"/>
      <c r="VL62" s="443"/>
      <c r="VM62" s="443"/>
      <c r="VN62" s="443"/>
      <c r="VO62" s="443"/>
      <c r="VP62" s="443"/>
      <c r="VQ62" s="443"/>
      <c r="VR62" s="443"/>
      <c r="VS62" s="443"/>
      <c r="VT62" s="443"/>
      <c r="VU62" s="443"/>
      <c r="VV62" s="443"/>
      <c r="VW62" s="443"/>
      <c r="VX62" s="443"/>
      <c r="VY62" s="443"/>
      <c r="VZ62" s="443"/>
      <c r="WA62" s="443"/>
      <c r="WB62" s="443"/>
      <c r="WC62" s="443"/>
      <c r="WD62" s="443"/>
      <c r="WE62" s="443"/>
      <c r="WF62" s="443"/>
      <c r="WG62" s="443"/>
      <c r="WH62" s="443"/>
      <c r="WI62" s="443"/>
      <c r="WJ62" s="443"/>
      <c r="WK62" s="443"/>
      <c r="WL62" s="443"/>
      <c r="WM62" s="443"/>
      <c r="WN62" s="443"/>
      <c r="WO62" s="443"/>
      <c r="WP62" s="443"/>
      <c r="WQ62" s="443"/>
      <c r="WR62" s="443"/>
      <c r="WS62" s="443"/>
      <c r="WT62" s="443"/>
      <c r="WU62" s="443"/>
      <c r="WV62" s="443"/>
      <c r="WW62" s="443"/>
      <c r="WX62" s="443"/>
      <c r="WY62" s="443"/>
      <c r="WZ62" s="443"/>
      <c r="XA62" s="443"/>
      <c r="XB62" s="443"/>
      <c r="XC62" s="443"/>
      <c r="XD62" s="443"/>
      <c r="XE62" s="443"/>
      <c r="XF62" s="443"/>
      <c r="XG62" s="443"/>
      <c r="XH62" s="443"/>
      <c r="XI62" s="443"/>
      <c r="XJ62" s="443"/>
      <c r="XK62" s="443"/>
      <c r="XL62" s="443"/>
      <c r="XM62" s="443"/>
      <c r="XN62" s="443"/>
      <c r="XO62" s="443"/>
      <c r="XP62" s="443"/>
      <c r="XQ62" s="443"/>
      <c r="XR62" s="443"/>
      <c r="XS62" s="443"/>
      <c r="XT62" s="443"/>
      <c r="XU62" s="443"/>
      <c r="XV62" s="443"/>
      <c r="XW62" s="443"/>
      <c r="XX62" s="443"/>
      <c r="XY62" s="443"/>
      <c r="XZ62" s="443"/>
      <c r="YA62" s="443"/>
      <c r="YB62" s="443"/>
      <c r="YC62" s="443"/>
      <c r="YD62" s="443"/>
      <c r="YE62" s="443"/>
      <c r="YF62" s="443"/>
      <c r="YG62" s="443"/>
      <c r="YH62" s="443"/>
      <c r="YI62" s="443"/>
      <c r="YJ62" s="443"/>
      <c r="YK62" s="443"/>
      <c r="YL62" s="443"/>
      <c r="YM62" s="443"/>
      <c r="YN62" s="443"/>
      <c r="YO62" s="443"/>
      <c r="YP62" s="443"/>
      <c r="YQ62" s="443"/>
      <c r="YR62" s="443"/>
      <c r="YS62" s="443"/>
      <c r="YT62" s="443"/>
      <c r="YU62" s="443"/>
      <c r="YV62" s="443"/>
      <c r="YW62" s="443"/>
      <c r="YX62" s="443"/>
      <c r="YY62" s="443"/>
      <c r="YZ62" s="443"/>
      <c r="ZA62" s="443"/>
      <c r="ZB62" s="443"/>
      <c r="ZC62" s="443"/>
      <c r="ZD62" s="443"/>
      <c r="ZE62" s="443"/>
      <c r="ZF62" s="443"/>
      <c r="ZG62" s="443"/>
      <c r="ZH62" s="443"/>
      <c r="ZI62" s="443"/>
      <c r="ZJ62" s="443"/>
      <c r="ZK62" s="443"/>
      <c r="ZL62" s="443"/>
      <c r="ZM62" s="443"/>
      <c r="ZN62" s="443"/>
      <c r="ZO62" s="443"/>
      <c r="ZP62" s="443"/>
      <c r="ZQ62" s="443"/>
      <c r="ZR62" s="443"/>
      <c r="ZS62" s="443"/>
      <c r="ZT62" s="443"/>
      <c r="ZU62" s="443"/>
      <c r="ZV62" s="443"/>
      <c r="ZW62" s="443"/>
      <c r="ZX62" s="443"/>
      <c r="ZY62" s="443"/>
      <c r="ZZ62" s="443"/>
      <c r="AAA62" s="443"/>
      <c r="AAB62" s="443"/>
      <c r="AAC62" s="443"/>
      <c r="AAD62" s="443"/>
      <c r="AAE62" s="443"/>
      <c r="AAF62" s="443"/>
      <c r="AAG62" s="443"/>
      <c r="AAH62" s="443"/>
      <c r="AAI62" s="443"/>
      <c r="AAJ62" s="443"/>
      <c r="AAK62" s="443"/>
      <c r="AAL62" s="443"/>
      <c r="AAM62" s="443"/>
      <c r="AAN62" s="443"/>
      <c r="AAO62" s="443"/>
      <c r="AAP62" s="443"/>
      <c r="AAQ62" s="443"/>
      <c r="AAR62" s="443"/>
      <c r="AAS62" s="443"/>
      <c r="AAT62" s="443"/>
      <c r="AAU62" s="443"/>
      <c r="AAV62" s="443"/>
      <c r="AAW62" s="443"/>
      <c r="AAX62" s="443"/>
      <c r="AAY62" s="443"/>
      <c r="AAZ62" s="443"/>
      <c r="ABA62" s="443"/>
      <c r="ABB62" s="443"/>
      <c r="ABC62" s="443"/>
      <c r="ABD62" s="443"/>
      <c r="ABE62" s="443"/>
      <c r="ABF62" s="443"/>
      <c r="ABG62" s="443"/>
      <c r="ABH62" s="443"/>
      <c r="ABI62" s="443"/>
      <c r="ABJ62" s="443"/>
      <c r="ABK62" s="443"/>
      <c r="ABL62" s="443"/>
      <c r="ABM62" s="443"/>
      <c r="ABN62" s="443"/>
      <c r="ABO62" s="443"/>
      <c r="ABP62" s="443"/>
      <c r="ABQ62" s="443"/>
      <c r="ABR62" s="443"/>
      <c r="ABS62" s="443"/>
      <c r="ABT62" s="443"/>
      <c r="ABU62" s="443"/>
      <c r="ABV62" s="443"/>
      <c r="ABW62" s="443"/>
      <c r="ABX62" s="443"/>
      <c r="ABY62" s="443"/>
      <c r="ABZ62" s="443"/>
      <c r="ACA62" s="443"/>
      <c r="ACB62" s="443"/>
      <c r="ACC62" s="443"/>
      <c r="ACD62" s="443"/>
      <c r="ACE62" s="443"/>
      <c r="ACF62" s="443"/>
      <c r="ACG62" s="443"/>
      <c r="ACH62" s="443"/>
      <c r="ACI62" s="443"/>
      <c r="ACJ62" s="443"/>
      <c r="ACK62" s="443"/>
      <c r="ACL62" s="443"/>
      <c r="ACM62" s="443"/>
      <c r="ACN62" s="443"/>
      <c r="ACO62" s="443"/>
      <c r="ACP62" s="443"/>
      <c r="ACQ62" s="443"/>
      <c r="ACR62" s="443"/>
      <c r="ACS62" s="443"/>
      <c r="ACT62" s="443"/>
      <c r="ACU62" s="443"/>
      <c r="ACV62" s="443"/>
      <c r="ACW62" s="443"/>
      <c r="ACX62" s="443"/>
      <c r="ACY62" s="443"/>
      <c r="ACZ62" s="443"/>
      <c r="ADA62" s="443"/>
      <c r="ADB62" s="443"/>
      <c r="ADC62" s="443"/>
      <c r="ADD62" s="443"/>
      <c r="ADE62" s="443"/>
      <c r="ADF62" s="443"/>
      <c r="ADG62" s="443"/>
      <c r="ADH62" s="443"/>
      <c r="ADI62" s="443"/>
      <c r="ADJ62" s="443"/>
      <c r="ADK62" s="443"/>
      <c r="ADL62" s="443"/>
      <c r="ADM62" s="443"/>
      <c r="ADN62" s="443"/>
      <c r="ADO62" s="443"/>
      <c r="ADP62" s="443"/>
      <c r="ADQ62" s="443"/>
      <c r="ADR62" s="443"/>
      <c r="ADS62" s="443"/>
      <c r="ADT62" s="443"/>
      <c r="ADU62" s="443"/>
      <c r="ADV62" s="443"/>
      <c r="ADW62" s="443"/>
      <c r="ADX62" s="443"/>
      <c r="ADY62" s="443"/>
      <c r="ADZ62" s="443"/>
      <c r="AEA62" s="443"/>
      <c r="AEB62" s="443"/>
      <c r="AEC62" s="443"/>
      <c r="AED62" s="443"/>
      <c r="AEE62" s="443"/>
      <c r="AEF62" s="443"/>
      <c r="AEG62" s="443"/>
      <c r="AEH62" s="443"/>
      <c r="AEI62" s="443"/>
      <c r="AEJ62" s="443"/>
      <c r="AEK62" s="443"/>
      <c r="AEL62" s="443"/>
      <c r="AEM62" s="443"/>
      <c r="AEN62" s="443"/>
      <c r="AEO62" s="443"/>
      <c r="AEP62" s="443"/>
      <c r="AEQ62" s="443"/>
      <c r="AER62" s="443"/>
      <c r="AES62" s="443"/>
      <c r="AET62" s="443"/>
      <c r="AEU62" s="443"/>
      <c r="AEV62" s="443"/>
      <c r="AEW62" s="443"/>
      <c r="AEX62" s="443"/>
      <c r="AEY62" s="443"/>
      <c r="AEZ62" s="443"/>
      <c r="AFA62" s="443"/>
      <c r="AFB62" s="443"/>
      <c r="AFC62" s="443"/>
      <c r="AFD62" s="443"/>
      <c r="AFE62" s="443"/>
      <c r="AFF62" s="443"/>
      <c r="AFG62" s="443"/>
      <c r="AFH62" s="443"/>
      <c r="AFI62" s="443"/>
      <c r="AFJ62" s="443"/>
      <c r="AFK62" s="443"/>
      <c r="AFL62" s="443"/>
      <c r="AFM62" s="443"/>
      <c r="AFN62" s="443"/>
      <c r="AFO62" s="443"/>
      <c r="AFP62" s="443"/>
      <c r="AFQ62" s="443"/>
      <c r="AFR62" s="443"/>
      <c r="AFS62" s="443"/>
      <c r="AFT62" s="443"/>
      <c r="AFU62" s="443"/>
      <c r="AFV62" s="443"/>
      <c r="AFW62" s="443"/>
      <c r="AFX62" s="443"/>
      <c r="AFY62" s="443"/>
      <c r="AFZ62" s="443"/>
      <c r="AGA62" s="443"/>
      <c r="AGB62" s="443"/>
      <c r="AGC62" s="443"/>
      <c r="AGD62" s="443"/>
      <c r="AGE62" s="443"/>
      <c r="AGF62" s="443"/>
      <c r="AGG62" s="443"/>
      <c r="AGH62" s="443"/>
      <c r="AGI62" s="443"/>
      <c r="AGJ62" s="443"/>
    </row>
    <row r="63" spans="1:868" s="1" customFormat="1">
      <c r="A63" s="652" t="s">
        <v>118</v>
      </c>
      <c r="B63" s="799" t="s">
        <v>435</v>
      </c>
      <c r="C63" s="34" t="s">
        <v>139</v>
      </c>
      <c r="D63" s="122" t="s">
        <v>99</v>
      </c>
      <c r="E63" s="637">
        <f t="shared" si="22"/>
        <v>7.1003816455134469E-2</v>
      </c>
      <c r="F63" s="9">
        <v>1</v>
      </c>
      <c r="G63" s="9" t="s">
        <v>433</v>
      </c>
      <c r="H63" s="10">
        <v>1</v>
      </c>
      <c r="I63" s="10">
        <v>2</v>
      </c>
      <c r="J63" s="10">
        <v>2</v>
      </c>
      <c r="K63" s="10">
        <v>1</v>
      </c>
      <c r="L63" s="10">
        <v>1</v>
      </c>
      <c r="M63" s="10">
        <v>2</v>
      </c>
      <c r="N63" s="411">
        <f t="shared" si="25"/>
        <v>0.35859414261160716</v>
      </c>
      <c r="O63" s="411">
        <f t="shared" si="26"/>
        <v>0.37356464144298934</v>
      </c>
      <c r="P63" s="43"/>
      <c r="Q63" s="443"/>
      <c r="R63" s="443"/>
      <c r="S63" s="443"/>
      <c r="T63" s="443"/>
      <c r="U63" s="443"/>
      <c r="V63" s="443"/>
      <c r="W63" s="443"/>
      <c r="X63" s="443"/>
      <c r="Y63" s="443"/>
      <c r="Z63" s="443"/>
      <c r="AA63" s="443"/>
      <c r="AB63" s="443"/>
      <c r="AC63" s="443"/>
      <c r="AD63" s="443"/>
      <c r="AE63" s="443"/>
      <c r="AF63" s="443"/>
      <c r="AG63" s="443"/>
      <c r="AH63" s="443"/>
      <c r="AI63" s="443"/>
      <c r="AJ63" s="443"/>
      <c r="AK63" s="443"/>
      <c r="AL63" s="443"/>
      <c r="AM63" s="443"/>
      <c r="AN63" s="443"/>
      <c r="AO63" s="443"/>
      <c r="AP63" s="443"/>
      <c r="AQ63" s="443"/>
      <c r="AR63" s="443"/>
      <c r="AS63" s="443"/>
      <c r="AT63" s="443"/>
      <c r="AU63" s="443"/>
      <c r="AV63" s="443"/>
      <c r="AW63" s="443"/>
      <c r="AX63" s="443"/>
      <c r="AY63" s="443"/>
      <c r="AZ63" s="443"/>
      <c r="BA63" s="443"/>
      <c r="BB63" s="443"/>
      <c r="BC63" s="443"/>
      <c r="BD63" s="443"/>
      <c r="BE63" s="443"/>
      <c r="BF63" s="443"/>
      <c r="BG63" s="443"/>
      <c r="BH63" s="443"/>
      <c r="BI63" s="443"/>
      <c r="BJ63" s="443"/>
      <c r="BK63" s="443"/>
      <c r="BL63" s="443"/>
      <c r="BM63" s="443"/>
      <c r="BN63" s="443"/>
      <c r="BO63" s="443"/>
      <c r="BP63" s="443"/>
      <c r="BQ63" s="443"/>
      <c r="BR63" s="443"/>
      <c r="BS63" s="443"/>
      <c r="BT63" s="443"/>
      <c r="BU63" s="443"/>
      <c r="BV63" s="443"/>
      <c r="BW63" s="443"/>
      <c r="BX63" s="443"/>
      <c r="BY63" s="443"/>
      <c r="BZ63" s="443"/>
      <c r="CA63" s="443"/>
      <c r="CB63" s="443"/>
      <c r="CC63" s="443"/>
      <c r="CD63" s="443"/>
      <c r="CE63" s="443"/>
      <c r="CF63" s="443"/>
      <c r="CG63" s="443"/>
      <c r="CH63" s="443"/>
      <c r="CI63" s="443"/>
      <c r="CJ63" s="443"/>
      <c r="CK63" s="443"/>
      <c r="CL63" s="443"/>
      <c r="CM63" s="443"/>
      <c r="CN63" s="443"/>
      <c r="CO63" s="443"/>
      <c r="CP63" s="443"/>
      <c r="CQ63" s="443"/>
      <c r="CR63" s="443"/>
      <c r="CS63" s="443"/>
      <c r="CT63" s="443"/>
      <c r="CU63" s="443"/>
      <c r="CV63" s="443"/>
      <c r="CW63" s="443"/>
      <c r="CX63" s="443"/>
      <c r="CY63" s="443"/>
      <c r="CZ63" s="443"/>
      <c r="DA63" s="443"/>
      <c r="DB63" s="443"/>
      <c r="DC63" s="443"/>
      <c r="DD63" s="443"/>
      <c r="DE63" s="443"/>
      <c r="DF63" s="443"/>
      <c r="DG63" s="443"/>
      <c r="DH63" s="443"/>
      <c r="DI63" s="443"/>
      <c r="DJ63" s="443"/>
      <c r="DK63" s="443"/>
      <c r="DL63" s="443"/>
      <c r="DM63" s="443"/>
      <c r="DN63" s="443"/>
      <c r="DO63" s="443"/>
      <c r="DP63" s="443"/>
      <c r="DQ63" s="443"/>
      <c r="DR63" s="443"/>
      <c r="DS63" s="443"/>
      <c r="DT63" s="443"/>
      <c r="DU63" s="443"/>
      <c r="DV63" s="443"/>
      <c r="DW63" s="443"/>
      <c r="DX63" s="443"/>
      <c r="DY63" s="443"/>
      <c r="DZ63" s="443"/>
      <c r="EA63" s="443"/>
      <c r="EB63" s="443"/>
      <c r="EC63" s="443"/>
      <c r="ED63" s="443"/>
      <c r="EE63" s="443"/>
      <c r="EF63" s="443"/>
      <c r="EG63" s="443"/>
      <c r="EH63" s="443"/>
      <c r="EI63" s="443"/>
      <c r="EJ63" s="443"/>
      <c r="EK63" s="443"/>
      <c r="EL63" s="443"/>
      <c r="EM63" s="443"/>
      <c r="EN63" s="443"/>
      <c r="EO63" s="443"/>
      <c r="EP63" s="443"/>
      <c r="EQ63" s="443"/>
      <c r="ER63" s="443"/>
      <c r="ES63" s="443"/>
      <c r="ET63" s="443"/>
      <c r="EU63" s="443"/>
      <c r="EV63" s="443"/>
      <c r="EW63" s="443"/>
      <c r="EX63" s="443"/>
      <c r="EY63" s="443"/>
      <c r="EZ63" s="443"/>
      <c r="FA63" s="443"/>
      <c r="FB63" s="443"/>
      <c r="FC63" s="443"/>
      <c r="FD63" s="443"/>
      <c r="FE63" s="443"/>
      <c r="FF63" s="443"/>
      <c r="FG63" s="443"/>
      <c r="FH63" s="443"/>
      <c r="FI63" s="443"/>
      <c r="FJ63" s="443"/>
      <c r="FK63" s="443"/>
      <c r="FL63" s="443"/>
      <c r="FM63" s="443"/>
      <c r="FN63" s="443"/>
      <c r="FO63" s="443"/>
      <c r="FP63" s="443"/>
      <c r="FQ63" s="443"/>
      <c r="FR63" s="443"/>
      <c r="FS63" s="443"/>
      <c r="FT63" s="443"/>
      <c r="FU63" s="443"/>
      <c r="FV63" s="443"/>
      <c r="FW63" s="443"/>
      <c r="FX63" s="443"/>
      <c r="FY63" s="443"/>
      <c r="FZ63" s="443"/>
      <c r="GA63" s="443"/>
      <c r="GB63" s="443"/>
      <c r="GC63" s="443"/>
      <c r="GD63" s="443"/>
      <c r="GE63" s="443"/>
      <c r="GF63" s="443"/>
      <c r="GG63" s="443"/>
      <c r="GH63" s="443"/>
      <c r="GI63" s="443"/>
      <c r="GJ63" s="443"/>
      <c r="GK63" s="443"/>
      <c r="GL63" s="443"/>
      <c r="GM63" s="443"/>
      <c r="GN63" s="443"/>
      <c r="GO63" s="443"/>
      <c r="GP63" s="443"/>
      <c r="GQ63" s="443"/>
      <c r="GR63" s="443"/>
      <c r="GS63" s="443"/>
      <c r="GT63" s="443"/>
      <c r="GU63" s="443"/>
      <c r="GV63" s="443"/>
      <c r="GW63" s="443"/>
      <c r="GX63" s="443"/>
      <c r="GY63" s="443"/>
      <c r="GZ63" s="443"/>
      <c r="HA63" s="443"/>
      <c r="HB63" s="443"/>
      <c r="HC63" s="443"/>
      <c r="HD63" s="443"/>
      <c r="HE63" s="443"/>
      <c r="HF63" s="443"/>
      <c r="HG63" s="443"/>
      <c r="HH63" s="443"/>
      <c r="HI63" s="443"/>
      <c r="HJ63" s="443"/>
      <c r="HK63" s="443"/>
      <c r="HL63" s="443"/>
      <c r="HM63" s="443"/>
      <c r="HN63" s="443"/>
      <c r="HO63" s="443"/>
      <c r="HP63" s="443"/>
      <c r="HQ63" s="443"/>
      <c r="HR63" s="443"/>
      <c r="HS63" s="443"/>
      <c r="HT63" s="443"/>
      <c r="HU63" s="443"/>
      <c r="HV63" s="443"/>
      <c r="HW63" s="443"/>
      <c r="HX63" s="443"/>
      <c r="HY63" s="443"/>
      <c r="HZ63" s="443"/>
      <c r="IA63" s="443"/>
      <c r="IB63" s="443"/>
      <c r="IC63" s="443"/>
      <c r="ID63" s="443"/>
      <c r="IE63" s="443"/>
      <c r="IF63" s="443"/>
      <c r="IG63" s="443"/>
      <c r="IH63" s="443"/>
      <c r="II63" s="443"/>
      <c r="IJ63" s="443"/>
      <c r="IK63" s="443"/>
      <c r="IL63" s="443"/>
      <c r="IM63" s="443"/>
      <c r="IN63" s="443"/>
      <c r="IO63" s="443"/>
      <c r="IP63" s="443"/>
      <c r="IQ63" s="443"/>
      <c r="IR63" s="443"/>
      <c r="IS63" s="443"/>
      <c r="IT63" s="443"/>
      <c r="IU63" s="443"/>
      <c r="IV63" s="443"/>
      <c r="IW63" s="443"/>
      <c r="IX63" s="443"/>
      <c r="IY63" s="443"/>
      <c r="IZ63" s="443"/>
      <c r="JA63" s="443"/>
      <c r="JB63" s="443"/>
      <c r="JC63" s="443"/>
      <c r="JD63" s="443"/>
      <c r="JE63" s="443"/>
      <c r="JF63" s="443"/>
      <c r="JG63" s="443"/>
      <c r="JH63" s="443"/>
      <c r="JI63" s="443"/>
      <c r="JJ63" s="443"/>
      <c r="JK63" s="443"/>
      <c r="JL63" s="443"/>
      <c r="JM63" s="443"/>
      <c r="JN63" s="443"/>
      <c r="JO63" s="443"/>
      <c r="JP63" s="443"/>
      <c r="JQ63" s="443"/>
      <c r="JR63" s="443"/>
      <c r="JS63" s="443"/>
      <c r="JT63" s="443"/>
      <c r="JU63" s="443"/>
      <c r="JV63" s="443"/>
      <c r="JW63" s="443"/>
      <c r="JX63" s="443"/>
      <c r="JY63" s="443"/>
      <c r="JZ63" s="443"/>
      <c r="KA63" s="443"/>
      <c r="KB63" s="443"/>
      <c r="KC63" s="443"/>
      <c r="KD63" s="443"/>
      <c r="KE63" s="443"/>
      <c r="KF63" s="443"/>
      <c r="KG63" s="443"/>
      <c r="KH63" s="443"/>
      <c r="KI63" s="443"/>
      <c r="KJ63" s="443"/>
      <c r="KK63" s="443"/>
      <c r="KL63" s="443"/>
      <c r="KM63" s="443"/>
      <c r="KN63" s="443"/>
      <c r="KO63" s="443"/>
      <c r="KP63" s="443"/>
      <c r="KQ63" s="443"/>
      <c r="KR63" s="443"/>
      <c r="KS63" s="443"/>
      <c r="KT63" s="443"/>
      <c r="KU63" s="443"/>
      <c r="KV63" s="443"/>
      <c r="KW63" s="443"/>
      <c r="KX63" s="443"/>
      <c r="KY63" s="443"/>
      <c r="KZ63" s="443"/>
      <c r="LA63" s="443"/>
      <c r="LB63" s="443"/>
      <c r="LC63" s="443"/>
      <c r="LD63" s="443"/>
      <c r="LE63" s="443"/>
      <c r="LF63" s="443"/>
      <c r="LG63" s="443"/>
      <c r="LH63" s="443"/>
      <c r="LI63" s="443"/>
      <c r="LJ63" s="443"/>
      <c r="LK63" s="443"/>
      <c r="LL63" s="443"/>
      <c r="LM63" s="443"/>
      <c r="LN63" s="443"/>
      <c r="LO63" s="443"/>
      <c r="LP63" s="443"/>
      <c r="LQ63" s="443"/>
      <c r="LR63" s="443"/>
      <c r="LS63" s="443"/>
      <c r="LT63" s="443"/>
      <c r="LU63" s="443"/>
      <c r="LV63" s="443"/>
      <c r="LW63" s="443"/>
      <c r="LX63" s="443"/>
      <c r="LY63" s="443"/>
      <c r="LZ63" s="443"/>
      <c r="MA63" s="443"/>
      <c r="MB63" s="443"/>
      <c r="MC63" s="443"/>
      <c r="MD63" s="443"/>
      <c r="ME63" s="443"/>
      <c r="MF63" s="443"/>
      <c r="MG63" s="443"/>
      <c r="MH63" s="443"/>
      <c r="MI63" s="443"/>
      <c r="MJ63" s="443"/>
      <c r="MK63" s="443"/>
      <c r="ML63" s="443"/>
      <c r="MM63" s="443"/>
      <c r="MN63" s="443"/>
      <c r="MO63" s="443"/>
      <c r="MP63" s="443"/>
      <c r="MQ63" s="443"/>
      <c r="MR63" s="443"/>
      <c r="MS63" s="443"/>
      <c r="MT63" s="443"/>
      <c r="MU63" s="443"/>
      <c r="MV63" s="443"/>
      <c r="MW63" s="443"/>
      <c r="MX63" s="443"/>
      <c r="MY63" s="443"/>
      <c r="MZ63" s="443"/>
      <c r="NA63" s="443"/>
      <c r="NB63" s="443"/>
      <c r="NC63" s="443"/>
      <c r="ND63" s="443"/>
      <c r="NE63" s="443"/>
      <c r="NF63" s="443"/>
      <c r="NG63" s="443"/>
      <c r="NH63" s="443"/>
      <c r="NI63" s="443"/>
      <c r="NJ63" s="443"/>
      <c r="NK63" s="443"/>
      <c r="NL63" s="443"/>
      <c r="NM63" s="443"/>
      <c r="NN63" s="443"/>
      <c r="NO63" s="443"/>
      <c r="NP63" s="443"/>
      <c r="NQ63" s="443"/>
      <c r="NR63" s="443"/>
      <c r="NS63" s="443"/>
      <c r="NT63" s="443"/>
      <c r="NU63" s="443"/>
      <c r="NV63" s="443"/>
      <c r="NW63" s="443"/>
      <c r="NX63" s="443"/>
      <c r="NY63" s="443"/>
      <c r="NZ63" s="443"/>
      <c r="OA63" s="443"/>
      <c r="OB63" s="443"/>
      <c r="OC63" s="443"/>
      <c r="OD63" s="443"/>
      <c r="OE63" s="443"/>
      <c r="OF63" s="443"/>
      <c r="OG63" s="443"/>
      <c r="OH63" s="443"/>
      <c r="OI63" s="443"/>
      <c r="OJ63" s="443"/>
      <c r="OK63" s="443"/>
      <c r="OL63" s="443"/>
      <c r="OM63" s="443"/>
      <c r="ON63" s="443"/>
      <c r="OO63" s="443"/>
      <c r="OP63" s="443"/>
      <c r="OQ63" s="443"/>
      <c r="OR63" s="443"/>
      <c r="OS63" s="443"/>
      <c r="OT63" s="443"/>
      <c r="OU63" s="443"/>
      <c r="OV63" s="443"/>
      <c r="OW63" s="443"/>
      <c r="OX63" s="443"/>
      <c r="OY63" s="443"/>
      <c r="OZ63" s="443"/>
      <c r="PA63" s="443"/>
      <c r="PB63" s="443"/>
      <c r="PC63" s="443"/>
      <c r="PD63" s="443"/>
      <c r="PE63" s="443"/>
      <c r="PF63" s="443"/>
      <c r="PG63" s="443"/>
      <c r="PH63" s="443"/>
      <c r="PI63" s="443"/>
      <c r="PJ63" s="443"/>
      <c r="PK63" s="443"/>
      <c r="PL63" s="443"/>
      <c r="PM63" s="443"/>
      <c r="PN63" s="443"/>
      <c r="PO63" s="443"/>
      <c r="PP63" s="443"/>
      <c r="PQ63" s="443"/>
      <c r="PR63" s="443"/>
      <c r="PS63" s="443"/>
      <c r="PT63" s="443"/>
      <c r="PU63" s="443"/>
      <c r="PV63" s="443"/>
      <c r="PW63" s="443"/>
      <c r="PX63" s="443"/>
      <c r="PY63" s="443"/>
      <c r="PZ63" s="443"/>
      <c r="QA63" s="443"/>
      <c r="QB63" s="443"/>
      <c r="QC63" s="443"/>
      <c r="QD63" s="443"/>
      <c r="QE63" s="443"/>
      <c r="QF63" s="443"/>
      <c r="QG63" s="443"/>
      <c r="QH63" s="443"/>
      <c r="QI63" s="443"/>
      <c r="QJ63" s="443"/>
      <c r="QK63" s="443"/>
      <c r="QL63" s="443"/>
      <c r="QM63" s="443"/>
      <c r="QN63" s="443"/>
      <c r="QO63" s="443"/>
      <c r="QP63" s="443"/>
      <c r="QQ63" s="443"/>
      <c r="QR63" s="443"/>
      <c r="QS63" s="443"/>
      <c r="QT63" s="443"/>
      <c r="QU63" s="443"/>
      <c r="QV63" s="443"/>
      <c r="QW63" s="443"/>
      <c r="QX63" s="443"/>
      <c r="QY63" s="443"/>
      <c r="QZ63" s="443"/>
      <c r="RA63" s="443"/>
      <c r="RB63" s="443"/>
      <c r="RC63" s="443"/>
      <c r="RD63" s="443"/>
      <c r="RE63" s="443"/>
      <c r="RF63" s="443"/>
      <c r="RG63" s="443"/>
      <c r="RH63" s="443"/>
      <c r="RI63" s="443"/>
      <c r="RJ63" s="443"/>
      <c r="RK63" s="443"/>
      <c r="RL63" s="443"/>
      <c r="RM63" s="443"/>
      <c r="RN63" s="443"/>
      <c r="RO63" s="443"/>
      <c r="RP63" s="443"/>
      <c r="RQ63" s="443"/>
      <c r="RR63" s="443"/>
      <c r="RS63" s="443"/>
      <c r="RT63" s="443"/>
      <c r="RU63" s="443"/>
      <c r="RV63" s="443"/>
      <c r="RW63" s="443"/>
      <c r="RX63" s="443"/>
      <c r="RY63" s="443"/>
      <c r="RZ63" s="443"/>
      <c r="SA63" s="443"/>
      <c r="SB63" s="443"/>
      <c r="SC63" s="443"/>
      <c r="SD63" s="443"/>
      <c r="SE63" s="443"/>
      <c r="SF63" s="443"/>
      <c r="SG63" s="443"/>
      <c r="SH63" s="443"/>
      <c r="SI63" s="443"/>
      <c r="SJ63" s="443"/>
      <c r="SK63" s="443"/>
      <c r="SL63" s="443"/>
      <c r="SM63" s="443"/>
      <c r="SN63" s="443"/>
      <c r="SO63" s="443"/>
      <c r="SP63" s="443"/>
      <c r="SQ63" s="443"/>
      <c r="SR63" s="443"/>
      <c r="SS63" s="443"/>
      <c r="ST63" s="443"/>
      <c r="SU63" s="443"/>
      <c r="SV63" s="443"/>
      <c r="SW63" s="443"/>
      <c r="SX63" s="443"/>
      <c r="SY63" s="443"/>
      <c r="SZ63" s="443"/>
      <c r="TA63" s="443"/>
      <c r="TB63" s="443"/>
      <c r="TC63" s="443"/>
      <c r="TD63" s="443"/>
      <c r="TE63" s="443"/>
      <c r="TF63" s="443"/>
      <c r="TG63" s="443"/>
      <c r="TH63" s="443"/>
      <c r="TI63" s="443"/>
      <c r="TJ63" s="443"/>
      <c r="TK63" s="443"/>
      <c r="TL63" s="443"/>
      <c r="TM63" s="443"/>
      <c r="TN63" s="443"/>
      <c r="TO63" s="443"/>
      <c r="TP63" s="443"/>
      <c r="TQ63" s="443"/>
      <c r="TR63" s="443"/>
      <c r="TS63" s="443"/>
      <c r="TT63" s="443"/>
      <c r="TU63" s="443"/>
      <c r="TV63" s="443"/>
      <c r="TW63" s="443"/>
      <c r="TX63" s="443"/>
      <c r="TY63" s="443"/>
      <c r="TZ63" s="443"/>
      <c r="UA63" s="443"/>
      <c r="UB63" s="443"/>
      <c r="UC63" s="443"/>
      <c r="UD63" s="443"/>
      <c r="UE63" s="443"/>
      <c r="UF63" s="443"/>
      <c r="UG63" s="443"/>
      <c r="UH63" s="443"/>
      <c r="UI63" s="443"/>
      <c r="UJ63" s="443"/>
      <c r="UK63" s="443"/>
      <c r="UL63" s="443"/>
      <c r="UM63" s="443"/>
      <c r="UN63" s="443"/>
      <c r="UO63" s="443"/>
      <c r="UP63" s="443"/>
      <c r="UQ63" s="443"/>
      <c r="UR63" s="443"/>
      <c r="US63" s="443"/>
      <c r="UT63" s="443"/>
      <c r="UU63" s="443"/>
      <c r="UV63" s="443"/>
      <c r="UW63" s="443"/>
      <c r="UX63" s="443"/>
      <c r="UY63" s="443"/>
      <c r="UZ63" s="443"/>
      <c r="VA63" s="443"/>
      <c r="VB63" s="443"/>
      <c r="VC63" s="443"/>
      <c r="VD63" s="443"/>
      <c r="VE63" s="443"/>
      <c r="VF63" s="443"/>
      <c r="VG63" s="443"/>
      <c r="VH63" s="443"/>
      <c r="VI63" s="443"/>
      <c r="VJ63" s="443"/>
      <c r="VK63" s="443"/>
      <c r="VL63" s="443"/>
      <c r="VM63" s="443"/>
      <c r="VN63" s="443"/>
      <c r="VO63" s="443"/>
      <c r="VP63" s="443"/>
      <c r="VQ63" s="443"/>
      <c r="VR63" s="443"/>
      <c r="VS63" s="443"/>
      <c r="VT63" s="443"/>
      <c r="VU63" s="443"/>
      <c r="VV63" s="443"/>
      <c r="VW63" s="443"/>
      <c r="VX63" s="443"/>
      <c r="VY63" s="443"/>
      <c r="VZ63" s="443"/>
      <c r="WA63" s="443"/>
      <c r="WB63" s="443"/>
      <c r="WC63" s="443"/>
      <c r="WD63" s="443"/>
      <c r="WE63" s="443"/>
      <c r="WF63" s="443"/>
      <c r="WG63" s="443"/>
      <c r="WH63" s="443"/>
      <c r="WI63" s="443"/>
      <c r="WJ63" s="443"/>
      <c r="WK63" s="443"/>
      <c r="WL63" s="443"/>
      <c r="WM63" s="443"/>
      <c r="WN63" s="443"/>
      <c r="WO63" s="443"/>
      <c r="WP63" s="443"/>
      <c r="WQ63" s="443"/>
      <c r="WR63" s="443"/>
      <c r="WS63" s="443"/>
      <c r="WT63" s="443"/>
      <c r="WU63" s="443"/>
      <c r="WV63" s="443"/>
      <c r="WW63" s="443"/>
      <c r="WX63" s="443"/>
      <c r="WY63" s="443"/>
      <c r="WZ63" s="443"/>
      <c r="XA63" s="443"/>
      <c r="XB63" s="443"/>
      <c r="XC63" s="443"/>
      <c r="XD63" s="443"/>
      <c r="XE63" s="443"/>
      <c r="XF63" s="443"/>
      <c r="XG63" s="443"/>
      <c r="XH63" s="443"/>
      <c r="XI63" s="443"/>
      <c r="XJ63" s="443"/>
      <c r="XK63" s="443"/>
      <c r="XL63" s="443"/>
      <c r="XM63" s="443"/>
      <c r="XN63" s="443"/>
      <c r="XO63" s="443"/>
      <c r="XP63" s="443"/>
      <c r="XQ63" s="443"/>
      <c r="XR63" s="443"/>
      <c r="XS63" s="443"/>
      <c r="XT63" s="443"/>
      <c r="XU63" s="443"/>
      <c r="XV63" s="443"/>
      <c r="XW63" s="443"/>
      <c r="XX63" s="443"/>
      <c r="XY63" s="443"/>
      <c r="XZ63" s="443"/>
      <c r="YA63" s="443"/>
      <c r="YB63" s="443"/>
      <c r="YC63" s="443"/>
      <c r="YD63" s="443"/>
      <c r="YE63" s="443"/>
      <c r="YF63" s="443"/>
      <c r="YG63" s="443"/>
      <c r="YH63" s="443"/>
      <c r="YI63" s="443"/>
      <c r="YJ63" s="443"/>
      <c r="YK63" s="443"/>
      <c r="YL63" s="443"/>
      <c r="YM63" s="443"/>
      <c r="YN63" s="443"/>
      <c r="YO63" s="443"/>
      <c r="YP63" s="443"/>
      <c r="YQ63" s="443"/>
      <c r="YR63" s="443"/>
      <c r="YS63" s="443"/>
      <c r="YT63" s="443"/>
      <c r="YU63" s="443"/>
      <c r="YV63" s="443"/>
      <c r="YW63" s="443"/>
      <c r="YX63" s="443"/>
      <c r="YY63" s="443"/>
      <c r="YZ63" s="443"/>
      <c r="ZA63" s="443"/>
      <c r="ZB63" s="443"/>
      <c r="ZC63" s="443"/>
      <c r="ZD63" s="443"/>
      <c r="ZE63" s="443"/>
      <c r="ZF63" s="443"/>
      <c r="ZG63" s="443"/>
      <c r="ZH63" s="443"/>
      <c r="ZI63" s="443"/>
      <c r="ZJ63" s="443"/>
      <c r="ZK63" s="443"/>
      <c r="ZL63" s="443"/>
      <c r="ZM63" s="443"/>
      <c r="ZN63" s="443"/>
      <c r="ZO63" s="443"/>
      <c r="ZP63" s="443"/>
      <c r="ZQ63" s="443"/>
      <c r="ZR63" s="443"/>
      <c r="ZS63" s="443"/>
      <c r="ZT63" s="443"/>
      <c r="ZU63" s="443"/>
      <c r="ZV63" s="443"/>
      <c r="ZW63" s="443"/>
      <c r="ZX63" s="443"/>
      <c r="ZY63" s="443"/>
      <c r="ZZ63" s="443"/>
      <c r="AAA63" s="443"/>
      <c r="AAB63" s="443"/>
      <c r="AAC63" s="443"/>
      <c r="AAD63" s="443"/>
      <c r="AAE63" s="443"/>
      <c r="AAF63" s="443"/>
      <c r="AAG63" s="443"/>
      <c r="AAH63" s="443"/>
      <c r="AAI63" s="443"/>
      <c r="AAJ63" s="443"/>
      <c r="AAK63" s="443"/>
      <c r="AAL63" s="443"/>
      <c r="AAM63" s="443"/>
      <c r="AAN63" s="443"/>
      <c r="AAO63" s="443"/>
      <c r="AAP63" s="443"/>
      <c r="AAQ63" s="443"/>
      <c r="AAR63" s="443"/>
      <c r="AAS63" s="443"/>
      <c r="AAT63" s="443"/>
      <c r="AAU63" s="443"/>
      <c r="AAV63" s="443"/>
      <c r="AAW63" s="443"/>
      <c r="AAX63" s="443"/>
      <c r="AAY63" s="443"/>
      <c r="AAZ63" s="443"/>
      <c r="ABA63" s="443"/>
      <c r="ABB63" s="443"/>
      <c r="ABC63" s="443"/>
      <c r="ABD63" s="443"/>
      <c r="ABE63" s="443"/>
      <c r="ABF63" s="443"/>
      <c r="ABG63" s="443"/>
      <c r="ABH63" s="443"/>
      <c r="ABI63" s="443"/>
      <c r="ABJ63" s="443"/>
      <c r="ABK63" s="443"/>
      <c r="ABL63" s="443"/>
      <c r="ABM63" s="443"/>
      <c r="ABN63" s="443"/>
      <c r="ABO63" s="443"/>
      <c r="ABP63" s="443"/>
      <c r="ABQ63" s="443"/>
      <c r="ABR63" s="443"/>
      <c r="ABS63" s="443"/>
      <c r="ABT63" s="443"/>
      <c r="ABU63" s="443"/>
      <c r="ABV63" s="443"/>
      <c r="ABW63" s="443"/>
      <c r="ABX63" s="443"/>
      <c r="ABY63" s="443"/>
      <c r="ABZ63" s="443"/>
      <c r="ACA63" s="443"/>
      <c r="ACB63" s="443"/>
      <c r="ACC63" s="443"/>
      <c r="ACD63" s="443"/>
      <c r="ACE63" s="443"/>
      <c r="ACF63" s="443"/>
      <c r="ACG63" s="443"/>
      <c r="ACH63" s="443"/>
      <c r="ACI63" s="443"/>
      <c r="ACJ63" s="443"/>
      <c r="ACK63" s="443"/>
      <c r="ACL63" s="443"/>
      <c r="ACM63" s="443"/>
      <c r="ACN63" s="443"/>
      <c r="ACO63" s="443"/>
      <c r="ACP63" s="443"/>
      <c r="ACQ63" s="443"/>
      <c r="ACR63" s="443"/>
      <c r="ACS63" s="443"/>
      <c r="ACT63" s="443"/>
      <c r="ACU63" s="443"/>
      <c r="ACV63" s="443"/>
      <c r="ACW63" s="443"/>
      <c r="ACX63" s="443"/>
      <c r="ACY63" s="443"/>
      <c r="ACZ63" s="443"/>
      <c r="ADA63" s="443"/>
      <c r="ADB63" s="443"/>
      <c r="ADC63" s="443"/>
      <c r="ADD63" s="443"/>
      <c r="ADE63" s="443"/>
      <c r="ADF63" s="443"/>
      <c r="ADG63" s="443"/>
      <c r="ADH63" s="443"/>
      <c r="ADI63" s="443"/>
      <c r="ADJ63" s="443"/>
      <c r="ADK63" s="443"/>
      <c r="ADL63" s="443"/>
      <c r="ADM63" s="443"/>
      <c r="ADN63" s="443"/>
      <c r="ADO63" s="443"/>
      <c r="ADP63" s="443"/>
      <c r="ADQ63" s="443"/>
      <c r="ADR63" s="443"/>
      <c r="ADS63" s="443"/>
      <c r="ADT63" s="443"/>
      <c r="ADU63" s="443"/>
      <c r="ADV63" s="443"/>
      <c r="ADW63" s="443"/>
      <c r="ADX63" s="443"/>
      <c r="ADY63" s="443"/>
      <c r="ADZ63" s="443"/>
      <c r="AEA63" s="443"/>
      <c r="AEB63" s="443"/>
      <c r="AEC63" s="443"/>
      <c r="AED63" s="443"/>
      <c r="AEE63" s="443"/>
      <c r="AEF63" s="443"/>
      <c r="AEG63" s="443"/>
      <c r="AEH63" s="443"/>
      <c r="AEI63" s="443"/>
      <c r="AEJ63" s="443"/>
      <c r="AEK63" s="443"/>
      <c r="AEL63" s="443"/>
      <c r="AEM63" s="443"/>
      <c r="AEN63" s="443"/>
      <c r="AEO63" s="443"/>
      <c r="AEP63" s="443"/>
      <c r="AEQ63" s="443"/>
      <c r="AER63" s="443"/>
      <c r="AES63" s="443"/>
      <c r="AET63" s="443"/>
      <c r="AEU63" s="443"/>
      <c r="AEV63" s="443"/>
      <c r="AEW63" s="443"/>
      <c r="AEX63" s="443"/>
      <c r="AEY63" s="443"/>
      <c r="AEZ63" s="443"/>
      <c r="AFA63" s="443"/>
      <c r="AFB63" s="443"/>
      <c r="AFC63" s="443"/>
      <c r="AFD63" s="443"/>
      <c r="AFE63" s="443"/>
      <c r="AFF63" s="443"/>
      <c r="AFG63" s="443"/>
      <c r="AFH63" s="443"/>
      <c r="AFI63" s="443"/>
      <c r="AFJ63" s="443"/>
      <c r="AFK63" s="443"/>
      <c r="AFL63" s="443"/>
      <c r="AFM63" s="443"/>
      <c r="AFN63" s="443"/>
      <c r="AFO63" s="443"/>
      <c r="AFP63" s="443"/>
      <c r="AFQ63" s="443"/>
      <c r="AFR63" s="443"/>
      <c r="AFS63" s="443"/>
      <c r="AFT63" s="443"/>
      <c r="AFU63" s="443"/>
      <c r="AFV63" s="443"/>
      <c r="AFW63" s="443"/>
      <c r="AFX63" s="443"/>
      <c r="AFY63" s="443"/>
      <c r="AFZ63" s="443"/>
      <c r="AGA63" s="443"/>
      <c r="AGB63" s="443"/>
      <c r="AGC63" s="443"/>
      <c r="AGD63" s="443"/>
      <c r="AGE63" s="443"/>
      <c r="AGF63" s="443"/>
      <c r="AGG63" s="443"/>
      <c r="AGH63" s="443"/>
      <c r="AGI63" s="443"/>
      <c r="AGJ63" s="443"/>
    </row>
    <row r="64" spans="1:868" s="1" customFormat="1">
      <c r="A64" s="652" t="s">
        <v>118</v>
      </c>
      <c r="B64" s="799" t="s">
        <v>436</v>
      </c>
      <c r="C64" s="34" t="s">
        <v>139</v>
      </c>
      <c r="D64" s="122" t="s">
        <v>99</v>
      </c>
      <c r="E64" s="637">
        <f t="shared" si="22"/>
        <v>7.810419810064792E-2</v>
      </c>
      <c r="F64" s="9">
        <v>1</v>
      </c>
      <c r="G64" s="9" t="s">
        <v>433</v>
      </c>
      <c r="H64" s="10">
        <v>1</v>
      </c>
      <c r="I64" s="10">
        <v>2</v>
      </c>
      <c r="J64" s="10">
        <v>2</v>
      </c>
      <c r="K64" s="10">
        <v>1</v>
      </c>
      <c r="L64" s="10">
        <v>1</v>
      </c>
      <c r="M64" s="10">
        <v>2</v>
      </c>
      <c r="N64" s="411">
        <f t="shared" si="25"/>
        <v>0.35859414261160716</v>
      </c>
      <c r="O64" s="411">
        <f t="shared" si="26"/>
        <v>0.37356464144298934</v>
      </c>
      <c r="P64" s="43"/>
      <c r="Q64" s="443"/>
      <c r="R64" s="443"/>
      <c r="S64" s="443"/>
      <c r="T64" s="443"/>
      <c r="U64" s="443"/>
      <c r="V64" s="443"/>
      <c r="W64" s="443"/>
      <c r="X64" s="443"/>
      <c r="Y64" s="443"/>
      <c r="Z64" s="443"/>
      <c r="AA64" s="443"/>
      <c r="AB64" s="443"/>
      <c r="AC64" s="443"/>
      <c r="AD64" s="443"/>
      <c r="AE64" s="443"/>
      <c r="AF64" s="443"/>
      <c r="AG64" s="443"/>
      <c r="AH64" s="443"/>
      <c r="AI64" s="443"/>
      <c r="AJ64" s="443"/>
      <c r="AK64" s="443"/>
      <c r="AL64" s="443"/>
      <c r="AM64" s="443"/>
      <c r="AN64" s="443"/>
      <c r="AO64" s="443"/>
      <c r="AP64" s="443"/>
      <c r="AQ64" s="443"/>
      <c r="AR64" s="443"/>
      <c r="AS64" s="443"/>
      <c r="AT64" s="443"/>
      <c r="AU64" s="443"/>
      <c r="AV64" s="443"/>
      <c r="AW64" s="443"/>
      <c r="AX64" s="443"/>
      <c r="AY64" s="443"/>
      <c r="AZ64" s="443"/>
      <c r="BA64" s="443"/>
      <c r="BB64" s="443"/>
      <c r="BC64" s="443"/>
      <c r="BD64" s="443"/>
      <c r="BE64" s="443"/>
      <c r="BF64" s="443"/>
      <c r="BG64" s="443"/>
      <c r="BH64" s="443"/>
      <c r="BI64" s="443"/>
      <c r="BJ64" s="443"/>
      <c r="BK64" s="443"/>
      <c r="BL64" s="443"/>
      <c r="BM64" s="443"/>
      <c r="BN64" s="443"/>
      <c r="BO64" s="443"/>
      <c r="BP64" s="443"/>
      <c r="BQ64" s="443"/>
      <c r="BR64" s="443"/>
      <c r="BS64" s="443"/>
      <c r="BT64" s="443"/>
      <c r="BU64" s="443"/>
      <c r="BV64" s="443"/>
      <c r="BW64" s="443"/>
      <c r="BX64" s="443"/>
      <c r="BY64" s="443"/>
      <c r="BZ64" s="443"/>
      <c r="CA64" s="443"/>
      <c r="CB64" s="443"/>
      <c r="CC64" s="443"/>
      <c r="CD64" s="443"/>
      <c r="CE64" s="443"/>
      <c r="CF64" s="443"/>
      <c r="CG64" s="443"/>
      <c r="CH64" s="443"/>
      <c r="CI64" s="443"/>
      <c r="CJ64" s="443"/>
      <c r="CK64" s="443"/>
      <c r="CL64" s="443"/>
      <c r="CM64" s="443"/>
      <c r="CN64" s="443"/>
      <c r="CO64" s="443"/>
      <c r="CP64" s="443"/>
      <c r="CQ64" s="443"/>
      <c r="CR64" s="443"/>
      <c r="CS64" s="443"/>
      <c r="CT64" s="443"/>
      <c r="CU64" s="443"/>
      <c r="CV64" s="443"/>
      <c r="CW64" s="443"/>
      <c r="CX64" s="443"/>
      <c r="CY64" s="443"/>
      <c r="CZ64" s="443"/>
      <c r="DA64" s="443"/>
      <c r="DB64" s="443"/>
      <c r="DC64" s="443"/>
      <c r="DD64" s="443"/>
      <c r="DE64" s="443"/>
      <c r="DF64" s="443"/>
      <c r="DG64" s="443"/>
      <c r="DH64" s="443"/>
      <c r="DI64" s="443"/>
      <c r="DJ64" s="443"/>
      <c r="DK64" s="443"/>
      <c r="DL64" s="443"/>
      <c r="DM64" s="443"/>
      <c r="DN64" s="443"/>
      <c r="DO64" s="443"/>
      <c r="DP64" s="443"/>
      <c r="DQ64" s="443"/>
      <c r="DR64" s="443"/>
      <c r="DS64" s="443"/>
      <c r="DT64" s="443"/>
      <c r="DU64" s="443"/>
      <c r="DV64" s="443"/>
      <c r="DW64" s="443"/>
      <c r="DX64" s="443"/>
      <c r="DY64" s="443"/>
      <c r="DZ64" s="443"/>
      <c r="EA64" s="443"/>
      <c r="EB64" s="443"/>
      <c r="EC64" s="443"/>
      <c r="ED64" s="443"/>
      <c r="EE64" s="443"/>
      <c r="EF64" s="443"/>
      <c r="EG64" s="443"/>
      <c r="EH64" s="443"/>
      <c r="EI64" s="443"/>
      <c r="EJ64" s="443"/>
      <c r="EK64" s="443"/>
      <c r="EL64" s="443"/>
      <c r="EM64" s="443"/>
      <c r="EN64" s="443"/>
      <c r="EO64" s="443"/>
      <c r="EP64" s="443"/>
      <c r="EQ64" s="443"/>
      <c r="ER64" s="443"/>
      <c r="ES64" s="443"/>
      <c r="ET64" s="443"/>
      <c r="EU64" s="443"/>
      <c r="EV64" s="443"/>
      <c r="EW64" s="443"/>
      <c r="EX64" s="443"/>
      <c r="EY64" s="443"/>
      <c r="EZ64" s="443"/>
      <c r="FA64" s="443"/>
      <c r="FB64" s="443"/>
      <c r="FC64" s="443"/>
      <c r="FD64" s="443"/>
      <c r="FE64" s="443"/>
      <c r="FF64" s="443"/>
      <c r="FG64" s="443"/>
      <c r="FH64" s="443"/>
      <c r="FI64" s="443"/>
      <c r="FJ64" s="443"/>
      <c r="FK64" s="443"/>
      <c r="FL64" s="443"/>
      <c r="FM64" s="443"/>
      <c r="FN64" s="443"/>
      <c r="FO64" s="443"/>
      <c r="FP64" s="443"/>
      <c r="FQ64" s="443"/>
      <c r="FR64" s="443"/>
      <c r="FS64" s="443"/>
      <c r="FT64" s="443"/>
      <c r="FU64" s="443"/>
      <c r="FV64" s="443"/>
      <c r="FW64" s="443"/>
      <c r="FX64" s="443"/>
      <c r="FY64" s="443"/>
      <c r="FZ64" s="443"/>
      <c r="GA64" s="443"/>
      <c r="GB64" s="443"/>
      <c r="GC64" s="443"/>
      <c r="GD64" s="443"/>
      <c r="GE64" s="443"/>
      <c r="GF64" s="443"/>
      <c r="GG64" s="443"/>
      <c r="GH64" s="443"/>
      <c r="GI64" s="443"/>
      <c r="GJ64" s="443"/>
      <c r="GK64" s="443"/>
      <c r="GL64" s="443"/>
      <c r="GM64" s="443"/>
      <c r="GN64" s="443"/>
      <c r="GO64" s="443"/>
      <c r="GP64" s="443"/>
      <c r="GQ64" s="443"/>
      <c r="GR64" s="443"/>
      <c r="GS64" s="443"/>
      <c r="GT64" s="443"/>
      <c r="GU64" s="443"/>
      <c r="GV64" s="443"/>
      <c r="GW64" s="443"/>
      <c r="GX64" s="443"/>
      <c r="GY64" s="443"/>
      <c r="GZ64" s="443"/>
      <c r="HA64" s="443"/>
      <c r="HB64" s="443"/>
      <c r="HC64" s="443"/>
      <c r="HD64" s="443"/>
      <c r="HE64" s="443"/>
      <c r="HF64" s="443"/>
      <c r="HG64" s="443"/>
      <c r="HH64" s="443"/>
      <c r="HI64" s="443"/>
      <c r="HJ64" s="443"/>
      <c r="HK64" s="443"/>
      <c r="HL64" s="443"/>
      <c r="HM64" s="443"/>
      <c r="HN64" s="443"/>
      <c r="HO64" s="443"/>
      <c r="HP64" s="443"/>
      <c r="HQ64" s="443"/>
      <c r="HR64" s="443"/>
      <c r="HS64" s="443"/>
      <c r="HT64" s="443"/>
      <c r="HU64" s="443"/>
      <c r="HV64" s="443"/>
      <c r="HW64" s="443"/>
      <c r="HX64" s="443"/>
      <c r="HY64" s="443"/>
      <c r="HZ64" s="443"/>
      <c r="IA64" s="443"/>
      <c r="IB64" s="443"/>
      <c r="IC64" s="443"/>
      <c r="ID64" s="443"/>
      <c r="IE64" s="443"/>
      <c r="IF64" s="443"/>
      <c r="IG64" s="443"/>
      <c r="IH64" s="443"/>
      <c r="II64" s="443"/>
      <c r="IJ64" s="443"/>
      <c r="IK64" s="443"/>
      <c r="IL64" s="443"/>
      <c r="IM64" s="443"/>
      <c r="IN64" s="443"/>
      <c r="IO64" s="443"/>
      <c r="IP64" s="443"/>
      <c r="IQ64" s="443"/>
      <c r="IR64" s="443"/>
      <c r="IS64" s="443"/>
      <c r="IT64" s="443"/>
      <c r="IU64" s="443"/>
      <c r="IV64" s="443"/>
      <c r="IW64" s="443"/>
      <c r="IX64" s="443"/>
      <c r="IY64" s="443"/>
      <c r="IZ64" s="443"/>
      <c r="JA64" s="443"/>
      <c r="JB64" s="443"/>
      <c r="JC64" s="443"/>
      <c r="JD64" s="443"/>
      <c r="JE64" s="443"/>
      <c r="JF64" s="443"/>
      <c r="JG64" s="443"/>
      <c r="JH64" s="443"/>
      <c r="JI64" s="443"/>
      <c r="JJ64" s="443"/>
      <c r="JK64" s="443"/>
      <c r="JL64" s="443"/>
      <c r="JM64" s="443"/>
      <c r="JN64" s="443"/>
      <c r="JO64" s="443"/>
      <c r="JP64" s="443"/>
      <c r="JQ64" s="443"/>
      <c r="JR64" s="443"/>
      <c r="JS64" s="443"/>
      <c r="JT64" s="443"/>
      <c r="JU64" s="443"/>
      <c r="JV64" s="443"/>
      <c r="JW64" s="443"/>
      <c r="JX64" s="443"/>
      <c r="JY64" s="443"/>
      <c r="JZ64" s="443"/>
      <c r="KA64" s="443"/>
      <c r="KB64" s="443"/>
      <c r="KC64" s="443"/>
      <c r="KD64" s="443"/>
      <c r="KE64" s="443"/>
      <c r="KF64" s="443"/>
      <c r="KG64" s="443"/>
      <c r="KH64" s="443"/>
      <c r="KI64" s="443"/>
      <c r="KJ64" s="443"/>
      <c r="KK64" s="443"/>
      <c r="KL64" s="443"/>
      <c r="KM64" s="443"/>
      <c r="KN64" s="443"/>
      <c r="KO64" s="443"/>
      <c r="KP64" s="443"/>
      <c r="KQ64" s="443"/>
      <c r="KR64" s="443"/>
      <c r="KS64" s="443"/>
      <c r="KT64" s="443"/>
      <c r="KU64" s="443"/>
      <c r="KV64" s="443"/>
      <c r="KW64" s="443"/>
      <c r="KX64" s="443"/>
      <c r="KY64" s="443"/>
      <c r="KZ64" s="443"/>
      <c r="LA64" s="443"/>
      <c r="LB64" s="443"/>
      <c r="LC64" s="443"/>
      <c r="LD64" s="443"/>
      <c r="LE64" s="443"/>
      <c r="LF64" s="443"/>
      <c r="LG64" s="443"/>
      <c r="LH64" s="443"/>
      <c r="LI64" s="443"/>
      <c r="LJ64" s="443"/>
      <c r="LK64" s="443"/>
      <c r="LL64" s="443"/>
      <c r="LM64" s="443"/>
      <c r="LN64" s="443"/>
      <c r="LO64" s="443"/>
      <c r="LP64" s="443"/>
      <c r="LQ64" s="443"/>
      <c r="LR64" s="443"/>
      <c r="LS64" s="443"/>
      <c r="LT64" s="443"/>
      <c r="LU64" s="443"/>
      <c r="LV64" s="443"/>
      <c r="LW64" s="443"/>
      <c r="LX64" s="443"/>
      <c r="LY64" s="443"/>
      <c r="LZ64" s="443"/>
      <c r="MA64" s="443"/>
      <c r="MB64" s="443"/>
      <c r="MC64" s="443"/>
      <c r="MD64" s="443"/>
      <c r="ME64" s="443"/>
      <c r="MF64" s="443"/>
      <c r="MG64" s="443"/>
      <c r="MH64" s="443"/>
      <c r="MI64" s="443"/>
      <c r="MJ64" s="443"/>
      <c r="MK64" s="443"/>
      <c r="ML64" s="443"/>
      <c r="MM64" s="443"/>
      <c r="MN64" s="443"/>
      <c r="MO64" s="443"/>
      <c r="MP64" s="443"/>
      <c r="MQ64" s="443"/>
      <c r="MR64" s="443"/>
      <c r="MS64" s="443"/>
      <c r="MT64" s="443"/>
      <c r="MU64" s="443"/>
      <c r="MV64" s="443"/>
      <c r="MW64" s="443"/>
      <c r="MX64" s="443"/>
      <c r="MY64" s="443"/>
      <c r="MZ64" s="443"/>
      <c r="NA64" s="443"/>
      <c r="NB64" s="443"/>
      <c r="NC64" s="443"/>
      <c r="ND64" s="443"/>
      <c r="NE64" s="443"/>
      <c r="NF64" s="443"/>
      <c r="NG64" s="443"/>
      <c r="NH64" s="443"/>
      <c r="NI64" s="443"/>
      <c r="NJ64" s="443"/>
      <c r="NK64" s="443"/>
      <c r="NL64" s="443"/>
      <c r="NM64" s="443"/>
      <c r="NN64" s="443"/>
      <c r="NO64" s="443"/>
      <c r="NP64" s="443"/>
      <c r="NQ64" s="443"/>
      <c r="NR64" s="443"/>
      <c r="NS64" s="443"/>
      <c r="NT64" s="443"/>
      <c r="NU64" s="443"/>
      <c r="NV64" s="443"/>
      <c r="NW64" s="443"/>
      <c r="NX64" s="443"/>
      <c r="NY64" s="443"/>
      <c r="NZ64" s="443"/>
      <c r="OA64" s="443"/>
      <c r="OB64" s="443"/>
      <c r="OC64" s="443"/>
      <c r="OD64" s="443"/>
      <c r="OE64" s="443"/>
      <c r="OF64" s="443"/>
      <c r="OG64" s="443"/>
      <c r="OH64" s="443"/>
      <c r="OI64" s="443"/>
      <c r="OJ64" s="443"/>
      <c r="OK64" s="443"/>
      <c r="OL64" s="443"/>
      <c r="OM64" s="443"/>
      <c r="ON64" s="443"/>
      <c r="OO64" s="443"/>
      <c r="OP64" s="443"/>
      <c r="OQ64" s="443"/>
      <c r="OR64" s="443"/>
      <c r="OS64" s="443"/>
      <c r="OT64" s="443"/>
      <c r="OU64" s="443"/>
      <c r="OV64" s="443"/>
      <c r="OW64" s="443"/>
      <c r="OX64" s="443"/>
      <c r="OY64" s="443"/>
      <c r="OZ64" s="443"/>
      <c r="PA64" s="443"/>
      <c r="PB64" s="443"/>
      <c r="PC64" s="443"/>
      <c r="PD64" s="443"/>
      <c r="PE64" s="443"/>
      <c r="PF64" s="443"/>
      <c r="PG64" s="443"/>
      <c r="PH64" s="443"/>
      <c r="PI64" s="443"/>
      <c r="PJ64" s="443"/>
      <c r="PK64" s="443"/>
      <c r="PL64" s="443"/>
      <c r="PM64" s="443"/>
      <c r="PN64" s="443"/>
      <c r="PO64" s="443"/>
      <c r="PP64" s="443"/>
      <c r="PQ64" s="443"/>
      <c r="PR64" s="443"/>
      <c r="PS64" s="443"/>
      <c r="PT64" s="443"/>
      <c r="PU64" s="443"/>
      <c r="PV64" s="443"/>
      <c r="PW64" s="443"/>
      <c r="PX64" s="443"/>
      <c r="PY64" s="443"/>
      <c r="PZ64" s="443"/>
      <c r="QA64" s="443"/>
      <c r="QB64" s="443"/>
      <c r="QC64" s="443"/>
      <c r="QD64" s="443"/>
      <c r="QE64" s="443"/>
      <c r="QF64" s="443"/>
      <c r="QG64" s="443"/>
      <c r="QH64" s="443"/>
      <c r="QI64" s="443"/>
      <c r="QJ64" s="443"/>
      <c r="QK64" s="443"/>
      <c r="QL64" s="443"/>
      <c r="QM64" s="443"/>
      <c r="QN64" s="443"/>
      <c r="QO64" s="443"/>
      <c r="QP64" s="443"/>
      <c r="QQ64" s="443"/>
      <c r="QR64" s="443"/>
      <c r="QS64" s="443"/>
      <c r="QT64" s="443"/>
      <c r="QU64" s="443"/>
      <c r="QV64" s="443"/>
      <c r="QW64" s="443"/>
      <c r="QX64" s="443"/>
      <c r="QY64" s="443"/>
      <c r="QZ64" s="443"/>
      <c r="RA64" s="443"/>
      <c r="RB64" s="443"/>
      <c r="RC64" s="443"/>
      <c r="RD64" s="443"/>
      <c r="RE64" s="443"/>
      <c r="RF64" s="443"/>
      <c r="RG64" s="443"/>
      <c r="RH64" s="443"/>
      <c r="RI64" s="443"/>
      <c r="RJ64" s="443"/>
      <c r="RK64" s="443"/>
      <c r="RL64" s="443"/>
      <c r="RM64" s="443"/>
      <c r="RN64" s="443"/>
      <c r="RO64" s="443"/>
      <c r="RP64" s="443"/>
      <c r="RQ64" s="443"/>
      <c r="RR64" s="443"/>
      <c r="RS64" s="443"/>
      <c r="RT64" s="443"/>
      <c r="RU64" s="443"/>
      <c r="RV64" s="443"/>
      <c r="RW64" s="443"/>
      <c r="RX64" s="443"/>
      <c r="RY64" s="443"/>
      <c r="RZ64" s="443"/>
      <c r="SA64" s="443"/>
      <c r="SB64" s="443"/>
      <c r="SC64" s="443"/>
      <c r="SD64" s="443"/>
      <c r="SE64" s="443"/>
      <c r="SF64" s="443"/>
      <c r="SG64" s="443"/>
      <c r="SH64" s="443"/>
      <c r="SI64" s="443"/>
      <c r="SJ64" s="443"/>
      <c r="SK64" s="443"/>
      <c r="SL64" s="443"/>
      <c r="SM64" s="443"/>
      <c r="SN64" s="443"/>
      <c r="SO64" s="443"/>
      <c r="SP64" s="443"/>
      <c r="SQ64" s="443"/>
      <c r="SR64" s="443"/>
      <c r="SS64" s="443"/>
      <c r="ST64" s="443"/>
      <c r="SU64" s="443"/>
      <c r="SV64" s="443"/>
      <c r="SW64" s="443"/>
      <c r="SX64" s="443"/>
      <c r="SY64" s="443"/>
      <c r="SZ64" s="443"/>
      <c r="TA64" s="443"/>
      <c r="TB64" s="443"/>
      <c r="TC64" s="443"/>
      <c r="TD64" s="443"/>
      <c r="TE64" s="443"/>
      <c r="TF64" s="443"/>
      <c r="TG64" s="443"/>
      <c r="TH64" s="443"/>
      <c r="TI64" s="443"/>
      <c r="TJ64" s="443"/>
      <c r="TK64" s="443"/>
      <c r="TL64" s="443"/>
      <c r="TM64" s="443"/>
      <c r="TN64" s="443"/>
      <c r="TO64" s="443"/>
      <c r="TP64" s="443"/>
      <c r="TQ64" s="443"/>
      <c r="TR64" s="443"/>
      <c r="TS64" s="443"/>
      <c r="TT64" s="443"/>
      <c r="TU64" s="443"/>
      <c r="TV64" s="443"/>
      <c r="TW64" s="443"/>
      <c r="TX64" s="443"/>
      <c r="TY64" s="443"/>
      <c r="TZ64" s="443"/>
      <c r="UA64" s="443"/>
      <c r="UB64" s="443"/>
      <c r="UC64" s="443"/>
      <c r="UD64" s="443"/>
      <c r="UE64" s="443"/>
      <c r="UF64" s="443"/>
      <c r="UG64" s="443"/>
      <c r="UH64" s="443"/>
      <c r="UI64" s="443"/>
      <c r="UJ64" s="443"/>
      <c r="UK64" s="443"/>
      <c r="UL64" s="443"/>
      <c r="UM64" s="443"/>
      <c r="UN64" s="443"/>
      <c r="UO64" s="443"/>
      <c r="UP64" s="443"/>
      <c r="UQ64" s="443"/>
      <c r="UR64" s="443"/>
      <c r="US64" s="443"/>
      <c r="UT64" s="443"/>
      <c r="UU64" s="443"/>
      <c r="UV64" s="443"/>
      <c r="UW64" s="443"/>
      <c r="UX64" s="443"/>
      <c r="UY64" s="443"/>
      <c r="UZ64" s="443"/>
      <c r="VA64" s="443"/>
      <c r="VB64" s="443"/>
      <c r="VC64" s="443"/>
      <c r="VD64" s="443"/>
      <c r="VE64" s="443"/>
      <c r="VF64" s="443"/>
      <c r="VG64" s="443"/>
      <c r="VH64" s="443"/>
      <c r="VI64" s="443"/>
      <c r="VJ64" s="443"/>
      <c r="VK64" s="443"/>
      <c r="VL64" s="443"/>
      <c r="VM64" s="443"/>
      <c r="VN64" s="443"/>
      <c r="VO64" s="443"/>
      <c r="VP64" s="443"/>
      <c r="VQ64" s="443"/>
      <c r="VR64" s="443"/>
      <c r="VS64" s="443"/>
      <c r="VT64" s="443"/>
      <c r="VU64" s="443"/>
      <c r="VV64" s="443"/>
      <c r="VW64" s="443"/>
      <c r="VX64" s="443"/>
      <c r="VY64" s="443"/>
      <c r="VZ64" s="443"/>
      <c r="WA64" s="443"/>
      <c r="WB64" s="443"/>
      <c r="WC64" s="443"/>
      <c r="WD64" s="443"/>
      <c r="WE64" s="443"/>
      <c r="WF64" s="443"/>
      <c r="WG64" s="443"/>
      <c r="WH64" s="443"/>
      <c r="WI64" s="443"/>
      <c r="WJ64" s="443"/>
      <c r="WK64" s="443"/>
      <c r="WL64" s="443"/>
      <c r="WM64" s="443"/>
      <c r="WN64" s="443"/>
      <c r="WO64" s="443"/>
      <c r="WP64" s="443"/>
      <c r="WQ64" s="443"/>
      <c r="WR64" s="443"/>
      <c r="WS64" s="443"/>
      <c r="WT64" s="443"/>
      <c r="WU64" s="443"/>
      <c r="WV64" s="443"/>
      <c r="WW64" s="443"/>
      <c r="WX64" s="443"/>
      <c r="WY64" s="443"/>
      <c r="WZ64" s="443"/>
      <c r="XA64" s="443"/>
      <c r="XB64" s="443"/>
      <c r="XC64" s="443"/>
      <c r="XD64" s="443"/>
      <c r="XE64" s="443"/>
      <c r="XF64" s="443"/>
      <c r="XG64" s="443"/>
      <c r="XH64" s="443"/>
      <c r="XI64" s="443"/>
      <c r="XJ64" s="443"/>
      <c r="XK64" s="443"/>
      <c r="XL64" s="443"/>
      <c r="XM64" s="443"/>
      <c r="XN64" s="443"/>
      <c r="XO64" s="443"/>
      <c r="XP64" s="443"/>
      <c r="XQ64" s="443"/>
      <c r="XR64" s="443"/>
      <c r="XS64" s="443"/>
      <c r="XT64" s="443"/>
      <c r="XU64" s="443"/>
      <c r="XV64" s="443"/>
      <c r="XW64" s="443"/>
      <c r="XX64" s="443"/>
      <c r="XY64" s="443"/>
      <c r="XZ64" s="443"/>
      <c r="YA64" s="443"/>
      <c r="YB64" s="443"/>
      <c r="YC64" s="443"/>
      <c r="YD64" s="443"/>
      <c r="YE64" s="443"/>
      <c r="YF64" s="443"/>
      <c r="YG64" s="443"/>
      <c r="YH64" s="443"/>
      <c r="YI64" s="443"/>
      <c r="YJ64" s="443"/>
      <c r="YK64" s="443"/>
      <c r="YL64" s="443"/>
      <c r="YM64" s="443"/>
      <c r="YN64" s="443"/>
      <c r="YO64" s="443"/>
      <c r="YP64" s="443"/>
      <c r="YQ64" s="443"/>
      <c r="YR64" s="443"/>
      <c r="YS64" s="443"/>
      <c r="YT64" s="443"/>
      <c r="YU64" s="443"/>
      <c r="YV64" s="443"/>
      <c r="YW64" s="443"/>
      <c r="YX64" s="443"/>
      <c r="YY64" s="443"/>
      <c r="YZ64" s="443"/>
      <c r="ZA64" s="443"/>
      <c r="ZB64" s="443"/>
      <c r="ZC64" s="443"/>
      <c r="ZD64" s="443"/>
      <c r="ZE64" s="443"/>
      <c r="ZF64" s="443"/>
      <c r="ZG64" s="443"/>
      <c r="ZH64" s="443"/>
      <c r="ZI64" s="443"/>
      <c r="ZJ64" s="443"/>
      <c r="ZK64" s="443"/>
      <c r="ZL64" s="443"/>
      <c r="ZM64" s="443"/>
      <c r="ZN64" s="443"/>
      <c r="ZO64" s="443"/>
      <c r="ZP64" s="443"/>
      <c r="ZQ64" s="443"/>
      <c r="ZR64" s="443"/>
      <c r="ZS64" s="443"/>
      <c r="ZT64" s="443"/>
      <c r="ZU64" s="443"/>
      <c r="ZV64" s="443"/>
      <c r="ZW64" s="443"/>
      <c r="ZX64" s="443"/>
      <c r="ZY64" s="443"/>
      <c r="ZZ64" s="443"/>
      <c r="AAA64" s="443"/>
      <c r="AAB64" s="443"/>
      <c r="AAC64" s="443"/>
      <c r="AAD64" s="443"/>
      <c r="AAE64" s="443"/>
      <c r="AAF64" s="443"/>
      <c r="AAG64" s="443"/>
      <c r="AAH64" s="443"/>
      <c r="AAI64" s="443"/>
      <c r="AAJ64" s="443"/>
      <c r="AAK64" s="443"/>
      <c r="AAL64" s="443"/>
      <c r="AAM64" s="443"/>
      <c r="AAN64" s="443"/>
      <c r="AAO64" s="443"/>
      <c r="AAP64" s="443"/>
      <c r="AAQ64" s="443"/>
      <c r="AAR64" s="443"/>
      <c r="AAS64" s="443"/>
      <c r="AAT64" s="443"/>
      <c r="AAU64" s="443"/>
      <c r="AAV64" s="443"/>
      <c r="AAW64" s="443"/>
      <c r="AAX64" s="443"/>
      <c r="AAY64" s="443"/>
      <c r="AAZ64" s="443"/>
      <c r="ABA64" s="443"/>
      <c r="ABB64" s="443"/>
      <c r="ABC64" s="443"/>
      <c r="ABD64" s="443"/>
      <c r="ABE64" s="443"/>
      <c r="ABF64" s="443"/>
      <c r="ABG64" s="443"/>
      <c r="ABH64" s="443"/>
      <c r="ABI64" s="443"/>
      <c r="ABJ64" s="443"/>
      <c r="ABK64" s="443"/>
      <c r="ABL64" s="443"/>
      <c r="ABM64" s="443"/>
      <c r="ABN64" s="443"/>
      <c r="ABO64" s="443"/>
      <c r="ABP64" s="443"/>
      <c r="ABQ64" s="443"/>
      <c r="ABR64" s="443"/>
      <c r="ABS64" s="443"/>
      <c r="ABT64" s="443"/>
      <c r="ABU64" s="443"/>
      <c r="ABV64" s="443"/>
      <c r="ABW64" s="443"/>
      <c r="ABX64" s="443"/>
      <c r="ABY64" s="443"/>
      <c r="ABZ64" s="443"/>
      <c r="ACA64" s="443"/>
      <c r="ACB64" s="443"/>
      <c r="ACC64" s="443"/>
      <c r="ACD64" s="443"/>
      <c r="ACE64" s="443"/>
      <c r="ACF64" s="443"/>
      <c r="ACG64" s="443"/>
      <c r="ACH64" s="443"/>
      <c r="ACI64" s="443"/>
      <c r="ACJ64" s="443"/>
      <c r="ACK64" s="443"/>
      <c r="ACL64" s="443"/>
      <c r="ACM64" s="443"/>
      <c r="ACN64" s="443"/>
      <c r="ACO64" s="443"/>
      <c r="ACP64" s="443"/>
      <c r="ACQ64" s="443"/>
      <c r="ACR64" s="443"/>
      <c r="ACS64" s="443"/>
      <c r="ACT64" s="443"/>
      <c r="ACU64" s="443"/>
      <c r="ACV64" s="443"/>
      <c r="ACW64" s="443"/>
      <c r="ACX64" s="443"/>
      <c r="ACY64" s="443"/>
      <c r="ACZ64" s="443"/>
      <c r="ADA64" s="443"/>
      <c r="ADB64" s="443"/>
      <c r="ADC64" s="443"/>
      <c r="ADD64" s="443"/>
      <c r="ADE64" s="443"/>
      <c r="ADF64" s="443"/>
      <c r="ADG64" s="443"/>
      <c r="ADH64" s="443"/>
      <c r="ADI64" s="443"/>
      <c r="ADJ64" s="443"/>
      <c r="ADK64" s="443"/>
      <c r="ADL64" s="443"/>
      <c r="ADM64" s="443"/>
      <c r="ADN64" s="443"/>
      <c r="ADO64" s="443"/>
      <c r="ADP64" s="443"/>
      <c r="ADQ64" s="443"/>
      <c r="ADR64" s="443"/>
      <c r="ADS64" s="443"/>
      <c r="ADT64" s="443"/>
      <c r="ADU64" s="443"/>
      <c r="ADV64" s="443"/>
      <c r="ADW64" s="443"/>
      <c r="ADX64" s="443"/>
      <c r="ADY64" s="443"/>
      <c r="ADZ64" s="443"/>
      <c r="AEA64" s="443"/>
      <c r="AEB64" s="443"/>
      <c r="AEC64" s="443"/>
      <c r="AED64" s="443"/>
      <c r="AEE64" s="443"/>
      <c r="AEF64" s="443"/>
      <c r="AEG64" s="443"/>
      <c r="AEH64" s="443"/>
      <c r="AEI64" s="443"/>
      <c r="AEJ64" s="443"/>
      <c r="AEK64" s="443"/>
      <c r="AEL64" s="443"/>
      <c r="AEM64" s="443"/>
      <c r="AEN64" s="443"/>
      <c r="AEO64" s="443"/>
      <c r="AEP64" s="443"/>
      <c r="AEQ64" s="443"/>
      <c r="AER64" s="443"/>
      <c r="AES64" s="443"/>
      <c r="AET64" s="443"/>
      <c r="AEU64" s="443"/>
      <c r="AEV64" s="443"/>
      <c r="AEW64" s="443"/>
      <c r="AEX64" s="443"/>
      <c r="AEY64" s="443"/>
      <c r="AEZ64" s="443"/>
      <c r="AFA64" s="443"/>
      <c r="AFB64" s="443"/>
      <c r="AFC64" s="443"/>
      <c r="AFD64" s="443"/>
      <c r="AFE64" s="443"/>
      <c r="AFF64" s="443"/>
      <c r="AFG64" s="443"/>
      <c r="AFH64" s="443"/>
      <c r="AFI64" s="443"/>
      <c r="AFJ64" s="443"/>
      <c r="AFK64" s="443"/>
      <c r="AFL64" s="443"/>
      <c r="AFM64" s="443"/>
      <c r="AFN64" s="443"/>
      <c r="AFO64" s="443"/>
      <c r="AFP64" s="443"/>
      <c r="AFQ64" s="443"/>
      <c r="AFR64" s="443"/>
      <c r="AFS64" s="443"/>
      <c r="AFT64" s="443"/>
      <c r="AFU64" s="443"/>
      <c r="AFV64" s="443"/>
      <c r="AFW64" s="443"/>
      <c r="AFX64" s="443"/>
      <c r="AFY64" s="443"/>
      <c r="AFZ64" s="443"/>
      <c r="AGA64" s="443"/>
      <c r="AGB64" s="443"/>
      <c r="AGC64" s="443"/>
      <c r="AGD64" s="443"/>
      <c r="AGE64" s="443"/>
      <c r="AGF64" s="443"/>
      <c r="AGG64" s="443"/>
      <c r="AGH64" s="443"/>
      <c r="AGI64" s="443"/>
      <c r="AGJ64" s="443"/>
    </row>
    <row r="65" spans="1:868" s="1" customFormat="1">
      <c r="A65" s="652" t="s">
        <v>118</v>
      </c>
      <c r="B65" s="799" t="s">
        <v>437</v>
      </c>
      <c r="C65" s="34" t="s">
        <v>139</v>
      </c>
      <c r="D65" s="122" t="s">
        <v>99</v>
      </c>
      <c r="E65" s="637">
        <f t="shared" si="22"/>
        <v>7.810419810064792E-2</v>
      </c>
      <c r="F65" s="9">
        <v>1</v>
      </c>
      <c r="G65" s="9" t="s">
        <v>433</v>
      </c>
      <c r="H65" s="10">
        <v>1</v>
      </c>
      <c r="I65" s="10">
        <v>2</v>
      </c>
      <c r="J65" s="10">
        <v>2</v>
      </c>
      <c r="K65" s="10">
        <v>1</v>
      </c>
      <c r="L65" s="10">
        <v>1</v>
      </c>
      <c r="M65" s="10">
        <v>2</v>
      </c>
      <c r="N65" s="411">
        <f t="shared" si="25"/>
        <v>0.35859414261160716</v>
      </c>
      <c r="O65" s="411">
        <f t="shared" si="26"/>
        <v>0.37356464144298934</v>
      </c>
      <c r="P65" s="43"/>
      <c r="Q65" s="443"/>
      <c r="R65" s="443"/>
      <c r="S65" s="443"/>
      <c r="T65" s="443"/>
      <c r="U65" s="443"/>
      <c r="V65" s="443"/>
      <c r="W65" s="443"/>
      <c r="X65" s="443"/>
      <c r="Y65" s="443"/>
      <c r="Z65" s="443"/>
      <c r="AA65" s="443"/>
      <c r="AB65" s="443"/>
      <c r="AC65" s="443"/>
      <c r="AD65" s="443"/>
      <c r="AE65" s="443"/>
      <c r="AF65" s="443"/>
      <c r="AG65" s="443"/>
      <c r="AH65" s="443"/>
      <c r="AI65" s="443"/>
      <c r="AJ65" s="443"/>
      <c r="AK65" s="443"/>
      <c r="AL65" s="443"/>
      <c r="AM65" s="443"/>
      <c r="AN65" s="443"/>
      <c r="AO65" s="443"/>
      <c r="AP65" s="443"/>
      <c r="AQ65" s="443"/>
      <c r="AR65" s="443"/>
      <c r="AS65" s="443"/>
      <c r="AT65" s="443"/>
      <c r="AU65" s="443"/>
      <c r="AV65" s="443"/>
      <c r="AW65" s="443"/>
      <c r="AX65" s="443"/>
      <c r="AY65" s="443"/>
      <c r="AZ65" s="443"/>
      <c r="BA65" s="443"/>
      <c r="BB65" s="443"/>
      <c r="BC65" s="443"/>
      <c r="BD65" s="443"/>
      <c r="BE65" s="443"/>
      <c r="BF65" s="443"/>
      <c r="BG65" s="443"/>
      <c r="BH65" s="443"/>
      <c r="BI65" s="443"/>
      <c r="BJ65" s="443"/>
      <c r="BK65" s="443"/>
      <c r="BL65" s="443"/>
      <c r="BM65" s="443"/>
      <c r="BN65" s="443"/>
      <c r="BO65" s="443"/>
      <c r="BP65" s="443"/>
      <c r="BQ65" s="443"/>
      <c r="BR65" s="443"/>
      <c r="BS65" s="443"/>
      <c r="BT65" s="443"/>
      <c r="BU65" s="443"/>
      <c r="BV65" s="443"/>
      <c r="BW65" s="443"/>
      <c r="BX65" s="443"/>
      <c r="BY65" s="443"/>
      <c r="BZ65" s="443"/>
      <c r="CA65" s="443"/>
      <c r="CB65" s="443"/>
      <c r="CC65" s="443"/>
      <c r="CD65" s="443"/>
      <c r="CE65" s="443"/>
      <c r="CF65" s="443"/>
      <c r="CG65" s="443"/>
      <c r="CH65" s="443"/>
      <c r="CI65" s="443"/>
      <c r="CJ65" s="443"/>
      <c r="CK65" s="443"/>
      <c r="CL65" s="443"/>
      <c r="CM65" s="443"/>
      <c r="CN65" s="443"/>
      <c r="CO65" s="443"/>
      <c r="CP65" s="443"/>
      <c r="CQ65" s="443"/>
      <c r="CR65" s="443"/>
      <c r="CS65" s="443"/>
      <c r="CT65" s="443"/>
      <c r="CU65" s="443"/>
      <c r="CV65" s="443"/>
      <c r="CW65" s="443"/>
      <c r="CX65" s="443"/>
      <c r="CY65" s="443"/>
      <c r="CZ65" s="443"/>
      <c r="DA65" s="443"/>
      <c r="DB65" s="443"/>
      <c r="DC65" s="443"/>
      <c r="DD65" s="443"/>
      <c r="DE65" s="443"/>
      <c r="DF65" s="443"/>
      <c r="DG65" s="443"/>
      <c r="DH65" s="443"/>
      <c r="DI65" s="443"/>
      <c r="DJ65" s="443"/>
      <c r="DK65" s="443"/>
      <c r="DL65" s="443"/>
      <c r="DM65" s="443"/>
      <c r="DN65" s="443"/>
      <c r="DO65" s="443"/>
      <c r="DP65" s="443"/>
      <c r="DQ65" s="443"/>
      <c r="DR65" s="443"/>
      <c r="DS65" s="443"/>
      <c r="DT65" s="443"/>
      <c r="DU65" s="443"/>
      <c r="DV65" s="443"/>
      <c r="DW65" s="443"/>
      <c r="DX65" s="443"/>
      <c r="DY65" s="443"/>
      <c r="DZ65" s="443"/>
      <c r="EA65" s="443"/>
      <c r="EB65" s="443"/>
      <c r="EC65" s="443"/>
      <c r="ED65" s="443"/>
      <c r="EE65" s="443"/>
      <c r="EF65" s="443"/>
      <c r="EG65" s="443"/>
      <c r="EH65" s="443"/>
      <c r="EI65" s="443"/>
      <c r="EJ65" s="443"/>
      <c r="EK65" s="443"/>
      <c r="EL65" s="443"/>
      <c r="EM65" s="443"/>
      <c r="EN65" s="443"/>
      <c r="EO65" s="443"/>
      <c r="EP65" s="443"/>
      <c r="EQ65" s="443"/>
      <c r="ER65" s="443"/>
      <c r="ES65" s="443"/>
      <c r="ET65" s="443"/>
      <c r="EU65" s="443"/>
      <c r="EV65" s="443"/>
      <c r="EW65" s="443"/>
      <c r="EX65" s="443"/>
      <c r="EY65" s="443"/>
      <c r="EZ65" s="443"/>
      <c r="FA65" s="443"/>
      <c r="FB65" s="443"/>
      <c r="FC65" s="443"/>
      <c r="FD65" s="443"/>
      <c r="FE65" s="443"/>
      <c r="FF65" s="443"/>
      <c r="FG65" s="443"/>
      <c r="FH65" s="443"/>
      <c r="FI65" s="443"/>
      <c r="FJ65" s="443"/>
      <c r="FK65" s="443"/>
      <c r="FL65" s="443"/>
      <c r="FM65" s="443"/>
      <c r="FN65" s="443"/>
      <c r="FO65" s="443"/>
      <c r="FP65" s="443"/>
      <c r="FQ65" s="443"/>
      <c r="FR65" s="443"/>
      <c r="FS65" s="443"/>
      <c r="FT65" s="443"/>
      <c r="FU65" s="443"/>
      <c r="FV65" s="443"/>
      <c r="FW65" s="443"/>
      <c r="FX65" s="443"/>
      <c r="FY65" s="443"/>
      <c r="FZ65" s="443"/>
      <c r="GA65" s="443"/>
      <c r="GB65" s="443"/>
      <c r="GC65" s="443"/>
      <c r="GD65" s="443"/>
      <c r="GE65" s="443"/>
      <c r="GF65" s="443"/>
      <c r="GG65" s="443"/>
      <c r="GH65" s="443"/>
      <c r="GI65" s="443"/>
      <c r="GJ65" s="443"/>
      <c r="GK65" s="443"/>
      <c r="GL65" s="443"/>
      <c r="GM65" s="443"/>
      <c r="GN65" s="443"/>
      <c r="GO65" s="443"/>
      <c r="GP65" s="443"/>
      <c r="GQ65" s="443"/>
      <c r="GR65" s="443"/>
      <c r="GS65" s="443"/>
      <c r="GT65" s="443"/>
      <c r="GU65" s="443"/>
      <c r="GV65" s="443"/>
      <c r="GW65" s="443"/>
      <c r="GX65" s="443"/>
      <c r="GY65" s="443"/>
      <c r="GZ65" s="443"/>
      <c r="HA65" s="443"/>
      <c r="HB65" s="443"/>
      <c r="HC65" s="443"/>
      <c r="HD65" s="443"/>
      <c r="HE65" s="443"/>
      <c r="HF65" s="443"/>
      <c r="HG65" s="443"/>
      <c r="HH65" s="443"/>
      <c r="HI65" s="443"/>
      <c r="HJ65" s="443"/>
      <c r="HK65" s="443"/>
      <c r="HL65" s="443"/>
      <c r="HM65" s="443"/>
      <c r="HN65" s="443"/>
      <c r="HO65" s="443"/>
      <c r="HP65" s="443"/>
      <c r="HQ65" s="443"/>
      <c r="HR65" s="443"/>
      <c r="HS65" s="443"/>
      <c r="HT65" s="443"/>
      <c r="HU65" s="443"/>
      <c r="HV65" s="443"/>
      <c r="HW65" s="443"/>
      <c r="HX65" s="443"/>
      <c r="HY65" s="443"/>
      <c r="HZ65" s="443"/>
      <c r="IA65" s="443"/>
      <c r="IB65" s="443"/>
      <c r="IC65" s="443"/>
      <c r="ID65" s="443"/>
      <c r="IE65" s="443"/>
      <c r="IF65" s="443"/>
      <c r="IG65" s="443"/>
      <c r="IH65" s="443"/>
      <c r="II65" s="443"/>
      <c r="IJ65" s="443"/>
      <c r="IK65" s="443"/>
      <c r="IL65" s="443"/>
      <c r="IM65" s="443"/>
      <c r="IN65" s="443"/>
      <c r="IO65" s="443"/>
      <c r="IP65" s="443"/>
      <c r="IQ65" s="443"/>
      <c r="IR65" s="443"/>
      <c r="IS65" s="443"/>
      <c r="IT65" s="443"/>
      <c r="IU65" s="443"/>
      <c r="IV65" s="443"/>
      <c r="IW65" s="443"/>
      <c r="IX65" s="443"/>
      <c r="IY65" s="443"/>
      <c r="IZ65" s="443"/>
      <c r="JA65" s="443"/>
      <c r="JB65" s="443"/>
      <c r="JC65" s="443"/>
      <c r="JD65" s="443"/>
      <c r="JE65" s="443"/>
      <c r="JF65" s="443"/>
      <c r="JG65" s="443"/>
      <c r="JH65" s="443"/>
      <c r="JI65" s="443"/>
      <c r="JJ65" s="443"/>
      <c r="JK65" s="443"/>
      <c r="JL65" s="443"/>
      <c r="JM65" s="443"/>
      <c r="JN65" s="443"/>
      <c r="JO65" s="443"/>
      <c r="JP65" s="443"/>
      <c r="JQ65" s="443"/>
      <c r="JR65" s="443"/>
      <c r="JS65" s="443"/>
      <c r="JT65" s="443"/>
      <c r="JU65" s="443"/>
      <c r="JV65" s="443"/>
      <c r="JW65" s="443"/>
      <c r="JX65" s="443"/>
      <c r="JY65" s="443"/>
      <c r="JZ65" s="443"/>
      <c r="KA65" s="443"/>
      <c r="KB65" s="443"/>
      <c r="KC65" s="443"/>
      <c r="KD65" s="443"/>
      <c r="KE65" s="443"/>
      <c r="KF65" s="443"/>
      <c r="KG65" s="443"/>
      <c r="KH65" s="443"/>
      <c r="KI65" s="443"/>
      <c r="KJ65" s="443"/>
      <c r="KK65" s="443"/>
      <c r="KL65" s="443"/>
      <c r="KM65" s="443"/>
      <c r="KN65" s="443"/>
      <c r="KO65" s="443"/>
      <c r="KP65" s="443"/>
      <c r="KQ65" s="443"/>
      <c r="KR65" s="443"/>
      <c r="KS65" s="443"/>
      <c r="KT65" s="443"/>
      <c r="KU65" s="443"/>
      <c r="KV65" s="443"/>
      <c r="KW65" s="443"/>
      <c r="KX65" s="443"/>
      <c r="KY65" s="443"/>
      <c r="KZ65" s="443"/>
      <c r="LA65" s="443"/>
      <c r="LB65" s="443"/>
      <c r="LC65" s="443"/>
      <c r="LD65" s="443"/>
      <c r="LE65" s="443"/>
      <c r="LF65" s="443"/>
      <c r="LG65" s="443"/>
      <c r="LH65" s="443"/>
      <c r="LI65" s="443"/>
      <c r="LJ65" s="443"/>
      <c r="LK65" s="443"/>
      <c r="LL65" s="443"/>
      <c r="LM65" s="443"/>
      <c r="LN65" s="443"/>
      <c r="LO65" s="443"/>
      <c r="LP65" s="443"/>
      <c r="LQ65" s="443"/>
      <c r="LR65" s="443"/>
      <c r="LS65" s="443"/>
      <c r="LT65" s="443"/>
      <c r="LU65" s="443"/>
      <c r="LV65" s="443"/>
      <c r="LW65" s="443"/>
      <c r="LX65" s="443"/>
      <c r="LY65" s="443"/>
      <c r="LZ65" s="443"/>
      <c r="MA65" s="443"/>
      <c r="MB65" s="443"/>
      <c r="MC65" s="443"/>
      <c r="MD65" s="443"/>
      <c r="ME65" s="443"/>
      <c r="MF65" s="443"/>
      <c r="MG65" s="443"/>
      <c r="MH65" s="443"/>
      <c r="MI65" s="443"/>
      <c r="MJ65" s="443"/>
      <c r="MK65" s="443"/>
      <c r="ML65" s="443"/>
      <c r="MM65" s="443"/>
      <c r="MN65" s="443"/>
      <c r="MO65" s="443"/>
      <c r="MP65" s="443"/>
      <c r="MQ65" s="443"/>
      <c r="MR65" s="443"/>
      <c r="MS65" s="443"/>
      <c r="MT65" s="443"/>
      <c r="MU65" s="443"/>
      <c r="MV65" s="443"/>
      <c r="MW65" s="443"/>
      <c r="MX65" s="443"/>
      <c r="MY65" s="443"/>
      <c r="MZ65" s="443"/>
      <c r="NA65" s="443"/>
      <c r="NB65" s="443"/>
      <c r="NC65" s="443"/>
      <c r="ND65" s="443"/>
      <c r="NE65" s="443"/>
      <c r="NF65" s="443"/>
      <c r="NG65" s="443"/>
      <c r="NH65" s="443"/>
      <c r="NI65" s="443"/>
      <c r="NJ65" s="443"/>
      <c r="NK65" s="443"/>
      <c r="NL65" s="443"/>
      <c r="NM65" s="443"/>
      <c r="NN65" s="443"/>
      <c r="NO65" s="443"/>
      <c r="NP65" s="443"/>
      <c r="NQ65" s="443"/>
      <c r="NR65" s="443"/>
      <c r="NS65" s="443"/>
      <c r="NT65" s="443"/>
      <c r="NU65" s="443"/>
      <c r="NV65" s="443"/>
      <c r="NW65" s="443"/>
      <c r="NX65" s="443"/>
      <c r="NY65" s="443"/>
      <c r="NZ65" s="443"/>
      <c r="OA65" s="443"/>
      <c r="OB65" s="443"/>
      <c r="OC65" s="443"/>
      <c r="OD65" s="443"/>
      <c r="OE65" s="443"/>
      <c r="OF65" s="443"/>
      <c r="OG65" s="443"/>
      <c r="OH65" s="443"/>
      <c r="OI65" s="443"/>
      <c r="OJ65" s="443"/>
      <c r="OK65" s="443"/>
      <c r="OL65" s="443"/>
      <c r="OM65" s="443"/>
      <c r="ON65" s="443"/>
      <c r="OO65" s="443"/>
      <c r="OP65" s="443"/>
      <c r="OQ65" s="443"/>
      <c r="OR65" s="443"/>
      <c r="OS65" s="443"/>
      <c r="OT65" s="443"/>
      <c r="OU65" s="443"/>
      <c r="OV65" s="443"/>
      <c r="OW65" s="443"/>
      <c r="OX65" s="443"/>
      <c r="OY65" s="443"/>
      <c r="OZ65" s="443"/>
      <c r="PA65" s="443"/>
      <c r="PB65" s="443"/>
      <c r="PC65" s="443"/>
      <c r="PD65" s="443"/>
      <c r="PE65" s="443"/>
      <c r="PF65" s="443"/>
      <c r="PG65" s="443"/>
      <c r="PH65" s="443"/>
      <c r="PI65" s="443"/>
      <c r="PJ65" s="443"/>
      <c r="PK65" s="443"/>
      <c r="PL65" s="443"/>
      <c r="PM65" s="443"/>
      <c r="PN65" s="443"/>
      <c r="PO65" s="443"/>
      <c r="PP65" s="443"/>
      <c r="PQ65" s="443"/>
      <c r="PR65" s="443"/>
      <c r="PS65" s="443"/>
      <c r="PT65" s="443"/>
      <c r="PU65" s="443"/>
      <c r="PV65" s="443"/>
      <c r="PW65" s="443"/>
      <c r="PX65" s="443"/>
      <c r="PY65" s="443"/>
      <c r="PZ65" s="443"/>
      <c r="QA65" s="443"/>
      <c r="QB65" s="443"/>
      <c r="QC65" s="443"/>
      <c r="QD65" s="443"/>
      <c r="QE65" s="443"/>
      <c r="QF65" s="443"/>
      <c r="QG65" s="443"/>
      <c r="QH65" s="443"/>
      <c r="QI65" s="443"/>
      <c r="QJ65" s="443"/>
      <c r="QK65" s="443"/>
      <c r="QL65" s="443"/>
      <c r="QM65" s="443"/>
      <c r="QN65" s="443"/>
      <c r="QO65" s="443"/>
      <c r="QP65" s="443"/>
      <c r="QQ65" s="443"/>
      <c r="QR65" s="443"/>
      <c r="QS65" s="443"/>
      <c r="QT65" s="443"/>
      <c r="QU65" s="443"/>
      <c r="QV65" s="443"/>
      <c r="QW65" s="443"/>
      <c r="QX65" s="443"/>
      <c r="QY65" s="443"/>
      <c r="QZ65" s="443"/>
      <c r="RA65" s="443"/>
      <c r="RB65" s="443"/>
      <c r="RC65" s="443"/>
      <c r="RD65" s="443"/>
      <c r="RE65" s="443"/>
      <c r="RF65" s="443"/>
      <c r="RG65" s="443"/>
      <c r="RH65" s="443"/>
      <c r="RI65" s="443"/>
      <c r="RJ65" s="443"/>
      <c r="RK65" s="443"/>
      <c r="RL65" s="443"/>
      <c r="RM65" s="443"/>
      <c r="RN65" s="443"/>
      <c r="RO65" s="443"/>
      <c r="RP65" s="443"/>
      <c r="RQ65" s="443"/>
      <c r="RR65" s="443"/>
      <c r="RS65" s="443"/>
      <c r="RT65" s="443"/>
      <c r="RU65" s="443"/>
      <c r="RV65" s="443"/>
      <c r="RW65" s="443"/>
      <c r="RX65" s="443"/>
      <c r="RY65" s="443"/>
      <c r="RZ65" s="443"/>
      <c r="SA65" s="443"/>
      <c r="SB65" s="443"/>
      <c r="SC65" s="443"/>
      <c r="SD65" s="443"/>
      <c r="SE65" s="443"/>
      <c r="SF65" s="443"/>
      <c r="SG65" s="443"/>
      <c r="SH65" s="443"/>
      <c r="SI65" s="443"/>
      <c r="SJ65" s="443"/>
      <c r="SK65" s="443"/>
      <c r="SL65" s="443"/>
      <c r="SM65" s="443"/>
      <c r="SN65" s="443"/>
      <c r="SO65" s="443"/>
      <c r="SP65" s="443"/>
      <c r="SQ65" s="443"/>
      <c r="SR65" s="443"/>
      <c r="SS65" s="443"/>
      <c r="ST65" s="443"/>
      <c r="SU65" s="443"/>
      <c r="SV65" s="443"/>
      <c r="SW65" s="443"/>
      <c r="SX65" s="443"/>
      <c r="SY65" s="443"/>
      <c r="SZ65" s="443"/>
      <c r="TA65" s="443"/>
      <c r="TB65" s="443"/>
      <c r="TC65" s="443"/>
      <c r="TD65" s="443"/>
      <c r="TE65" s="443"/>
      <c r="TF65" s="443"/>
      <c r="TG65" s="443"/>
      <c r="TH65" s="443"/>
      <c r="TI65" s="443"/>
      <c r="TJ65" s="443"/>
      <c r="TK65" s="443"/>
      <c r="TL65" s="443"/>
      <c r="TM65" s="443"/>
      <c r="TN65" s="443"/>
      <c r="TO65" s="443"/>
      <c r="TP65" s="443"/>
      <c r="TQ65" s="443"/>
      <c r="TR65" s="443"/>
      <c r="TS65" s="443"/>
      <c r="TT65" s="443"/>
      <c r="TU65" s="443"/>
      <c r="TV65" s="443"/>
      <c r="TW65" s="443"/>
      <c r="TX65" s="443"/>
      <c r="TY65" s="443"/>
      <c r="TZ65" s="443"/>
      <c r="UA65" s="443"/>
      <c r="UB65" s="443"/>
      <c r="UC65" s="443"/>
      <c r="UD65" s="443"/>
      <c r="UE65" s="443"/>
      <c r="UF65" s="443"/>
      <c r="UG65" s="443"/>
      <c r="UH65" s="443"/>
      <c r="UI65" s="443"/>
      <c r="UJ65" s="443"/>
      <c r="UK65" s="443"/>
      <c r="UL65" s="443"/>
      <c r="UM65" s="443"/>
      <c r="UN65" s="443"/>
      <c r="UO65" s="443"/>
      <c r="UP65" s="443"/>
      <c r="UQ65" s="443"/>
      <c r="UR65" s="443"/>
      <c r="US65" s="443"/>
      <c r="UT65" s="443"/>
      <c r="UU65" s="443"/>
      <c r="UV65" s="443"/>
      <c r="UW65" s="443"/>
      <c r="UX65" s="443"/>
      <c r="UY65" s="443"/>
      <c r="UZ65" s="443"/>
      <c r="VA65" s="443"/>
      <c r="VB65" s="443"/>
      <c r="VC65" s="443"/>
      <c r="VD65" s="443"/>
      <c r="VE65" s="443"/>
      <c r="VF65" s="443"/>
      <c r="VG65" s="443"/>
      <c r="VH65" s="443"/>
      <c r="VI65" s="443"/>
      <c r="VJ65" s="443"/>
      <c r="VK65" s="443"/>
      <c r="VL65" s="443"/>
      <c r="VM65" s="443"/>
      <c r="VN65" s="443"/>
      <c r="VO65" s="443"/>
      <c r="VP65" s="443"/>
      <c r="VQ65" s="443"/>
      <c r="VR65" s="443"/>
      <c r="VS65" s="443"/>
      <c r="VT65" s="443"/>
      <c r="VU65" s="443"/>
      <c r="VV65" s="443"/>
      <c r="VW65" s="443"/>
      <c r="VX65" s="443"/>
      <c r="VY65" s="443"/>
      <c r="VZ65" s="443"/>
      <c r="WA65" s="443"/>
      <c r="WB65" s="443"/>
      <c r="WC65" s="443"/>
      <c r="WD65" s="443"/>
      <c r="WE65" s="443"/>
      <c r="WF65" s="443"/>
      <c r="WG65" s="443"/>
      <c r="WH65" s="443"/>
      <c r="WI65" s="443"/>
      <c r="WJ65" s="443"/>
      <c r="WK65" s="443"/>
      <c r="WL65" s="443"/>
      <c r="WM65" s="443"/>
      <c r="WN65" s="443"/>
      <c r="WO65" s="443"/>
      <c r="WP65" s="443"/>
      <c r="WQ65" s="443"/>
      <c r="WR65" s="443"/>
      <c r="WS65" s="443"/>
      <c r="WT65" s="443"/>
      <c r="WU65" s="443"/>
      <c r="WV65" s="443"/>
      <c r="WW65" s="443"/>
      <c r="WX65" s="443"/>
      <c r="WY65" s="443"/>
      <c r="WZ65" s="443"/>
      <c r="XA65" s="443"/>
      <c r="XB65" s="443"/>
      <c r="XC65" s="443"/>
      <c r="XD65" s="443"/>
      <c r="XE65" s="443"/>
      <c r="XF65" s="443"/>
      <c r="XG65" s="443"/>
      <c r="XH65" s="443"/>
      <c r="XI65" s="443"/>
      <c r="XJ65" s="443"/>
      <c r="XK65" s="443"/>
      <c r="XL65" s="443"/>
      <c r="XM65" s="443"/>
      <c r="XN65" s="443"/>
      <c r="XO65" s="443"/>
      <c r="XP65" s="443"/>
      <c r="XQ65" s="443"/>
      <c r="XR65" s="443"/>
      <c r="XS65" s="443"/>
      <c r="XT65" s="443"/>
      <c r="XU65" s="443"/>
      <c r="XV65" s="443"/>
      <c r="XW65" s="443"/>
      <c r="XX65" s="443"/>
      <c r="XY65" s="443"/>
      <c r="XZ65" s="443"/>
      <c r="YA65" s="443"/>
      <c r="YB65" s="443"/>
      <c r="YC65" s="443"/>
      <c r="YD65" s="443"/>
      <c r="YE65" s="443"/>
      <c r="YF65" s="443"/>
      <c r="YG65" s="443"/>
      <c r="YH65" s="443"/>
      <c r="YI65" s="443"/>
      <c r="YJ65" s="443"/>
      <c r="YK65" s="443"/>
      <c r="YL65" s="443"/>
      <c r="YM65" s="443"/>
      <c r="YN65" s="443"/>
      <c r="YO65" s="443"/>
      <c r="YP65" s="443"/>
      <c r="YQ65" s="443"/>
      <c r="YR65" s="443"/>
      <c r="YS65" s="443"/>
      <c r="YT65" s="443"/>
      <c r="YU65" s="443"/>
      <c r="YV65" s="443"/>
      <c r="YW65" s="443"/>
      <c r="YX65" s="443"/>
      <c r="YY65" s="443"/>
      <c r="YZ65" s="443"/>
      <c r="ZA65" s="443"/>
      <c r="ZB65" s="443"/>
      <c r="ZC65" s="443"/>
      <c r="ZD65" s="443"/>
      <c r="ZE65" s="443"/>
      <c r="ZF65" s="443"/>
      <c r="ZG65" s="443"/>
      <c r="ZH65" s="443"/>
      <c r="ZI65" s="443"/>
      <c r="ZJ65" s="443"/>
      <c r="ZK65" s="443"/>
      <c r="ZL65" s="443"/>
      <c r="ZM65" s="443"/>
      <c r="ZN65" s="443"/>
      <c r="ZO65" s="443"/>
      <c r="ZP65" s="443"/>
      <c r="ZQ65" s="443"/>
      <c r="ZR65" s="443"/>
      <c r="ZS65" s="443"/>
      <c r="ZT65" s="443"/>
      <c r="ZU65" s="443"/>
      <c r="ZV65" s="443"/>
      <c r="ZW65" s="443"/>
      <c r="ZX65" s="443"/>
      <c r="ZY65" s="443"/>
      <c r="ZZ65" s="443"/>
      <c r="AAA65" s="443"/>
      <c r="AAB65" s="443"/>
      <c r="AAC65" s="443"/>
      <c r="AAD65" s="443"/>
      <c r="AAE65" s="443"/>
      <c r="AAF65" s="443"/>
      <c r="AAG65" s="443"/>
      <c r="AAH65" s="443"/>
      <c r="AAI65" s="443"/>
      <c r="AAJ65" s="443"/>
      <c r="AAK65" s="443"/>
      <c r="AAL65" s="443"/>
      <c r="AAM65" s="443"/>
      <c r="AAN65" s="443"/>
      <c r="AAO65" s="443"/>
      <c r="AAP65" s="443"/>
      <c r="AAQ65" s="443"/>
      <c r="AAR65" s="443"/>
      <c r="AAS65" s="443"/>
      <c r="AAT65" s="443"/>
      <c r="AAU65" s="443"/>
      <c r="AAV65" s="443"/>
      <c r="AAW65" s="443"/>
      <c r="AAX65" s="443"/>
      <c r="AAY65" s="443"/>
      <c r="AAZ65" s="443"/>
      <c r="ABA65" s="443"/>
      <c r="ABB65" s="443"/>
      <c r="ABC65" s="443"/>
      <c r="ABD65" s="443"/>
      <c r="ABE65" s="443"/>
      <c r="ABF65" s="443"/>
      <c r="ABG65" s="443"/>
      <c r="ABH65" s="443"/>
      <c r="ABI65" s="443"/>
      <c r="ABJ65" s="443"/>
      <c r="ABK65" s="443"/>
      <c r="ABL65" s="443"/>
      <c r="ABM65" s="443"/>
      <c r="ABN65" s="443"/>
      <c r="ABO65" s="443"/>
      <c r="ABP65" s="443"/>
      <c r="ABQ65" s="443"/>
      <c r="ABR65" s="443"/>
      <c r="ABS65" s="443"/>
      <c r="ABT65" s="443"/>
      <c r="ABU65" s="443"/>
      <c r="ABV65" s="443"/>
      <c r="ABW65" s="443"/>
      <c r="ABX65" s="443"/>
      <c r="ABY65" s="443"/>
      <c r="ABZ65" s="443"/>
      <c r="ACA65" s="443"/>
      <c r="ACB65" s="443"/>
      <c r="ACC65" s="443"/>
      <c r="ACD65" s="443"/>
      <c r="ACE65" s="443"/>
      <c r="ACF65" s="443"/>
      <c r="ACG65" s="443"/>
      <c r="ACH65" s="443"/>
      <c r="ACI65" s="443"/>
      <c r="ACJ65" s="443"/>
      <c r="ACK65" s="443"/>
      <c r="ACL65" s="443"/>
      <c r="ACM65" s="443"/>
      <c r="ACN65" s="443"/>
      <c r="ACO65" s="443"/>
      <c r="ACP65" s="443"/>
      <c r="ACQ65" s="443"/>
      <c r="ACR65" s="443"/>
      <c r="ACS65" s="443"/>
      <c r="ACT65" s="443"/>
      <c r="ACU65" s="443"/>
      <c r="ACV65" s="443"/>
      <c r="ACW65" s="443"/>
      <c r="ACX65" s="443"/>
      <c r="ACY65" s="443"/>
      <c r="ACZ65" s="443"/>
      <c r="ADA65" s="443"/>
      <c r="ADB65" s="443"/>
      <c r="ADC65" s="443"/>
      <c r="ADD65" s="443"/>
      <c r="ADE65" s="443"/>
      <c r="ADF65" s="443"/>
      <c r="ADG65" s="443"/>
      <c r="ADH65" s="443"/>
      <c r="ADI65" s="443"/>
      <c r="ADJ65" s="443"/>
      <c r="ADK65" s="443"/>
      <c r="ADL65" s="443"/>
      <c r="ADM65" s="443"/>
      <c r="ADN65" s="443"/>
      <c r="ADO65" s="443"/>
      <c r="ADP65" s="443"/>
      <c r="ADQ65" s="443"/>
      <c r="ADR65" s="443"/>
      <c r="ADS65" s="443"/>
      <c r="ADT65" s="443"/>
      <c r="ADU65" s="443"/>
      <c r="ADV65" s="443"/>
      <c r="ADW65" s="443"/>
      <c r="ADX65" s="443"/>
      <c r="ADY65" s="443"/>
      <c r="ADZ65" s="443"/>
      <c r="AEA65" s="443"/>
      <c r="AEB65" s="443"/>
      <c r="AEC65" s="443"/>
      <c r="AED65" s="443"/>
      <c r="AEE65" s="443"/>
      <c r="AEF65" s="443"/>
      <c r="AEG65" s="443"/>
      <c r="AEH65" s="443"/>
      <c r="AEI65" s="443"/>
      <c r="AEJ65" s="443"/>
      <c r="AEK65" s="443"/>
      <c r="AEL65" s="443"/>
      <c r="AEM65" s="443"/>
      <c r="AEN65" s="443"/>
      <c r="AEO65" s="443"/>
      <c r="AEP65" s="443"/>
      <c r="AEQ65" s="443"/>
      <c r="AER65" s="443"/>
      <c r="AES65" s="443"/>
      <c r="AET65" s="443"/>
      <c r="AEU65" s="443"/>
      <c r="AEV65" s="443"/>
      <c r="AEW65" s="443"/>
      <c r="AEX65" s="443"/>
      <c r="AEY65" s="443"/>
      <c r="AEZ65" s="443"/>
      <c r="AFA65" s="443"/>
      <c r="AFB65" s="443"/>
      <c r="AFC65" s="443"/>
      <c r="AFD65" s="443"/>
      <c r="AFE65" s="443"/>
      <c r="AFF65" s="443"/>
      <c r="AFG65" s="443"/>
      <c r="AFH65" s="443"/>
      <c r="AFI65" s="443"/>
      <c r="AFJ65" s="443"/>
      <c r="AFK65" s="443"/>
      <c r="AFL65" s="443"/>
      <c r="AFM65" s="443"/>
      <c r="AFN65" s="443"/>
      <c r="AFO65" s="443"/>
      <c r="AFP65" s="443"/>
      <c r="AFQ65" s="443"/>
      <c r="AFR65" s="443"/>
      <c r="AFS65" s="443"/>
      <c r="AFT65" s="443"/>
      <c r="AFU65" s="443"/>
      <c r="AFV65" s="443"/>
      <c r="AFW65" s="443"/>
      <c r="AFX65" s="443"/>
      <c r="AFY65" s="443"/>
      <c r="AFZ65" s="443"/>
      <c r="AGA65" s="443"/>
      <c r="AGB65" s="443"/>
      <c r="AGC65" s="443"/>
      <c r="AGD65" s="443"/>
      <c r="AGE65" s="443"/>
      <c r="AGF65" s="443"/>
      <c r="AGG65" s="443"/>
      <c r="AGH65" s="443"/>
      <c r="AGI65" s="443"/>
      <c r="AGJ65" s="443"/>
    </row>
    <row r="66" spans="1:868" s="1" customFormat="1">
      <c r="A66" s="652" t="s">
        <v>118</v>
      </c>
      <c r="B66" s="799" t="s">
        <v>438</v>
      </c>
      <c r="C66" s="34" t="s">
        <v>139</v>
      </c>
      <c r="D66" s="122" t="s">
        <v>99</v>
      </c>
      <c r="E66" s="637">
        <f t="shared" si="22"/>
        <v>0.10650572468270171</v>
      </c>
      <c r="F66" s="9">
        <v>1</v>
      </c>
      <c r="G66" s="9" t="s">
        <v>433</v>
      </c>
      <c r="H66" s="10">
        <v>1</v>
      </c>
      <c r="I66" s="10">
        <v>2</v>
      </c>
      <c r="J66" s="10">
        <v>2</v>
      </c>
      <c r="K66" s="10">
        <v>1</v>
      </c>
      <c r="L66" s="10">
        <v>1</v>
      </c>
      <c r="M66" s="10">
        <v>2</v>
      </c>
      <c r="N66" s="411">
        <f t="shared" si="25"/>
        <v>0.35859414261160716</v>
      </c>
      <c r="O66" s="411">
        <f t="shared" si="26"/>
        <v>0.37356464144298934</v>
      </c>
      <c r="P66" s="43"/>
      <c r="Q66" s="443"/>
      <c r="R66" s="443"/>
      <c r="S66" s="443"/>
      <c r="T66" s="443"/>
      <c r="U66" s="443"/>
      <c r="V66" s="443"/>
      <c r="W66" s="443"/>
      <c r="X66" s="443"/>
      <c r="Y66" s="443"/>
      <c r="Z66" s="443"/>
      <c r="AA66" s="443"/>
      <c r="AB66" s="443"/>
      <c r="AC66" s="443"/>
      <c r="AD66" s="443"/>
      <c r="AE66" s="443"/>
      <c r="AF66" s="443"/>
      <c r="AG66" s="443"/>
      <c r="AH66" s="443"/>
      <c r="AI66" s="443"/>
      <c r="AJ66" s="443"/>
      <c r="AK66" s="443"/>
      <c r="AL66" s="443"/>
      <c r="AM66" s="443"/>
      <c r="AN66" s="443"/>
      <c r="AO66" s="443"/>
      <c r="AP66" s="443"/>
      <c r="AQ66" s="443"/>
      <c r="AR66" s="443"/>
      <c r="AS66" s="443"/>
      <c r="AT66" s="443"/>
      <c r="AU66" s="443"/>
      <c r="AV66" s="443"/>
      <c r="AW66" s="443"/>
      <c r="AX66" s="443"/>
      <c r="AY66" s="443"/>
      <c r="AZ66" s="443"/>
      <c r="BA66" s="443"/>
      <c r="BB66" s="443"/>
      <c r="BC66" s="443"/>
      <c r="BD66" s="443"/>
      <c r="BE66" s="443"/>
      <c r="BF66" s="443"/>
      <c r="BG66" s="443"/>
      <c r="BH66" s="443"/>
      <c r="BI66" s="443"/>
      <c r="BJ66" s="443"/>
      <c r="BK66" s="443"/>
      <c r="BL66" s="443"/>
      <c r="BM66" s="443"/>
      <c r="BN66" s="443"/>
      <c r="BO66" s="443"/>
      <c r="BP66" s="443"/>
      <c r="BQ66" s="443"/>
      <c r="BR66" s="443"/>
      <c r="BS66" s="443"/>
      <c r="BT66" s="443"/>
      <c r="BU66" s="443"/>
      <c r="BV66" s="443"/>
      <c r="BW66" s="443"/>
      <c r="BX66" s="443"/>
      <c r="BY66" s="443"/>
      <c r="BZ66" s="443"/>
      <c r="CA66" s="443"/>
      <c r="CB66" s="443"/>
      <c r="CC66" s="443"/>
      <c r="CD66" s="443"/>
      <c r="CE66" s="443"/>
      <c r="CF66" s="443"/>
      <c r="CG66" s="443"/>
      <c r="CH66" s="443"/>
      <c r="CI66" s="443"/>
      <c r="CJ66" s="443"/>
      <c r="CK66" s="443"/>
      <c r="CL66" s="443"/>
      <c r="CM66" s="443"/>
      <c r="CN66" s="443"/>
      <c r="CO66" s="443"/>
      <c r="CP66" s="443"/>
      <c r="CQ66" s="443"/>
      <c r="CR66" s="443"/>
      <c r="CS66" s="443"/>
      <c r="CT66" s="443"/>
      <c r="CU66" s="443"/>
      <c r="CV66" s="443"/>
      <c r="CW66" s="443"/>
      <c r="CX66" s="443"/>
      <c r="CY66" s="443"/>
      <c r="CZ66" s="443"/>
      <c r="DA66" s="443"/>
      <c r="DB66" s="443"/>
      <c r="DC66" s="443"/>
      <c r="DD66" s="443"/>
      <c r="DE66" s="443"/>
      <c r="DF66" s="443"/>
      <c r="DG66" s="443"/>
      <c r="DH66" s="443"/>
      <c r="DI66" s="443"/>
      <c r="DJ66" s="443"/>
      <c r="DK66" s="443"/>
      <c r="DL66" s="443"/>
      <c r="DM66" s="443"/>
      <c r="DN66" s="443"/>
      <c r="DO66" s="443"/>
      <c r="DP66" s="443"/>
      <c r="DQ66" s="443"/>
      <c r="DR66" s="443"/>
      <c r="DS66" s="443"/>
      <c r="DT66" s="443"/>
      <c r="DU66" s="443"/>
      <c r="DV66" s="443"/>
      <c r="DW66" s="443"/>
      <c r="DX66" s="443"/>
      <c r="DY66" s="443"/>
      <c r="DZ66" s="443"/>
      <c r="EA66" s="443"/>
      <c r="EB66" s="443"/>
      <c r="EC66" s="443"/>
      <c r="ED66" s="443"/>
      <c r="EE66" s="443"/>
      <c r="EF66" s="443"/>
      <c r="EG66" s="443"/>
      <c r="EH66" s="443"/>
      <c r="EI66" s="443"/>
      <c r="EJ66" s="443"/>
      <c r="EK66" s="443"/>
      <c r="EL66" s="443"/>
      <c r="EM66" s="443"/>
      <c r="EN66" s="443"/>
      <c r="EO66" s="443"/>
      <c r="EP66" s="443"/>
      <c r="EQ66" s="443"/>
      <c r="ER66" s="443"/>
      <c r="ES66" s="443"/>
      <c r="ET66" s="443"/>
      <c r="EU66" s="443"/>
      <c r="EV66" s="443"/>
      <c r="EW66" s="443"/>
      <c r="EX66" s="443"/>
      <c r="EY66" s="443"/>
      <c r="EZ66" s="443"/>
      <c r="FA66" s="443"/>
      <c r="FB66" s="443"/>
      <c r="FC66" s="443"/>
      <c r="FD66" s="443"/>
      <c r="FE66" s="443"/>
      <c r="FF66" s="443"/>
      <c r="FG66" s="443"/>
      <c r="FH66" s="443"/>
      <c r="FI66" s="443"/>
      <c r="FJ66" s="443"/>
      <c r="FK66" s="443"/>
      <c r="FL66" s="443"/>
      <c r="FM66" s="443"/>
      <c r="FN66" s="443"/>
      <c r="FO66" s="443"/>
      <c r="FP66" s="443"/>
      <c r="FQ66" s="443"/>
      <c r="FR66" s="443"/>
      <c r="FS66" s="443"/>
      <c r="FT66" s="443"/>
      <c r="FU66" s="443"/>
      <c r="FV66" s="443"/>
      <c r="FW66" s="443"/>
      <c r="FX66" s="443"/>
      <c r="FY66" s="443"/>
      <c r="FZ66" s="443"/>
      <c r="GA66" s="443"/>
      <c r="GB66" s="443"/>
      <c r="GC66" s="443"/>
      <c r="GD66" s="443"/>
      <c r="GE66" s="443"/>
      <c r="GF66" s="443"/>
      <c r="GG66" s="443"/>
      <c r="GH66" s="443"/>
      <c r="GI66" s="443"/>
      <c r="GJ66" s="443"/>
      <c r="GK66" s="443"/>
      <c r="GL66" s="443"/>
      <c r="GM66" s="443"/>
      <c r="GN66" s="443"/>
      <c r="GO66" s="443"/>
      <c r="GP66" s="443"/>
      <c r="GQ66" s="443"/>
      <c r="GR66" s="443"/>
      <c r="GS66" s="443"/>
      <c r="GT66" s="443"/>
      <c r="GU66" s="443"/>
      <c r="GV66" s="443"/>
      <c r="GW66" s="443"/>
      <c r="GX66" s="443"/>
      <c r="GY66" s="443"/>
      <c r="GZ66" s="443"/>
      <c r="HA66" s="443"/>
      <c r="HB66" s="443"/>
      <c r="HC66" s="443"/>
      <c r="HD66" s="443"/>
      <c r="HE66" s="443"/>
      <c r="HF66" s="443"/>
      <c r="HG66" s="443"/>
      <c r="HH66" s="443"/>
      <c r="HI66" s="443"/>
      <c r="HJ66" s="443"/>
      <c r="HK66" s="443"/>
      <c r="HL66" s="443"/>
      <c r="HM66" s="443"/>
      <c r="HN66" s="443"/>
      <c r="HO66" s="443"/>
      <c r="HP66" s="443"/>
      <c r="HQ66" s="443"/>
      <c r="HR66" s="443"/>
      <c r="HS66" s="443"/>
      <c r="HT66" s="443"/>
      <c r="HU66" s="443"/>
      <c r="HV66" s="443"/>
      <c r="HW66" s="443"/>
      <c r="HX66" s="443"/>
      <c r="HY66" s="443"/>
      <c r="HZ66" s="443"/>
      <c r="IA66" s="443"/>
      <c r="IB66" s="443"/>
      <c r="IC66" s="443"/>
      <c r="ID66" s="443"/>
      <c r="IE66" s="443"/>
      <c r="IF66" s="443"/>
      <c r="IG66" s="443"/>
      <c r="IH66" s="443"/>
      <c r="II66" s="443"/>
      <c r="IJ66" s="443"/>
      <c r="IK66" s="443"/>
      <c r="IL66" s="443"/>
      <c r="IM66" s="443"/>
      <c r="IN66" s="443"/>
      <c r="IO66" s="443"/>
      <c r="IP66" s="443"/>
      <c r="IQ66" s="443"/>
      <c r="IR66" s="443"/>
      <c r="IS66" s="443"/>
      <c r="IT66" s="443"/>
      <c r="IU66" s="443"/>
      <c r="IV66" s="443"/>
      <c r="IW66" s="443"/>
      <c r="IX66" s="443"/>
      <c r="IY66" s="443"/>
      <c r="IZ66" s="443"/>
      <c r="JA66" s="443"/>
      <c r="JB66" s="443"/>
      <c r="JC66" s="443"/>
      <c r="JD66" s="443"/>
      <c r="JE66" s="443"/>
      <c r="JF66" s="443"/>
      <c r="JG66" s="443"/>
      <c r="JH66" s="443"/>
      <c r="JI66" s="443"/>
      <c r="JJ66" s="443"/>
      <c r="JK66" s="443"/>
      <c r="JL66" s="443"/>
      <c r="JM66" s="443"/>
      <c r="JN66" s="443"/>
      <c r="JO66" s="443"/>
      <c r="JP66" s="443"/>
      <c r="JQ66" s="443"/>
      <c r="JR66" s="443"/>
      <c r="JS66" s="443"/>
      <c r="JT66" s="443"/>
      <c r="JU66" s="443"/>
      <c r="JV66" s="443"/>
      <c r="JW66" s="443"/>
      <c r="JX66" s="443"/>
      <c r="JY66" s="443"/>
      <c r="JZ66" s="443"/>
      <c r="KA66" s="443"/>
      <c r="KB66" s="443"/>
      <c r="KC66" s="443"/>
      <c r="KD66" s="443"/>
      <c r="KE66" s="443"/>
      <c r="KF66" s="443"/>
      <c r="KG66" s="443"/>
      <c r="KH66" s="443"/>
      <c r="KI66" s="443"/>
      <c r="KJ66" s="443"/>
      <c r="KK66" s="443"/>
      <c r="KL66" s="443"/>
      <c r="KM66" s="443"/>
      <c r="KN66" s="443"/>
      <c r="KO66" s="443"/>
      <c r="KP66" s="443"/>
      <c r="KQ66" s="443"/>
      <c r="KR66" s="443"/>
      <c r="KS66" s="443"/>
      <c r="KT66" s="443"/>
      <c r="KU66" s="443"/>
      <c r="KV66" s="443"/>
      <c r="KW66" s="443"/>
      <c r="KX66" s="443"/>
      <c r="KY66" s="443"/>
      <c r="KZ66" s="443"/>
      <c r="LA66" s="443"/>
      <c r="LB66" s="443"/>
      <c r="LC66" s="443"/>
      <c r="LD66" s="443"/>
      <c r="LE66" s="443"/>
      <c r="LF66" s="443"/>
      <c r="LG66" s="443"/>
      <c r="LH66" s="443"/>
      <c r="LI66" s="443"/>
      <c r="LJ66" s="443"/>
      <c r="LK66" s="443"/>
      <c r="LL66" s="443"/>
      <c r="LM66" s="443"/>
      <c r="LN66" s="443"/>
      <c r="LO66" s="443"/>
      <c r="LP66" s="443"/>
      <c r="LQ66" s="443"/>
      <c r="LR66" s="443"/>
      <c r="LS66" s="443"/>
      <c r="LT66" s="443"/>
      <c r="LU66" s="443"/>
      <c r="LV66" s="443"/>
      <c r="LW66" s="443"/>
      <c r="LX66" s="443"/>
      <c r="LY66" s="443"/>
      <c r="LZ66" s="443"/>
      <c r="MA66" s="443"/>
      <c r="MB66" s="443"/>
      <c r="MC66" s="443"/>
      <c r="MD66" s="443"/>
      <c r="ME66" s="443"/>
      <c r="MF66" s="443"/>
      <c r="MG66" s="443"/>
      <c r="MH66" s="443"/>
      <c r="MI66" s="443"/>
      <c r="MJ66" s="443"/>
      <c r="MK66" s="443"/>
      <c r="ML66" s="443"/>
      <c r="MM66" s="443"/>
      <c r="MN66" s="443"/>
      <c r="MO66" s="443"/>
      <c r="MP66" s="443"/>
      <c r="MQ66" s="443"/>
      <c r="MR66" s="443"/>
      <c r="MS66" s="443"/>
      <c r="MT66" s="443"/>
      <c r="MU66" s="443"/>
      <c r="MV66" s="443"/>
      <c r="MW66" s="443"/>
      <c r="MX66" s="443"/>
      <c r="MY66" s="443"/>
      <c r="MZ66" s="443"/>
      <c r="NA66" s="443"/>
      <c r="NB66" s="443"/>
      <c r="NC66" s="443"/>
      <c r="ND66" s="443"/>
      <c r="NE66" s="443"/>
      <c r="NF66" s="443"/>
      <c r="NG66" s="443"/>
      <c r="NH66" s="443"/>
      <c r="NI66" s="443"/>
      <c r="NJ66" s="443"/>
      <c r="NK66" s="443"/>
      <c r="NL66" s="443"/>
      <c r="NM66" s="443"/>
      <c r="NN66" s="443"/>
      <c r="NO66" s="443"/>
      <c r="NP66" s="443"/>
      <c r="NQ66" s="443"/>
      <c r="NR66" s="443"/>
      <c r="NS66" s="443"/>
      <c r="NT66" s="443"/>
      <c r="NU66" s="443"/>
      <c r="NV66" s="443"/>
      <c r="NW66" s="443"/>
      <c r="NX66" s="443"/>
      <c r="NY66" s="443"/>
      <c r="NZ66" s="443"/>
      <c r="OA66" s="443"/>
      <c r="OB66" s="443"/>
      <c r="OC66" s="443"/>
      <c r="OD66" s="443"/>
      <c r="OE66" s="443"/>
      <c r="OF66" s="443"/>
      <c r="OG66" s="443"/>
      <c r="OH66" s="443"/>
      <c r="OI66" s="443"/>
      <c r="OJ66" s="443"/>
      <c r="OK66" s="443"/>
      <c r="OL66" s="443"/>
      <c r="OM66" s="443"/>
      <c r="ON66" s="443"/>
      <c r="OO66" s="443"/>
      <c r="OP66" s="443"/>
      <c r="OQ66" s="443"/>
      <c r="OR66" s="443"/>
      <c r="OS66" s="443"/>
      <c r="OT66" s="443"/>
      <c r="OU66" s="443"/>
      <c r="OV66" s="443"/>
      <c r="OW66" s="443"/>
      <c r="OX66" s="443"/>
      <c r="OY66" s="443"/>
      <c r="OZ66" s="443"/>
      <c r="PA66" s="443"/>
      <c r="PB66" s="443"/>
      <c r="PC66" s="443"/>
      <c r="PD66" s="443"/>
      <c r="PE66" s="443"/>
      <c r="PF66" s="443"/>
      <c r="PG66" s="443"/>
      <c r="PH66" s="443"/>
      <c r="PI66" s="443"/>
      <c r="PJ66" s="443"/>
      <c r="PK66" s="443"/>
      <c r="PL66" s="443"/>
      <c r="PM66" s="443"/>
      <c r="PN66" s="443"/>
      <c r="PO66" s="443"/>
      <c r="PP66" s="443"/>
      <c r="PQ66" s="443"/>
      <c r="PR66" s="443"/>
      <c r="PS66" s="443"/>
      <c r="PT66" s="443"/>
      <c r="PU66" s="443"/>
      <c r="PV66" s="443"/>
      <c r="PW66" s="443"/>
      <c r="PX66" s="443"/>
      <c r="PY66" s="443"/>
      <c r="PZ66" s="443"/>
      <c r="QA66" s="443"/>
      <c r="QB66" s="443"/>
      <c r="QC66" s="443"/>
      <c r="QD66" s="443"/>
      <c r="QE66" s="443"/>
      <c r="QF66" s="443"/>
      <c r="QG66" s="443"/>
      <c r="QH66" s="443"/>
      <c r="QI66" s="443"/>
      <c r="QJ66" s="443"/>
      <c r="QK66" s="443"/>
      <c r="QL66" s="443"/>
      <c r="QM66" s="443"/>
      <c r="QN66" s="443"/>
      <c r="QO66" s="443"/>
      <c r="QP66" s="443"/>
      <c r="QQ66" s="443"/>
      <c r="QR66" s="443"/>
      <c r="QS66" s="443"/>
      <c r="QT66" s="443"/>
      <c r="QU66" s="443"/>
      <c r="QV66" s="443"/>
      <c r="QW66" s="443"/>
      <c r="QX66" s="443"/>
      <c r="QY66" s="443"/>
      <c r="QZ66" s="443"/>
      <c r="RA66" s="443"/>
      <c r="RB66" s="443"/>
      <c r="RC66" s="443"/>
      <c r="RD66" s="443"/>
      <c r="RE66" s="443"/>
      <c r="RF66" s="443"/>
      <c r="RG66" s="443"/>
      <c r="RH66" s="443"/>
      <c r="RI66" s="443"/>
      <c r="RJ66" s="443"/>
      <c r="RK66" s="443"/>
      <c r="RL66" s="443"/>
      <c r="RM66" s="443"/>
      <c r="RN66" s="443"/>
      <c r="RO66" s="443"/>
      <c r="RP66" s="443"/>
      <c r="RQ66" s="443"/>
      <c r="RR66" s="443"/>
      <c r="RS66" s="443"/>
      <c r="RT66" s="443"/>
      <c r="RU66" s="443"/>
      <c r="RV66" s="443"/>
      <c r="RW66" s="443"/>
      <c r="RX66" s="443"/>
      <c r="RY66" s="443"/>
      <c r="RZ66" s="443"/>
      <c r="SA66" s="443"/>
      <c r="SB66" s="443"/>
      <c r="SC66" s="443"/>
      <c r="SD66" s="443"/>
      <c r="SE66" s="443"/>
      <c r="SF66" s="443"/>
      <c r="SG66" s="443"/>
      <c r="SH66" s="443"/>
      <c r="SI66" s="443"/>
      <c r="SJ66" s="443"/>
      <c r="SK66" s="443"/>
      <c r="SL66" s="443"/>
      <c r="SM66" s="443"/>
      <c r="SN66" s="443"/>
      <c r="SO66" s="443"/>
      <c r="SP66" s="443"/>
      <c r="SQ66" s="443"/>
      <c r="SR66" s="443"/>
      <c r="SS66" s="443"/>
      <c r="ST66" s="443"/>
      <c r="SU66" s="443"/>
      <c r="SV66" s="443"/>
      <c r="SW66" s="443"/>
      <c r="SX66" s="443"/>
      <c r="SY66" s="443"/>
      <c r="SZ66" s="443"/>
      <c r="TA66" s="443"/>
      <c r="TB66" s="443"/>
      <c r="TC66" s="443"/>
      <c r="TD66" s="443"/>
      <c r="TE66" s="443"/>
      <c r="TF66" s="443"/>
      <c r="TG66" s="443"/>
      <c r="TH66" s="443"/>
      <c r="TI66" s="443"/>
      <c r="TJ66" s="443"/>
      <c r="TK66" s="443"/>
      <c r="TL66" s="443"/>
      <c r="TM66" s="443"/>
      <c r="TN66" s="443"/>
      <c r="TO66" s="443"/>
      <c r="TP66" s="443"/>
      <c r="TQ66" s="443"/>
      <c r="TR66" s="443"/>
      <c r="TS66" s="443"/>
      <c r="TT66" s="443"/>
      <c r="TU66" s="443"/>
      <c r="TV66" s="443"/>
      <c r="TW66" s="443"/>
      <c r="TX66" s="443"/>
      <c r="TY66" s="443"/>
      <c r="TZ66" s="443"/>
      <c r="UA66" s="443"/>
      <c r="UB66" s="443"/>
      <c r="UC66" s="443"/>
      <c r="UD66" s="443"/>
      <c r="UE66" s="443"/>
      <c r="UF66" s="443"/>
      <c r="UG66" s="443"/>
      <c r="UH66" s="443"/>
      <c r="UI66" s="443"/>
      <c r="UJ66" s="443"/>
      <c r="UK66" s="443"/>
      <c r="UL66" s="443"/>
      <c r="UM66" s="443"/>
      <c r="UN66" s="443"/>
      <c r="UO66" s="443"/>
      <c r="UP66" s="443"/>
      <c r="UQ66" s="443"/>
      <c r="UR66" s="443"/>
      <c r="US66" s="443"/>
      <c r="UT66" s="443"/>
      <c r="UU66" s="443"/>
      <c r="UV66" s="443"/>
      <c r="UW66" s="443"/>
      <c r="UX66" s="443"/>
      <c r="UY66" s="443"/>
      <c r="UZ66" s="443"/>
      <c r="VA66" s="443"/>
      <c r="VB66" s="443"/>
      <c r="VC66" s="443"/>
      <c r="VD66" s="443"/>
      <c r="VE66" s="443"/>
      <c r="VF66" s="443"/>
      <c r="VG66" s="443"/>
      <c r="VH66" s="443"/>
      <c r="VI66" s="443"/>
      <c r="VJ66" s="443"/>
      <c r="VK66" s="443"/>
      <c r="VL66" s="443"/>
      <c r="VM66" s="443"/>
      <c r="VN66" s="443"/>
      <c r="VO66" s="443"/>
      <c r="VP66" s="443"/>
      <c r="VQ66" s="443"/>
      <c r="VR66" s="443"/>
      <c r="VS66" s="443"/>
      <c r="VT66" s="443"/>
      <c r="VU66" s="443"/>
      <c r="VV66" s="443"/>
      <c r="VW66" s="443"/>
      <c r="VX66" s="443"/>
      <c r="VY66" s="443"/>
      <c r="VZ66" s="443"/>
      <c r="WA66" s="443"/>
      <c r="WB66" s="443"/>
      <c r="WC66" s="443"/>
      <c r="WD66" s="443"/>
      <c r="WE66" s="443"/>
      <c r="WF66" s="443"/>
      <c r="WG66" s="443"/>
      <c r="WH66" s="443"/>
      <c r="WI66" s="443"/>
      <c r="WJ66" s="443"/>
      <c r="WK66" s="443"/>
      <c r="WL66" s="443"/>
      <c r="WM66" s="443"/>
      <c r="WN66" s="443"/>
      <c r="WO66" s="443"/>
      <c r="WP66" s="443"/>
      <c r="WQ66" s="443"/>
      <c r="WR66" s="443"/>
      <c r="WS66" s="443"/>
      <c r="WT66" s="443"/>
      <c r="WU66" s="443"/>
      <c r="WV66" s="443"/>
      <c r="WW66" s="443"/>
      <c r="WX66" s="443"/>
      <c r="WY66" s="443"/>
      <c r="WZ66" s="443"/>
      <c r="XA66" s="443"/>
      <c r="XB66" s="443"/>
      <c r="XC66" s="443"/>
      <c r="XD66" s="443"/>
      <c r="XE66" s="443"/>
      <c r="XF66" s="443"/>
      <c r="XG66" s="443"/>
      <c r="XH66" s="443"/>
      <c r="XI66" s="443"/>
      <c r="XJ66" s="443"/>
      <c r="XK66" s="443"/>
      <c r="XL66" s="443"/>
      <c r="XM66" s="443"/>
      <c r="XN66" s="443"/>
      <c r="XO66" s="443"/>
      <c r="XP66" s="443"/>
      <c r="XQ66" s="443"/>
      <c r="XR66" s="443"/>
      <c r="XS66" s="443"/>
      <c r="XT66" s="443"/>
      <c r="XU66" s="443"/>
      <c r="XV66" s="443"/>
      <c r="XW66" s="443"/>
      <c r="XX66" s="443"/>
      <c r="XY66" s="443"/>
      <c r="XZ66" s="443"/>
      <c r="YA66" s="443"/>
      <c r="YB66" s="443"/>
      <c r="YC66" s="443"/>
      <c r="YD66" s="443"/>
      <c r="YE66" s="443"/>
      <c r="YF66" s="443"/>
      <c r="YG66" s="443"/>
      <c r="YH66" s="443"/>
      <c r="YI66" s="443"/>
      <c r="YJ66" s="443"/>
      <c r="YK66" s="443"/>
      <c r="YL66" s="443"/>
      <c r="YM66" s="443"/>
      <c r="YN66" s="443"/>
      <c r="YO66" s="443"/>
      <c r="YP66" s="443"/>
      <c r="YQ66" s="443"/>
      <c r="YR66" s="443"/>
      <c r="YS66" s="443"/>
      <c r="YT66" s="443"/>
      <c r="YU66" s="443"/>
      <c r="YV66" s="443"/>
      <c r="YW66" s="443"/>
      <c r="YX66" s="443"/>
      <c r="YY66" s="443"/>
      <c r="YZ66" s="443"/>
      <c r="ZA66" s="443"/>
      <c r="ZB66" s="443"/>
      <c r="ZC66" s="443"/>
      <c r="ZD66" s="443"/>
      <c r="ZE66" s="443"/>
      <c r="ZF66" s="443"/>
      <c r="ZG66" s="443"/>
      <c r="ZH66" s="443"/>
      <c r="ZI66" s="443"/>
      <c r="ZJ66" s="443"/>
      <c r="ZK66" s="443"/>
      <c r="ZL66" s="443"/>
      <c r="ZM66" s="443"/>
      <c r="ZN66" s="443"/>
      <c r="ZO66" s="443"/>
      <c r="ZP66" s="443"/>
      <c r="ZQ66" s="443"/>
      <c r="ZR66" s="443"/>
      <c r="ZS66" s="443"/>
      <c r="ZT66" s="443"/>
      <c r="ZU66" s="443"/>
      <c r="ZV66" s="443"/>
      <c r="ZW66" s="443"/>
      <c r="ZX66" s="443"/>
      <c r="ZY66" s="443"/>
      <c r="ZZ66" s="443"/>
      <c r="AAA66" s="443"/>
      <c r="AAB66" s="443"/>
      <c r="AAC66" s="443"/>
      <c r="AAD66" s="443"/>
      <c r="AAE66" s="443"/>
      <c r="AAF66" s="443"/>
      <c r="AAG66" s="443"/>
      <c r="AAH66" s="443"/>
      <c r="AAI66" s="443"/>
      <c r="AAJ66" s="443"/>
      <c r="AAK66" s="443"/>
      <c r="AAL66" s="443"/>
      <c r="AAM66" s="443"/>
      <c r="AAN66" s="443"/>
      <c r="AAO66" s="443"/>
      <c r="AAP66" s="443"/>
      <c r="AAQ66" s="443"/>
      <c r="AAR66" s="443"/>
      <c r="AAS66" s="443"/>
      <c r="AAT66" s="443"/>
      <c r="AAU66" s="443"/>
      <c r="AAV66" s="443"/>
      <c r="AAW66" s="443"/>
      <c r="AAX66" s="443"/>
      <c r="AAY66" s="443"/>
      <c r="AAZ66" s="443"/>
      <c r="ABA66" s="443"/>
      <c r="ABB66" s="443"/>
      <c r="ABC66" s="443"/>
      <c r="ABD66" s="443"/>
      <c r="ABE66" s="443"/>
      <c r="ABF66" s="443"/>
      <c r="ABG66" s="443"/>
      <c r="ABH66" s="443"/>
      <c r="ABI66" s="443"/>
      <c r="ABJ66" s="443"/>
      <c r="ABK66" s="443"/>
      <c r="ABL66" s="443"/>
      <c r="ABM66" s="443"/>
      <c r="ABN66" s="443"/>
      <c r="ABO66" s="443"/>
      <c r="ABP66" s="443"/>
      <c r="ABQ66" s="443"/>
      <c r="ABR66" s="443"/>
      <c r="ABS66" s="443"/>
      <c r="ABT66" s="443"/>
      <c r="ABU66" s="443"/>
      <c r="ABV66" s="443"/>
      <c r="ABW66" s="443"/>
      <c r="ABX66" s="443"/>
      <c r="ABY66" s="443"/>
      <c r="ABZ66" s="443"/>
      <c r="ACA66" s="443"/>
      <c r="ACB66" s="443"/>
      <c r="ACC66" s="443"/>
      <c r="ACD66" s="443"/>
      <c r="ACE66" s="443"/>
      <c r="ACF66" s="443"/>
      <c r="ACG66" s="443"/>
      <c r="ACH66" s="443"/>
      <c r="ACI66" s="443"/>
      <c r="ACJ66" s="443"/>
      <c r="ACK66" s="443"/>
      <c r="ACL66" s="443"/>
      <c r="ACM66" s="443"/>
      <c r="ACN66" s="443"/>
      <c r="ACO66" s="443"/>
      <c r="ACP66" s="443"/>
      <c r="ACQ66" s="443"/>
      <c r="ACR66" s="443"/>
      <c r="ACS66" s="443"/>
      <c r="ACT66" s="443"/>
      <c r="ACU66" s="443"/>
      <c r="ACV66" s="443"/>
      <c r="ACW66" s="443"/>
      <c r="ACX66" s="443"/>
      <c r="ACY66" s="443"/>
      <c r="ACZ66" s="443"/>
      <c r="ADA66" s="443"/>
      <c r="ADB66" s="443"/>
      <c r="ADC66" s="443"/>
      <c r="ADD66" s="443"/>
      <c r="ADE66" s="443"/>
      <c r="ADF66" s="443"/>
      <c r="ADG66" s="443"/>
      <c r="ADH66" s="443"/>
      <c r="ADI66" s="443"/>
      <c r="ADJ66" s="443"/>
      <c r="ADK66" s="443"/>
      <c r="ADL66" s="443"/>
      <c r="ADM66" s="443"/>
      <c r="ADN66" s="443"/>
      <c r="ADO66" s="443"/>
      <c r="ADP66" s="443"/>
      <c r="ADQ66" s="443"/>
      <c r="ADR66" s="443"/>
      <c r="ADS66" s="443"/>
      <c r="ADT66" s="443"/>
      <c r="ADU66" s="443"/>
      <c r="ADV66" s="443"/>
      <c r="ADW66" s="443"/>
      <c r="ADX66" s="443"/>
      <c r="ADY66" s="443"/>
      <c r="ADZ66" s="443"/>
      <c r="AEA66" s="443"/>
      <c r="AEB66" s="443"/>
      <c r="AEC66" s="443"/>
      <c r="AED66" s="443"/>
      <c r="AEE66" s="443"/>
      <c r="AEF66" s="443"/>
      <c r="AEG66" s="443"/>
      <c r="AEH66" s="443"/>
      <c r="AEI66" s="443"/>
      <c r="AEJ66" s="443"/>
      <c r="AEK66" s="443"/>
      <c r="AEL66" s="443"/>
      <c r="AEM66" s="443"/>
      <c r="AEN66" s="443"/>
      <c r="AEO66" s="443"/>
      <c r="AEP66" s="443"/>
      <c r="AEQ66" s="443"/>
      <c r="AER66" s="443"/>
      <c r="AES66" s="443"/>
      <c r="AET66" s="443"/>
      <c r="AEU66" s="443"/>
      <c r="AEV66" s="443"/>
      <c r="AEW66" s="443"/>
      <c r="AEX66" s="443"/>
      <c r="AEY66" s="443"/>
      <c r="AEZ66" s="443"/>
      <c r="AFA66" s="443"/>
      <c r="AFB66" s="443"/>
      <c r="AFC66" s="443"/>
      <c r="AFD66" s="443"/>
      <c r="AFE66" s="443"/>
      <c r="AFF66" s="443"/>
      <c r="AFG66" s="443"/>
      <c r="AFH66" s="443"/>
      <c r="AFI66" s="443"/>
      <c r="AFJ66" s="443"/>
      <c r="AFK66" s="443"/>
      <c r="AFL66" s="443"/>
      <c r="AFM66" s="443"/>
      <c r="AFN66" s="443"/>
      <c r="AFO66" s="443"/>
      <c r="AFP66" s="443"/>
      <c r="AFQ66" s="443"/>
      <c r="AFR66" s="443"/>
      <c r="AFS66" s="443"/>
      <c r="AFT66" s="443"/>
      <c r="AFU66" s="443"/>
      <c r="AFV66" s="443"/>
      <c r="AFW66" s="443"/>
      <c r="AFX66" s="443"/>
      <c r="AFY66" s="443"/>
      <c r="AFZ66" s="443"/>
      <c r="AGA66" s="443"/>
      <c r="AGB66" s="443"/>
      <c r="AGC66" s="443"/>
      <c r="AGD66" s="443"/>
      <c r="AGE66" s="443"/>
      <c r="AGF66" s="443"/>
      <c r="AGG66" s="443"/>
      <c r="AGH66" s="443"/>
      <c r="AGI66" s="443"/>
      <c r="AGJ66" s="443"/>
    </row>
    <row r="67" spans="1:868" s="1" customFormat="1">
      <c r="A67" s="652" t="s">
        <v>118</v>
      </c>
      <c r="B67" s="799" t="s">
        <v>439</v>
      </c>
      <c r="C67" s="34" t="s">
        <v>139</v>
      </c>
      <c r="D67" s="122" t="s">
        <v>99</v>
      </c>
      <c r="E67" s="637">
        <f t="shared" si="22"/>
        <v>8.5204579746161357E-2</v>
      </c>
      <c r="F67" s="9">
        <v>1</v>
      </c>
      <c r="G67" s="9" t="s">
        <v>433</v>
      </c>
      <c r="H67" s="10">
        <v>1</v>
      </c>
      <c r="I67" s="10">
        <v>2</v>
      </c>
      <c r="J67" s="10">
        <v>2</v>
      </c>
      <c r="K67" s="10">
        <v>1</v>
      </c>
      <c r="L67" s="10">
        <v>1</v>
      </c>
      <c r="M67" s="10">
        <v>2</v>
      </c>
      <c r="N67" s="411">
        <f t="shared" si="25"/>
        <v>0.35859414261160716</v>
      </c>
      <c r="O67" s="411">
        <f t="shared" si="26"/>
        <v>0.37356464144298934</v>
      </c>
      <c r="P67" s="43"/>
      <c r="Q67" s="443"/>
      <c r="R67" s="443"/>
      <c r="S67" s="443"/>
      <c r="T67" s="443"/>
      <c r="U67" s="443"/>
      <c r="V67" s="443"/>
      <c r="W67" s="443"/>
      <c r="X67" s="443"/>
      <c r="Y67" s="443"/>
      <c r="Z67" s="443"/>
      <c r="AA67" s="443"/>
      <c r="AB67" s="443"/>
      <c r="AC67" s="443"/>
      <c r="AD67" s="443"/>
      <c r="AE67" s="443"/>
      <c r="AF67" s="443"/>
      <c r="AG67" s="443"/>
      <c r="AH67" s="443"/>
      <c r="AI67" s="443"/>
      <c r="AJ67" s="443"/>
      <c r="AK67" s="443"/>
      <c r="AL67" s="443"/>
      <c r="AM67" s="443"/>
      <c r="AN67" s="443"/>
      <c r="AO67" s="443"/>
      <c r="AP67" s="443"/>
      <c r="AQ67" s="443"/>
      <c r="AR67" s="443"/>
      <c r="AS67" s="443"/>
      <c r="AT67" s="443"/>
      <c r="AU67" s="443"/>
      <c r="AV67" s="443"/>
      <c r="AW67" s="443"/>
      <c r="AX67" s="443"/>
      <c r="AY67" s="443"/>
      <c r="AZ67" s="443"/>
      <c r="BA67" s="443"/>
      <c r="BB67" s="443"/>
      <c r="BC67" s="443"/>
      <c r="BD67" s="443"/>
      <c r="BE67" s="443"/>
      <c r="BF67" s="443"/>
      <c r="BG67" s="443"/>
      <c r="BH67" s="443"/>
      <c r="BI67" s="443"/>
      <c r="BJ67" s="443"/>
      <c r="BK67" s="443"/>
      <c r="BL67" s="443"/>
      <c r="BM67" s="443"/>
      <c r="BN67" s="443"/>
      <c r="BO67" s="443"/>
      <c r="BP67" s="443"/>
      <c r="BQ67" s="443"/>
      <c r="BR67" s="443"/>
      <c r="BS67" s="443"/>
      <c r="BT67" s="443"/>
      <c r="BU67" s="443"/>
      <c r="BV67" s="443"/>
      <c r="BW67" s="443"/>
      <c r="BX67" s="443"/>
      <c r="BY67" s="443"/>
      <c r="BZ67" s="443"/>
      <c r="CA67" s="443"/>
      <c r="CB67" s="443"/>
      <c r="CC67" s="443"/>
      <c r="CD67" s="443"/>
      <c r="CE67" s="443"/>
      <c r="CF67" s="443"/>
      <c r="CG67" s="443"/>
      <c r="CH67" s="443"/>
      <c r="CI67" s="443"/>
      <c r="CJ67" s="443"/>
      <c r="CK67" s="443"/>
      <c r="CL67" s="443"/>
      <c r="CM67" s="443"/>
      <c r="CN67" s="443"/>
      <c r="CO67" s="443"/>
      <c r="CP67" s="443"/>
      <c r="CQ67" s="443"/>
      <c r="CR67" s="443"/>
      <c r="CS67" s="443"/>
      <c r="CT67" s="443"/>
      <c r="CU67" s="443"/>
      <c r="CV67" s="443"/>
      <c r="CW67" s="443"/>
      <c r="CX67" s="443"/>
      <c r="CY67" s="443"/>
      <c r="CZ67" s="443"/>
      <c r="DA67" s="443"/>
      <c r="DB67" s="443"/>
      <c r="DC67" s="443"/>
      <c r="DD67" s="443"/>
      <c r="DE67" s="443"/>
      <c r="DF67" s="443"/>
      <c r="DG67" s="443"/>
      <c r="DH67" s="443"/>
      <c r="DI67" s="443"/>
      <c r="DJ67" s="443"/>
      <c r="DK67" s="443"/>
      <c r="DL67" s="443"/>
      <c r="DM67" s="443"/>
      <c r="DN67" s="443"/>
      <c r="DO67" s="443"/>
      <c r="DP67" s="443"/>
      <c r="DQ67" s="443"/>
      <c r="DR67" s="443"/>
      <c r="DS67" s="443"/>
      <c r="DT67" s="443"/>
      <c r="DU67" s="443"/>
      <c r="DV67" s="443"/>
      <c r="DW67" s="443"/>
      <c r="DX67" s="443"/>
      <c r="DY67" s="443"/>
      <c r="DZ67" s="443"/>
      <c r="EA67" s="443"/>
      <c r="EB67" s="443"/>
      <c r="EC67" s="443"/>
      <c r="ED67" s="443"/>
      <c r="EE67" s="443"/>
      <c r="EF67" s="443"/>
      <c r="EG67" s="443"/>
      <c r="EH67" s="443"/>
      <c r="EI67" s="443"/>
      <c r="EJ67" s="443"/>
      <c r="EK67" s="443"/>
      <c r="EL67" s="443"/>
      <c r="EM67" s="443"/>
      <c r="EN67" s="443"/>
      <c r="EO67" s="443"/>
      <c r="EP67" s="443"/>
      <c r="EQ67" s="443"/>
      <c r="ER67" s="443"/>
      <c r="ES67" s="443"/>
      <c r="ET67" s="443"/>
      <c r="EU67" s="443"/>
      <c r="EV67" s="443"/>
      <c r="EW67" s="443"/>
      <c r="EX67" s="443"/>
      <c r="EY67" s="443"/>
      <c r="EZ67" s="443"/>
      <c r="FA67" s="443"/>
      <c r="FB67" s="443"/>
      <c r="FC67" s="443"/>
      <c r="FD67" s="443"/>
      <c r="FE67" s="443"/>
      <c r="FF67" s="443"/>
      <c r="FG67" s="443"/>
      <c r="FH67" s="443"/>
      <c r="FI67" s="443"/>
      <c r="FJ67" s="443"/>
      <c r="FK67" s="443"/>
      <c r="FL67" s="443"/>
      <c r="FM67" s="443"/>
      <c r="FN67" s="443"/>
      <c r="FO67" s="443"/>
      <c r="FP67" s="443"/>
      <c r="FQ67" s="443"/>
      <c r="FR67" s="443"/>
      <c r="FS67" s="443"/>
      <c r="FT67" s="443"/>
      <c r="FU67" s="443"/>
      <c r="FV67" s="443"/>
      <c r="FW67" s="443"/>
      <c r="FX67" s="443"/>
      <c r="FY67" s="443"/>
      <c r="FZ67" s="443"/>
      <c r="GA67" s="443"/>
      <c r="GB67" s="443"/>
      <c r="GC67" s="443"/>
      <c r="GD67" s="443"/>
      <c r="GE67" s="443"/>
      <c r="GF67" s="443"/>
      <c r="GG67" s="443"/>
      <c r="GH67" s="443"/>
      <c r="GI67" s="443"/>
      <c r="GJ67" s="443"/>
      <c r="GK67" s="443"/>
      <c r="GL67" s="443"/>
      <c r="GM67" s="443"/>
      <c r="GN67" s="443"/>
      <c r="GO67" s="443"/>
      <c r="GP67" s="443"/>
      <c r="GQ67" s="443"/>
      <c r="GR67" s="443"/>
      <c r="GS67" s="443"/>
      <c r="GT67" s="443"/>
      <c r="GU67" s="443"/>
      <c r="GV67" s="443"/>
      <c r="GW67" s="443"/>
      <c r="GX67" s="443"/>
      <c r="GY67" s="443"/>
      <c r="GZ67" s="443"/>
      <c r="HA67" s="443"/>
      <c r="HB67" s="443"/>
      <c r="HC67" s="443"/>
      <c r="HD67" s="443"/>
      <c r="HE67" s="443"/>
      <c r="HF67" s="443"/>
      <c r="HG67" s="443"/>
      <c r="HH67" s="443"/>
      <c r="HI67" s="443"/>
      <c r="HJ67" s="443"/>
      <c r="HK67" s="443"/>
      <c r="HL67" s="443"/>
      <c r="HM67" s="443"/>
      <c r="HN67" s="443"/>
      <c r="HO67" s="443"/>
      <c r="HP67" s="443"/>
      <c r="HQ67" s="443"/>
      <c r="HR67" s="443"/>
      <c r="HS67" s="443"/>
      <c r="HT67" s="443"/>
      <c r="HU67" s="443"/>
      <c r="HV67" s="443"/>
      <c r="HW67" s="443"/>
      <c r="HX67" s="443"/>
      <c r="HY67" s="443"/>
      <c r="HZ67" s="443"/>
      <c r="IA67" s="443"/>
      <c r="IB67" s="443"/>
      <c r="IC67" s="443"/>
      <c r="ID67" s="443"/>
      <c r="IE67" s="443"/>
      <c r="IF67" s="443"/>
      <c r="IG67" s="443"/>
      <c r="IH67" s="443"/>
      <c r="II67" s="443"/>
      <c r="IJ67" s="443"/>
      <c r="IK67" s="443"/>
      <c r="IL67" s="443"/>
      <c r="IM67" s="443"/>
      <c r="IN67" s="443"/>
      <c r="IO67" s="443"/>
      <c r="IP67" s="443"/>
      <c r="IQ67" s="443"/>
      <c r="IR67" s="443"/>
      <c r="IS67" s="443"/>
      <c r="IT67" s="443"/>
      <c r="IU67" s="443"/>
      <c r="IV67" s="443"/>
      <c r="IW67" s="443"/>
      <c r="IX67" s="443"/>
      <c r="IY67" s="443"/>
      <c r="IZ67" s="443"/>
      <c r="JA67" s="443"/>
      <c r="JB67" s="443"/>
      <c r="JC67" s="443"/>
      <c r="JD67" s="443"/>
      <c r="JE67" s="443"/>
      <c r="JF67" s="443"/>
      <c r="JG67" s="443"/>
      <c r="JH67" s="443"/>
      <c r="JI67" s="443"/>
      <c r="JJ67" s="443"/>
      <c r="JK67" s="443"/>
      <c r="JL67" s="443"/>
      <c r="JM67" s="443"/>
      <c r="JN67" s="443"/>
      <c r="JO67" s="443"/>
      <c r="JP67" s="443"/>
      <c r="JQ67" s="443"/>
      <c r="JR67" s="443"/>
      <c r="JS67" s="443"/>
      <c r="JT67" s="443"/>
      <c r="JU67" s="443"/>
      <c r="JV67" s="443"/>
      <c r="JW67" s="443"/>
      <c r="JX67" s="443"/>
      <c r="JY67" s="443"/>
      <c r="JZ67" s="443"/>
      <c r="KA67" s="443"/>
      <c r="KB67" s="443"/>
      <c r="KC67" s="443"/>
      <c r="KD67" s="443"/>
      <c r="KE67" s="443"/>
      <c r="KF67" s="443"/>
      <c r="KG67" s="443"/>
      <c r="KH67" s="443"/>
      <c r="KI67" s="443"/>
      <c r="KJ67" s="443"/>
      <c r="KK67" s="443"/>
      <c r="KL67" s="443"/>
      <c r="KM67" s="443"/>
      <c r="KN67" s="443"/>
      <c r="KO67" s="443"/>
      <c r="KP67" s="443"/>
      <c r="KQ67" s="443"/>
      <c r="KR67" s="443"/>
      <c r="KS67" s="443"/>
      <c r="KT67" s="443"/>
      <c r="KU67" s="443"/>
      <c r="KV67" s="443"/>
      <c r="KW67" s="443"/>
      <c r="KX67" s="443"/>
      <c r="KY67" s="443"/>
      <c r="KZ67" s="443"/>
      <c r="LA67" s="443"/>
      <c r="LB67" s="443"/>
      <c r="LC67" s="443"/>
      <c r="LD67" s="443"/>
      <c r="LE67" s="443"/>
      <c r="LF67" s="443"/>
      <c r="LG67" s="443"/>
      <c r="LH67" s="443"/>
      <c r="LI67" s="443"/>
      <c r="LJ67" s="443"/>
      <c r="LK67" s="443"/>
      <c r="LL67" s="443"/>
      <c r="LM67" s="443"/>
      <c r="LN67" s="443"/>
      <c r="LO67" s="443"/>
      <c r="LP67" s="443"/>
      <c r="LQ67" s="443"/>
      <c r="LR67" s="443"/>
      <c r="LS67" s="443"/>
      <c r="LT67" s="443"/>
      <c r="LU67" s="443"/>
      <c r="LV67" s="443"/>
      <c r="LW67" s="443"/>
      <c r="LX67" s="443"/>
      <c r="LY67" s="443"/>
      <c r="LZ67" s="443"/>
      <c r="MA67" s="443"/>
      <c r="MB67" s="443"/>
      <c r="MC67" s="443"/>
      <c r="MD67" s="443"/>
      <c r="ME67" s="443"/>
      <c r="MF67" s="443"/>
      <c r="MG67" s="443"/>
      <c r="MH67" s="443"/>
      <c r="MI67" s="443"/>
      <c r="MJ67" s="443"/>
      <c r="MK67" s="443"/>
      <c r="ML67" s="443"/>
      <c r="MM67" s="443"/>
      <c r="MN67" s="443"/>
      <c r="MO67" s="443"/>
      <c r="MP67" s="443"/>
      <c r="MQ67" s="443"/>
      <c r="MR67" s="443"/>
      <c r="MS67" s="443"/>
      <c r="MT67" s="443"/>
      <c r="MU67" s="443"/>
      <c r="MV67" s="443"/>
      <c r="MW67" s="443"/>
      <c r="MX67" s="443"/>
      <c r="MY67" s="443"/>
      <c r="MZ67" s="443"/>
      <c r="NA67" s="443"/>
      <c r="NB67" s="443"/>
      <c r="NC67" s="443"/>
      <c r="ND67" s="443"/>
      <c r="NE67" s="443"/>
      <c r="NF67" s="443"/>
      <c r="NG67" s="443"/>
      <c r="NH67" s="443"/>
      <c r="NI67" s="443"/>
      <c r="NJ67" s="443"/>
      <c r="NK67" s="443"/>
      <c r="NL67" s="443"/>
      <c r="NM67" s="443"/>
      <c r="NN67" s="443"/>
      <c r="NO67" s="443"/>
      <c r="NP67" s="443"/>
      <c r="NQ67" s="443"/>
      <c r="NR67" s="443"/>
      <c r="NS67" s="443"/>
      <c r="NT67" s="443"/>
      <c r="NU67" s="443"/>
      <c r="NV67" s="443"/>
      <c r="NW67" s="443"/>
      <c r="NX67" s="443"/>
      <c r="NY67" s="443"/>
      <c r="NZ67" s="443"/>
      <c r="OA67" s="443"/>
      <c r="OB67" s="443"/>
      <c r="OC67" s="443"/>
      <c r="OD67" s="443"/>
      <c r="OE67" s="443"/>
      <c r="OF67" s="443"/>
      <c r="OG67" s="443"/>
      <c r="OH67" s="443"/>
      <c r="OI67" s="443"/>
      <c r="OJ67" s="443"/>
      <c r="OK67" s="443"/>
      <c r="OL67" s="443"/>
      <c r="OM67" s="443"/>
      <c r="ON67" s="443"/>
      <c r="OO67" s="443"/>
      <c r="OP67" s="443"/>
      <c r="OQ67" s="443"/>
      <c r="OR67" s="443"/>
      <c r="OS67" s="443"/>
      <c r="OT67" s="443"/>
      <c r="OU67" s="443"/>
      <c r="OV67" s="443"/>
      <c r="OW67" s="443"/>
      <c r="OX67" s="443"/>
      <c r="OY67" s="443"/>
      <c r="OZ67" s="443"/>
      <c r="PA67" s="443"/>
      <c r="PB67" s="443"/>
      <c r="PC67" s="443"/>
      <c r="PD67" s="443"/>
      <c r="PE67" s="443"/>
      <c r="PF67" s="443"/>
      <c r="PG67" s="443"/>
      <c r="PH67" s="443"/>
      <c r="PI67" s="443"/>
      <c r="PJ67" s="443"/>
      <c r="PK67" s="443"/>
      <c r="PL67" s="443"/>
      <c r="PM67" s="443"/>
      <c r="PN67" s="443"/>
      <c r="PO67" s="443"/>
      <c r="PP67" s="443"/>
      <c r="PQ67" s="443"/>
      <c r="PR67" s="443"/>
      <c r="PS67" s="443"/>
      <c r="PT67" s="443"/>
      <c r="PU67" s="443"/>
      <c r="PV67" s="443"/>
      <c r="PW67" s="443"/>
      <c r="PX67" s="443"/>
      <c r="PY67" s="443"/>
      <c r="PZ67" s="443"/>
      <c r="QA67" s="443"/>
      <c r="QB67" s="443"/>
      <c r="QC67" s="443"/>
      <c r="QD67" s="443"/>
      <c r="QE67" s="443"/>
      <c r="QF67" s="443"/>
      <c r="QG67" s="443"/>
      <c r="QH67" s="443"/>
      <c r="QI67" s="443"/>
      <c r="QJ67" s="443"/>
      <c r="QK67" s="443"/>
      <c r="QL67" s="443"/>
      <c r="QM67" s="443"/>
      <c r="QN67" s="443"/>
      <c r="QO67" s="443"/>
      <c r="QP67" s="443"/>
      <c r="QQ67" s="443"/>
      <c r="QR67" s="443"/>
      <c r="QS67" s="443"/>
      <c r="QT67" s="443"/>
      <c r="QU67" s="443"/>
      <c r="QV67" s="443"/>
      <c r="QW67" s="443"/>
      <c r="QX67" s="443"/>
      <c r="QY67" s="443"/>
      <c r="QZ67" s="443"/>
      <c r="RA67" s="443"/>
      <c r="RB67" s="443"/>
      <c r="RC67" s="443"/>
      <c r="RD67" s="443"/>
      <c r="RE67" s="443"/>
      <c r="RF67" s="443"/>
      <c r="RG67" s="443"/>
      <c r="RH67" s="443"/>
      <c r="RI67" s="443"/>
      <c r="RJ67" s="443"/>
      <c r="RK67" s="443"/>
      <c r="RL67" s="443"/>
      <c r="RM67" s="443"/>
      <c r="RN67" s="443"/>
      <c r="RO67" s="443"/>
      <c r="RP67" s="443"/>
      <c r="RQ67" s="443"/>
      <c r="RR67" s="443"/>
      <c r="RS67" s="443"/>
      <c r="RT67" s="443"/>
      <c r="RU67" s="443"/>
      <c r="RV67" s="443"/>
      <c r="RW67" s="443"/>
      <c r="RX67" s="443"/>
      <c r="RY67" s="443"/>
      <c r="RZ67" s="443"/>
      <c r="SA67" s="443"/>
      <c r="SB67" s="443"/>
      <c r="SC67" s="443"/>
      <c r="SD67" s="443"/>
      <c r="SE67" s="443"/>
      <c r="SF67" s="443"/>
      <c r="SG67" s="443"/>
      <c r="SH67" s="443"/>
      <c r="SI67" s="443"/>
      <c r="SJ67" s="443"/>
      <c r="SK67" s="443"/>
      <c r="SL67" s="443"/>
      <c r="SM67" s="443"/>
      <c r="SN67" s="443"/>
      <c r="SO67" s="443"/>
      <c r="SP67" s="443"/>
      <c r="SQ67" s="443"/>
      <c r="SR67" s="443"/>
      <c r="SS67" s="443"/>
      <c r="ST67" s="443"/>
      <c r="SU67" s="443"/>
      <c r="SV67" s="443"/>
      <c r="SW67" s="443"/>
      <c r="SX67" s="443"/>
      <c r="SY67" s="443"/>
      <c r="SZ67" s="443"/>
      <c r="TA67" s="443"/>
      <c r="TB67" s="443"/>
      <c r="TC67" s="443"/>
      <c r="TD67" s="443"/>
      <c r="TE67" s="443"/>
      <c r="TF67" s="443"/>
      <c r="TG67" s="443"/>
      <c r="TH67" s="443"/>
      <c r="TI67" s="443"/>
      <c r="TJ67" s="443"/>
      <c r="TK67" s="443"/>
      <c r="TL67" s="443"/>
      <c r="TM67" s="443"/>
      <c r="TN67" s="443"/>
      <c r="TO67" s="443"/>
      <c r="TP67" s="443"/>
      <c r="TQ67" s="443"/>
      <c r="TR67" s="443"/>
      <c r="TS67" s="443"/>
      <c r="TT67" s="443"/>
      <c r="TU67" s="443"/>
      <c r="TV67" s="443"/>
      <c r="TW67" s="443"/>
      <c r="TX67" s="443"/>
      <c r="TY67" s="443"/>
      <c r="TZ67" s="443"/>
      <c r="UA67" s="443"/>
      <c r="UB67" s="443"/>
      <c r="UC67" s="443"/>
      <c r="UD67" s="443"/>
      <c r="UE67" s="443"/>
      <c r="UF67" s="443"/>
      <c r="UG67" s="443"/>
      <c r="UH67" s="443"/>
      <c r="UI67" s="443"/>
      <c r="UJ67" s="443"/>
      <c r="UK67" s="443"/>
      <c r="UL67" s="443"/>
      <c r="UM67" s="443"/>
      <c r="UN67" s="443"/>
      <c r="UO67" s="443"/>
      <c r="UP67" s="443"/>
      <c r="UQ67" s="443"/>
      <c r="UR67" s="443"/>
      <c r="US67" s="443"/>
      <c r="UT67" s="443"/>
      <c r="UU67" s="443"/>
      <c r="UV67" s="443"/>
      <c r="UW67" s="443"/>
      <c r="UX67" s="443"/>
      <c r="UY67" s="443"/>
      <c r="UZ67" s="443"/>
      <c r="VA67" s="443"/>
      <c r="VB67" s="443"/>
      <c r="VC67" s="443"/>
      <c r="VD67" s="443"/>
      <c r="VE67" s="443"/>
      <c r="VF67" s="443"/>
      <c r="VG67" s="443"/>
      <c r="VH67" s="443"/>
      <c r="VI67" s="443"/>
      <c r="VJ67" s="443"/>
      <c r="VK67" s="443"/>
      <c r="VL67" s="443"/>
      <c r="VM67" s="443"/>
      <c r="VN67" s="443"/>
      <c r="VO67" s="443"/>
      <c r="VP67" s="443"/>
      <c r="VQ67" s="443"/>
      <c r="VR67" s="443"/>
      <c r="VS67" s="443"/>
      <c r="VT67" s="443"/>
      <c r="VU67" s="443"/>
      <c r="VV67" s="443"/>
      <c r="VW67" s="443"/>
      <c r="VX67" s="443"/>
      <c r="VY67" s="443"/>
      <c r="VZ67" s="443"/>
      <c r="WA67" s="443"/>
      <c r="WB67" s="443"/>
      <c r="WC67" s="443"/>
      <c r="WD67" s="443"/>
      <c r="WE67" s="443"/>
      <c r="WF67" s="443"/>
      <c r="WG67" s="443"/>
      <c r="WH67" s="443"/>
      <c r="WI67" s="443"/>
      <c r="WJ67" s="443"/>
      <c r="WK67" s="443"/>
      <c r="WL67" s="443"/>
      <c r="WM67" s="443"/>
      <c r="WN67" s="443"/>
      <c r="WO67" s="443"/>
      <c r="WP67" s="443"/>
      <c r="WQ67" s="443"/>
      <c r="WR67" s="443"/>
      <c r="WS67" s="443"/>
      <c r="WT67" s="443"/>
      <c r="WU67" s="443"/>
      <c r="WV67" s="443"/>
      <c r="WW67" s="443"/>
      <c r="WX67" s="443"/>
      <c r="WY67" s="443"/>
      <c r="WZ67" s="443"/>
      <c r="XA67" s="443"/>
      <c r="XB67" s="443"/>
      <c r="XC67" s="443"/>
      <c r="XD67" s="443"/>
      <c r="XE67" s="443"/>
      <c r="XF67" s="443"/>
      <c r="XG67" s="443"/>
      <c r="XH67" s="443"/>
      <c r="XI67" s="443"/>
      <c r="XJ67" s="443"/>
      <c r="XK67" s="443"/>
      <c r="XL67" s="443"/>
      <c r="XM67" s="443"/>
      <c r="XN67" s="443"/>
      <c r="XO67" s="443"/>
      <c r="XP67" s="443"/>
      <c r="XQ67" s="443"/>
      <c r="XR67" s="443"/>
      <c r="XS67" s="443"/>
      <c r="XT67" s="443"/>
      <c r="XU67" s="443"/>
      <c r="XV67" s="443"/>
      <c r="XW67" s="443"/>
      <c r="XX67" s="443"/>
      <c r="XY67" s="443"/>
      <c r="XZ67" s="443"/>
      <c r="YA67" s="443"/>
      <c r="YB67" s="443"/>
      <c r="YC67" s="443"/>
      <c r="YD67" s="443"/>
      <c r="YE67" s="443"/>
      <c r="YF67" s="443"/>
      <c r="YG67" s="443"/>
      <c r="YH67" s="443"/>
      <c r="YI67" s="443"/>
      <c r="YJ67" s="443"/>
      <c r="YK67" s="443"/>
      <c r="YL67" s="443"/>
      <c r="YM67" s="443"/>
      <c r="YN67" s="443"/>
      <c r="YO67" s="443"/>
      <c r="YP67" s="443"/>
      <c r="YQ67" s="443"/>
      <c r="YR67" s="443"/>
      <c r="YS67" s="443"/>
      <c r="YT67" s="443"/>
      <c r="YU67" s="443"/>
      <c r="YV67" s="443"/>
      <c r="YW67" s="443"/>
      <c r="YX67" s="443"/>
      <c r="YY67" s="443"/>
      <c r="YZ67" s="443"/>
      <c r="ZA67" s="443"/>
      <c r="ZB67" s="443"/>
      <c r="ZC67" s="443"/>
      <c r="ZD67" s="443"/>
      <c r="ZE67" s="443"/>
      <c r="ZF67" s="443"/>
      <c r="ZG67" s="443"/>
      <c r="ZH67" s="443"/>
      <c r="ZI67" s="443"/>
      <c r="ZJ67" s="443"/>
      <c r="ZK67" s="443"/>
      <c r="ZL67" s="443"/>
      <c r="ZM67" s="443"/>
      <c r="ZN67" s="443"/>
      <c r="ZO67" s="443"/>
      <c r="ZP67" s="443"/>
      <c r="ZQ67" s="443"/>
      <c r="ZR67" s="443"/>
      <c r="ZS67" s="443"/>
      <c r="ZT67" s="443"/>
      <c r="ZU67" s="443"/>
      <c r="ZV67" s="443"/>
      <c r="ZW67" s="443"/>
      <c r="ZX67" s="443"/>
      <c r="ZY67" s="443"/>
      <c r="ZZ67" s="443"/>
      <c r="AAA67" s="443"/>
      <c r="AAB67" s="443"/>
      <c r="AAC67" s="443"/>
      <c r="AAD67" s="443"/>
      <c r="AAE67" s="443"/>
      <c r="AAF67" s="443"/>
      <c r="AAG67" s="443"/>
      <c r="AAH67" s="443"/>
      <c r="AAI67" s="443"/>
      <c r="AAJ67" s="443"/>
      <c r="AAK67" s="443"/>
      <c r="AAL67" s="443"/>
      <c r="AAM67" s="443"/>
      <c r="AAN67" s="443"/>
      <c r="AAO67" s="443"/>
      <c r="AAP67" s="443"/>
      <c r="AAQ67" s="443"/>
      <c r="AAR67" s="443"/>
      <c r="AAS67" s="443"/>
      <c r="AAT67" s="443"/>
      <c r="AAU67" s="443"/>
      <c r="AAV67" s="443"/>
      <c r="AAW67" s="443"/>
      <c r="AAX67" s="443"/>
      <c r="AAY67" s="443"/>
      <c r="AAZ67" s="443"/>
      <c r="ABA67" s="443"/>
      <c r="ABB67" s="443"/>
      <c r="ABC67" s="443"/>
      <c r="ABD67" s="443"/>
      <c r="ABE67" s="443"/>
      <c r="ABF67" s="443"/>
      <c r="ABG67" s="443"/>
      <c r="ABH67" s="443"/>
      <c r="ABI67" s="443"/>
      <c r="ABJ67" s="443"/>
      <c r="ABK67" s="443"/>
      <c r="ABL67" s="443"/>
      <c r="ABM67" s="443"/>
      <c r="ABN67" s="443"/>
      <c r="ABO67" s="443"/>
      <c r="ABP67" s="443"/>
      <c r="ABQ67" s="443"/>
      <c r="ABR67" s="443"/>
      <c r="ABS67" s="443"/>
      <c r="ABT67" s="443"/>
      <c r="ABU67" s="443"/>
      <c r="ABV67" s="443"/>
      <c r="ABW67" s="443"/>
      <c r="ABX67" s="443"/>
      <c r="ABY67" s="443"/>
      <c r="ABZ67" s="443"/>
      <c r="ACA67" s="443"/>
      <c r="ACB67" s="443"/>
      <c r="ACC67" s="443"/>
      <c r="ACD67" s="443"/>
      <c r="ACE67" s="443"/>
      <c r="ACF67" s="443"/>
      <c r="ACG67" s="443"/>
      <c r="ACH67" s="443"/>
      <c r="ACI67" s="443"/>
      <c r="ACJ67" s="443"/>
      <c r="ACK67" s="443"/>
      <c r="ACL67" s="443"/>
      <c r="ACM67" s="443"/>
      <c r="ACN67" s="443"/>
      <c r="ACO67" s="443"/>
      <c r="ACP67" s="443"/>
      <c r="ACQ67" s="443"/>
      <c r="ACR67" s="443"/>
      <c r="ACS67" s="443"/>
      <c r="ACT67" s="443"/>
      <c r="ACU67" s="443"/>
      <c r="ACV67" s="443"/>
      <c r="ACW67" s="443"/>
      <c r="ACX67" s="443"/>
      <c r="ACY67" s="443"/>
      <c r="ACZ67" s="443"/>
      <c r="ADA67" s="443"/>
      <c r="ADB67" s="443"/>
      <c r="ADC67" s="443"/>
      <c r="ADD67" s="443"/>
      <c r="ADE67" s="443"/>
      <c r="ADF67" s="443"/>
      <c r="ADG67" s="443"/>
      <c r="ADH67" s="443"/>
      <c r="ADI67" s="443"/>
      <c r="ADJ67" s="443"/>
      <c r="ADK67" s="443"/>
      <c r="ADL67" s="443"/>
      <c r="ADM67" s="443"/>
      <c r="ADN67" s="443"/>
      <c r="ADO67" s="443"/>
      <c r="ADP67" s="443"/>
      <c r="ADQ67" s="443"/>
      <c r="ADR67" s="443"/>
      <c r="ADS67" s="443"/>
      <c r="ADT67" s="443"/>
      <c r="ADU67" s="443"/>
      <c r="ADV67" s="443"/>
      <c r="ADW67" s="443"/>
      <c r="ADX67" s="443"/>
      <c r="ADY67" s="443"/>
      <c r="ADZ67" s="443"/>
      <c r="AEA67" s="443"/>
      <c r="AEB67" s="443"/>
      <c r="AEC67" s="443"/>
      <c r="AED67" s="443"/>
      <c r="AEE67" s="443"/>
      <c r="AEF67" s="443"/>
      <c r="AEG67" s="443"/>
      <c r="AEH67" s="443"/>
      <c r="AEI67" s="443"/>
      <c r="AEJ67" s="443"/>
      <c r="AEK67" s="443"/>
      <c r="AEL67" s="443"/>
      <c r="AEM67" s="443"/>
      <c r="AEN67" s="443"/>
      <c r="AEO67" s="443"/>
      <c r="AEP67" s="443"/>
      <c r="AEQ67" s="443"/>
      <c r="AER67" s="443"/>
      <c r="AES67" s="443"/>
      <c r="AET67" s="443"/>
      <c r="AEU67" s="443"/>
      <c r="AEV67" s="443"/>
      <c r="AEW67" s="443"/>
      <c r="AEX67" s="443"/>
      <c r="AEY67" s="443"/>
      <c r="AEZ67" s="443"/>
      <c r="AFA67" s="443"/>
      <c r="AFB67" s="443"/>
      <c r="AFC67" s="443"/>
      <c r="AFD67" s="443"/>
      <c r="AFE67" s="443"/>
      <c r="AFF67" s="443"/>
      <c r="AFG67" s="443"/>
      <c r="AFH67" s="443"/>
      <c r="AFI67" s="443"/>
      <c r="AFJ67" s="443"/>
      <c r="AFK67" s="443"/>
      <c r="AFL67" s="443"/>
      <c r="AFM67" s="443"/>
      <c r="AFN67" s="443"/>
      <c r="AFO67" s="443"/>
      <c r="AFP67" s="443"/>
      <c r="AFQ67" s="443"/>
      <c r="AFR67" s="443"/>
      <c r="AFS67" s="443"/>
      <c r="AFT67" s="443"/>
      <c r="AFU67" s="443"/>
      <c r="AFV67" s="443"/>
      <c r="AFW67" s="443"/>
      <c r="AFX67" s="443"/>
      <c r="AFY67" s="443"/>
      <c r="AFZ67" s="443"/>
      <c r="AGA67" s="443"/>
      <c r="AGB67" s="443"/>
      <c r="AGC67" s="443"/>
      <c r="AGD67" s="443"/>
      <c r="AGE67" s="443"/>
      <c r="AGF67" s="443"/>
      <c r="AGG67" s="443"/>
      <c r="AGH67" s="443"/>
      <c r="AGI67" s="443"/>
      <c r="AGJ67" s="443"/>
    </row>
    <row r="68" spans="1:868" s="1" customFormat="1">
      <c r="A68" s="652" t="s">
        <v>118</v>
      </c>
      <c r="B68" s="799" t="s">
        <v>440</v>
      </c>
      <c r="C68" s="34" t="s">
        <v>139</v>
      </c>
      <c r="D68" s="122" t="s">
        <v>99</v>
      </c>
      <c r="E68" s="637">
        <f t="shared" si="22"/>
        <v>6.4613472974172373E-2</v>
      </c>
      <c r="F68" s="9">
        <v>1</v>
      </c>
      <c r="G68" s="9" t="s">
        <v>433</v>
      </c>
      <c r="H68" s="10">
        <v>1</v>
      </c>
      <c r="I68" s="10">
        <v>2</v>
      </c>
      <c r="J68" s="10">
        <v>2</v>
      </c>
      <c r="K68" s="10">
        <v>1</v>
      </c>
      <c r="L68" s="10">
        <v>1</v>
      </c>
      <c r="M68" s="10">
        <v>2</v>
      </c>
      <c r="N68" s="411">
        <f t="shared" si="25"/>
        <v>0.35859414261160716</v>
      </c>
      <c r="O68" s="411">
        <f t="shared" si="26"/>
        <v>0.37356464144298934</v>
      </c>
      <c r="P68" s="43"/>
      <c r="Q68" s="443"/>
      <c r="R68" s="443"/>
      <c r="S68" s="443"/>
      <c r="T68" s="443"/>
      <c r="U68" s="443"/>
      <c r="V68" s="443"/>
      <c r="W68" s="443"/>
      <c r="X68" s="443"/>
      <c r="Y68" s="443"/>
      <c r="Z68" s="443"/>
      <c r="AA68" s="443"/>
      <c r="AB68" s="443"/>
      <c r="AC68" s="443"/>
      <c r="AD68" s="443"/>
      <c r="AE68" s="443"/>
      <c r="AF68" s="443"/>
      <c r="AG68" s="443"/>
      <c r="AH68" s="443"/>
      <c r="AI68" s="443"/>
      <c r="AJ68" s="443"/>
      <c r="AK68" s="443"/>
      <c r="AL68" s="443"/>
      <c r="AM68" s="443"/>
      <c r="AN68" s="443"/>
      <c r="AO68" s="443"/>
      <c r="AP68" s="443"/>
      <c r="AQ68" s="443"/>
      <c r="AR68" s="443"/>
      <c r="AS68" s="443"/>
      <c r="AT68" s="443"/>
      <c r="AU68" s="443"/>
      <c r="AV68" s="443"/>
      <c r="AW68" s="443"/>
      <c r="AX68" s="443"/>
      <c r="AY68" s="443"/>
      <c r="AZ68" s="443"/>
      <c r="BA68" s="443"/>
      <c r="BB68" s="443"/>
      <c r="BC68" s="443"/>
      <c r="BD68" s="443"/>
      <c r="BE68" s="443"/>
      <c r="BF68" s="443"/>
      <c r="BG68" s="443"/>
      <c r="BH68" s="443"/>
      <c r="BI68" s="443"/>
      <c r="BJ68" s="443"/>
      <c r="BK68" s="443"/>
      <c r="BL68" s="443"/>
      <c r="BM68" s="443"/>
      <c r="BN68" s="443"/>
      <c r="BO68" s="443"/>
      <c r="BP68" s="443"/>
      <c r="BQ68" s="443"/>
      <c r="BR68" s="443"/>
      <c r="BS68" s="443"/>
      <c r="BT68" s="443"/>
      <c r="BU68" s="443"/>
      <c r="BV68" s="443"/>
      <c r="BW68" s="443"/>
      <c r="BX68" s="443"/>
      <c r="BY68" s="443"/>
      <c r="BZ68" s="443"/>
      <c r="CA68" s="443"/>
      <c r="CB68" s="443"/>
      <c r="CC68" s="443"/>
      <c r="CD68" s="443"/>
      <c r="CE68" s="443"/>
      <c r="CF68" s="443"/>
      <c r="CG68" s="443"/>
      <c r="CH68" s="443"/>
      <c r="CI68" s="443"/>
      <c r="CJ68" s="443"/>
      <c r="CK68" s="443"/>
      <c r="CL68" s="443"/>
      <c r="CM68" s="443"/>
      <c r="CN68" s="443"/>
      <c r="CO68" s="443"/>
      <c r="CP68" s="443"/>
      <c r="CQ68" s="443"/>
      <c r="CR68" s="443"/>
      <c r="CS68" s="443"/>
      <c r="CT68" s="443"/>
      <c r="CU68" s="443"/>
      <c r="CV68" s="443"/>
      <c r="CW68" s="443"/>
      <c r="CX68" s="443"/>
      <c r="CY68" s="443"/>
      <c r="CZ68" s="443"/>
      <c r="DA68" s="443"/>
      <c r="DB68" s="443"/>
      <c r="DC68" s="443"/>
      <c r="DD68" s="443"/>
      <c r="DE68" s="443"/>
      <c r="DF68" s="443"/>
      <c r="DG68" s="443"/>
      <c r="DH68" s="443"/>
      <c r="DI68" s="443"/>
      <c r="DJ68" s="443"/>
      <c r="DK68" s="443"/>
      <c r="DL68" s="443"/>
      <c r="DM68" s="443"/>
      <c r="DN68" s="443"/>
      <c r="DO68" s="443"/>
      <c r="DP68" s="443"/>
      <c r="DQ68" s="443"/>
      <c r="DR68" s="443"/>
      <c r="DS68" s="443"/>
      <c r="DT68" s="443"/>
      <c r="DU68" s="443"/>
      <c r="DV68" s="443"/>
      <c r="DW68" s="443"/>
      <c r="DX68" s="443"/>
      <c r="DY68" s="443"/>
      <c r="DZ68" s="443"/>
      <c r="EA68" s="443"/>
      <c r="EB68" s="443"/>
      <c r="EC68" s="443"/>
      <c r="ED68" s="443"/>
      <c r="EE68" s="443"/>
      <c r="EF68" s="443"/>
      <c r="EG68" s="443"/>
      <c r="EH68" s="443"/>
      <c r="EI68" s="443"/>
      <c r="EJ68" s="443"/>
      <c r="EK68" s="443"/>
      <c r="EL68" s="443"/>
      <c r="EM68" s="443"/>
      <c r="EN68" s="443"/>
      <c r="EO68" s="443"/>
      <c r="EP68" s="443"/>
      <c r="EQ68" s="443"/>
      <c r="ER68" s="443"/>
      <c r="ES68" s="443"/>
      <c r="ET68" s="443"/>
      <c r="EU68" s="443"/>
      <c r="EV68" s="443"/>
      <c r="EW68" s="443"/>
      <c r="EX68" s="443"/>
      <c r="EY68" s="443"/>
      <c r="EZ68" s="443"/>
      <c r="FA68" s="443"/>
      <c r="FB68" s="443"/>
      <c r="FC68" s="443"/>
      <c r="FD68" s="443"/>
      <c r="FE68" s="443"/>
      <c r="FF68" s="443"/>
      <c r="FG68" s="443"/>
      <c r="FH68" s="443"/>
      <c r="FI68" s="443"/>
      <c r="FJ68" s="443"/>
      <c r="FK68" s="443"/>
      <c r="FL68" s="443"/>
      <c r="FM68" s="443"/>
      <c r="FN68" s="443"/>
      <c r="FO68" s="443"/>
      <c r="FP68" s="443"/>
      <c r="FQ68" s="443"/>
      <c r="FR68" s="443"/>
      <c r="FS68" s="443"/>
      <c r="FT68" s="443"/>
      <c r="FU68" s="443"/>
      <c r="FV68" s="443"/>
      <c r="FW68" s="443"/>
      <c r="FX68" s="443"/>
      <c r="FY68" s="443"/>
      <c r="FZ68" s="443"/>
      <c r="GA68" s="443"/>
      <c r="GB68" s="443"/>
      <c r="GC68" s="443"/>
      <c r="GD68" s="443"/>
      <c r="GE68" s="443"/>
      <c r="GF68" s="443"/>
      <c r="GG68" s="443"/>
      <c r="GH68" s="443"/>
      <c r="GI68" s="443"/>
      <c r="GJ68" s="443"/>
      <c r="GK68" s="443"/>
      <c r="GL68" s="443"/>
      <c r="GM68" s="443"/>
      <c r="GN68" s="443"/>
      <c r="GO68" s="443"/>
      <c r="GP68" s="443"/>
      <c r="GQ68" s="443"/>
      <c r="GR68" s="443"/>
      <c r="GS68" s="443"/>
      <c r="GT68" s="443"/>
      <c r="GU68" s="443"/>
      <c r="GV68" s="443"/>
      <c r="GW68" s="443"/>
      <c r="GX68" s="443"/>
      <c r="GY68" s="443"/>
      <c r="GZ68" s="443"/>
      <c r="HA68" s="443"/>
      <c r="HB68" s="443"/>
      <c r="HC68" s="443"/>
      <c r="HD68" s="443"/>
      <c r="HE68" s="443"/>
      <c r="HF68" s="443"/>
      <c r="HG68" s="443"/>
      <c r="HH68" s="443"/>
      <c r="HI68" s="443"/>
      <c r="HJ68" s="443"/>
      <c r="HK68" s="443"/>
      <c r="HL68" s="443"/>
      <c r="HM68" s="443"/>
      <c r="HN68" s="443"/>
      <c r="HO68" s="443"/>
      <c r="HP68" s="443"/>
      <c r="HQ68" s="443"/>
      <c r="HR68" s="443"/>
      <c r="HS68" s="443"/>
      <c r="HT68" s="443"/>
      <c r="HU68" s="443"/>
      <c r="HV68" s="443"/>
      <c r="HW68" s="443"/>
      <c r="HX68" s="443"/>
      <c r="HY68" s="443"/>
      <c r="HZ68" s="443"/>
      <c r="IA68" s="443"/>
      <c r="IB68" s="443"/>
      <c r="IC68" s="443"/>
      <c r="ID68" s="443"/>
      <c r="IE68" s="443"/>
      <c r="IF68" s="443"/>
      <c r="IG68" s="443"/>
      <c r="IH68" s="443"/>
      <c r="II68" s="443"/>
      <c r="IJ68" s="443"/>
      <c r="IK68" s="443"/>
      <c r="IL68" s="443"/>
      <c r="IM68" s="443"/>
      <c r="IN68" s="443"/>
      <c r="IO68" s="443"/>
      <c r="IP68" s="443"/>
      <c r="IQ68" s="443"/>
      <c r="IR68" s="443"/>
      <c r="IS68" s="443"/>
      <c r="IT68" s="443"/>
      <c r="IU68" s="443"/>
      <c r="IV68" s="443"/>
      <c r="IW68" s="443"/>
      <c r="IX68" s="443"/>
      <c r="IY68" s="443"/>
      <c r="IZ68" s="443"/>
      <c r="JA68" s="443"/>
      <c r="JB68" s="443"/>
      <c r="JC68" s="443"/>
      <c r="JD68" s="443"/>
      <c r="JE68" s="443"/>
      <c r="JF68" s="443"/>
      <c r="JG68" s="443"/>
      <c r="JH68" s="443"/>
      <c r="JI68" s="443"/>
      <c r="JJ68" s="443"/>
      <c r="JK68" s="443"/>
      <c r="JL68" s="443"/>
      <c r="JM68" s="443"/>
      <c r="JN68" s="443"/>
      <c r="JO68" s="443"/>
      <c r="JP68" s="443"/>
      <c r="JQ68" s="443"/>
      <c r="JR68" s="443"/>
      <c r="JS68" s="443"/>
      <c r="JT68" s="443"/>
      <c r="JU68" s="443"/>
      <c r="JV68" s="443"/>
      <c r="JW68" s="443"/>
      <c r="JX68" s="443"/>
      <c r="JY68" s="443"/>
      <c r="JZ68" s="443"/>
      <c r="KA68" s="443"/>
      <c r="KB68" s="443"/>
      <c r="KC68" s="443"/>
      <c r="KD68" s="443"/>
      <c r="KE68" s="443"/>
      <c r="KF68" s="443"/>
      <c r="KG68" s="443"/>
      <c r="KH68" s="443"/>
      <c r="KI68" s="443"/>
      <c r="KJ68" s="443"/>
      <c r="KK68" s="443"/>
      <c r="KL68" s="443"/>
      <c r="KM68" s="443"/>
      <c r="KN68" s="443"/>
      <c r="KO68" s="443"/>
      <c r="KP68" s="443"/>
      <c r="KQ68" s="443"/>
      <c r="KR68" s="443"/>
      <c r="KS68" s="443"/>
      <c r="KT68" s="443"/>
      <c r="KU68" s="443"/>
      <c r="KV68" s="443"/>
      <c r="KW68" s="443"/>
      <c r="KX68" s="443"/>
      <c r="KY68" s="443"/>
      <c r="KZ68" s="443"/>
      <c r="LA68" s="443"/>
      <c r="LB68" s="443"/>
      <c r="LC68" s="443"/>
      <c r="LD68" s="443"/>
      <c r="LE68" s="443"/>
      <c r="LF68" s="443"/>
      <c r="LG68" s="443"/>
      <c r="LH68" s="443"/>
      <c r="LI68" s="443"/>
      <c r="LJ68" s="443"/>
      <c r="LK68" s="443"/>
      <c r="LL68" s="443"/>
      <c r="LM68" s="443"/>
      <c r="LN68" s="443"/>
      <c r="LO68" s="443"/>
      <c r="LP68" s="443"/>
      <c r="LQ68" s="443"/>
      <c r="LR68" s="443"/>
      <c r="LS68" s="443"/>
      <c r="LT68" s="443"/>
      <c r="LU68" s="443"/>
      <c r="LV68" s="443"/>
      <c r="LW68" s="443"/>
      <c r="LX68" s="443"/>
      <c r="LY68" s="443"/>
      <c r="LZ68" s="443"/>
      <c r="MA68" s="443"/>
      <c r="MB68" s="443"/>
      <c r="MC68" s="443"/>
      <c r="MD68" s="443"/>
      <c r="ME68" s="443"/>
      <c r="MF68" s="443"/>
      <c r="MG68" s="443"/>
      <c r="MH68" s="443"/>
      <c r="MI68" s="443"/>
      <c r="MJ68" s="443"/>
      <c r="MK68" s="443"/>
      <c r="ML68" s="443"/>
      <c r="MM68" s="443"/>
      <c r="MN68" s="443"/>
      <c r="MO68" s="443"/>
      <c r="MP68" s="443"/>
      <c r="MQ68" s="443"/>
      <c r="MR68" s="443"/>
      <c r="MS68" s="443"/>
      <c r="MT68" s="443"/>
      <c r="MU68" s="443"/>
      <c r="MV68" s="443"/>
      <c r="MW68" s="443"/>
      <c r="MX68" s="443"/>
      <c r="MY68" s="443"/>
      <c r="MZ68" s="443"/>
      <c r="NA68" s="443"/>
      <c r="NB68" s="443"/>
      <c r="NC68" s="443"/>
      <c r="ND68" s="443"/>
      <c r="NE68" s="443"/>
      <c r="NF68" s="443"/>
      <c r="NG68" s="443"/>
      <c r="NH68" s="443"/>
      <c r="NI68" s="443"/>
      <c r="NJ68" s="443"/>
      <c r="NK68" s="443"/>
      <c r="NL68" s="443"/>
      <c r="NM68" s="443"/>
      <c r="NN68" s="443"/>
      <c r="NO68" s="443"/>
      <c r="NP68" s="443"/>
      <c r="NQ68" s="443"/>
      <c r="NR68" s="443"/>
      <c r="NS68" s="443"/>
      <c r="NT68" s="443"/>
      <c r="NU68" s="443"/>
      <c r="NV68" s="443"/>
      <c r="NW68" s="443"/>
      <c r="NX68" s="443"/>
      <c r="NY68" s="443"/>
      <c r="NZ68" s="443"/>
      <c r="OA68" s="443"/>
      <c r="OB68" s="443"/>
      <c r="OC68" s="443"/>
      <c r="OD68" s="443"/>
      <c r="OE68" s="443"/>
      <c r="OF68" s="443"/>
      <c r="OG68" s="443"/>
      <c r="OH68" s="443"/>
      <c r="OI68" s="443"/>
      <c r="OJ68" s="443"/>
      <c r="OK68" s="443"/>
      <c r="OL68" s="443"/>
      <c r="OM68" s="443"/>
      <c r="ON68" s="443"/>
      <c r="OO68" s="443"/>
      <c r="OP68" s="443"/>
      <c r="OQ68" s="443"/>
      <c r="OR68" s="443"/>
      <c r="OS68" s="443"/>
      <c r="OT68" s="443"/>
      <c r="OU68" s="443"/>
      <c r="OV68" s="443"/>
      <c r="OW68" s="443"/>
      <c r="OX68" s="443"/>
      <c r="OY68" s="443"/>
      <c r="OZ68" s="443"/>
      <c r="PA68" s="443"/>
      <c r="PB68" s="443"/>
      <c r="PC68" s="443"/>
      <c r="PD68" s="443"/>
      <c r="PE68" s="443"/>
      <c r="PF68" s="443"/>
      <c r="PG68" s="443"/>
      <c r="PH68" s="443"/>
      <c r="PI68" s="443"/>
      <c r="PJ68" s="443"/>
      <c r="PK68" s="443"/>
      <c r="PL68" s="443"/>
      <c r="PM68" s="443"/>
      <c r="PN68" s="443"/>
      <c r="PO68" s="443"/>
      <c r="PP68" s="443"/>
      <c r="PQ68" s="443"/>
      <c r="PR68" s="443"/>
      <c r="PS68" s="443"/>
      <c r="PT68" s="443"/>
      <c r="PU68" s="443"/>
      <c r="PV68" s="443"/>
      <c r="PW68" s="443"/>
      <c r="PX68" s="443"/>
      <c r="PY68" s="443"/>
      <c r="PZ68" s="443"/>
      <c r="QA68" s="443"/>
      <c r="QB68" s="443"/>
      <c r="QC68" s="443"/>
      <c r="QD68" s="443"/>
      <c r="QE68" s="443"/>
      <c r="QF68" s="443"/>
      <c r="QG68" s="443"/>
      <c r="QH68" s="443"/>
      <c r="QI68" s="443"/>
      <c r="QJ68" s="443"/>
      <c r="QK68" s="443"/>
      <c r="QL68" s="443"/>
      <c r="QM68" s="443"/>
      <c r="QN68" s="443"/>
      <c r="QO68" s="443"/>
      <c r="QP68" s="443"/>
      <c r="QQ68" s="443"/>
      <c r="QR68" s="443"/>
      <c r="QS68" s="443"/>
      <c r="QT68" s="443"/>
      <c r="QU68" s="443"/>
      <c r="QV68" s="443"/>
      <c r="QW68" s="443"/>
      <c r="QX68" s="443"/>
      <c r="QY68" s="443"/>
      <c r="QZ68" s="443"/>
      <c r="RA68" s="443"/>
      <c r="RB68" s="443"/>
      <c r="RC68" s="443"/>
      <c r="RD68" s="443"/>
      <c r="RE68" s="443"/>
      <c r="RF68" s="443"/>
      <c r="RG68" s="443"/>
      <c r="RH68" s="443"/>
      <c r="RI68" s="443"/>
      <c r="RJ68" s="443"/>
      <c r="RK68" s="443"/>
      <c r="RL68" s="443"/>
      <c r="RM68" s="443"/>
      <c r="RN68" s="443"/>
      <c r="RO68" s="443"/>
      <c r="RP68" s="443"/>
      <c r="RQ68" s="443"/>
      <c r="RR68" s="443"/>
      <c r="RS68" s="443"/>
      <c r="RT68" s="443"/>
      <c r="RU68" s="443"/>
      <c r="RV68" s="443"/>
      <c r="RW68" s="443"/>
      <c r="RX68" s="443"/>
      <c r="RY68" s="443"/>
      <c r="RZ68" s="443"/>
      <c r="SA68" s="443"/>
      <c r="SB68" s="443"/>
      <c r="SC68" s="443"/>
      <c r="SD68" s="443"/>
      <c r="SE68" s="443"/>
      <c r="SF68" s="443"/>
      <c r="SG68" s="443"/>
      <c r="SH68" s="443"/>
      <c r="SI68" s="443"/>
      <c r="SJ68" s="443"/>
      <c r="SK68" s="443"/>
      <c r="SL68" s="443"/>
      <c r="SM68" s="443"/>
      <c r="SN68" s="443"/>
      <c r="SO68" s="443"/>
      <c r="SP68" s="443"/>
      <c r="SQ68" s="443"/>
      <c r="SR68" s="443"/>
      <c r="SS68" s="443"/>
      <c r="ST68" s="443"/>
      <c r="SU68" s="443"/>
      <c r="SV68" s="443"/>
      <c r="SW68" s="443"/>
      <c r="SX68" s="443"/>
      <c r="SY68" s="443"/>
      <c r="SZ68" s="443"/>
      <c r="TA68" s="443"/>
      <c r="TB68" s="443"/>
      <c r="TC68" s="443"/>
      <c r="TD68" s="443"/>
      <c r="TE68" s="443"/>
      <c r="TF68" s="443"/>
      <c r="TG68" s="443"/>
      <c r="TH68" s="443"/>
      <c r="TI68" s="443"/>
      <c r="TJ68" s="443"/>
      <c r="TK68" s="443"/>
      <c r="TL68" s="443"/>
      <c r="TM68" s="443"/>
      <c r="TN68" s="443"/>
      <c r="TO68" s="443"/>
      <c r="TP68" s="443"/>
      <c r="TQ68" s="443"/>
      <c r="TR68" s="443"/>
      <c r="TS68" s="443"/>
      <c r="TT68" s="443"/>
      <c r="TU68" s="443"/>
      <c r="TV68" s="443"/>
      <c r="TW68" s="443"/>
      <c r="TX68" s="443"/>
      <c r="TY68" s="443"/>
      <c r="TZ68" s="443"/>
      <c r="UA68" s="443"/>
      <c r="UB68" s="443"/>
      <c r="UC68" s="443"/>
      <c r="UD68" s="443"/>
      <c r="UE68" s="443"/>
      <c r="UF68" s="443"/>
      <c r="UG68" s="443"/>
      <c r="UH68" s="443"/>
      <c r="UI68" s="443"/>
      <c r="UJ68" s="443"/>
      <c r="UK68" s="443"/>
      <c r="UL68" s="443"/>
      <c r="UM68" s="443"/>
      <c r="UN68" s="443"/>
      <c r="UO68" s="443"/>
      <c r="UP68" s="443"/>
      <c r="UQ68" s="443"/>
      <c r="UR68" s="443"/>
      <c r="US68" s="443"/>
      <c r="UT68" s="443"/>
      <c r="UU68" s="443"/>
      <c r="UV68" s="443"/>
      <c r="UW68" s="443"/>
      <c r="UX68" s="443"/>
      <c r="UY68" s="443"/>
      <c r="UZ68" s="443"/>
      <c r="VA68" s="443"/>
      <c r="VB68" s="443"/>
      <c r="VC68" s="443"/>
      <c r="VD68" s="443"/>
      <c r="VE68" s="443"/>
      <c r="VF68" s="443"/>
      <c r="VG68" s="443"/>
      <c r="VH68" s="443"/>
      <c r="VI68" s="443"/>
      <c r="VJ68" s="443"/>
      <c r="VK68" s="443"/>
      <c r="VL68" s="443"/>
      <c r="VM68" s="443"/>
      <c r="VN68" s="443"/>
      <c r="VO68" s="443"/>
      <c r="VP68" s="443"/>
      <c r="VQ68" s="443"/>
      <c r="VR68" s="443"/>
      <c r="VS68" s="443"/>
      <c r="VT68" s="443"/>
      <c r="VU68" s="443"/>
      <c r="VV68" s="443"/>
      <c r="VW68" s="443"/>
      <c r="VX68" s="443"/>
      <c r="VY68" s="443"/>
      <c r="VZ68" s="443"/>
      <c r="WA68" s="443"/>
      <c r="WB68" s="443"/>
      <c r="WC68" s="443"/>
      <c r="WD68" s="443"/>
      <c r="WE68" s="443"/>
      <c r="WF68" s="443"/>
      <c r="WG68" s="443"/>
      <c r="WH68" s="443"/>
      <c r="WI68" s="443"/>
      <c r="WJ68" s="443"/>
      <c r="WK68" s="443"/>
      <c r="WL68" s="443"/>
      <c r="WM68" s="443"/>
      <c r="WN68" s="443"/>
      <c r="WO68" s="443"/>
      <c r="WP68" s="443"/>
      <c r="WQ68" s="443"/>
      <c r="WR68" s="443"/>
      <c r="WS68" s="443"/>
      <c r="WT68" s="443"/>
      <c r="WU68" s="443"/>
      <c r="WV68" s="443"/>
      <c r="WW68" s="443"/>
      <c r="WX68" s="443"/>
      <c r="WY68" s="443"/>
      <c r="WZ68" s="443"/>
      <c r="XA68" s="443"/>
      <c r="XB68" s="443"/>
      <c r="XC68" s="443"/>
      <c r="XD68" s="443"/>
      <c r="XE68" s="443"/>
      <c r="XF68" s="443"/>
      <c r="XG68" s="443"/>
      <c r="XH68" s="443"/>
      <c r="XI68" s="443"/>
      <c r="XJ68" s="443"/>
      <c r="XK68" s="443"/>
      <c r="XL68" s="443"/>
      <c r="XM68" s="443"/>
      <c r="XN68" s="443"/>
      <c r="XO68" s="443"/>
      <c r="XP68" s="443"/>
      <c r="XQ68" s="443"/>
      <c r="XR68" s="443"/>
      <c r="XS68" s="443"/>
      <c r="XT68" s="443"/>
      <c r="XU68" s="443"/>
      <c r="XV68" s="443"/>
      <c r="XW68" s="443"/>
      <c r="XX68" s="443"/>
      <c r="XY68" s="443"/>
      <c r="XZ68" s="443"/>
      <c r="YA68" s="443"/>
      <c r="YB68" s="443"/>
      <c r="YC68" s="443"/>
      <c r="YD68" s="443"/>
      <c r="YE68" s="443"/>
      <c r="YF68" s="443"/>
      <c r="YG68" s="443"/>
      <c r="YH68" s="443"/>
      <c r="YI68" s="443"/>
      <c r="YJ68" s="443"/>
      <c r="YK68" s="443"/>
      <c r="YL68" s="443"/>
      <c r="YM68" s="443"/>
      <c r="YN68" s="443"/>
      <c r="YO68" s="443"/>
      <c r="YP68" s="443"/>
      <c r="YQ68" s="443"/>
      <c r="YR68" s="443"/>
      <c r="YS68" s="443"/>
      <c r="YT68" s="443"/>
      <c r="YU68" s="443"/>
      <c r="YV68" s="443"/>
      <c r="YW68" s="443"/>
      <c r="YX68" s="443"/>
      <c r="YY68" s="443"/>
      <c r="YZ68" s="443"/>
      <c r="ZA68" s="443"/>
      <c r="ZB68" s="443"/>
      <c r="ZC68" s="443"/>
      <c r="ZD68" s="443"/>
      <c r="ZE68" s="443"/>
      <c r="ZF68" s="443"/>
      <c r="ZG68" s="443"/>
      <c r="ZH68" s="443"/>
      <c r="ZI68" s="443"/>
      <c r="ZJ68" s="443"/>
      <c r="ZK68" s="443"/>
      <c r="ZL68" s="443"/>
      <c r="ZM68" s="443"/>
      <c r="ZN68" s="443"/>
      <c r="ZO68" s="443"/>
      <c r="ZP68" s="443"/>
      <c r="ZQ68" s="443"/>
      <c r="ZR68" s="443"/>
      <c r="ZS68" s="443"/>
      <c r="ZT68" s="443"/>
      <c r="ZU68" s="443"/>
      <c r="ZV68" s="443"/>
      <c r="ZW68" s="443"/>
      <c r="ZX68" s="443"/>
      <c r="ZY68" s="443"/>
      <c r="ZZ68" s="443"/>
      <c r="AAA68" s="443"/>
      <c r="AAB68" s="443"/>
      <c r="AAC68" s="443"/>
      <c r="AAD68" s="443"/>
      <c r="AAE68" s="443"/>
      <c r="AAF68" s="443"/>
      <c r="AAG68" s="443"/>
      <c r="AAH68" s="443"/>
      <c r="AAI68" s="443"/>
      <c r="AAJ68" s="443"/>
      <c r="AAK68" s="443"/>
      <c r="AAL68" s="443"/>
      <c r="AAM68" s="443"/>
      <c r="AAN68" s="443"/>
      <c r="AAO68" s="443"/>
      <c r="AAP68" s="443"/>
      <c r="AAQ68" s="443"/>
      <c r="AAR68" s="443"/>
      <c r="AAS68" s="443"/>
      <c r="AAT68" s="443"/>
      <c r="AAU68" s="443"/>
      <c r="AAV68" s="443"/>
      <c r="AAW68" s="443"/>
      <c r="AAX68" s="443"/>
      <c r="AAY68" s="443"/>
      <c r="AAZ68" s="443"/>
      <c r="ABA68" s="443"/>
      <c r="ABB68" s="443"/>
      <c r="ABC68" s="443"/>
      <c r="ABD68" s="443"/>
      <c r="ABE68" s="443"/>
      <c r="ABF68" s="443"/>
      <c r="ABG68" s="443"/>
      <c r="ABH68" s="443"/>
      <c r="ABI68" s="443"/>
      <c r="ABJ68" s="443"/>
      <c r="ABK68" s="443"/>
      <c r="ABL68" s="443"/>
      <c r="ABM68" s="443"/>
      <c r="ABN68" s="443"/>
      <c r="ABO68" s="443"/>
      <c r="ABP68" s="443"/>
      <c r="ABQ68" s="443"/>
      <c r="ABR68" s="443"/>
      <c r="ABS68" s="443"/>
      <c r="ABT68" s="443"/>
      <c r="ABU68" s="443"/>
      <c r="ABV68" s="443"/>
      <c r="ABW68" s="443"/>
      <c r="ABX68" s="443"/>
      <c r="ABY68" s="443"/>
      <c r="ABZ68" s="443"/>
      <c r="ACA68" s="443"/>
      <c r="ACB68" s="443"/>
      <c r="ACC68" s="443"/>
      <c r="ACD68" s="443"/>
      <c r="ACE68" s="443"/>
      <c r="ACF68" s="443"/>
      <c r="ACG68" s="443"/>
      <c r="ACH68" s="443"/>
      <c r="ACI68" s="443"/>
      <c r="ACJ68" s="443"/>
      <c r="ACK68" s="443"/>
      <c r="ACL68" s="443"/>
      <c r="ACM68" s="443"/>
      <c r="ACN68" s="443"/>
      <c r="ACO68" s="443"/>
      <c r="ACP68" s="443"/>
      <c r="ACQ68" s="443"/>
      <c r="ACR68" s="443"/>
      <c r="ACS68" s="443"/>
      <c r="ACT68" s="443"/>
      <c r="ACU68" s="443"/>
      <c r="ACV68" s="443"/>
      <c r="ACW68" s="443"/>
      <c r="ACX68" s="443"/>
      <c r="ACY68" s="443"/>
      <c r="ACZ68" s="443"/>
      <c r="ADA68" s="443"/>
      <c r="ADB68" s="443"/>
      <c r="ADC68" s="443"/>
      <c r="ADD68" s="443"/>
      <c r="ADE68" s="443"/>
      <c r="ADF68" s="443"/>
      <c r="ADG68" s="443"/>
      <c r="ADH68" s="443"/>
      <c r="ADI68" s="443"/>
      <c r="ADJ68" s="443"/>
      <c r="ADK68" s="443"/>
      <c r="ADL68" s="443"/>
      <c r="ADM68" s="443"/>
      <c r="ADN68" s="443"/>
      <c r="ADO68" s="443"/>
      <c r="ADP68" s="443"/>
      <c r="ADQ68" s="443"/>
      <c r="ADR68" s="443"/>
      <c r="ADS68" s="443"/>
      <c r="ADT68" s="443"/>
      <c r="ADU68" s="443"/>
      <c r="ADV68" s="443"/>
      <c r="ADW68" s="443"/>
      <c r="ADX68" s="443"/>
      <c r="ADY68" s="443"/>
      <c r="ADZ68" s="443"/>
      <c r="AEA68" s="443"/>
      <c r="AEB68" s="443"/>
      <c r="AEC68" s="443"/>
      <c r="AED68" s="443"/>
      <c r="AEE68" s="443"/>
      <c r="AEF68" s="443"/>
      <c r="AEG68" s="443"/>
      <c r="AEH68" s="443"/>
      <c r="AEI68" s="443"/>
      <c r="AEJ68" s="443"/>
      <c r="AEK68" s="443"/>
      <c r="AEL68" s="443"/>
      <c r="AEM68" s="443"/>
      <c r="AEN68" s="443"/>
      <c r="AEO68" s="443"/>
      <c r="AEP68" s="443"/>
      <c r="AEQ68" s="443"/>
      <c r="AER68" s="443"/>
      <c r="AES68" s="443"/>
      <c r="AET68" s="443"/>
      <c r="AEU68" s="443"/>
      <c r="AEV68" s="443"/>
      <c r="AEW68" s="443"/>
      <c r="AEX68" s="443"/>
      <c r="AEY68" s="443"/>
      <c r="AEZ68" s="443"/>
      <c r="AFA68" s="443"/>
      <c r="AFB68" s="443"/>
      <c r="AFC68" s="443"/>
      <c r="AFD68" s="443"/>
      <c r="AFE68" s="443"/>
      <c r="AFF68" s="443"/>
      <c r="AFG68" s="443"/>
      <c r="AFH68" s="443"/>
      <c r="AFI68" s="443"/>
      <c r="AFJ68" s="443"/>
      <c r="AFK68" s="443"/>
      <c r="AFL68" s="443"/>
      <c r="AFM68" s="443"/>
      <c r="AFN68" s="443"/>
      <c r="AFO68" s="443"/>
      <c r="AFP68" s="443"/>
      <c r="AFQ68" s="443"/>
      <c r="AFR68" s="443"/>
      <c r="AFS68" s="443"/>
      <c r="AFT68" s="443"/>
      <c r="AFU68" s="443"/>
      <c r="AFV68" s="443"/>
      <c r="AFW68" s="443"/>
      <c r="AFX68" s="443"/>
      <c r="AFY68" s="443"/>
      <c r="AFZ68" s="443"/>
      <c r="AGA68" s="443"/>
      <c r="AGB68" s="443"/>
      <c r="AGC68" s="443"/>
      <c r="AGD68" s="443"/>
      <c r="AGE68" s="443"/>
      <c r="AGF68" s="443"/>
      <c r="AGG68" s="443"/>
      <c r="AGH68" s="443"/>
      <c r="AGI68" s="443"/>
      <c r="AGJ68" s="443"/>
    </row>
    <row r="69" spans="1:868" s="1" customFormat="1">
      <c r="A69" s="652" t="s">
        <v>118</v>
      </c>
      <c r="B69" s="799" t="s">
        <v>441</v>
      </c>
      <c r="C69" s="34" t="s">
        <v>139</v>
      </c>
      <c r="D69" s="122" t="s">
        <v>99</v>
      </c>
      <c r="E69" s="637">
        <f t="shared" si="22"/>
        <v>1.9881068607437654E-2</v>
      </c>
      <c r="F69" s="9">
        <v>1</v>
      </c>
      <c r="G69" s="9" t="s">
        <v>433</v>
      </c>
      <c r="H69" s="10">
        <v>1</v>
      </c>
      <c r="I69" s="10">
        <v>2</v>
      </c>
      <c r="J69" s="10">
        <v>2</v>
      </c>
      <c r="K69" s="10">
        <v>1</v>
      </c>
      <c r="L69" s="10">
        <v>1</v>
      </c>
      <c r="M69" s="10">
        <v>2</v>
      </c>
      <c r="N69" s="411">
        <f t="shared" si="25"/>
        <v>0.35859414261160716</v>
      </c>
      <c r="O69" s="411">
        <f t="shared" si="26"/>
        <v>0.37356464144298934</v>
      </c>
      <c r="P69" s="765"/>
      <c r="Q69" s="443"/>
      <c r="R69" s="443"/>
      <c r="S69" s="443"/>
      <c r="T69" s="443"/>
      <c r="U69" s="443"/>
      <c r="V69" s="443"/>
      <c r="W69" s="443"/>
      <c r="X69" s="443"/>
      <c r="Y69" s="443"/>
      <c r="Z69" s="443"/>
      <c r="AA69" s="443"/>
      <c r="AB69" s="443"/>
      <c r="AC69" s="443"/>
      <c r="AD69" s="443"/>
      <c r="AE69" s="443"/>
      <c r="AF69" s="443"/>
      <c r="AG69" s="443"/>
      <c r="AH69" s="443"/>
      <c r="AI69" s="443"/>
      <c r="AJ69" s="443"/>
      <c r="AK69" s="443"/>
      <c r="AL69" s="443"/>
      <c r="AM69" s="443"/>
      <c r="AN69" s="443"/>
      <c r="AO69" s="443"/>
      <c r="AP69" s="443"/>
      <c r="AQ69" s="443"/>
      <c r="AR69" s="443"/>
      <c r="AS69" s="443"/>
      <c r="AT69" s="443"/>
      <c r="AU69" s="443"/>
      <c r="AV69" s="443"/>
      <c r="AW69" s="443"/>
      <c r="AX69" s="443"/>
      <c r="AY69" s="443"/>
      <c r="AZ69" s="443"/>
      <c r="BA69" s="443"/>
      <c r="BB69" s="443"/>
      <c r="BC69" s="443"/>
      <c r="BD69" s="443"/>
      <c r="BE69" s="443"/>
      <c r="BF69" s="443"/>
      <c r="BG69" s="443"/>
      <c r="BH69" s="443"/>
      <c r="BI69" s="443"/>
      <c r="BJ69" s="443"/>
      <c r="BK69" s="443"/>
      <c r="BL69" s="443"/>
      <c r="BM69" s="443"/>
      <c r="BN69" s="443"/>
      <c r="BO69" s="443"/>
      <c r="BP69" s="443"/>
      <c r="BQ69" s="443"/>
      <c r="BR69" s="443"/>
      <c r="BS69" s="443"/>
      <c r="BT69" s="443"/>
      <c r="BU69" s="443"/>
      <c r="BV69" s="443"/>
      <c r="BW69" s="443"/>
      <c r="BX69" s="443"/>
      <c r="BY69" s="443"/>
      <c r="BZ69" s="443"/>
      <c r="CA69" s="443"/>
      <c r="CB69" s="443"/>
      <c r="CC69" s="443"/>
      <c r="CD69" s="443"/>
      <c r="CE69" s="443"/>
      <c r="CF69" s="443"/>
      <c r="CG69" s="443"/>
      <c r="CH69" s="443"/>
      <c r="CI69" s="443"/>
      <c r="CJ69" s="443"/>
      <c r="CK69" s="443"/>
      <c r="CL69" s="443"/>
      <c r="CM69" s="443"/>
      <c r="CN69" s="443"/>
      <c r="CO69" s="443"/>
      <c r="CP69" s="443"/>
      <c r="CQ69" s="443"/>
      <c r="CR69" s="443"/>
      <c r="CS69" s="443"/>
      <c r="CT69" s="443"/>
      <c r="CU69" s="443"/>
      <c r="CV69" s="443"/>
      <c r="CW69" s="443"/>
      <c r="CX69" s="443"/>
      <c r="CY69" s="443"/>
      <c r="CZ69" s="443"/>
      <c r="DA69" s="443"/>
      <c r="DB69" s="443"/>
      <c r="DC69" s="443"/>
      <c r="DD69" s="443"/>
      <c r="DE69" s="443"/>
      <c r="DF69" s="443"/>
      <c r="DG69" s="443"/>
      <c r="DH69" s="443"/>
      <c r="DI69" s="443"/>
      <c r="DJ69" s="443"/>
      <c r="DK69" s="443"/>
      <c r="DL69" s="443"/>
      <c r="DM69" s="443"/>
      <c r="DN69" s="443"/>
      <c r="DO69" s="443"/>
      <c r="DP69" s="443"/>
      <c r="DQ69" s="443"/>
      <c r="DR69" s="443"/>
      <c r="DS69" s="443"/>
      <c r="DT69" s="443"/>
      <c r="DU69" s="443"/>
      <c r="DV69" s="443"/>
      <c r="DW69" s="443"/>
      <c r="DX69" s="443"/>
      <c r="DY69" s="443"/>
      <c r="DZ69" s="443"/>
      <c r="EA69" s="443"/>
      <c r="EB69" s="443"/>
      <c r="EC69" s="443"/>
      <c r="ED69" s="443"/>
      <c r="EE69" s="443"/>
      <c r="EF69" s="443"/>
      <c r="EG69" s="443"/>
      <c r="EH69" s="443"/>
      <c r="EI69" s="443"/>
      <c r="EJ69" s="443"/>
      <c r="EK69" s="443"/>
      <c r="EL69" s="443"/>
      <c r="EM69" s="443"/>
      <c r="EN69" s="443"/>
      <c r="EO69" s="443"/>
      <c r="EP69" s="443"/>
      <c r="EQ69" s="443"/>
      <c r="ER69" s="443"/>
      <c r="ES69" s="443"/>
      <c r="ET69" s="443"/>
      <c r="EU69" s="443"/>
      <c r="EV69" s="443"/>
      <c r="EW69" s="443"/>
      <c r="EX69" s="443"/>
      <c r="EY69" s="443"/>
      <c r="EZ69" s="443"/>
      <c r="FA69" s="443"/>
      <c r="FB69" s="443"/>
      <c r="FC69" s="443"/>
      <c r="FD69" s="443"/>
      <c r="FE69" s="443"/>
      <c r="FF69" s="443"/>
      <c r="FG69" s="443"/>
      <c r="FH69" s="443"/>
      <c r="FI69" s="443"/>
      <c r="FJ69" s="443"/>
      <c r="FK69" s="443"/>
      <c r="FL69" s="443"/>
      <c r="FM69" s="443"/>
      <c r="FN69" s="443"/>
      <c r="FO69" s="443"/>
      <c r="FP69" s="443"/>
      <c r="FQ69" s="443"/>
      <c r="FR69" s="443"/>
      <c r="FS69" s="443"/>
      <c r="FT69" s="443"/>
      <c r="FU69" s="443"/>
      <c r="FV69" s="443"/>
      <c r="FW69" s="443"/>
      <c r="FX69" s="443"/>
      <c r="FY69" s="443"/>
      <c r="FZ69" s="443"/>
      <c r="GA69" s="443"/>
      <c r="GB69" s="443"/>
      <c r="GC69" s="443"/>
      <c r="GD69" s="443"/>
      <c r="GE69" s="443"/>
      <c r="GF69" s="443"/>
      <c r="GG69" s="443"/>
      <c r="GH69" s="443"/>
      <c r="GI69" s="443"/>
      <c r="GJ69" s="443"/>
      <c r="GK69" s="443"/>
      <c r="GL69" s="443"/>
      <c r="GM69" s="443"/>
      <c r="GN69" s="443"/>
      <c r="GO69" s="443"/>
      <c r="GP69" s="443"/>
      <c r="GQ69" s="443"/>
      <c r="GR69" s="443"/>
      <c r="GS69" s="443"/>
      <c r="GT69" s="443"/>
      <c r="GU69" s="443"/>
      <c r="GV69" s="443"/>
      <c r="GW69" s="443"/>
      <c r="GX69" s="443"/>
      <c r="GY69" s="443"/>
      <c r="GZ69" s="443"/>
      <c r="HA69" s="443"/>
      <c r="HB69" s="443"/>
      <c r="HC69" s="443"/>
      <c r="HD69" s="443"/>
      <c r="HE69" s="443"/>
      <c r="HF69" s="443"/>
      <c r="HG69" s="443"/>
      <c r="HH69" s="443"/>
      <c r="HI69" s="443"/>
      <c r="HJ69" s="443"/>
      <c r="HK69" s="443"/>
      <c r="HL69" s="443"/>
      <c r="HM69" s="443"/>
      <c r="HN69" s="443"/>
      <c r="HO69" s="443"/>
      <c r="HP69" s="443"/>
      <c r="HQ69" s="443"/>
      <c r="HR69" s="443"/>
      <c r="HS69" s="443"/>
      <c r="HT69" s="443"/>
      <c r="HU69" s="443"/>
      <c r="HV69" s="443"/>
      <c r="HW69" s="443"/>
      <c r="HX69" s="443"/>
      <c r="HY69" s="443"/>
      <c r="HZ69" s="443"/>
      <c r="IA69" s="443"/>
      <c r="IB69" s="443"/>
      <c r="IC69" s="443"/>
      <c r="ID69" s="443"/>
      <c r="IE69" s="443"/>
      <c r="IF69" s="443"/>
      <c r="IG69" s="443"/>
      <c r="IH69" s="443"/>
      <c r="II69" s="443"/>
      <c r="IJ69" s="443"/>
      <c r="IK69" s="443"/>
      <c r="IL69" s="443"/>
      <c r="IM69" s="443"/>
      <c r="IN69" s="443"/>
      <c r="IO69" s="443"/>
      <c r="IP69" s="443"/>
      <c r="IQ69" s="443"/>
      <c r="IR69" s="443"/>
      <c r="IS69" s="443"/>
      <c r="IT69" s="443"/>
      <c r="IU69" s="443"/>
      <c r="IV69" s="443"/>
      <c r="IW69" s="443"/>
      <c r="IX69" s="443"/>
      <c r="IY69" s="443"/>
      <c r="IZ69" s="443"/>
      <c r="JA69" s="443"/>
      <c r="JB69" s="443"/>
      <c r="JC69" s="443"/>
      <c r="JD69" s="443"/>
      <c r="JE69" s="443"/>
      <c r="JF69" s="443"/>
      <c r="JG69" s="443"/>
      <c r="JH69" s="443"/>
      <c r="JI69" s="443"/>
      <c r="JJ69" s="443"/>
      <c r="JK69" s="443"/>
      <c r="JL69" s="443"/>
      <c r="JM69" s="443"/>
      <c r="JN69" s="443"/>
      <c r="JO69" s="443"/>
      <c r="JP69" s="443"/>
      <c r="JQ69" s="443"/>
      <c r="JR69" s="443"/>
      <c r="JS69" s="443"/>
      <c r="JT69" s="443"/>
      <c r="JU69" s="443"/>
      <c r="JV69" s="443"/>
      <c r="JW69" s="443"/>
      <c r="JX69" s="443"/>
      <c r="JY69" s="443"/>
      <c r="JZ69" s="443"/>
      <c r="KA69" s="443"/>
      <c r="KB69" s="443"/>
      <c r="KC69" s="443"/>
      <c r="KD69" s="443"/>
      <c r="KE69" s="443"/>
      <c r="KF69" s="443"/>
      <c r="KG69" s="443"/>
      <c r="KH69" s="443"/>
      <c r="KI69" s="443"/>
      <c r="KJ69" s="443"/>
      <c r="KK69" s="443"/>
      <c r="KL69" s="443"/>
      <c r="KM69" s="443"/>
      <c r="KN69" s="443"/>
      <c r="KO69" s="443"/>
      <c r="KP69" s="443"/>
      <c r="KQ69" s="443"/>
      <c r="KR69" s="443"/>
      <c r="KS69" s="443"/>
      <c r="KT69" s="443"/>
      <c r="KU69" s="443"/>
      <c r="KV69" s="443"/>
      <c r="KW69" s="443"/>
      <c r="KX69" s="443"/>
      <c r="KY69" s="443"/>
      <c r="KZ69" s="443"/>
      <c r="LA69" s="443"/>
      <c r="LB69" s="443"/>
      <c r="LC69" s="443"/>
      <c r="LD69" s="443"/>
      <c r="LE69" s="443"/>
      <c r="LF69" s="443"/>
      <c r="LG69" s="443"/>
      <c r="LH69" s="443"/>
      <c r="LI69" s="443"/>
      <c r="LJ69" s="443"/>
      <c r="LK69" s="443"/>
      <c r="LL69" s="443"/>
      <c r="LM69" s="443"/>
      <c r="LN69" s="443"/>
      <c r="LO69" s="443"/>
      <c r="LP69" s="443"/>
      <c r="LQ69" s="443"/>
      <c r="LR69" s="443"/>
      <c r="LS69" s="443"/>
      <c r="LT69" s="443"/>
      <c r="LU69" s="443"/>
      <c r="LV69" s="443"/>
      <c r="LW69" s="443"/>
      <c r="LX69" s="443"/>
      <c r="LY69" s="443"/>
      <c r="LZ69" s="443"/>
      <c r="MA69" s="443"/>
      <c r="MB69" s="443"/>
      <c r="MC69" s="443"/>
      <c r="MD69" s="443"/>
      <c r="ME69" s="443"/>
      <c r="MF69" s="443"/>
      <c r="MG69" s="443"/>
      <c r="MH69" s="443"/>
      <c r="MI69" s="443"/>
      <c r="MJ69" s="443"/>
      <c r="MK69" s="443"/>
      <c r="ML69" s="443"/>
      <c r="MM69" s="443"/>
      <c r="MN69" s="443"/>
      <c r="MO69" s="443"/>
      <c r="MP69" s="443"/>
      <c r="MQ69" s="443"/>
      <c r="MR69" s="443"/>
      <c r="MS69" s="443"/>
      <c r="MT69" s="443"/>
      <c r="MU69" s="443"/>
      <c r="MV69" s="443"/>
      <c r="MW69" s="443"/>
      <c r="MX69" s="443"/>
      <c r="MY69" s="443"/>
      <c r="MZ69" s="443"/>
      <c r="NA69" s="443"/>
      <c r="NB69" s="443"/>
      <c r="NC69" s="443"/>
      <c r="ND69" s="443"/>
      <c r="NE69" s="443"/>
      <c r="NF69" s="443"/>
      <c r="NG69" s="443"/>
      <c r="NH69" s="443"/>
      <c r="NI69" s="443"/>
      <c r="NJ69" s="443"/>
      <c r="NK69" s="443"/>
      <c r="NL69" s="443"/>
      <c r="NM69" s="443"/>
      <c r="NN69" s="443"/>
      <c r="NO69" s="443"/>
      <c r="NP69" s="443"/>
      <c r="NQ69" s="443"/>
      <c r="NR69" s="443"/>
      <c r="NS69" s="443"/>
      <c r="NT69" s="443"/>
      <c r="NU69" s="443"/>
      <c r="NV69" s="443"/>
      <c r="NW69" s="443"/>
      <c r="NX69" s="443"/>
      <c r="NY69" s="443"/>
      <c r="NZ69" s="443"/>
      <c r="OA69" s="443"/>
      <c r="OB69" s="443"/>
      <c r="OC69" s="443"/>
      <c r="OD69" s="443"/>
      <c r="OE69" s="443"/>
      <c r="OF69" s="443"/>
      <c r="OG69" s="443"/>
      <c r="OH69" s="443"/>
      <c r="OI69" s="443"/>
      <c r="OJ69" s="443"/>
      <c r="OK69" s="443"/>
      <c r="OL69" s="443"/>
      <c r="OM69" s="443"/>
      <c r="ON69" s="443"/>
      <c r="OO69" s="443"/>
      <c r="OP69" s="443"/>
      <c r="OQ69" s="443"/>
      <c r="OR69" s="443"/>
      <c r="OS69" s="443"/>
      <c r="OT69" s="443"/>
      <c r="OU69" s="443"/>
      <c r="OV69" s="443"/>
      <c r="OW69" s="443"/>
      <c r="OX69" s="443"/>
      <c r="OY69" s="443"/>
      <c r="OZ69" s="443"/>
      <c r="PA69" s="443"/>
      <c r="PB69" s="443"/>
      <c r="PC69" s="443"/>
      <c r="PD69" s="443"/>
      <c r="PE69" s="443"/>
      <c r="PF69" s="443"/>
      <c r="PG69" s="443"/>
      <c r="PH69" s="443"/>
      <c r="PI69" s="443"/>
      <c r="PJ69" s="443"/>
      <c r="PK69" s="443"/>
      <c r="PL69" s="443"/>
      <c r="PM69" s="443"/>
      <c r="PN69" s="443"/>
      <c r="PO69" s="443"/>
      <c r="PP69" s="443"/>
      <c r="PQ69" s="443"/>
      <c r="PR69" s="443"/>
      <c r="PS69" s="443"/>
      <c r="PT69" s="443"/>
      <c r="PU69" s="443"/>
      <c r="PV69" s="443"/>
      <c r="PW69" s="443"/>
      <c r="PX69" s="443"/>
      <c r="PY69" s="443"/>
      <c r="PZ69" s="443"/>
      <c r="QA69" s="443"/>
      <c r="QB69" s="443"/>
      <c r="QC69" s="443"/>
      <c r="QD69" s="443"/>
      <c r="QE69" s="443"/>
      <c r="QF69" s="443"/>
      <c r="QG69" s="443"/>
      <c r="QH69" s="443"/>
      <c r="QI69" s="443"/>
      <c r="QJ69" s="443"/>
      <c r="QK69" s="443"/>
      <c r="QL69" s="443"/>
      <c r="QM69" s="443"/>
      <c r="QN69" s="443"/>
      <c r="QO69" s="443"/>
      <c r="QP69" s="443"/>
      <c r="QQ69" s="443"/>
      <c r="QR69" s="443"/>
      <c r="QS69" s="443"/>
      <c r="QT69" s="443"/>
      <c r="QU69" s="443"/>
      <c r="QV69" s="443"/>
      <c r="QW69" s="443"/>
      <c r="QX69" s="443"/>
      <c r="QY69" s="443"/>
      <c r="QZ69" s="443"/>
      <c r="RA69" s="443"/>
      <c r="RB69" s="443"/>
      <c r="RC69" s="443"/>
      <c r="RD69" s="443"/>
      <c r="RE69" s="443"/>
      <c r="RF69" s="443"/>
      <c r="RG69" s="443"/>
      <c r="RH69" s="443"/>
      <c r="RI69" s="443"/>
      <c r="RJ69" s="443"/>
      <c r="RK69" s="443"/>
      <c r="RL69" s="443"/>
      <c r="RM69" s="443"/>
      <c r="RN69" s="443"/>
      <c r="RO69" s="443"/>
      <c r="RP69" s="443"/>
      <c r="RQ69" s="443"/>
      <c r="RR69" s="443"/>
      <c r="RS69" s="443"/>
      <c r="RT69" s="443"/>
      <c r="RU69" s="443"/>
      <c r="RV69" s="443"/>
      <c r="RW69" s="443"/>
      <c r="RX69" s="443"/>
      <c r="RY69" s="443"/>
      <c r="RZ69" s="443"/>
      <c r="SA69" s="443"/>
      <c r="SB69" s="443"/>
      <c r="SC69" s="443"/>
      <c r="SD69" s="443"/>
      <c r="SE69" s="443"/>
      <c r="SF69" s="443"/>
      <c r="SG69" s="443"/>
      <c r="SH69" s="443"/>
      <c r="SI69" s="443"/>
      <c r="SJ69" s="443"/>
      <c r="SK69" s="443"/>
      <c r="SL69" s="443"/>
      <c r="SM69" s="443"/>
      <c r="SN69" s="443"/>
      <c r="SO69" s="443"/>
      <c r="SP69" s="443"/>
      <c r="SQ69" s="443"/>
      <c r="SR69" s="443"/>
      <c r="SS69" s="443"/>
      <c r="ST69" s="443"/>
      <c r="SU69" s="443"/>
      <c r="SV69" s="443"/>
      <c r="SW69" s="443"/>
      <c r="SX69" s="443"/>
      <c r="SY69" s="443"/>
      <c r="SZ69" s="443"/>
      <c r="TA69" s="443"/>
      <c r="TB69" s="443"/>
      <c r="TC69" s="443"/>
      <c r="TD69" s="443"/>
      <c r="TE69" s="443"/>
      <c r="TF69" s="443"/>
      <c r="TG69" s="443"/>
      <c r="TH69" s="443"/>
      <c r="TI69" s="443"/>
      <c r="TJ69" s="443"/>
      <c r="TK69" s="443"/>
      <c r="TL69" s="443"/>
      <c r="TM69" s="443"/>
      <c r="TN69" s="443"/>
      <c r="TO69" s="443"/>
      <c r="TP69" s="443"/>
      <c r="TQ69" s="443"/>
      <c r="TR69" s="443"/>
      <c r="TS69" s="443"/>
      <c r="TT69" s="443"/>
      <c r="TU69" s="443"/>
      <c r="TV69" s="443"/>
      <c r="TW69" s="443"/>
      <c r="TX69" s="443"/>
      <c r="TY69" s="443"/>
      <c r="TZ69" s="443"/>
      <c r="UA69" s="443"/>
      <c r="UB69" s="443"/>
      <c r="UC69" s="443"/>
      <c r="UD69" s="443"/>
      <c r="UE69" s="443"/>
      <c r="UF69" s="443"/>
      <c r="UG69" s="443"/>
      <c r="UH69" s="443"/>
      <c r="UI69" s="443"/>
      <c r="UJ69" s="443"/>
      <c r="UK69" s="443"/>
      <c r="UL69" s="443"/>
      <c r="UM69" s="443"/>
      <c r="UN69" s="443"/>
      <c r="UO69" s="443"/>
      <c r="UP69" s="443"/>
      <c r="UQ69" s="443"/>
      <c r="UR69" s="443"/>
      <c r="US69" s="443"/>
      <c r="UT69" s="443"/>
      <c r="UU69" s="443"/>
      <c r="UV69" s="443"/>
      <c r="UW69" s="443"/>
      <c r="UX69" s="443"/>
      <c r="UY69" s="443"/>
      <c r="UZ69" s="443"/>
      <c r="VA69" s="443"/>
      <c r="VB69" s="443"/>
      <c r="VC69" s="443"/>
      <c r="VD69" s="443"/>
      <c r="VE69" s="443"/>
      <c r="VF69" s="443"/>
      <c r="VG69" s="443"/>
      <c r="VH69" s="443"/>
      <c r="VI69" s="443"/>
      <c r="VJ69" s="443"/>
      <c r="VK69" s="443"/>
      <c r="VL69" s="443"/>
      <c r="VM69" s="443"/>
      <c r="VN69" s="443"/>
      <c r="VO69" s="443"/>
      <c r="VP69" s="443"/>
      <c r="VQ69" s="443"/>
      <c r="VR69" s="443"/>
      <c r="VS69" s="443"/>
      <c r="VT69" s="443"/>
      <c r="VU69" s="443"/>
      <c r="VV69" s="443"/>
      <c r="VW69" s="443"/>
      <c r="VX69" s="443"/>
      <c r="VY69" s="443"/>
      <c r="VZ69" s="443"/>
      <c r="WA69" s="443"/>
      <c r="WB69" s="443"/>
      <c r="WC69" s="443"/>
      <c r="WD69" s="443"/>
      <c r="WE69" s="443"/>
      <c r="WF69" s="443"/>
      <c r="WG69" s="443"/>
      <c r="WH69" s="443"/>
      <c r="WI69" s="443"/>
      <c r="WJ69" s="443"/>
      <c r="WK69" s="443"/>
      <c r="WL69" s="443"/>
      <c r="WM69" s="443"/>
      <c r="WN69" s="443"/>
      <c r="WO69" s="443"/>
      <c r="WP69" s="443"/>
      <c r="WQ69" s="443"/>
      <c r="WR69" s="443"/>
      <c r="WS69" s="443"/>
      <c r="WT69" s="443"/>
      <c r="WU69" s="443"/>
      <c r="WV69" s="443"/>
      <c r="WW69" s="443"/>
      <c r="WX69" s="443"/>
      <c r="WY69" s="443"/>
      <c r="WZ69" s="443"/>
      <c r="XA69" s="443"/>
      <c r="XB69" s="443"/>
      <c r="XC69" s="443"/>
      <c r="XD69" s="443"/>
      <c r="XE69" s="443"/>
      <c r="XF69" s="443"/>
      <c r="XG69" s="443"/>
      <c r="XH69" s="443"/>
      <c r="XI69" s="443"/>
      <c r="XJ69" s="443"/>
      <c r="XK69" s="443"/>
      <c r="XL69" s="443"/>
      <c r="XM69" s="443"/>
      <c r="XN69" s="443"/>
      <c r="XO69" s="443"/>
      <c r="XP69" s="443"/>
      <c r="XQ69" s="443"/>
      <c r="XR69" s="443"/>
      <c r="XS69" s="443"/>
      <c r="XT69" s="443"/>
      <c r="XU69" s="443"/>
      <c r="XV69" s="443"/>
      <c r="XW69" s="443"/>
      <c r="XX69" s="443"/>
      <c r="XY69" s="443"/>
      <c r="XZ69" s="443"/>
      <c r="YA69" s="443"/>
      <c r="YB69" s="443"/>
      <c r="YC69" s="443"/>
      <c r="YD69" s="443"/>
      <c r="YE69" s="443"/>
      <c r="YF69" s="443"/>
      <c r="YG69" s="443"/>
      <c r="YH69" s="443"/>
      <c r="YI69" s="443"/>
      <c r="YJ69" s="443"/>
      <c r="YK69" s="443"/>
      <c r="YL69" s="443"/>
      <c r="YM69" s="443"/>
      <c r="YN69" s="443"/>
      <c r="YO69" s="443"/>
      <c r="YP69" s="443"/>
      <c r="YQ69" s="443"/>
      <c r="YR69" s="443"/>
      <c r="YS69" s="443"/>
      <c r="YT69" s="443"/>
      <c r="YU69" s="443"/>
      <c r="YV69" s="443"/>
      <c r="YW69" s="443"/>
      <c r="YX69" s="443"/>
      <c r="YY69" s="443"/>
      <c r="YZ69" s="443"/>
      <c r="ZA69" s="443"/>
      <c r="ZB69" s="443"/>
      <c r="ZC69" s="443"/>
      <c r="ZD69" s="443"/>
      <c r="ZE69" s="443"/>
      <c r="ZF69" s="443"/>
      <c r="ZG69" s="443"/>
      <c r="ZH69" s="443"/>
      <c r="ZI69" s="443"/>
      <c r="ZJ69" s="443"/>
      <c r="ZK69" s="443"/>
      <c r="ZL69" s="443"/>
      <c r="ZM69" s="443"/>
      <c r="ZN69" s="443"/>
      <c r="ZO69" s="443"/>
      <c r="ZP69" s="443"/>
      <c r="ZQ69" s="443"/>
      <c r="ZR69" s="443"/>
      <c r="ZS69" s="443"/>
      <c r="ZT69" s="443"/>
      <c r="ZU69" s="443"/>
      <c r="ZV69" s="443"/>
      <c r="ZW69" s="443"/>
      <c r="ZX69" s="443"/>
      <c r="ZY69" s="443"/>
      <c r="ZZ69" s="443"/>
      <c r="AAA69" s="443"/>
      <c r="AAB69" s="443"/>
      <c r="AAC69" s="443"/>
      <c r="AAD69" s="443"/>
      <c r="AAE69" s="443"/>
      <c r="AAF69" s="443"/>
      <c r="AAG69" s="443"/>
      <c r="AAH69" s="443"/>
      <c r="AAI69" s="443"/>
      <c r="AAJ69" s="443"/>
      <c r="AAK69" s="443"/>
      <c r="AAL69" s="443"/>
      <c r="AAM69" s="443"/>
      <c r="AAN69" s="443"/>
      <c r="AAO69" s="443"/>
      <c r="AAP69" s="443"/>
      <c r="AAQ69" s="443"/>
      <c r="AAR69" s="443"/>
      <c r="AAS69" s="443"/>
      <c r="AAT69" s="443"/>
      <c r="AAU69" s="443"/>
      <c r="AAV69" s="443"/>
      <c r="AAW69" s="443"/>
      <c r="AAX69" s="443"/>
      <c r="AAY69" s="443"/>
      <c r="AAZ69" s="443"/>
      <c r="ABA69" s="443"/>
      <c r="ABB69" s="443"/>
      <c r="ABC69" s="443"/>
      <c r="ABD69" s="443"/>
      <c r="ABE69" s="443"/>
      <c r="ABF69" s="443"/>
      <c r="ABG69" s="443"/>
      <c r="ABH69" s="443"/>
      <c r="ABI69" s="443"/>
      <c r="ABJ69" s="443"/>
      <c r="ABK69" s="443"/>
      <c r="ABL69" s="443"/>
      <c r="ABM69" s="443"/>
      <c r="ABN69" s="443"/>
      <c r="ABO69" s="443"/>
      <c r="ABP69" s="443"/>
      <c r="ABQ69" s="443"/>
      <c r="ABR69" s="443"/>
      <c r="ABS69" s="443"/>
      <c r="ABT69" s="443"/>
      <c r="ABU69" s="443"/>
      <c r="ABV69" s="443"/>
      <c r="ABW69" s="443"/>
      <c r="ABX69" s="443"/>
      <c r="ABY69" s="443"/>
      <c r="ABZ69" s="443"/>
      <c r="ACA69" s="443"/>
      <c r="ACB69" s="443"/>
      <c r="ACC69" s="443"/>
      <c r="ACD69" s="443"/>
      <c r="ACE69" s="443"/>
      <c r="ACF69" s="443"/>
      <c r="ACG69" s="443"/>
      <c r="ACH69" s="443"/>
      <c r="ACI69" s="443"/>
      <c r="ACJ69" s="443"/>
      <c r="ACK69" s="443"/>
      <c r="ACL69" s="443"/>
      <c r="ACM69" s="443"/>
      <c r="ACN69" s="443"/>
      <c r="ACO69" s="443"/>
      <c r="ACP69" s="443"/>
      <c r="ACQ69" s="443"/>
      <c r="ACR69" s="443"/>
      <c r="ACS69" s="443"/>
      <c r="ACT69" s="443"/>
      <c r="ACU69" s="443"/>
      <c r="ACV69" s="443"/>
      <c r="ACW69" s="443"/>
      <c r="ACX69" s="443"/>
      <c r="ACY69" s="443"/>
      <c r="ACZ69" s="443"/>
      <c r="ADA69" s="443"/>
      <c r="ADB69" s="443"/>
      <c r="ADC69" s="443"/>
      <c r="ADD69" s="443"/>
      <c r="ADE69" s="443"/>
      <c r="ADF69" s="443"/>
      <c r="ADG69" s="443"/>
      <c r="ADH69" s="443"/>
      <c r="ADI69" s="443"/>
      <c r="ADJ69" s="443"/>
      <c r="ADK69" s="443"/>
      <c r="ADL69" s="443"/>
      <c r="ADM69" s="443"/>
      <c r="ADN69" s="443"/>
      <c r="ADO69" s="443"/>
      <c r="ADP69" s="443"/>
      <c r="ADQ69" s="443"/>
      <c r="ADR69" s="443"/>
      <c r="ADS69" s="443"/>
      <c r="ADT69" s="443"/>
      <c r="ADU69" s="443"/>
      <c r="ADV69" s="443"/>
      <c r="ADW69" s="443"/>
      <c r="ADX69" s="443"/>
      <c r="ADY69" s="443"/>
      <c r="ADZ69" s="443"/>
      <c r="AEA69" s="443"/>
      <c r="AEB69" s="443"/>
      <c r="AEC69" s="443"/>
      <c r="AED69" s="443"/>
      <c r="AEE69" s="443"/>
      <c r="AEF69" s="443"/>
      <c r="AEG69" s="443"/>
      <c r="AEH69" s="443"/>
      <c r="AEI69" s="443"/>
      <c r="AEJ69" s="443"/>
      <c r="AEK69" s="443"/>
      <c r="AEL69" s="443"/>
      <c r="AEM69" s="443"/>
      <c r="AEN69" s="443"/>
      <c r="AEO69" s="443"/>
      <c r="AEP69" s="443"/>
      <c r="AEQ69" s="443"/>
      <c r="AER69" s="443"/>
      <c r="AES69" s="443"/>
      <c r="AET69" s="443"/>
      <c r="AEU69" s="443"/>
      <c r="AEV69" s="443"/>
      <c r="AEW69" s="443"/>
      <c r="AEX69" s="443"/>
      <c r="AEY69" s="443"/>
      <c r="AEZ69" s="443"/>
      <c r="AFA69" s="443"/>
      <c r="AFB69" s="443"/>
      <c r="AFC69" s="443"/>
      <c r="AFD69" s="443"/>
      <c r="AFE69" s="443"/>
      <c r="AFF69" s="443"/>
      <c r="AFG69" s="443"/>
      <c r="AFH69" s="443"/>
      <c r="AFI69" s="443"/>
      <c r="AFJ69" s="443"/>
      <c r="AFK69" s="443"/>
      <c r="AFL69" s="443"/>
      <c r="AFM69" s="443"/>
      <c r="AFN69" s="443"/>
      <c r="AFO69" s="443"/>
      <c r="AFP69" s="443"/>
      <c r="AFQ69" s="443"/>
      <c r="AFR69" s="443"/>
      <c r="AFS69" s="443"/>
      <c r="AFT69" s="443"/>
      <c r="AFU69" s="443"/>
      <c r="AFV69" s="443"/>
      <c r="AFW69" s="443"/>
      <c r="AFX69" s="443"/>
      <c r="AFY69" s="443"/>
      <c r="AFZ69" s="443"/>
      <c r="AGA69" s="443"/>
      <c r="AGB69" s="443"/>
      <c r="AGC69" s="443"/>
      <c r="AGD69" s="443"/>
      <c r="AGE69" s="443"/>
      <c r="AGF69" s="443"/>
      <c r="AGG69" s="443"/>
      <c r="AGH69" s="443"/>
      <c r="AGI69" s="443"/>
      <c r="AGJ69" s="443"/>
    </row>
    <row r="70" spans="1:868" s="1" customFormat="1">
      <c r="A70" s="652" t="s">
        <v>118</v>
      </c>
      <c r="B70" s="799" t="s">
        <v>442</v>
      </c>
      <c r="C70" s="34" t="s">
        <v>139</v>
      </c>
      <c r="D70" s="122" t="s">
        <v>99</v>
      </c>
      <c r="E70" s="637">
        <f t="shared" si="22"/>
        <v>5.4672938670453558E-2</v>
      </c>
      <c r="F70" s="9">
        <v>1</v>
      </c>
      <c r="G70" s="9" t="s">
        <v>433</v>
      </c>
      <c r="H70" s="10">
        <v>1</v>
      </c>
      <c r="I70" s="10">
        <v>2</v>
      </c>
      <c r="J70" s="10">
        <v>2</v>
      </c>
      <c r="K70" s="10">
        <v>1</v>
      </c>
      <c r="L70" s="10">
        <v>1</v>
      </c>
      <c r="M70" s="10">
        <v>2</v>
      </c>
      <c r="N70" s="411">
        <f t="shared" si="25"/>
        <v>0.35859414261160716</v>
      </c>
      <c r="O70" s="411">
        <f t="shared" si="26"/>
        <v>0.37356464144298934</v>
      </c>
      <c r="P70" s="766"/>
      <c r="Q70" s="443"/>
      <c r="R70" s="443"/>
      <c r="S70" s="443"/>
      <c r="T70" s="443"/>
      <c r="U70" s="443"/>
      <c r="V70" s="443"/>
      <c r="W70" s="443"/>
      <c r="X70" s="443"/>
      <c r="Y70" s="443"/>
      <c r="Z70" s="443"/>
      <c r="AA70" s="443"/>
      <c r="AB70" s="443"/>
      <c r="AC70" s="443"/>
      <c r="AD70" s="443"/>
      <c r="AE70" s="443"/>
      <c r="AF70" s="443"/>
      <c r="AG70" s="443"/>
      <c r="AH70" s="443"/>
      <c r="AI70" s="443"/>
      <c r="AJ70" s="443"/>
      <c r="AK70" s="443"/>
      <c r="AL70" s="443"/>
      <c r="AM70" s="443"/>
      <c r="AN70" s="443"/>
      <c r="AO70" s="443"/>
      <c r="AP70" s="443"/>
      <c r="AQ70" s="443"/>
      <c r="AR70" s="443"/>
      <c r="AS70" s="443"/>
      <c r="AT70" s="443"/>
      <c r="AU70" s="443"/>
      <c r="AV70" s="443"/>
      <c r="AW70" s="443"/>
      <c r="AX70" s="443"/>
      <c r="AY70" s="443"/>
      <c r="AZ70" s="443"/>
      <c r="BA70" s="443"/>
      <c r="BB70" s="443"/>
      <c r="BC70" s="443"/>
      <c r="BD70" s="443"/>
      <c r="BE70" s="443"/>
      <c r="BF70" s="443"/>
      <c r="BG70" s="443"/>
      <c r="BH70" s="443"/>
      <c r="BI70" s="443"/>
      <c r="BJ70" s="443"/>
      <c r="BK70" s="443"/>
      <c r="BL70" s="443"/>
      <c r="BM70" s="443"/>
      <c r="BN70" s="443"/>
      <c r="BO70" s="443"/>
      <c r="BP70" s="443"/>
      <c r="BQ70" s="443"/>
      <c r="BR70" s="443"/>
      <c r="BS70" s="443"/>
      <c r="BT70" s="443"/>
      <c r="BU70" s="443"/>
      <c r="BV70" s="443"/>
      <c r="BW70" s="443"/>
      <c r="BX70" s="443"/>
      <c r="BY70" s="443"/>
      <c r="BZ70" s="443"/>
      <c r="CA70" s="443"/>
      <c r="CB70" s="443"/>
      <c r="CC70" s="443"/>
      <c r="CD70" s="443"/>
      <c r="CE70" s="443"/>
      <c r="CF70" s="443"/>
      <c r="CG70" s="443"/>
      <c r="CH70" s="443"/>
      <c r="CI70" s="443"/>
      <c r="CJ70" s="443"/>
      <c r="CK70" s="443"/>
      <c r="CL70" s="443"/>
      <c r="CM70" s="443"/>
      <c r="CN70" s="443"/>
      <c r="CO70" s="443"/>
      <c r="CP70" s="443"/>
      <c r="CQ70" s="443"/>
      <c r="CR70" s="443"/>
      <c r="CS70" s="443"/>
      <c r="CT70" s="443"/>
      <c r="CU70" s="443"/>
      <c r="CV70" s="443"/>
      <c r="CW70" s="443"/>
      <c r="CX70" s="443"/>
      <c r="CY70" s="443"/>
      <c r="CZ70" s="443"/>
      <c r="DA70" s="443"/>
      <c r="DB70" s="443"/>
      <c r="DC70" s="443"/>
      <c r="DD70" s="443"/>
      <c r="DE70" s="443"/>
      <c r="DF70" s="443"/>
      <c r="DG70" s="443"/>
      <c r="DH70" s="443"/>
      <c r="DI70" s="443"/>
      <c r="DJ70" s="443"/>
      <c r="DK70" s="443"/>
      <c r="DL70" s="443"/>
      <c r="DM70" s="443"/>
      <c r="DN70" s="443"/>
      <c r="DO70" s="443"/>
      <c r="DP70" s="443"/>
      <c r="DQ70" s="443"/>
      <c r="DR70" s="443"/>
      <c r="DS70" s="443"/>
      <c r="DT70" s="443"/>
      <c r="DU70" s="443"/>
      <c r="DV70" s="443"/>
      <c r="DW70" s="443"/>
      <c r="DX70" s="443"/>
      <c r="DY70" s="443"/>
      <c r="DZ70" s="443"/>
      <c r="EA70" s="443"/>
      <c r="EB70" s="443"/>
      <c r="EC70" s="443"/>
      <c r="ED70" s="443"/>
      <c r="EE70" s="443"/>
      <c r="EF70" s="443"/>
      <c r="EG70" s="443"/>
      <c r="EH70" s="443"/>
      <c r="EI70" s="443"/>
      <c r="EJ70" s="443"/>
      <c r="EK70" s="443"/>
      <c r="EL70" s="443"/>
      <c r="EM70" s="443"/>
      <c r="EN70" s="443"/>
      <c r="EO70" s="443"/>
      <c r="EP70" s="443"/>
      <c r="EQ70" s="443"/>
      <c r="ER70" s="443"/>
      <c r="ES70" s="443"/>
      <c r="ET70" s="443"/>
      <c r="EU70" s="443"/>
      <c r="EV70" s="443"/>
      <c r="EW70" s="443"/>
      <c r="EX70" s="443"/>
      <c r="EY70" s="443"/>
      <c r="EZ70" s="443"/>
      <c r="FA70" s="443"/>
      <c r="FB70" s="443"/>
      <c r="FC70" s="443"/>
      <c r="FD70" s="443"/>
      <c r="FE70" s="443"/>
      <c r="FF70" s="443"/>
      <c r="FG70" s="443"/>
      <c r="FH70" s="443"/>
      <c r="FI70" s="443"/>
      <c r="FJ70" s="443"/>
      <c r="FK70" s="443"/>
      <c r="FL70" s="443"/>
      <c r="FM70" s="443"/>
      <c r="FN70" s="443"/>
      <c r="FO70" s="443"/>
      <c r="FP70" s="443"/>
      <c r="FQ70" s="443"/>
      <c r="FR70" s="443"/>
      <c r="FS70" s="443"/>
      <c r="FT70" s="443"/>
      <c r="FU70" s="443"/>
      <c r="FV70" s="443"/>
      <c r="FW70" s="443"/>
      <c r="FX70" s="443"/>
      <c r="FY70" s="443"/>
      <c r="FZ70" s="443"/>
      <c r="GA70" s="443"/>
      <c r="GB70" s="443"/>
      <c r="GC70" s="443"/>
      <c r="GD70" s="443"/>
      <c r="GE70" s="443"/>
      <c r="GF70" s="443"/>
      <c r="GG70" s="443"/>
      <c r="GH70" s="443"/>
      <c r="GI70" s="443"/>
      <c r="GJ70" s="443"/>
      <c r="GK70" s="443"/>
      <c r="GL70" s="443"/>
      <c r="GM70" s="443"/>
      <c r="GN70" s="443"/>
      <c r="GO70" s="443"/>
      <c r="GP70" s="443"/>
      <c r="GQ70" s="443"/>
      <c r="GR70" s="443"/>
      <c r="GS70" s="443"/>
      <c r="GT70" s="443"/>
      <c r="GU70" s="443"/>
      <c r="GV70" s="443"/>
      <c r="GW70" s="443"/>
      <c r="GX70" s="443"/>
      <c r="GY70" s="443"/>
      <c r="GZ70" s="443"/>
      <c r="HA70" s="443"/>
      <c r="HB70" s="443"/>
      <c r="HC70" s="443"/>
      <c r="HD70" s="443"/>
      <c r="HE70" s="443"/>
      <c r="HF70" s="443"/>
      <c r="HG70" s="443"/>
      <c r="HH70" s="443"/>
      <c r="HI70" s="443"/>
      <c r="HJ70" s="443"/>
      <c r="HK70" s="443"/>
      <c r="HL70" s="443"/>
      <c r="HM70" s="443"/>
      <c r="HN70" s="443"/>
      <c r="HO70" s="443"/>
      <c r="HP70" s="443"/>
      <c r="HQ70" s="443"/>
      <c r="HR70" s="443"/>
      <c r="HS70" s="443"/>
      <c r="HT70" s="443"/>
      <c r="HU70" s="443"/>
      <c r="HV70" s="443"/>
      <c r="HW70" s="443"/>
      <c r="HX70" s="443"/>
      <c r="HY70" s="443"/>
      <c r="HZ70" s="443"/>
      <c r="IA70" s="443"/>
      <c r="IB70" s="443"/>
      <c r="IC70" s="443"/>
      <c r="ID70" s="443"/>
      <c r="IE70" s="443"/>
      <c r="IF70" s="443"/>
      <c r="IG70" s="443"/>
      <c r="IH70" s="443"/>
      <c r="II70" s="443"/>
      <c r="IJ70" s="443"/>
      <c r="IK70" s="443"/>
      <c r="IL70" s="443"/>
      <c r="IM70" s="443"/>
      <c r="IN70" s="443"/>
      <c r="IO70" s="443"/>
      <c r="IP70" s="443"/>
      <c r="IQ70" s="443"/>
      <c r="IR70" s="443"/>
      <c r="IS70" s="443"/>
      <c r="IT70" s="443"/>
      <c r="IU70" s="443"/>
      <c r="IV70" s="443"/>
      <c r="IW70" s="443"/>
      <c r="IX70" s="443"/>
      <c r="IY70" s="443"/>
      <c r="IZ70" s="443"/>
      <c r="JA70" s="443"/>
      <c r="JB70" s="443"/>
      <c r="JC70" s="443"/>
      <c r="JD70" s="443"/>
      <c r="JE70" s="443"/>
      <c r="JF70" s="443"/>
      <c r="JG70" s="443"/>
      <c r="JH70" s="443"/>
      <c r="JI70" s="443"/>
      <c r="JJ70" s="443"/>
      <c r="JK70" s="443"/>
      <c r="JL70" s="443"/>
      <c r="JM70" s="443"/>
      <c r="JN70" s="443"/>
      <c r="JO70" s="443"/>
      <c r="JP70" s="443"/>
      <c r="JQ70" s="443"/>
      <c r="JR70" s="443"/>
      <c r="JS70" s="443"/>
      <c r="JT70" s="443"/>
      <c r="JU70" s="443"/>
      <c r="JV70" s="443"/>
      <c r="JW70" s="443"/>
      <c r="JX70" s="443"/>
      <c r="JY70" s="443"/>
      <c r="JZ70" s="443"/>
      <c r="KA70" s="443"/>
      <c r="KB70" s="443"/>
      <c r="KC70" s="443"/>
      <c r="KD70" s="443"/>
      <c r="KE70" s="443"/>
      <c r="KF70" s="443"/>
      <c r="KG70" s="443"/>
      <c r="KH70" s="443"/>
      <c r="KI70" s="443"/>
      <c r="KJ70" s="443"/>
      <c r="KK70" s="443"/>
      <c r="KL70" s="443"/>
      <c r="KM70" s="443"/>
      <c r="KN70" s="443"/>
      <c r="KO70" s="443"/>
      <c r="KP70" s="443"/>
      <c r="KQ70" s="443"/>
      <c r="KR70" s="443"/>
      <c r="KS70" s="443"/>
      <c r="KT70" s="443"/>
      <c r="KU70" s="443"/>
      <c r="KV70" s="443"/>
      <c r="KW70" s="443"/>
      <c r="KX70" s="443"/>
      <c r="KY70" s="443"/>
      <c r="KZ70" s="443"/>
      <c r="LA70" s="443"/>
      <c r="LB70" s="443"/>
      <c r="LC70" s="443"/>
      <c r="LD70" s="443"/>
      <c r="LE70" s="443"/>
      <c r="LF70" s="443"/>
      <c r="LG70" s="443"/>
      <c r="LH70" s="443"/>
      <c r="LI70" s="443"/>
      <c r="LJ70" s="443"/>
      <c r="LK70" s="443"/>
      <c r="LL70" s="443"/>
      <c r="LM70" s="443"/>
      <c r="LN70" s="443"/>
      <c r="LO70" s="443"/>
      <c r="LP70" s="443"/>
      <c r="LQ70" s="443"/>
      <c r="LR70" s="443"/>
      <c r="LS70" s="443"/>
      <c r="LT70" s="443"/>
      <c r="LU70" s="443"/>
      <c r="LV70" s="443"/>
      <c r="LW70" s="443"/>
      <c r="LX70" s="443"/>
      <c r="LY70" s="443"/>
      <c r="LZ70" s="443"/>
      <c r="MA70" s="443"/>
      <c r="MB70" s="443"/>
      <c r="MC70" s="443"/>
      <c r="MD70" s="443"/>
      <c r="ME70" s="443"/>
      <c r="MF70" s="443"/>
      <c r="MG70" s="443"/>
      <c r="MH70" s="443"/>
      <c r="MI70" s="443"/>
      <c r="MJ70" s="443"/>
      <c r="MK70" s="443"/>
      <c r="ML70" s="443"/>
      <c r="MM70" s="443"/>
      <c r="MN70" s="443"/>
      <c r="MO70" s="443"/>
      <c r="MP70" s="443"/>
      <c r="MQ70" s="443"/>
      <c r="MR70" s="443"/>
      <c r="MS70" s="443"/>
      <c r="MT70" s="443"/>
      <c r="MU70" s="443"/>
      <c r="MV70" s="443"/>
      <c r="MW70" s="443"/>
      <c r="MX70" s="443"/>
      <c r="MY70" s="443"/>
      <c r="MZ70" s="443"/>
      <c r="NA70" s="443"/>
      <c r="NB70" s="443"/>
      <c r="NC70" s="443"/>
      <c r="ND70" s="443"/>
      <c r="NE70" s="443"/>
      <c r="NF70" s="443"/>
      <c r="NG70" s="443"/>
      <c r="NH70" s="443"/>
      <c r="NI70" s="443"/>
      <c r="NJ70" s="443"/>
      <c r="NK70" s="443"/>
      <c r="NL70" s="443"/>
      <c r="NM70" s="443"/>
      <c r="NN70" s="443"/>
      <c r="NO70" s="443"/>
      <c r="NP70" s="443"/>
      <c r="NQ70" s="443"/>
      <c r="NR70" s="443"/>
      <c r="NS70" s="443"/>
      <c r="NT70" s="443"/>
      <c r="NU70" s="443"/>
      <c r="NV70" s="443"/>
      <c r="NW70" s="443"/>
      <c r="NX70" s="443"/>
      <c r="NY70" s="443"/>
      <c r="NZ70" s="443"/>
      <c r="OA70" s="443"/>
      <c r="OB70" s="443"/>
      <c r="OC70" s="443"/>
      <c r="OD70" s="443"/>
      <c r="OE70" s="443"/>
      <c r="OF70" s="443"/>
      <c r="OG70" s="443"/>
      <c r="OH70" s="443"/>
      <c r="OI70" s="443"/>
      <c r="OJ70" s="443"/>
      <c r="OK70" s="443"/>
      <c r="OL70" s="443"/>
      <c r="OM70" s="443"/>
      <c r="ON70" s="443"/>
      <c r="OO70" s="443"/>
      <c r="OP70" s="443"/>
      <c r="OQ70" s="443"/>
      <c r="OR70" s="443"/>
      <c r="OS70" s="443"/>
      <c r="OT70" s="443"/>
      <c r="OU70" s="443"/>
      <c r="OV70" s="443"/>
      <c r="OW70" s="443"/>
      <c r="OX70" s="443"/>
      <c r="OY70" s="443"/>
      <c r="OZ70" s="443"/>
      <c r="PA70" s="443"/>
      <c r="PB70" s="443"/>
      <c r="PC70" s="443"/>
      <c r="PD70" s="443"/>
      <c r="PE70" s="443"/>
      <c r="PF70" s="443"/>
      <c r="PG70" s="443"/>
      <c r="PH70" s="443"/>
      <c r="PI70" s="443"/>
      <c r="PJ70" s="443"/>
      <c r="PK70" s="443"/>
      <c r="PL70" s="443"/>
      <c r="PM70" s="443"/>
      <c r="PN70" s="443"/>
      <c r="PO70" s="443"/>
      <c r="PP70" s="443"/>
      <c r="PQ70" s="443"/>
      <c r="PR70" s="443"/>
      <c r="PS70" s="443"/>
      <c r="PT70" s="443"/>
      <c r="PU70" s="443"/>
      <c r="PV70" s="443"/>
      <c r="PW70" s="443"/>
      <c r="PX70" s="443"/>
      <c r="PY70" s="443"/>
      <c r="PZ70" s="443"/>
      <c r="QA70" s="443"/>
      <c r="QB70" s="443"/>
      <c r="QC70" s="443"/>
      <c r="QD70" s="443"/>
      <c r="QE70" s="443"/>
      <c r="QF70" s="443"/>
      <c r="QG70" s="443"/>
      <c r="QH70" s="443"/>
      <c r="QI70" s="443"/>
      <c r="QJ70" s="443"/>
      <c r="QK70" s="443"/>
      <c r="QL70" s="443"/>
      <c r="QM70" s="443"/>
      <c r="QN70" s="443"/>
      <c r="QO70" s="443"/>
      <c r="QP70" s="443"/>
      <c r="QQ70" s="443"/>
      <c r="QR70" s="443"/>
      <c r="QS70" s="443"/>
      <c r="QT70" s="443"/>
      <c r="QU70" s="443"/>
      <c r="QV70" s="443"/>
      <c r="QW70" s="443"/>
      <c r="QX70" s="443"/>
      <c r="QY70" s="443"/>
      <c r="QZ70" s="443"/>
      <c r="RA70" s="443"/>
      <c r="RB70" s="443"/>
      <c r="RC70" s="443"/>
      <c r="RD70" s="443"/>
      <c r="RE70" s="443"/>
      <c r="RF70" s="443"/>
      <c r="RG70" s="443"/>
      <c r="RH70" s="443"/>
      <c r="RI70" s="443"/>
      <c r="RJ70" s="443"/>
      <c r="RK70" s="443"/>
      <c r="RL70" s="443"/>
      <c r="RM70" s="443"/>
      <c r="RN70" s="443"/>
      <c r="RO70" s="443"/>
      <c r="RP70" s="443"/>
      <c r="RQ70" s="443"/>
      <c r="RR70" s="443"/>
      <c r="RS70" s="443"/>
      <c r="RT70" s="443"/>
      <c r="RU70" s="443"/>
      <c r="RV70" s="443"/>
      <c r="RW70" s="443"/>
      <c r="RX70" s="443"/>
      <c r="RY70" s="443"/>
      <c r="RZ70" s="443"/>
      <c r="SA70" s="443"/>
      <c r="SB70" s="443"/>
      <c r="SC70" s="443"/>
      <c r="SD70" s="443"/>
      <c r="SE70" s="443"/>
      <c r="SF70" s="443"/>
      <c r="SG70" s="443"/>
      <c r="SH70" s="443"/>
      <c r="SI70" s="443"/>
      <c r="SJ70" s="443"/>
      <c r="SK70" s="443"/>
      <c r="SL70" s="443"/>
      <c r="SM70" s="443"/>
      <c r="SN70" s="443"/>
      <c r="SO70" s="443"/>
      <c r="SP70" s="443"/>
      <c r="SQ70" s="443"/>
      <c r="SR70" s="443"/>
      <c r="SS70" s="443"/>
      <c r="ST70" s="443"/>
      <c r="SU70" s="443"/>
      <c r="SV70" s="443"/>
      <c r="SW70" s="443"/>
      <c r="SX70" s="443"/>
      <c r="SY70" s="443"/>
      <c r="SZ70" s="443"/>
      <c r="TA70" s="443"/>
      <c r="TB70" s="443"/>
      <c r="TC70" s="443"/>
      <c r="TD70" s="443"/>
      <c r="TE70" s="443"/>
      <c r="TF70" s="443"/>
      <c r="TG70" s="443"/>
      <c r="TH70" s="443"/>
      <c r="TI70" s="443"/>
      <c r="TJ70" s="443"/>
      <c r="TK70" s="443"/>
      <c r="TL70" s="443"/>
      <c r="TM70" s="443"/>
      <c r="TN70" s="443"/>
      <c r="TO70" s="443"/>
      <c r="TP70" s="443"/>
      <c r="TQ70" s="443"/>
      <c r="TR70" s="443"/>
      <c r="TS70" s="443"/>
      <c r="TT70" s="443"/>
      <c r="TU70" s="443"/>
      <c r="TV70" s="443"/>
      <c r="TW70" s="443"/>
      <c r="TX70" s="443"/>
      <c r="TY70" s="443"/>
      <c r="TZ70" s="443"/>
      <c r="UA70" s="443"/>
      <c r="UB70" s="443"/>
      <c r="UC70" s="443"/>
      <c r="UD70" s="443"/>
      <c r="UE70" s="443"/>
      <c r="UF70" s="443"/>
      <c r="UG70" s="443"/>
      <c r="UH70" s="443"/>
      <c r="UI70" s="443"/>
      <c r="UJ70" s="443"/>
      <c r="UK70" s="443"/>
      <c r="UL70" s="443"/>
      <c r="UM70" s="443"/>
      <c r="UN70" s="443"/>
      <c r="UO70" s="443"/>
      <c r="UP70" s="443"/>
      <c r="UQ70" s="443"/>
      <c r="UR70" s="443"/>
      <c r="US70" s="443"/>
      <c r="UT70" s="443"/>
      <c r="UU70" s="443"/>
      <c r="UV70" s="443"/>
      <c r="UW70" s="443"/>
      <c r="UX70" s="443"/>
      <c r="UY70" s="443"/>
      <c r="UZ70" s="443"/>
      <c r="VA70" s="443"/>
      <c r="VB70" s="443"/>
      <c r="VC70" s="443"/>
      <c r="VD70" s="443"/>
      <c r="VE70" s="443"/>
      <c r="VF70" s="443"/>
      <c r="VG70" s="443"/>
      <c r="VH70" s="443"/>
      <c r="VI70" s="443"/>
      <c r="VJ70" s="443"/>
      <c r="VK70" s="443"/>
      <c r="VL70" s="443"/>
      <c r="VM70" s="443"/>
      <c r="VN70" s="443"/>
      <c r="VO70" s="443"/>
      <c r="VP70" s="443"/>
      <c r="VQ70" s="443"/>
      <c r="VR70" s="443"/>
      <c r="VS70" s="443"/>
      <c r="VT70" s="443"/>
      <c r="VU70" s="443"/>
      <c r="VV70" s="443"/>
      <c r="VW70" s="443"/>
      <c r="VX70" s="443"/>
      <c r="VY70" s="443"/>
      <c r="VZ70" s="443"/>
      <c r="WA70" s="443"/>
      <c r="WB70" s="443"/>
      <c r="WC70" s="443"/>
      <c r="WD70" s="443"/>
      <c r="WE70" s="443"/>
      <c r="WF70" s="443"/>
      <c r="WG70" s="443"/>
      <c r="WH70" s="443"/>
      <c r="WI70" s="443"/>
      <c r="WJ70" s="443"/>
      <c r="WK70" s="443"/>
      <c r="WL70" s="443"/>
      <c r="WM70" s="443"/>
      <c r="WN70" s="443"/>
      <c r="WO70" s="443"/>
      <c r="WP70" s="443"/>
      <c r="WQ70" s="443"/>
      <c r="WR70" s="443"/>
      <c r="WS70" s="443"/>
      <c r="WT70" s="443"/>
      <c r="WU70" s="443"/>
      <c r="WV70" s="443"/>
      <c r="WW70" s="443"/>
      <c r="WX70" s="443"/>
      <c r="WY70" s="443"/>
      <c r="WZ70" s="443"/>
      <c r="XA70" s="443"/>
      <c r="XB70" s="443"/>
      <c r="XC70" s="443"/>
      <c r="XD70" s="443"/>
      <c r="XE70" s="443"/>
      <c r="XF70" s="443"/>
      <c r="XG70" s="443"/>
      <c r="XH70" s="443"/>
      <c r="XI70" s="443"/>
      <c r="XJ70" s="443"/>
      <c r="XK70" s="443"/>
      <c r="XL70" s="443"/>
      <c r="XM70" s="443"/>
      <c r="XN70" s="443"/>
      <c r="XO70" s="443"/>
      <c r="XP70" s="443"/>
      <c r="XQ70" s="443"/>
      <c r="XR70" s="443"/>
      <c r="XS70" s="443"/>
      <c r="XT70" s="443"/>
      <c r="XU70" s="443"/>
      <c r="XV70" s="443"/>
      <c r="XW70" s="443"/>
      <c r="XX70" s="443"/>
      <c r="XY70" s="443"/>
      <c r="XZ70" s="443"/>
      <c r="YA70" s="443"/>
      <c r="YB70" s="443"/>
      <c r="YC70" s="443"/>
      <c r="YD70" s="443"/>
      <c r="YE70" s="443"/>
      <c r="YF70" s="443"/>
      <c r="YG70" s="443"/>
      <c r="YH70" s="443"/>
      <c r="YI70" s="443"/>
      <c r="YJ70" s="443"/>
      <c r="YK70" s="443"/>
      <c r="YL70" s="443"/>
      <c r="YM70" s="443"/>
      <c r="YN70" s="443"/>
      <c r="YO70" s="443"/>
      <c r="YP70" s="443"/>
      <c r="YQ70" s="443"/>
      <c r="YR70" s="443"/>
      <c r="YS70" s="443"/>
      <c r="YT70" s="443"/>
      <c r="YU70" s="443"/>
      <c r="YV70" s="443"/>
      <c r="YW70" s="443"/>
      <c r="YX70" s="443"/>
      <c r="YY70" s="443"/>
      <c r="YZ70" s="443"/>
      <c r="ZA70" s="443"/>
      <c r="ZB70" s="443"/>
      <c r="ZC70" s="443"/>
      <c r="ZD70" s="443"/>
      <c r="ZE70" s="443"/>
      <c r="ZF70" s="443"/>
      <c r="ZG70" s="443"/>
      <c r="ZH70" s="443"/>
      <c r="ZI70" s="443"/>
      <c r="ZJ70" s="443"/>
      <c r="ZK70" s="443"/>
      <c r="ZL70" s="443"/>
      <c r="ZM70" s="443"/>
      <c r="ZN70" s="443"/>
      <c r="ZO70" s="443"/>
      <c r="ZP70" s="443"/>
      <c r="ZQ70" s="443"/>
      <c r="ZR70" s="443"/>
      <c r="ZS70" s="443"/>
      <c r="ZT70" s="443"/>
      <c r="ZU70" s="443"/>
      <c r="ZV70" s="443"/>
      <c r="ZW70" s="443"/>
      <c r="ZX70" s="443"/>
      <c r="ZY70" s="443"/>
      <c r="ZZ70" s="443"/>
      <c r="AAA70" s="443"/>
      <c r="AAB70" s="443"/>
      <c r="AAC70" s="443"/>
      <c r="AAD70" s="443"/>
      <c r="AAE70" s="443"/>
      <c r="AAF70" s="443"/>
      <c r="AAG70" s="443"/>
      <c r="AAH70" s="443"/>
      <c r="AAI70" s="443"/>
      <c r="AAJ70" s="443"/>
      <c r="AAK70" s="443"/>
      <c r="AAL70" s="443"/>
      <c r="AAM70" s="443"/>
      <c r="AAN70" s="443"/>
      <c r="AAO70" s="443"/>
      <c r="AAP70" s="443"/>
      <c r="AAQ70" s="443"/>
      <c r="AAR70" s="443"/>
      <c r="AAS70" s="443"/>
      <c r="AAT70" s="443"/>
      <c r="AAU70" s="443"/>
      <c r="AAV70" s="443"/>
      <c r="AAW70" s="443"/>
      <c r="AAX70" s="443"/>
      <c r="AAY70" s="443"/>
      <c r="AAZ70" s="443"/>
      <c r="ABA70" s="443"/>
      <c r="ABB70" s="443"/>
      <c r="ABC70" s="443"/>
      <c r="ABD70" s="443"/>
      <c r="ABE70" s="443"/>
      <c r="ABF70" s="443"/>
      <c r="ABG70" s="443"/>
      <c r="ABH70" s="443"/>
      <c r="ABI70" s="443"/>
      <c r="ABJ70" s="443"/>
      <c r="ABK70" s="443"/>
      <c r="ABL70" s="443"/>
      <c r="ABM70" s="443"/>
      <c r="ABN70" s="443"/>
      <c r="ABO70" s="443"/>
      <c r="ABP70" s="443"/>
      <c r="ABQ70" s="443"/>
      <c r="ABR70" s="443"/>
      <c r="ABS70" s="443"/>
      <c r="ABT70" s="443"/>
      <c r="ABU70" s="443"/>
      <c r="ABV70" s="443"/>
      <c r="ABW70" s="443"/>
      <c r="ABX70" s="443"/>
      <c r="ABY70" s="443"/>
      <c r="ABZ70" s="443"/>
      <c r="ACA70" s="443"/>
      <c r="ACB70" s="443"/>
      <c r="ACC70" s="443"/>
      <c r="ACD70" s="443"/>
      <c r="ACE70" s="443"/>
      <c r="ACF70" s="443"/>
      <c r="ACG70" s="443"/>
      <c r="ACH70" s="443"/>
      <c r="ACI70" s="443"/>
      <c r="ACJ70" s="443"/>
      <c r="ACK70" s="443"/>
      <c r="ACL70" s="443"/>
      <c r="ACM70" s="443"/>
      <c r="ACN70" s="443"/>
      <c r="ACO70" s="443"/>
      <c r="ACP70" s="443"/>
      <c r="ACQ70" s="443"/>
      <c r="ACR70" s="443"/>
      <c r="ACS70" s="443"/>
      <c r="ACT70" s="443"/>
      <c r="ACU70" s="443"/>
      <c r="ACV70" s="443"/>
      <c r="ACW70" s="443"/>
      <c r="ACX70" s="443"/>
      <c r="ACY70" s="443"/>
      <c r="ACZ70" s="443"/>
      <c r="ADA70" s="443"/>
      <c r="ADB70" s="443"/>
      <c r="ADC70" s="443"/>
      <c r="ADD70" s="443"/>
      <c r="ADE70" s="443"/>
      <c r="ADF70" s="443"/>
      <c r="ADG70" s="443"/>
      <c r="ADH70" s="443"/>
      <c r="ADI70" s="443"/>
      <c r="ADJ70" s="443"/>
      <c r="ADK70" s="443"/>
      <c r="ADL70" s="443"/>
      <c r="ADM70" s="443"/>
      <c r="ADN70" s="443"/>
      <c r="ADO70" s="443"/>
      <c r="ADP70" s="443"/>
      <c r="ADQ70" s="443"/>
      <c r="ADR70" s="443"/>
      <c r="ADS70" s="443"/>
      <c r="ADT70" s="443"/>
      <c r="ADU70" s="443"/>
      <c r="ADV70" s="443"/>
      <c r="ADW70" s="443"/>
      <c r="ADX70" s="443"/>
      <c r="ADY70" s="443"/>
      <c r="ADZ70" s="443"/>
      <c r="AEA70" s="443"/>
      <c r="AEB70" s="443"/>
      <c r="AEC70" s="443"/>
      <c r="AED70" s="443"/>
      <c r="AEE70" s="443"/>
      <c r="AEF70" s="443"/>
      <c r="AEG70" s="443"/>
      <c r="AEH70" s="443"/>
      <c r="AEI70" s="443"/>
      <c r="AEJ70" s="443"/>
      <c r="AEK70" s="443"/>
      <c r="AEL70" s="443"/>
      <c r="AEM70" s="443"/>
      <c r="AEN70" s="443"/>
      <c r="AEO70" s="443"/>
      <c r="AEP70" s="443"/>
      <c r="AEQ70" s="443"/>
      <c r="AER70" s="443"/>
      <c r="AES70" s="443"/>
      <c r="AET70" s="443"/>
      <c r="AEU70" s="443"/>
      <c r="AEV70" s="443"/>
      <c r="AEW70" s="443"/>
      <c r="AEX70" s="443"/>
      <c r="AEY70" s="443"/>
      <c r="AEZ70" s="443"/>
      <c r="AFA70" s="443"/>
      <c r="AFB70" s="443"/>
      <c r="AFC70" s="443"/>
      <c r="AFD70" s="443"/>
      <c r="AFE70" s="443"/>
      <c r="AFF70" s="443"/>
      <c r="AFG70" s="443"/>
      <c r="AFH70" s="443"/>
      <c r="AFI70" s="443"/>
      <c r="AFJ70" s="443"/>
      <c r="AFK70" s="443"/>
      <c r="AFL70" s="443"/>
      <c r="AFM70" s="443"/>
      <c r="AFN70" s="443"/>
      <c r="AFO70" s="443"/>
      <c r="AFP70" s="443"/>
      <c r="AFQ70" s="443"/>
      <c r="AFR70" s="443"/>
      <c r="AFS70" s="443"/>
      <c r="AFT70" s="443"/>
      <c r="AFU70" s="443"/>
      <c r="AFV70" s="443"/>
      <c r="AFW70" s="443"/>
      <c r="AFX70" s="443"/>
      <c r="AFY70" s="443"/>
      <c r="AFZ70" s="443"/>
      <c r="AGA70" s="443"/>
      <c r="AGB70" s="443"/>
      <c r="AGC70" s="443"/>
      <c r="AGD70" s="443"/>
      <c r="AGE70" s="443"/>
      <c r="AGF70" s="443"/>
      <c r="AGG70" s="443"/>
      <c r="AGH70" s="443"/>
      <c r="AGI70" s="443"/>
      <c r="AGJ70" s="443"/>
    </row>
    <row r="71" spans="1:868" s="1" customFormat="1">
      <c r="A71" s="652" t="s">
        <v>118</v>
      </c>
      <c r="B71" s="799" t="s">
        <v>443</v>
      </c>
      <c r="C71" s="34" t="s">
        <v>139</v>
      </c>
      <c r="D71" s="122" t="s">
        <v>99</v>
      </c>
      <c r="E71" s="637">
        <f t="shared" si="22"/>
        <v>5.4672938670453558E-2</v>
      </c>
      <c r="F71" s="9">
        <v>1</v>
      </c>
      <c r="G71" s="9" t="s">
        <v>433</v>
      </c>
      <c r="H71" s="10">
        <v>1</v>
      </c>
      <c r="I71" s="10">
        <v>2</v>
      </c>
      <c r="J71" s="10">
        <v>2</v>
      </c>
      <c r="K71" s="10">
        <v>1</v>
      </c>
      <c r="L71" s="10">
        <v>1</v>
      </c>
      <c r="M71" s="10">
        <v>2</v>
      </c>
      <c r="N71" s="411">
        <f t="shared" si="25"/>
        <v>0.35859414261160716</v>
      </c>
      <c r="O71" s="411">
        <f t="shared" si="26"/>
        <v>0.37356464144298934</v>
      </c>
      <c r="P71" s="43"/>
      <c r="Q71" s="443"/>
      <c r="R71" s="443"/>
      <c r="S71" s="443"/>
      <c r="T71" s="443"/>
      <c r="U71" s="443"/>
      <c r="V71" s="443"/>
      <c r="W71" s="443"/>
      <c r="X71" s="443"/>
      <c r="Y71" s="443"/>
      <c r="Z71" s="443"/>
      <c r="AA71" s="443"/>
      <c r="AB71" s="443"/>
      <c r="AC71" s="443"/>
      <c r="AD71" s="443"/>
      <c r="AE71" s="443"/>
      <c r="AF71" s="443"/>
      <c r="AG71" s="443"/>
      <c r="AH71" s="443"/>
      <c r="AI71" s="443"/>
      <c r="AJ71" s="443"/>
      <c r="AK71" s="443"/>
      <c r="AL71" s="443"/>
      <c r="AM71" s="443"/>
      <c r="AN71" s="443"/>
      <c r="AO71" s="443"/>
      <c r="AP71" s="443"/>
      <c r="AQ71" s="443"/>
      <c r="AR71" s="443"/>
      <c r="AS71" s="443"/>
      <c r="AT71" s="443"/>
      <c r="AU71" s="443"/>
      <c r="AV71" s="443"/>
      <c r="AW71" s="443"/>
      <c r="AX71" s="443"/>
      <c r="AY71" s="443"/>
      <c r="AZ71" s="443"/>
      <c r="BA71" s="443"/>
      <c r="BB71" s="443"/>
      <c r="BC71" s="443"/>
      <c r="BD71" s="443"/>
      <c r="BE71" s="443"/>
      <c r="BF71" s="443"/>
      <c r="BG71" s="443"/>
      <c r="BH71" s="443"/>
      <c r="BI71" s="443"/>
      <c r="BJ71" s="443"/>
      <c r="BK71" s="443"/>
      <c r="BL71" s="443"/>
      <c r="BM71" s="443"/>
      <c r="BN71" s="443"/>
      <c r="BO71" s="443"/>
      <c r="BP71" s="443"/>
      <c r="BQ71" s="443"/>
      <c r="BR71" s="443"/>
      <c r="BS71" s="443"/>
      <c r="BT71" s="443"/>
      <c r="BU71" s="443"/>
      <c r="BV71" s="443"/>
      <c r="BW71" s="443"/>
      <c r="BX71" s="443"/>
      <c r="BY71" s="443"/>
      <c r="BZ71" s="443"/>
      <c r="CA71" s="443"/>
      <c r="CB71" s="443"/>
      <c r="CC71" s="443"/>
      <c r="CD71" s="443"/>
      <c r="CE71" s="443"/>
      <c r="CF71" s="443"/>
      <c r="CG71" s="443"/>
      <c r="CH71" s="443"/>
      <c r="CI71" s="443"/>
      <c r="CJ71" s="443"/>
      <c r="CK71" s="443"/>
      <c r="CL71" s="443"/>
      <c r="CM71" s="443"/>
      <c r="CN71" s="443"/>
      <c r="CO71" s="443"/>
      <c r="CP71" s="443"/>
      <c r="CQ71" s="443"/>
      <c r="CR71" s="443"/>
      <c r="CS71" s="443"/>
      <c r="CT71" s="443"/>
      <c r="CU71" s="443"/>
      <c r="CV71" s="443"/>
      <c r="CW71" s="443"/>
      <c r="CX71" s="443"/>
      <c r="CY71" s="443"/>
      <c r="CZ71" s="443"/>
      <c r="DA71" s="443"/>
      <c r="DB71" s="443"/>
      <c r="DC71" s="443"/>
      <c r="DD71" s="443"/>
      <c r="DE71" s="443"/>
      <c r="DF71" s="443"/>
      <c r="DG71" s="443"/>
      <c r="DH71" s="443"/>
      <c r="DI71" s="443"/>
      <c r="DJ71" s="443"/>
      <c r="DK71" s="443"/>
      <c r="DL71" s="443"/>
      <c r="DM71" s="443"/>
      <c r="DN71" s="443"/>
      <c r="DO71" s="443"/>
      <c r="DP71" s="443"/>
      <c r="DQ71" s="443"/>
      <c r="DR71" s="443"/>
      <c r="DS71" s="443"/>
      <c r="DT71" s="443"/>
      <c r="DU71" s="443"/>
      <c r="DV71" s="443"/>
      <c r="DW71" s="443"/>
      <c r="DX71" s="443"/>
      <c r="DY71" s="443"/>
      <c r="DZ71" s="443"/>
      <c r="EA71" s="443"/>
      <c r="EB71" s="443"/>
      <c r="EC71" s="443"/>
      <c r="ED71" s="443"/>
      <c r="EE71" s="443"/>
      <c r="EF71" s="443"/>
      <c r="EG71" s="443"/>
      <c r="EH71" s="443"/>
      <c r="EI71" s="443"/>
      <c r="EJ71" s="443"/>
      <c r="EK71" s="443"/>
      <c r="EL71" s="443"/>
      <c r="EM71" s="443"/>
      <c r="EN71" s="443"/>
      <c r="EO71" s="443"/>
      <c r="EP71" s="443"/>
      <c r="EQ71" s="443"/>
      <c r="ER71" s="443"/>
      <c r="ES71" s="443"/>
      <c r="ET71" s="443"/>
      <c r="EU71" s="443"/>
      <c r="EV71" s="443"/>
      <c r="EW71" s="443"/>
      <c r="EX71" s="443"/>
      <c r="EY71" s="443"/>
      <c r="EZ71" s="443"/>
      <c r="FA71" s="443"/>
      <c r="FB71" s="443"/>
      <c r="FC71" s="443"/>
      <c r="FD71" s="443"/>
      <c r="FE71" s="443"/>
      <c r="FF71" s="443"/>
      <c r="FG71" s="443"/>
      <c r="FH71" s="443"/>
      <c r="FI71" s="443"/>
      <c r="FJ71" s="443"/>
      <c r="FK71" s="443"/>
      <c r="FL71" s="443"/>
      <c r="FM71" s="443"/>
      <c r="FN71" s="443"/>
      <c r="FO71" s="443"/>
      <c r="FP71" s="443"/>
      <c r="FQ71" s="443"/>
      <c r="FR71" s="443"/>
      <c r="FS71" s="443"/>
      <c r="FT71" s="443"/>
      <c r="FU71" s="443"/>
      <c r="FV71" s="443"/>
      <c r="FW71" s="443"/>
      <c r="FX71" s="443"/>
      <c r="FY71" s="443"/>
      <c r="FZ71" s="443"/>
      <c r="GA71" s="443"/>
      <c r="GB71" s="443"/>
      <c r="GC71" s="443"/>
      <c r="GD71" s="443"/>
      <c r="GE71" s="443"/>
      <c r="GF71" s="443"/>
      <c r="GG71" s="443"/>
      <c r="GH71" s="443"/>
      <c r="GI71" s="443"/>
      <c r="GJ71" s="443"/>
      <c r="GK71" s="443"/>
      <c r="GL71" s="443"/>
      <c r="GM71" s="443"/>
      <c r="GN71" s="443"/>
      <c r="GO71" s="443"/>
      <c r="GP71" s="443"/>
      <c r="GQ71" s="443"/>
      <c r="GR71" s="443"/>
      <c r="GS71" s="443"/>
      <c r="GT71" s="443"/>
      <c r="GU71" s="443"/>
      <c r="GV71" s="443"/>
      <c r="GW71" s="443"/>
      <c r="GX71" s="443"/>
      <c r="GY71" s="443"/>
      <c r="GZ71" s="443"/>
      <c r="HA71" s="443"/>
      <c r="HB71" s="443"/>
      <c r="HC71" s="443"/>
      <c r="HD71" s="443"/>
      <c r="HE71" s="443"/>
      <c r="HF71" s="443"/>
      <c r="HG71" s="443"/>
      <c r="HH71" s="443"/>
      <c r="HI71" s="443"/>
      <c r="HJ71" s="443"/>
      <c r="HK71" s="443"/>
      <c r="HL71" s="443"/>
      <c r="HM71" s="443"/>
      <c r="HN71" s="443"/>
      <c r="HO71" s="443"/>
      <c r="HP71" s="443"/>
      <c r="HQ71" s="443"/>
      <c r="HR71" s="443"/>
      <c r="HS71" s="443"/>
      <c r="HT71" s="443"/>
      <c r="HU71" s="443"/>
      <c r="HV71" s="443"/>
      <c r="HW71" s="443"/>
      <c r="HX71" s="443"/>
      <c r="HY71" s="443"/>
      <c r="HZ71" s="443"/>
      <c r="IA71" s="443"/>
      <c r="IB71" s="443"/>
      <c r="IC71" s="443"/>
      <c r="ID71" s="443"/>
      <c r="IE71" s="443"/>
      <c r="IF71" s="443"/>
      <c r="IG71" s="443"/>
      <c r="IH71" s="443"/>
      <c r="II71" s="443"/>
      <c r="IJ71" s="443"/>
      <c r="IK71" s="443"/>
      <c r="IL71" s="443"/>
      <c r="IM71" s="443"/>
      <c r="IN71" s="443"/>
      <c r="IO71" s="443"/>
      <c r="IP71" s="443"/>
      <c r="IQ71" s="443"/>
      <c r="IR71" s="443"/>
      <c r="IS71" s="443"/>
      <c r="IT71" s="443"/>
      <c r="IU71" s="443"/>
      <c r="IV71" s="443"/>
      <c r="IW71" s="443"/>
      <c r="IX71" s="443"/>
      <c r="IY71" s="443"/>
      <c r="IZ71" s="443"/>
      <c r="JA71" s="443"/>
      <c r="JB71" s="443"/>
      <c r="JC71" s="443"/>
      <c r="JD71" s="443"/>
      <c r="JE71" s="443"/>
      <c r="JF71" s="443"/>
      <c r="JG71" s="443"/>
      <c r="JH71" s="443"/>
      <c r="JI71" s="443"/>
      <c r="JJ71" s="443"/>
      <c r="JK71" s="443"/>
      <c r="JL71" s="443"/>
      <c r="JM71" s="443"/>
      <c r="JN71" s="443"/>
      <c r="JO71" s="443"/>
      <c r="JP71" s="443"/>
      <c r="JQ71" s="443"/>
      <c r="JR71" s="443"/>
      <c r="JS71" s="443"/>
      <c r="JT71" s="443"/>
      <c r="JU71" s="443"/>
      <c r="JV71" s="443"/>
      <c r="JW71" s="443"/>
      <c r="JX71" s="443"/>
      <c r="JY71" s="443"/>
      <c r="JZ71" s="443"/>
      <c r="KA71" s="443"/>
      <c r="KB71" s="443"/>
      <c r="KC71" s="443"/>
      <c r="KD71" s="443"/>
      <c r="KE71" s="443"/>
      <c r="KF71" s="443"/>
      <c r="KG71" s="443"/>
      <c r="KH71" s="443"/>
      <c r="KI71" s="443"/>
      <c r="KJ71" s="443"/>
      <c r="KK71" s="443"/>
      <c r="KL71" s="443"/>
      <c r="KM71" s="443"/>
      <c r="KN71" s="443"/>
      <c r="KO71" s="443"/>
      <c r="KP71" s="443"/>
      <c r="KQ71" s="443"/>
      <c r="KR71" s="443"/>
      <c r="KS71" s="443"/>
      <c r="KT71" s="443"/>
      <c r="KU71" s="443"/>
      <c r="KV71" s="443"/>
      <c r="KW71" s="443"/>
      <c r="KX71" s="443"/>
      <c r="KY71" s="443"/>
      <c r="KZ71" s="443"/>
      <c r="LA71" s="443"/>
      <c r="LB71" s="443"/>
      <c r="LC71" s="443"/>
      <c r="LD71" s="443"/>
      <c r="LE71" s="443"/>
      <c r="LF71" s="443"/>
      <c r="LG71" s="443"/>
      <c r="LH71" s="443"/>
      <c r="LI71" s="443"/>
      <c r="LJ71" s="443"/>
      <c r="LK71" s="443"/>
      <c r="LL71" s="443"/>
      <c r="LM71" s="443"/>
      <c r="LN71" s="443"/>
      <c r="LO71" s="443"/>
      <c r="LP71" s="443"/>
      <c r="LQ71" s="443"/>
      <c r="LR71" s="443"/>
      <c r="LS71" s="443"/>
      <c r="LT71" s="443"/>
      <c r="LU71" s="443"/>
      <c r="LV71" s="443"/>
      <c r="LW71" s="443"/>
      <c r="LX71" s="443"/>
      <c r="LY71" s="443"/>
      <c r="LZ71" s="443"/>
      <c r="MA71" s="443"/>
      <c r="MB71" s="443"/>
      <c r="MC71" s="443"/>
      <c r="MD71" s="443"/>
      <c r="ME71" s="443"/>
      <c r="MF71" s="443"/>
      <c r="MG71" s="443"/>
      <c r="MH71" s="443"/>
      <c r="MI71" s="443"/>
      <c r="MJ71" s="443"/>
      <c r="MK71" s="443"/>
      <c r="ML71" s="443"/>
      <c r="MM71" s="443"/>
      <c r="MN71" s="443"/>
      <c r="MO71" s="443"/>
      <c r="MP71" s="443"/>
      <c r="MQ71" s="443"/>
      <c r="MR71" s="443"/>
      <c r="MS71" s="443"/>
      <c r="MT71" s="443"/>
      <c r="MU71" s="443"/>
      <c r="MV71" s="443"/>
      <c r="MW71" s="443"/>
      <c r="MX71" s="443"/>
      <c r="MY71" s="443"/>
      <c r="MZ71" s="443"/>
      <c r="NA71" s="443"/>
      <c r="NB71" s="443"/>
      <c r="NC71" s="443"/>
      <c r="ND71" s="443"/>
      <c r="NE71" s="443"/>
      <c r="NF71" s="443"/>
      <c r="NG71" s="443"/>
      <c r="NH71" s="443"/>
      <c r="NI71" s="443"/>
      <c r="NJ71" s="443"/>
      <c r="NK71" s="443"/>
      <c r="NL71" s="443"/>
      <c r="NM71" s="443"/>
      <c r="NN71" s="443"/>
      <c r="NO71" s="443"/>
      <c r="NP71" s="443"/>
      <c r="NQ71" s="443"/>
      <c r="NR71" s="443"/>
      <c r="NS71" s="443"/>
      <c r="NT71" s="443"/>
      <c r="NU71" s="443"/>
      <c r="NV71" s="443"/>
      <c r="NW71" s="443"/>
      <c r="NX71" s="443"/>
      <c r="NY71" s="443"/>
      <c r="NZ71" s="443"/>
      <c r="OA71" s="443"/>
      <c r="OB71" s="443"/>
      <c r="OC71" s="443"/>
      <c r="OD71" s="443"/>
      <c r="OE71" s="443"/>
      <c r="OF71" s="443"/>
      <c r="OG71" s="443"/>
      <c r="OH71" s="443"/>
      <c r="OI71" s="443"/>
      <c r="OJ71" s="443"/>
      <c r="OK71" s="443"/>
      <c r="OL71" s="443"/>
      <c r="OM71" s="443"/>
      <c r="ON71" s="443"/>
      <c r="OO71" s="443"/>
      <c r="OP71" s="443"/>
      <c r="OQ71" s="443"/>
      <c r="OR71" s="443"/>
      <c r="OS71" s="443"/>
      <c r="OT71" s="443"/>
      <c r="OU71" s="443"/>
      <c r="OV71" s="443"/>
      <c r="OW71" s="443"/>
      <c r="OX71" s="443"/>
      <c r="OY71" s="443"/>
      <c r="OZ71" s="443"/>
      <c r="PA71" s="443"/>
      <c r="PB71" s="443"/>
      <c r="PC71" s="443"/>
      <c r="PD71" s="443"/>
      <c r="PE71" s="443"/>
      <c r="PF71" s="443"/>
      <c r="PG71" s="443"/>
      <c r="PH71" s="443"/>
      <c r="PI71" s="443"/>
      <c r="PJ71" s="443"/>
      <c r="PK71" s="443"/>
      <c r="PL71" s="443"/>
      <c r="PM71" s="443"/>
      <c r="PN71" s="443"/>
      <c r="PO71" s="443"/>
      <c r="PP71" s="443"/>
      <c r="PQ71" s="443"/>
      <c r="PR71" s="443"/>
      <c r="PS71" s="443"/>
      <c r="PT71" s="443"/>
      <c r="PU71" s="443"/>
      <c r="PV71" s="443"/>
      <c r="PW71" s="443"/>
      <c r="PX71" s="443"/>
      <c r="PY71" s="443"/>
      <c r="PZ71" s="443"/>
      <c r="QA71" s="443"/>
      <c r="QB71" s="443"/>
      <c r="QC71" s="443"/>
      <c r="QD71" s="443"/>
      <c r="QE71" s="443"/>
      <c r="QF71" s="443"/>
      <c r="QG71" s="443"/>
      <c r="QH71" s="443"/>
      <c r="QI71" s="443"/>
      <c r="QJ71" s="443"/>
      <c r="QK71" s="443"/>
      <c r="QL71" s="443"/>
      <c r="QM71" s="443"/>
      <c r="QN71" s="443"/>
      <c r="QO71" s="443"/>
      <c r="QP71" s="443"/>
      <c r="QQ71" s="443"/>
      <c r="QR71" s="443"/>
      <c r="QS71" s="443"/>
      <c r="QT71" s="443"/>
      <c r="QU71" s="443"/>
      <c r="QV71" s="443"/>
      <c r="QW71" s="443"/>
      <c r="QX71" s="443"/>
      <c r="QY71" s="443"/>
      <c r="QZ71" s="443"/>
      <c r="RA71" s="443"/>
      <c r="RB71" s="443"/>
      <c r="RC71" s="443"/>
      <c r="RD71" s="443"/>
      <c r="RE71" s="443"/>
      <c r="RF71" s="443"/>
      <c r="RG71" s="443"/>
      <c r="RH71" s="443"/>
      <c r="RI71" s="443"/>
      <c r="RJ71" s="443"/>
      <c r="RK71" s="443"/>
      <c r="RL71" s="443"/>
      <c r="RM71" s="443"/>
      <c r="RN71" s="443"/>
      <c r="RO71" s="443"/>
      <c r="RP71" s="443"/>
      <c r="RQ71" s="443"/>
      <c r="RR71" s="443"/>
      <c r="RS71" s="443"/>
      <c r="RT71" s="443"/>
      <c r="RU71" s="443"/>
      <c r="RV71" s="443"/>
      <c r="RW71" s="443"/>
      <c r="RX71" s="443"/>
      <c r="RY71" s="443"/>
      <c r="RZ71" s="443"/>
      <c r="SA71" s="443"/>
      <c r="SB71" s="443"/>
      <c r="SC71" s="443"/>
      <c r="SD71" s="443"/>
      <c r="SE71" s="443"/>
      <c r="SF71" s="443"/>
      <c r="SG71" s="443"/>
      <c r="SH71" s="443"/>
      <c r="SI71" s="443"/>
      <c r="SJ71" s="443"/>
      <c r="SK71" s="443"/>
      <c r="SL71" s="443"/>
      <c r="SM71" s="443"/>
      <c r="SN71" s="443"/>
      <c r="SO71" s="443"/>
      <c r="SP71" s="443"/>
      <c r="SQ71" s="443"/>
      <c r="SR71" s="443"/>
      <c r="SS71" s="443"/>
      <c r="ST71" s="443"/>
      <c r="SU71" s="443"/>
      <c r="SV71" s="443"/>
      <c r="SW71" s="443"/>
      <c r="SX71" s="443"/>
      <c r="SY71" s="443"/>
      <c r="SZ71" s="443"/>
      <c r="TA71" s="443"/>
      <c r="TB71" s="443"/>
      <c r="TC71" s="443"/>
      <c r="TD71" s="443"/>
      <c r="TE71" s="443"/>
      <c r="TF71" s="443"/>
      <c r="TG71" s="443"/>
      <c r="TH71" s="443"/>
      <c r="TI71" s="443"/>
      <c r="TJ71" s="443"/>
      <c r="TK71" s="443"/>
      <c r="TL71" s="443"/>
      <c r="TM71" s="443"/>
      <c r="TN71" s="443"/>
      <c r="TO71" s="443"/>
      <c r="TP71" s="443"/>
      <c r="TQ71" s="443"/>
      <c r="TR71" s="443"/>
      <c r="TS71" s="443"/>
      <c r="TT71" s="443"/>
      <c r="TU71" s="443"/>
      <c r="TV71" s="443"/>
      <c r="TW71" s="443"/>
      <c r="TX71" s="443"/>
      <c r="TY71" s="443"/>
      <c r="TZ71" s="443"/>
      <c r="UA71" s="443"/>
      <c r="UB71" s="443"/>
      <c r="UC71" s="443"/>
      <c r="UD71" s="443"/>
      <c r="UE71" s="443"/>
      <c r="UF71" s="443"/>
      <c r="UG71" s="443"/>
      <c r="UH71" s="443"/>
      <c r="UI71" s="443"/>
      <c r="UJ71" s="443"/>
      <c r="UK71" s="443"/>
      <c r="UL71" s="443"/>
      <c r="UM71" s="443"/>
      <c r="UN71" s="443"/>
      <c r="UO71" s="443"/>
      <c r="UP71" s="443"/>
      <c r="UQ71" s="443"/>
      <c r="UR71" s="443"/>
      <c r="US71" s="443"/>
      <c r="UT71" s="443"/>
      <c r="UU71" s="443"/>
      <c r="UV71" s="443"/>
      <c r="UW71" s="443"/>
      <c r="UX71" s="443"/>
      <c r="UY71" s="443"/>
      <c r="UZ71" s="443"/>
      <c r="VA71" s="443"/>
      <c r="VB71" s="443"/>
      <c r="VC71" s="443"/>
      <c r="VD71" s="443"/>
      <c r="VE71" s="443"/>
      <c r="VF71" s="443"/>
      <c r="VG71" s="443"/>
      <c r="VH71" s="443"/>
      <c r="VI71" s="443"/>
      <c r="VJ71" s="443"/>
      <c r="VK71" s="443"/>
      <c r="VL71" s="443"/>
      <c r="VM71" s="443"/>
      <c r="VN71" s="443"/>
      <c r="VO71" s="443"/>
      <c r="VP71" s="443"/>
      <c r="VQ71" s="443"/>
      <c r="VR71" s="443"/>
      <c r="VS71" s="443"/>
      <c r="VT71" s="443"/>
      <c r="VU71" s="443"/>
      <c r="VV71" s="443"/>
      <c r="VW71" s="443"/>
      <c r="VX71" s="443"/>
      <c r="VY71" s="443"/>
      <c r="VZ71" s="443"/>
      <c r="WA71" s="443"/>
      <c r="WB71" s="443"/>
      <c r="WC71" s="443"/>
      <c r="WD71" s="443"/>
      <c r="WE71" s="443"/>
      <c r="WF71" s="443"/>
      <c r="WG71" s="443"/>
      <c r="WH71" s="443"/>
      <c r="WI71" s="443"/>
      <c r="WJ71" s="443"/>
      <c r="WK71" s="443"/>
      <c r="WL71" s="443"/>
      <c r="WM71" s="443"/>
      <c r="WN71" s="443"/>
      <c r="WO71" s="443"/>
      <c r="WP71" s="443"/>
      <c r="WQ71" s="443"/>
      <c r="WR71" s="443"/>
      <c r="WS71" s="443"/>
      <c r="WT71" s="443"/>
      <c r="WU71" s="443"/>
      <c r="WV71" s="443"/>
      <c r="WW71" s="443"/>
      <c r="WX71" s="443"/>
      <c r="WY71" s="443"/>
      <c r="WZ71" s="443"/>
      <c r="XA71" s="443"/>
      <c r="XB71" s="443"/>
      <c r="XC71" s="443"/>
      <c r="XD71" s="443"/>
      <c r="XE71" s="443"/>
      <c r="XF71" s="443"/>
      <c r="XG71" s="443"/>
      <c r="XH71" s="443"/>
      <c r="XI71" s="443"/>
      <c r="XJ71" s="443"/>
      <c r="XK71" s="443"/>
      <c r="XL71" s="443"/>
      <c r="XM71" s="443"/>
      <c r="XN71" s="443"/>
      <c r="XO71" s="443"/>
      <c r="XP71" s="443"/>
      <c r="XQ71" s="443"/>
      <c r="XR71" s="443"/>
      <c r="XS71" s="443"/>
      <c r="XT71" s="443"/>
      <c r="XU71" s="443"/>
      <c r="XV71" s="443"/>
      <c r="XW71" s="443"/>
      <c r="XX71" s="443"/>
      <c r="XY71" s="443"/>
      <c r="XZ71" s="443"/>
      <c r="YA71" s="443"/>
      <c r="YB71" s="443"/>
      <c r="YC71" s="443"/>
      <c r="YD71" s="443"/>
      <c r="YE71" s="443"/>
      <c r="YF71" s="443"/>
      <c r="YG71" s="443"/>
      <c r="YH71" s="443"/>
      <c r="YI71" s="443"/>
      <c r="YJ71" s="443"/>
      <c r="YK71" s="443"/>
      <c r="YL71" s="443"/>
      <c r="YM71" s="443"/>
      <c r="YN71" s="443"/>
      <c r="YO71" s="443"/>
      <c r="YP71" s="443"/>
      <c r="YQ71" s="443"/>
      <c r="YR71" s="443"/>
      <c r="YS71" s="443"/>
      <c r="YT71" s="443"/>
      <c r="YU71" s="443"/>
      <c r="YV71" s="443"/>
      <c r="YW71" s="443"/>
      <c r="YX71" s="443"/>
      <c r="YY71" s="443"/>
      <c r="YZ71" s="443"/>
      <c r="ZA71" s="443"/>
      <c r="ZB71" s="443"/>
      <c r="ZC71" s="443"/>
      <c r="ZD71" s="443"/>
      <c r="ZE71" s="443"/>
      <c r="ZF71" s="443"/>
      <c r="ZG71" s="443"/>
      <c r="ZH71" s="443"/>
      <c r="ZI71" s="443"/>
      <c r="ZJ71" s="443"/>
      <c r="ZK71" s="443"/>
      <c r="ZL71" s="443"/>
      <c r="ZM71" s="443"/>
      <c r="ZN71" s="443"/>
      <c r="ZO71" s="443"/>
      <c r="ZP71" s="443"/>
      <c r="ZQ71" s="443"/>
      <c r="ZR71" s="443"/>
      <c r="ZS71" s="443"/>
      <c r="ZT71" s="443"/>
      <c r="ZU71" s="443"/>
      <c r="ZV71" s="443"/>
      <c r="ZW71" s="443"/>
      <c r="ZX71" s="443"/>
      <c r="ZY71" s="443"/>
      <c r="ZZ71" s="443"/>
      <c r="AAA71" s="443"/>
      <c r="AAB71" s="443"/>
      <c r="AAC71" s="443"/>
      <c r="AAD71" s="443"/>
      <c r="AAE71" s="443"/>
      <c r="AAF71" s="443"/>
      <c r="AAG71" s="443"/>
      <c r="AAH71" s="443"/>
      <c r="AAI71" s="443"/>
      <c r="AAJ71" s="443"/>
      <c r="AAK71" s="443"/>
      <c r="AAL71" s="443"/>
      <c r="AAM71" s="443"/>
      <c r="AAN71" s="443"/>
      <c r="AAO71" s="443"/>
      <c r="AAP71" s="443"/>
      <c r="AAQ71" s="443"/>
      <c r="AAR71" s="443"/>
      <c r="AAS71" s="443"/>
      <c r="AAT71" s="443"/>
      <c r="AAU71" s="443"/>
      <c r="AAV71" s="443"/>
      <c r="AAW71" s="443"/>
      <c r="AAX71" s="443"/>
      <c r="AAY71" s="443"/>
      <c r="AAZ71" s="443"/>
      <c r="ABA71" s="443"/>
      <c r="ABB71" s="443"/>
      <c r="ABC71" s="443"/>
      <c r="ABD71" s="443"/>
      <c r="ABE71" s="443"/>
      <c r="ABF71" s="443"/>
      <c r="ABG71" s="443"/>
      <c r="ABH71" s="443"/>
      <c r="ABI71" s="443"/>
      <c r="ABJ71" s="443"/>
      <c r="ABK71" s="443"/>
      <c r="ABL71" s="443"/>
      <c r="ABM71" s="443"/>
      <c r="ABN71" s="443"/>
      <c r="ABO71" s="443"/>
      <c r="ABP71" s="443"/>
      <c r="ABQ71" s="443"/>
      <c r="ABR71" s="443"/>
      <c r="ABS71" s="443"/>
      <c r="ABT71" s="443"/>
      <c r="ABU71" s="443"/>
      <c r="ABV71" s="443"/>
      <c r="ABW71" s="443"/>
      <c r="ABX71" s="443"/>
      <c r="ABY71" s="443"/>
      <c r="ABZ71" s="443"/>
      <c r="ACA71" s="443"/>
      <c r="ACB71" s="443"/>
      <c r="ACC71" s="443"/>
      <c r="ACD71" s="443"/>
      <c r="ACE71" s="443"/>
      <c r="ACF71" s="443"/>
      <c r="ACG71" s="443"/>
      <c r="ACH71" s="443"/>
      <c r="ACI71" s="443"/>
      <c r="ACJ71" s="443"/>
      <c r="ACK71" s="443"/>
      <c r="ACL71" s="443"/>
      <c r="ACM71" s="443"/>
      <c r="ACN71" s="443"/>
      <c r="ACO71" s="443"/>
      <c r="ACP71" s="443"/>
      <c r="ACQ71" s="443"/>
      <c r="ACR71" s="443"/>
      <c r="ACS71" s="443"/>
      <c r="ACT71" s="443"/>
      <c r="ACU71" s="443"/>
      <c r="ACV71" s="443"/>
      <c r="ACW71" s="443"/>
      <c r="ACX71" s="443"/>
      <c r="ACY71" s="443"/>
      <c r="ACZ71" s="443"/>
      <c r="ADA71" s="443"/>
      <c r="ADB71" s="443"/>
      <c r="ADC71" s="443"/>
      <c r="ADD71" s="443"/>
      <c r="ADE71" s="443"/>
      <c r="ADF71" s="443"/>
      <c r="ADG71" s="443"/>
      <c r="ADH71" s="443"/>
      <c r="ADI71" s="443"/>
      <c r="ADJ71" s="443"/>
      <c r="ADK71" s="443"/>
      <c r="ADL71" s="443"/>
      <c r="ADM71" s="443"/>
      <c r="ADN71" s="443"/>
      <c r="ADO71" s="443"/>
      <c r="ADP71" s="443"/>
      <c r="ADQ71" s="443"/>
      <c r="ADR71" s="443"/>
      <c r="ADS71" s="443"/>
      <c r="ADT71" s="443"/>
      <c r="ADU71" s="443"/>
      <c r="ADV71" s="443"/>
      <c r="ADW71" s="443"/>
      <c r="ADX71" s="443"/>
      <c r="ADY71" s="443"/>
      <c r="ADZ71" s="443"/>
      <c r="AEA71" s="443"/>
      <c r="AEB71" s="443"/>
      <c r="AEC71" s="443"/>
      <c r="AED71" s="443"/>
      <c r="AEE71" s="443"/>
      <c r="AEF71" s="443"/>
      <c r="AEG71" s="443"/>
      <c r="AEH71" s="443"/>
      <c r="AEI71" s="443"/>
      <c r="AEJ71" s="443"/>
      <c r="AEK71" s="443"/>
      <c r="AEL71" s="443"/>
      <c r="AEM71" s="443"/>
      <c r="AEN71" s="443"/>
      <c r="AEO71" s="443"/>
      <c r="AEP71" s="443"/>
      <c r="AEQ71" s="443"/>
      <c r="AER71" s="443"/>
      <c r="AES71" s="443"/>
      <c r="AET71" s="443"/>
      <c r="AEU71" s="443"/>
      <c r="AEV71" s="443"/>
      <c r="AEW71" s="443"/>
      <c r="AEX71" s="443"/>
      <c r="AEY71" s="443"/>
      <c r="AEZ71" s="443"/>
      <c r="AFA71" s="443"/>
      <c r="AFB71" s="443"/>
      <c r="AFC71" s="443"/>
      <c r="AFD71" s="443"/>
      <c r="AFE71" s="443"/>
      <c r="AFF71" s="443"/>
      <c r="AFG71" s="443"/>
      <c r="AFH71" s="443"/>
      <c r="AFI71" s="443"/>
      <c r="AFJ71" s="443"/>
      <c r="AFK71" s="443"/>
      <c r="AFL71" s="443"/>
      <c r="AFM71" s="443"/>
      <c r="AFN71" s="443"/>
      <c r="AFO71" s="443"/>
      <c r="AFP71" s="443"/>
      <c r="AFQ71" s="443"/>
      <c r="AFR71" s="443"/>
      <c r="AFS71" s="443"/>
      <c r="AFT71" s="443"/>
      <c r="AFU71" s="443"/>
      <c r="AFV71" s="443"/>
      <c r="AFW71" s="443"/>
      <c r="AFX71" s="443"/>
      <c r="AFY71" s="443"/>
      <c r="AFZ71" s="443"/>
      <c r="AGA71" s="443"/>
      <c r="AGB71" s="443"/>
      <c r="AGC71" s="443"/>
      <c r="AGD71" s="443"/>
      <c r="AGE71" s="443"/>
      <c r="AGF71" s="443"/>
      <c r="AGG71" s="443"/>
      <c r="AGH71" s="443"/>
      <c r="AGI71" s="443"/>
      <c r="AGJ71" s="443"/>
    </row>
    <row r="72" spans="1:868" s="1" customFormat="1">
      <c r="A72" s="652" t="s">
        <v>118</v>
      </c>
      <c r="B72" s="799" t="s">
        <v>444</v>
      </c>
      <c r="C72" s="34" t="s">
        <v>139</v>
      </c>
      <c r="D72" s="122" t="s">
        <v>99</v>
      </c>
      <c r="E72" s="637">
        <f t="shared" si="22"/>
        <v>6.4613472974172373E-2</v>
      </c>
      <c r="F72" s="9">
        <v>1</v>
      </c>
      <c r="G72" s="9" t="s">
        <v>433</v>
      </c>
      <c r="H72" s="10">
        <v>1</v>
      </c>
      <c r="I72" s="10">
        <v>2</v>
      </c>
      <c r="J72" s="10">
        <v>2</v>
      </c>
      <c r="K72" s="10">
        <v>1</v>
      </c>
      <c r="L72" s="10">
        <v>1</v>
      </c>
      <c r="M72" s="10">
        <v>2</v>
      </c>
      <c r="N72" s="411">
        <f t="shared" si="25"/>
        <v>0.35859414261160716</v>
      </c>
      <c r="O72" s="411">
        <f t="shared" si="26"/>
        <v>0.37356464144298934</v>
      </c>
      <c r="P72" s="43"/>
      <c r="Q72" s="443"/>
      <c r="R72" s="443"/>
      <c r="S72" s="443"/>
      <c r="T72" s="443"/>
      <c r="U72" s="443"/>
      <c r="V72" s="443"/>
      <c r="W72" s="443"/>
      <c r="X72" s="443"/>
      <c r="Y72" s="443"/>
      <c r="Z72" s="443"/>
      <c r="AA72" s="443"/>
      <c r="AB72" s="443"/>
      <c r="AC72" s="443"/>
      <c r="AD72" s="443"/>
      <c r="AE72" s="443"/>
      <c r="AF72" s="443"/>
      <c r="AG72" s="443"/>
      <c r="AH72" s="443"/>
      <c r="AI72" s="443"/>
      <c r="AJ72" s="443"/>
      <c r="AK72" s="443"/>
      <c r="AL72" s="443"/>
      <c r="AM72" s="443"/>
      <c r="AN72" s="443"/>
      <c r="AO72" s="443"/>
      <c r="AP72" s="443"/>
      <c r="AQ72" s="443"/>
      <c r="AR72" s="443"/>
      <c r="AS72" s="443"/>
      <c r="AT72" s="443"/>
      <c r="AU72" s="443"/>
      <c r="AV72" s="443"/>
      <c r="AW72" s="443"/>
      <c r="AX72" s="443"/>
      <c r="AY72" s="443"/>
      <c r="AZ72" s="443"/>
      <c r="BA72" s="443"/>
      <c r="BB72" s="443"/>
      <c r="BC72" s="443"/>
      <c r="BD72" s="443"/>
      <c r="BE72" s="443"/>
      <c r="BF72" s="443"/>
      <c r="BG72" s="443"/>
      <c r="BH72" s="443"/>
      <c r="BI72" s="443"/>
      <c r="BJ72" s="443"/>
      <c r="BK72" s="443"/>
      <c r="BL72" s="443"/>
      <c r="BM72" s="443"/>
      <c r="BN72" s="443"/>
      <c r="BO72" s="443"/>
      <c r="BP72" s="443"/>
      <c r="BQ72" s="443"/>
      <c r="BR72" s="443"/>
      <c r="BS72" s="443"/>
      <c r="BT72" s="443"/>
      <c r="BU72" s="443"/>
      <c r="BV72" s="443"/>
      <c r="BW72" s="443"/>
      <c r="BX72" s="443"/>
      <c r="BY72" s="443"/>
      <c r="BZ72" s="443"/>
      <c r="CA72" s="443"/>
      <c r="CB72" s="443"/>
      <c r="CC72" s="443"/>
      <c r="CD72" s="443"/>
      <c r="CE72" s="443"/>
      <c r="CF72" s="443"/>
      <c r="CG72" s="443"/>
      <c r="CH72" s="443"/>
      <c r="CI72" s="443"/>
      <c r="CJ72" s="443"/>
      <c r="CK72" s="443"/>
      <c r="CL72" s="443"/>
      <c r="CM72" s="443"/>
      <c r="CN72" s="443"/>
      <c r="CO72" s="443"/>
      <c r="CP72" s="443"/>
      <c r="CQ72" s="443"/>
      <c r="CR72" s="443"/>
      <c r="CS72" s="443"/>
      <c r="CT72" s="443"/>
      <c r="CU72" s="443"/>
      <c r="CV72" s="443"/>
      <c r="CW72" s="443"/>
      <c r="CX72" s="443"/>
      <c r="CY72" s="443"/>
      <c r="CZ72" s="443"/>
      <c r="DA72" s="443"/>
      <c r="DB72" s="443"/>
      <c r="DC72" s="443"/>
      <c r="DD72" s="443"/>
      <c r="DE72" s="443"/>
      <c r="DF72" s="443"/>
      <c r="DG72" s="443"/>
      <c r="DH72" s="443"/>
      <c r="DI72" s="443"/>
      <c r="DJ72" s="443"/>
      <c r="DK72" s="443"/>
      <c r="DL72" s="443"/>
      <c r="DM72" s="443"/>
      <c r="DN72" s="443"/>
      <c r="DO72" s="443"/>
      <c r="DP72" s="443"/>
      <c r="DQ72" s="443"/>
      <c r="DR72" s="443"/>
      <c r="DS72" s="443"/>
      <c r="DT72" s="443"/>
      <c r="DU72" s="443"/>
      <c r="DV72" s="443"/>
      <c r="DW72" s="443"/>
      <c r="DX72" s="443"/>
      <c r="DY72" s="443"/>
      <c r="DZ72" s="443"/>
      <c r="EA72" s="443"/>
      <c r="EB72" s="443"/>
      <c r="EC72" s="443"/>
      <c r="ED72" s="443"/>
      <c r="EE72" s="443"/>
      <c r="EF72" s="443"/>
      <c r="EG72" s="443"/>
      <c r="EH72" s="443"/>
      <c r="EI72" s="443"/>
      <c r="EJ72" s="443"/>
      <c r="EK72" s="443"/>
      <c r="EL72" s="443"/>
      <c r="EM72" s="443"/>
      <c r="EN72" s="443"/>
      <c r="EO72" s="443"/>
      <c r="EP72" s="443"/>
      <c r="EQ72" s="443"/>
      <c r="ER72" s="443"/>
      <c r="ES72" s="443"/>
      <c r="ET72" s="443"/>
      <c r="EU72" s="443"/>
      <c r="EV72" s="443"/>
      <c r="EW72" s="443"/>
      <c r="EX72" s="443"/>
      <c r="EY72" s="443"/>
      <c r="EZ72" s="443"/>
      <c r="FA72" s="443"/>
      <c r="FB72" s="443"/>
      <c r="FC72" s="443"/>
      <c r="FD72" s="443"/>
      <c r="FE72" s="443"/>
      <c r="FF72" s="443"/>
      <c r="FG72" s="443"/>
      <c r="FH72" s="443"/>
      <c r="FI72" s="443"/>
      <c r="FJ72" s="443"/>
      <c r="FK72" s="443"/>
      <c r="FL72" s="443"/>
      <c r="FM72" s="443"/>
      <c r="FN72" s="443"/>
      <c r="FO72" s="443"/>
      <c r="FP72" s="443"/>
      <c r="FQ72" s="443"/>
      <c r="FR72" s="443"/>
      <c r="FS72" s="443"/>
      <c r="FT72" s="443"/>
      <c r="FU72" s="443"/>
      <c r="FV72" s="443"/>
      <c r="FW72" s="443"/>
      <c r="FX72" s="443"/>
      <c r="FY72" s="443"/>
      <c r="FZ72" s="443"/>
      <c r="GA72" s="443"/>
      <c r="GB72" s="443"/>
      <c r="GC72" s="443"/>
      <c r="GD72" s="443"/>
      <c r="GE72" s="443"/>
      <c r="GF72" s="443"/>
      <c r="GG72" s="443"/>
      <c r="GH72" s="443"/>
      <c r="GI72" s="443"/>
      <c r="GJ72" s="443"/>
      <c r="GK72" s="443"/>
      <c r="GL72" s="443"/>
      <c r="GM72" s="443"/>
      <c r="GN72" s="443"/>
      <c r="GO72" s="443"/>
      <c r="GP72" s="443"/>
      <c r="GQ72" s="443"/>
      <c r="GR72" s="443"/>
      <c r="GS72" s="443"/>
      <c r="GT72" s="443"/>
      <c r="GU72" s="443"/>
      <c r="GV72" s="443"/>
      <c r="GW72" s="443"/>
      <c r="GX72" s="443"/>
      <c r="GY72" s="443"/>
      <c r="GZ72" s="443"/>
      <c r="HA72" s="443"/>
      <c r="HB72" s="443"/>
      <c r="HC72" s="443"/>
      <c r="HD72" s="443"/>
      <c r="HE72" s="443"/>
      <c r="HF72" s="443"/>
      <c r="HG72" s="443"/>
      <c r="HH72" s="443"/>
      <c r="HI72" s="443"/>
      <c r="HJ72" s="443"/>
      <c r="HK72" s="443"/>
      <c r="HL72" s="443"/>
      <c r="HM72" s="443"/>
      <c r="HN72" s="443"/>
      <c r="HO72" s="443"/>
      <c r="HP72" s="443"/>
      <c r="HQ72" s="443"/>
      <c r="HR72" s="443"/>
      <c r="HS72" s="443"/>
      <c r="HT72" s="443"/>
      <c r="HU72" s="443"/>
      <c r="HV72" s="443"/>
      <c r="HW72" s="443"/>
      <c r="HX72" s="443"/>
      <c r="HY72" s="443"/>
      <c r="HZ72" s="443"/>
      <c r="IA72" s="443"/>
      <c r="IB72" s="443"/>
      <c r="IC72" s="443"/>
      <c r="ID72" s="443"/>
      <c r="IE72" s="443"/>
      <c r="IF72" s="443"/>
      <c r="IG72" s="443"/>
      <c r="IH72" s="443"/>
      <c r="II72" s="443"/>
      <c r="IJ72" s="443"/>
      <c r="IK72" s="443"/>
      <c r="IL72" s="443"/>
      <c r="IM72" s="443"/>
      <c r="IN72" s="443"/>
      <c r="IO72" s="443"/>
      <c r="IP72" s="443"/>
      <c r="IQ72" s="443"/>
      <c r="IR72" s="443"/>
      <c r="IS72" s="443"/>
      <c r="IT72" s="443"/>
      <c r="IU72" s="443"/>
      <c r="IV72" s="443"/>
      <c r="IW72" s="443"/>
      <c r="IX72" s="443"/>
      <c r="IY72" s="443"/>
      <c r="IZ72" s="443"/>
      <c r="JA72" s="443"/>
      <c r="JB72" s="443"/>
      <c r="JC72" s="443"/>
      <c r="JD72" s="443"/>
      <c r="JE72" s="443"/>
      <c r="JF72" s="443"/>
      <c r="JG72" s="443"/>
      <c r="JH72" s="443"/>
      <c r="JI72" s="443"/>
      <c r="JJ72" s="443"/>
      <c r="JK72" s="443"/>
      <c r="JL72" s="443"/>
      <c r="JM72" s="443"/>
      <c r="JN72" s="443"/>
      <c r="JO72" s="443"/>
      <c r="JP72" s="443"/>
      <c r="JQ72" s="443"/>
      <c r="JR72" s="443"/>
      <c r="JS72" s="443"/>
      <c r="JT72" s="443"/>
      <c r="JU72" s="443"/>
      <c r="JV72" s="443"/>
      <c r="JW72" s="443"/>
      <c r="JX72" s="443"/>
      <c r="JY72" s="443"/>
      <c r="JZ72" s="443"/>
      <c r="KA72" s="443"/>
      <c r="KB72" s="443"/>
      <c r="KC72" s="443"/>
      <c r="KD72" s="443"/>
      <c r="KE72" s="443"/>
      <c r="KF72" s="443"/>
      <c r="KG72" s="443"/>
      <c r="KH72" s="443"/>
      <c r="KI72" s="443"/>
      <c r="KJ72" s="443"/>
      <c r="KK72" s="443"/>
      <c r="KL72" s="443"/>
      <c r="KM72" s="443"/>
      <c r="KN72" s="443"/>
      <c r="KO72" s="443"/>
      <c r="KP72" s="443"/>
      <c r="KQ72" s="443"/>
      <c r="KR72" s="443"/>
      <c r="KS72" s="443"/>
      <c r="KT72" s="443"/>
      <c r="KU72" s="443"/>
      <c r="KV72" s="443"/>
      <c r="KW72" s="443"/>
      <c r="KX72" s="443"/>
      <c r="KY72" s="443"/>
      <c r="KZ72" s="443"/>
      <c r="LA72" s="443"/>
      <c r="LB72" s="443"/>
      <c r="LC72" s="443"/>
      <c r="LD72" s="443"/>
      <c r="LE72" s="443"/>
      <c r="LF72" s="443"/>
      <c r="LG72" s="443"/>
      <c r="LH72" s="443"/>
      <c r="LI72" s="443"/>
      <c r="LJ72" s="443"/>
      <c r="LK72" s="443"/>
      <c r="LL72" s="443"/>
      <c r="LM72" s="443"/>
      <c r="LN72" s="443"/>
      <c r="LO72" s="443"/>
      <c r="LP72" s="443"/>
      <c r="LQ72" s="443"/>
      <c r="LR72" s="443"/>
      <c r="LS72" s="443"/>
      <c r="LT72" s="443"/>
      <c r="LU72" s="443"/>
      <c r="LV72" s="443"/>
      <c r="LW72" s="443"/>
      <c r="LX72" s="443"/>
      <c r="LY72" s="443"/>
      <c r="LZ72" s="443"/>
      <c r="MA72" s="443"/>
      <c r="MB72" s="443"/>
      <c r="MC72" s="443"/>
      <c r="MD72" s="443"/>
      <c r="ME72" s="443"/>
      <c r="MF72" s="443"/>
      <c r="MG72" s="443"/>
      <c r="MH72" s="443"/>
      <c r="MI72" s="443"/>
      <c r="MJ72" s="443"/>
      <c r="MK72" s="443"/>
      <c r="ML72" s="443"/>
      <c r="MM72" s="443"/>
      <c r="MN72" s="443"/>
      <c r="MO72" s="443"/>
      <c r="MP72" s="443"/>
      <c r="MQ72" s="443"/>
      <c r="MR72" s="443"/>
      <c r="MS72" s="443"/>
      <c r="MT72" s="443"/>
      <c r="MU72" s="443"/>
      <c r="MV72" s="443"/>
      <c r="MW72" s="443"/>
      <c r="MX72" s="443"/>
      <c r="MY72" s="443"/>
      <c r="MZ72" s="443"/>
      <c r="NA72" s="443"/>
      <c r="NB72" s="443"/>
      <c r="NC72" s="443"/>
      <c r="ND72" s="443"/>
      <c r="NE72" s="443"/>
      <c r="NF72" s="443"/>
      <c r="NG72" s="443"/>
      <c r="NH72" s="443"/>
      <c r="NI72" s="443"/>
      <c r="NJ72" s="443"/>
      <c r="NK72" s="443"/>
      <c r="NL72" s="443"/>
      <c r="NM72" s="443"/>
      <c r="NN72" s="443"/>
      <c r="NO72" s="443"/>
      <c r="NP72" s="443"/>
      <c r="NQ72" s="443"/>
      <c r="NR72" s="443"/>
      <c r="NS72" s="443"/>
      <c r="NT72" s="443"/>
      <c r="NU72" s="443"/>
      <c r="NV72" s="443"/>
      <c r="NW72" s="443"/>
      <c r="NX72" s="443"/>
      <c r="NY72" s="443"/>
      <c r="NZ72" s="443"/>
      <c r="OA72" s="443"/>
      <c r="OB72" s="443"/>
      <c r="OC72" s="443"/>
      <c r="OD72" s="443"/>
      <c r="OE72" s="443"/>
      <c r="OF72" s="443"/>
      <c r="OG72" s="443"/>
      <c r="OH72" s="443"/>
      <c r="OI72" s="443"/>
      <c r="OJ72" s="443"/>
      <c r="OK72" s="443"/>
      <c r="OL72" s="443"/>
      <c r="OM72" s="443"/>
      <c r="ON72" s="443"/>
      <c r="OO72" s="443"/>
      <c r="OP72" s="443"/>
      <c r="OQ72" s="443"/>
      <c r="OR72" s="443"/>
      <c r="OS72" s="443"/>
      <c r="OT72" s="443"/>
      <c r="OU72" s="443"/>
      <c r="OV72" s="443"/>
      <c r="OW72" s="443"/>
      <c r="OX72" s="443"/>
      <c r="OY72" s="443"/>
      <c r="OZ72" s="443"/>
      <c r="PA72" s="443"/>
      <c r="PB72" s="443"/>
      <c r="PC72" s="443"/>
      <c r="PD72" s="443"/>
      <c r="PE72" s="443"/>
      <c r="PF72" s="443"/>
      <c r="PG72" s="443"/>
      <c r="PH72" s="443"/>
      <c r="PI72" s="443"/>
      <c r="PJ72" s="443"/>
      <c r="PK72" s="443"/>
      <c r="PL72" s="443"/>
      <c r="PM72" s="443"/>
      <c r="PN72" s="443"/>
      <c r="PO72" s="443"/>
      <c r="PP72" s="443"/>
      <c r="PQ72" s="443"/>
      <c r="PR72" s="443"/>
      <c r="PS72" s="443"/>
      <c r="PT72" s="443"/>
      <c r="PU72" s="443"/>
      <c r="PV72" s="443"/>
      <c r="PW72" s="443"/>
      <c r="PX72" s="443"/>
      <c r="PY72" s="443"/>
      <c r="PZ72" s="443"/>
      <c r="QA72" s="443"/>
      <c r="QB72" s="443"/>
      <c r="QC72" s="443"/>
      <c r="QD72" s="443"/>
      <c r="QE72" s="443"/>
      <c r="QF72" s="443"/>
      <c r="QG72" s="443"/>
      <c r="QH72" s="443"/>
      <c r="QI72" s="443"/>
      <c r="QJ72" s="443"/>
      <c r="QK72" s="443"/>
      <c r="QL72" s="443"/>
      <c r="QM72" s="443"/>
      <c r="QN72" s="443"/>
      <c r="QO72" s="443"/>
      <c r="QP72" s="443"/>
      <c r="QQ72" s="443"/>
      <c r="QR72" s="443"/>
      <c r="QS72" s="443"/>
      <c r="QT72" s="443"/>
      <c r="QU72" s="443"/>
      <c r="QV72" s="443"/>
      <c r="QW72" s="443"/>
      <c r="QX72" s="443"/>
      <c r="QY72" s="443"/>
      <c r="QZ72" s="443"/>
      <c r="RA72" s="443"/>
      <c r="RB72" s="443"/>
      <c r="RC72" s="443"/>
      <c r="RD72" s="443"/>
      <c r="RE72" s="443"/>
      <c r="RF72" s="443"/>
      <c r="RG72" s="443"/>
      <c r="RH72" s="443"/>
      <c r="RI72" s="443"/>
      <c r="RJ72" s="443"/>
      <c r="RK72" s="443"/>
      <c r="RL72" s="443"/>
      <c r="RM72" s="443"/>
      <c r="RN72" s="443"/>
      <c r="RO72" s="443"/>
      <c r="RP72" s="443"/>
      <c r="RQ72" s="443"/>
      <c r="RR72" s="443"/>
      <c r="RS72" s="443"/>
      <c r="RT72" s="443"/>
      <c r="RU72" s="443"/>
      <c r="RV72" s="443"/>
      <c r="RW72" s="443"/>
      <c r="RX72" s="443"/>
      <c r="RY72" s="443"/>
      <c r="RZ72" s="443"/>
      <c r="SA72" s="443"/>
      <c r="SB72" s="443"/>
      <c r="SC72" s="443"/>
      <c r="SD72" s="443"/>
      <c r="SE72" s="443"/>
      <c r="SF72" s="443"/>
      <c r="SG72" s="443"/>
      <c r="SH72" s="443"/>
      <c r="SI72" s="443"/>
      <c r="SJ72" s="443"/>
      <c r="SK72" s="443"/>
      <c r="SL72" s="443"/>
      <c r="SM72" s="443"/>
      <c r="SN72" s="443"/>
      <c r="SO72" s="443"/>
      <c r="SP72" s="443"/>
      <c r="SQ72" s="443"/>
      <c r="SR72" s="443"/>
      <c r="SS72" s="443"/>
      <c r="ST72" s="443"/>
      <c r="SU72" s="443"/>
      <c r="SV72" s="443"/>
      <c r="SW72" s="443"/>
      <c r="SX72" s="443"/>
      <c r="SY72" s="443"/>
      <c r="SZ72" s="443"/>
      <c r="TA72" s="443"/>
      <c r="TB72" s="443"/>
      <c r="TC72" s="443"/>
      <c r="TD72" s="443"/>
      <c r="TE72" s="443"/>
      <c r="TF72" s="443"/>
      <c r="TG72" s="443"/>
      <c r="TH72" s="443"/>
      <c r="TI72" s="443"/>
      <c r="TJ72" s="443"/>
      <c r="TK72" s="443"/>
      <c r="TL72" s="443"/>
      <c r="TM72" s="443"/>
      <c r="TN72" s="443"/>
      <c r="TO72" s="443"/>
      <c r="TP72" s="443"/>
      <c r="TQ72" s="443"/>
      <c r="TR72" s="443"/>
      <c r="TS72" s="443"/>
      <c r="TT72" s="443"/>
      <c r="TU72" s="443"/>
      <c r="TV72" s="443"/>
      <c r="TW72" s="443"/>
      <c r="TX72" s="443"/>
      <c r="TY72" s="443"/>
      <c r="TZ72" s="443"/>
      <c r="UA72" s="443"/>
      <c r="UB72" s="443"/>
      <c r="UC72" s="443"/>
      <c r="UD72" s="443"/>
      <c r="UE72" s="443"/>
      <c r="UF72" s="443"/>
      <c r="UG72" s="443"/>
      <c r="UH72" s="443"/>
      <c r="UI72" s="443"/>
      <c r="UJ72" s="443"/>
      <c r="UK72" s="443"/>
      <c r="UL72" s="443"/>
      <c r="UM72" s="443"/>
      <c r="UN72" s="443"/>
      <c r="UO72" s="443"/>
      <c r="UP72" s="443"/>
      <c r="UQ72" s="443"/>
      <c r="UR72" s="443"/>
      <c r="US72" s="443"/>
      <c r="UT72" s="443"/>
      <c r="UU72" s="443"/>
      <c r="UV72" s="443"/>
      <c r="UW72" s="443"/>
      <c r="UX72" s="443"/>
      <c r="UY72" s="443"/>
      <c r="UZ72" s="443"/>
      <c r="VA72" s="443"/>
      <c r="VB72" s="443"/>
      <c r="VC72" s="443"/>
      <c r="VD72" s="443"/>
      <c r="VE72" s="443"/>
      <c r="VF72" s="443"/>
      <c r="VG72" s="443"/>
      <c r="VH72" s="443"/>
      <c r="VI72" s="443"/>
      <c r="VJ72" s="443"/>
      <c r="VK72" s="443"/>
      <c r="VL72" s="443"/>
      <c r="VM72" s="443"/>
      <c r="VN72" s="443"/>
      <c r="VO72" s="443"/>
      <c r="VP72" s="443"/>
      <c r="VQ72" s="443"/>
      <c r="VR72" s="443"/>
      <c r="VS72" s="443"/>
      <c r="VT72" s="443"/>
      <c r="VU72" s="443"/>
      <c r="VV72" s="443"/>
      <c r="VW72" s="443"/>
      <c r="VX72" s="443"/>
      <c r="VY72" s="443"/>
      <c r="VZ72" s="443"/>
      <c r="WA72" s="443"/>
      <c r="WB72" s="443"/>
      <c r="WC72" s="443"/>
      <c r="WD72" s="443"/>
      <c r="WE72" s="443"/>
      <c r="WF72" s="443"/>
      <c r="WG72" s="443"/>
      <c r="WH72" s="443"/>
      <c r="WI72" s="443"/>
      <c r="WJ72" s="443"/>
      <c r="WK72" s="443"/>
      <c r="WL72" s="443"/>
      <c r="WM72" s="443"/>
      <c r="WN72" s="443"/>
      <c r="WO72" s="443"/>
      <c r="WP72" s="443"/>
      <c r="WQ72" s="443"/>
      <c r="WR72" s="443"/>
      <c r="WS72" s="443"/>
      <c r="WT72" s="443"/>
      <c r="WU72" s="443"/>
      <c r="WV72" s="443"/>
      <c r="WW72" s="443"/>
      <c r="WX72" s="443"/>
      <c r="WY72" s="443"/>
      <c r="WZ72" s="443"/>
      <c r="XA72" s="443"/>
      <c r="XB72" s="443"/>
      <c r="XC72" s="443"/>
      <c r="XD72" s="443"/>
      <c r="XE72" s="443"/>
      <c r="XF72" s="443"/>
      <c r="XG72" s="443"/>
      <c r="XH72" s="443"/>
      <c r="XI72" s="443"/>
      <c r="XJ72" s="443"/>
      <c r="XK72" s="443"/>
      <c r="XL72" s="443"/>
      <c r="XM72" s="443"/>
      <c r="XN72" s="443"/>
      <c r="XO72" s="443"/>
      <c r="XP72" s="443"/>
      <c r="XQ72" s="443"/>
      <c r="XR72" s="443"/>
      <c r="XS72" s="443"/>
      <c r="XT72" s="443"/>
      <c r="XU72" s="443"/>
      <c r="XV72" s="443"/>
      <c r="XW72" s="443"/>
      <c r="XX72" s="443"/>
      <c r="XY72" s="443"/>
      <c r="XZ72" s="443"/>
      <c r="YA72" s="443"/>
      <c r="YB72" s="443"/>
      <c r="YC72" s="443"/>
      <c r="YD72" s="443"/>
      <c r="YE72" s="443"/>
      <c r="YF72" s="443"/>
      <c r="YG72" s="443"/>
      <c r="YH72" s="443"/>
      <c r="YI72" s="443"/>
      <c r="YJ72" s="443"/>
      <c r="YK72" s="443"/>
      <c r="YL72" s="443"/>
      <c r="YM72" s="443"/>
      <c r="YN72" s="443"/>
      <c r="YO72" s="443"/>
      <c r="YP72" s="443"/>
      <c r="YQ72" s="443"/>
      <c r="YR72" s="443"/>
      <c r="YS72" s="443"/>
      <c r="YT72" s="443"/>
      <c r="YU72" s="443"/>
      <c r="YV72" s="443"/>
      <c r="YW72" s="443"/>
      <c r="YX72" s="443"/>
      <c r="YY72" s="443"/>
      <c r="YZ72" s="443"/>
      <c r="ZA72" s="443"/>
      <c r="ZB72" s="443"/>
      <c r="ZC72" s="443"/>
      <c r="ZD72" s="443"/>
      <c r="ZE72" s="443"/>
      <c r="ZF72" s="443"/>
      <c r="ZG72" s="443"/>
      <c r="ZH72" s="443"/>
      <c r="ZI72" s="443"/>
      <c r="ZJ72" s="443"/>
      <c r="ZK72" s="443"/>
      <c r="ZL72" s="443"/>
      <c r="ZM72" s="443"/>
      <c r="ZN72" s="443"/>
      <c r="ZO72" s="443"/>
      <c r="ZP72" s="443"/>
      <c r="ZQ72" s="443"/>
      <c r="ZR72" s="443"/>
      <c r="ZS72" s="443"/>
      <c r="ZT72" s="443"/>
      <c r="ZU72" s="443"/>
      <c r="ZV72" s="443"/>
      <c r="ZW72" s="443"/>
      <c r="ZX72" s="443"/>
      <c r="ZY72" s="443"/>
      <c r="ZZ72" s="443"/>
      <c r="AAA72" s="443"/>
      <c r="AAB72" s="443"/>
      <c r="AAC72" s="443"/>
      <c r="AAD72" s="443"/>
      <c r="AAE72" s="443"/>
      <c r="AAF72" s="443"/>
      <c r="AAG72" s="443"/>
      <c r="AAH72" s="443"/>
      <c r="AAI72" s="443"/>
      <c r="AAJ72" s="443"/>
      <c r="AAK72" s="443"/>
      <c r="AAL72" s="443"/>
      <c r="AAM72" s="443"/>
      <c r="AAN72" s="443"/>
      <c r="AAO72" s="443"/>
      <c r="AAP72" s="443"/>
      <c r="AAQ72" s="443"/>
      <c r="AAR72" s="443"/>
      <c r="AAS72" s="443"/>
      <c r="AAT72" s="443"/>
      <c r="AAU72" s="443"/>
      <c r="AAV72" s="443"/>
      <c r="AAW72" s="443"/>
      <c r="AAX72" s="443"/>
      <c r="AAY72" s="443"/>
      <c r="AAZ72" s="443"/>
      <c r="ABA72" s="443"/>
      <c r="ABB72" s="443"/>
      <c r="ABC72" s="443"/>
      <c r="ABD72" s="443"/>
      <c r="ABE72" s="443"/>
      <c r="ABF72" s="443"/>
      <c r="ABG72" s="443"/>
      <c r="ABH72" s="443"/>
      <c r="ABI72" s="443"/>
      <c r="ABJ72" s="443"/>
      <c r="ABK72" s="443"/>
      <c r="ABL72" s="443"/>
      <c r="ABM72" s="443"/>
      <c r="ABN72" s="443"/>
      <c r="ABO72" s="443"/>
      <c r="ABP72" s="443"/>
      <c r="ABQ72" s="443"/>
      <c r="ABR72" s="443"/>
      <c r="ABS72" s="443"/>
      <c r="ABT72" s="443"/>
      <c r="ABU72" s="443"/>
      <c r="ABV72" s="443"/>
      <c r="ABW72" s="443"/>
      <c r="ABX72" s="443"/>
      <c r="ABY72" s="443"/>
      <c r="ABZ72" s="443"/>
      <c r="ACA72" s="443"/>
      <c r="ACB72" s="443"/>
      <c r="ACC72" s="443"/>
      <c r="ACD72" s="443"/>
      <c r="ACE72" s="443"/>
      <c r="ACF72" s="443"/>
      <c r="ACG72" s="443"/>
      <c r="ACH72" s="443"/>
      <c r="ACI72" s="443"/>
      <c r="ACJ72" s="443"/>
      <c r="ACK72" s="443"/>
      <c r="ACL72" s="443"/>
      <c r="ACM72" s="443"/>
      <c r="ACN72" s="443"/>
      <c r="ACO72" s="443"/>
      <c r="ACP72" s="443"/>
      <c r="ACQ72" s="443"/>
      <c r="ACR72" s="443"/>
      <c r="ACS72" s="443"/>
      <c r="ACT72" s="443"/>
      <c r="ACU72" s="443"/>
      <c r="ACV72" s="443"/>
      <c r="ACW72" s="443"/>
      <c r="ACX72" s="443"/>
      <c r="ACY72" s="443"/>
      <c r="ACZ72" s="443"/>
      <c r="ADA72" s="443"/>
      <c r="ADB72" s="443"/>
      <c r="ADC72" s="443"/>
      <c r="ADD72" s="443"/>
      <c r="ADE72" s="443"/>
      <c r="ADF72" s="443"/>
      <c r="ADG72" s="443"/>
      <c r="ADH72" s="443"/>
      <c r="ADI72" s="443"/>
      <c r="ADJ72" s="443"/>
      <c r="ADK72" s="443"/>
      <c r="ADL72" s="443"/>
      <c r="ADM72" s="443"/>
      <c r="ADN72" s="443"/>
      <c r="ADO72" s="443"/>
      <c r="ADP72" s="443"/>
      <c r="ADQ72" s="443"/>
      <c r="ADR72" s="443"/>
      <c r="ADS72" s="443"/>
      <c r="ADT72" s="443"/>
      <c r="ADU72" s="443"/>
      <c r="ADV72" s="443"/>
      <c r="ADW72" s="443"/>
      <c r="ADX72" s="443"/>
      <c r="ADY72" s="443"/>
      <c r="ADZ72" s="443"/>
      <c r="AEA72" s="443"/>
      <c r="AEB72" s="443"/>
      <c r="AEC72" s="443"/>
      <c r="AED72" s="443"/>
      <c r="AEE72" s="443"/>
      <c r="AEF72" s="443"/>
      <c r="AEG72" s="443"/>
      <c r="AEH72" s="443"/>
      <c r="AEI72" s="443"/>
      <c r="AEJ72" s="443"/>
      <c r="AEK72" s="443"/>
      <c r="AEL72" s="443"/>
      <c r="AEM72" s="443"/>
      <c r="AEN72" s="443"/>
      <c r="AEO72" s="443"/>
      <c r="AEP72" s="443"/>
      <c r="AEQ72" s="443"/>
      <c r="AER72" s="443"/>
      <c r="AES72" s="443"/>
      <c r="AET72" s="443"/>
      <c r="AEU72" s="443"/>
      <c r="AEV72" s="443"/>
      <c r="AEW72" s="443"/>
      <c r="AEX72" s="443"/>
      <c r="AEY72" s="443"/>
      <c r="AEZ72" s="443"/>
      <c r="AFA72" s="443"/>
      <c r="AFB72" s="443"/>
      <c r="AFC72" s="443"/>
      <c r="AFD72" s="443"/>
      <c r="AFE72" s="443"/>
      <c r="AFF72" s="443"/>
      <c r="AFG72" s="443"/>
      <c r="AFH72" s="443"/>
      <c r="AFI72" s="443"/>
      <c r="AFJ72" s="443"/>
      <c r="AFK72" s="443"/>
      <c r="AFL72" s="443"/>
      <c r="AFM72" s="443"/>
      <c r="AFN72" s="443"/>
      <c r="AFO72" s="443"/>
      <c r="AFP72" s="443"/>
      <c r="AFQ72" s="443"/>
      <c r="AFR72" s="443"/>
      <c r="AFS72" s="443"/>
      <c r="AFT72" s="443"/>
      <c r="AFU72" s="443"/>
      <c r="AFV72" s="443"/>
      <c r="AFW72" s="443"/>
      <c r="AFX72" s="443"/>
      <c r="AFY72" s="443"/>
      <c r="AFZ72" s="443"/>
      <c r="AGA72" s="443"/>
      <c r="AGB72" s="443"/>
      <c r="AGC72" s="443"/>
      <c r="AGD72" s="443"/>
      <c r="AGE72" s="443"/>
      <c r="AGF72" s="443"/>
      <c r="AGG72" s="443"/>
      <c r="AGH72" s="443"/>
      <c r="AGI72" s="443"/>
      <c r="AGJ72" s="443"/>
    </row>
    <row r="73" spans="1:868" s="1" customFormat="1">
      <c r="A73" s="652" t="s">
        <v>118</v>
      </c>
      <c r="B73" s="799" t="s">
        <v>445</v>
      </c>
      <c r="C73" s="34" t="s">
        <v>139</v>
      </c>
      <c r="D73" s="122" t="s">
        <v>99</v>
      </c>
      <c r="E73" s="637">
        <f t="shared" si="22"/>
        <v>4.6596254548681999E-2</v>
      </c>
      <c r="F73" s="9">
        <v>1</v>
      </c>
      <c r="G73" s="9" t="s">
        <v>433</v>
      </c>
      <c r="H73" s="10">
        <v>1</v>
      </c>
      <c r="I73" s="10">
        <v>2</v>
      </c>
      <c r="J73" s="10">
        <v>2</v>
      </c>
      <c r="K73" s="10">
        <v>1</v>
      </c>
      <c r="L73" s="10">
        <v>1</v>
      </c>
      <c r="M73" s="10">
        <v>2</v>
      </c>
      <c r="N73" s="411">
        <f t="shared" si="25"/>
        <v>0.35859414261160716</v>
      </c>
      <c r="O73" s="411">
        <f t="shared" si="26"/>
        <v>0.37356464144298934</v>
      </c>
      <c r="P73" s="43"/>
      <c r="Q73" s="443"/>
      <c r="R73" s="443"/>
      <c r="S73" s="443"/>
      <c r="T73" s="443"/>
      <c r="U73" s="443"/>
      <c r="V73" s="443"/>
      <c r="W73" s="443"/>
      <c r="X73" s="443"/>
      <c r="Y73" s="443"/>
      <c r="Z73" s="443"/>
      <c r="AA73" s="443"/>
      <c r="AB73" s="443"/>
      <c r="AC73" s="443"/>
      <c r="AD73" s="443"/>
      <c r="AE73" s="443"/>
      <c r="AF73" s="443"/>
      <c r="AG73" s="443"/>
      <c r="AH73" s="443"/>
      <c r="AI73" s="443"/>
      <c r="AJ73" s="443"/>
      <c r="AK73" s="443"/>
      <c r="AL73" s="443"/>
      <c r="AM73" s="443"/>
      <c r="AN73" s="443"/>
      <c r="AO73" s="443"/>
      <c r="AP73" s="443"/>
      <c r="AQ73" s="443"/>
      <c r="AR73" s="443"/>
      <c r="AS73" s="443"/>
      <c r="AT73" s="443"/>
      <c r="AU73" s="443"/>
      <c r="AV73" s="443"/>
      <c r="AW73" s="443"/>
      <c r="AX73" s="443"/>
      <c r="AY73" s="443"/>
      <c r="AZ73" s="443"/>
      <c r="BA73" s="443"/>
      <c r="BB73" s="443"/>
      <c r="BC73" s="443"/>
      <c r="BD73" s="443"/>
      <c r="BE73" s="443"/>
      <c r="BF73" s="443"/>
      <c r="BG73" s="443"/>
      <c r="BH73" s="443"/>
      <c r="BI73" s="443"/>
      <c r="BJ73" s="443"/>
      <c r="BK73" s="443"/>
      <c r="BL73" s="443"/>
      <c r="BM73" s="443"/>
      <c r="BN73" s="443"/>
      <c r="BO73" s="443"/>
      <c r="BP73" s="443"/>
      <c r="BQ73" s="443"/>
      <c r="BR73" s="443"/>
      <c r="BS73" s="443"/>
      <c r="BT73" s="443"/>
      <c r="BU73" s="443"/>
      <c r="BV73" s="443"/>
      <c r="BW73" s="443"/>
      <c r="BX73" s="443"/>
      <c r="BY73" s="443"/>
      <c r="BZ73" s="443"/>
      <c r="CA73" s="443"/>
      <c r="CB73" s="443"/>
      <c r="CC73" s="443"/>
      <c r="CD73" s="443"/>
      <c r="CE73" s="443"/>
      <c r="CF73" s="443"/>
      <c r="CG73" s="443"/>
      <c r="CH73" s="443"/>
      <c r="CI73" s="443"/>
      <c r="CJ73" s="443"/>
      <c r="CK73" s="443"/>
      <c r="CL73" s="443"/>
      <c r="CM73" s="443"/>
      <c r="CN73" s="443"/>
      <c r="CO73" s="443"/>
      <c r="CP73" s="443"/>
      <c r="CQ73" s="443"/>
      <c r="CR73" s="443"/>
      <c r="CS73" s="443"/>
      <c r="CT73" s="443"/>
      <c r="CU73" s="443"/>
      <c r="CV73" s="443"/>
      <c r="CW73" s="443"/>
      <c r="CX73" s="443"/>
      <c r="CY73" s="443"/>
      <c r="CZ73" s="443"/>
      <c r="DA73" s="443"/>
      <c r="DB73" s="443"/>
      <c r="DC73" s="443"/>
      <c r="DD73" s="443"/>
      <c r="DE73" s="443"/>
      <c r="DF73" s="443"/>
      <c r="DG73" s="443"/>
      <c r="DH73" s="443"/>
      <c r="DI73" s="443"/>
      <c r="DJ73" s="443"/>
      <c r="DK73" s="443"/>
      <c r="DL73" s="443"/>
      <c r="DM73" s="443"/>
      <c r="DN73" s="443"/>
      <c r="DO73" s="443"/>
      <c r="DP73" s="443"/>
      <c r="DQ73" s="443"/>
      <c r="DR73" s="443"/>
      <c r="DS73" s="443"/>
      <c r="DT73" s="443"/>
      <c r="DU73" s="443"/>
      <c r="DV73" s="443"/>
      <c r="DW73" s="443"/>
      <c r="DX73" s="443"/>
      <c r="DY73" s="443"/>
      <c r="DZ73" s="443"/>
      <c r="EA73" s="443"/>
      <c r="EB73" s="443"/>
      <c r="EC73" s="443"/>
      <c r="ED73" s="443"/>
      <c r="EE73" s="443"/>
      <c r="EF73" s="443"/>
      <c r="EG73" s="443"/>
      <c r="EH73" s="443"/>
      <c r="EI73" s="443"/>
      <c r="EJ73" s="443"/>
      <c r="EK73" s="443"/>
      <c r="EL73" s="443"/>
      <c r="EM73" s="443"/>
      <c r="EN73" s="443"/>
      <c r="EO73" s="443"/>
      <c r="EP73" s="443"/>
      <c r="EQ73" s="443"/>
      <c r="ER73" s="443"/>
      <c r="ES73" s="443"/>
      <c r="ET73" s="443"/>
      <c r="EU73" s="443"/>
      <c r="EV73" s="443"/>
      <c r="EW73" s="443"/>
      <c r="EX73" s="443"/>
      <c r="EY73" s="443"/>
      <c r="EZ73" s="443"/>
      <c r="FA73" s="443"/>
      <c r="FB73" s="443"/>
      <c r="FC73" s="443"/>
      <c r="FD73" s="443"/>
      <c r="FE73" s="443"/>
      <c r="FF73" s="443"/>
      <c r="FG73" s="443"/>
      <c r="FH73" s="443"/>
      <c r="FI73" s="443"/>
      <c r="FJ73" s="443"/>
      <c r="FK73" s="443"/>
      <c r="FL73" s="443"/>
      <c r="FM73" s="443"/>
      <c r="FN73" s="443"/>
      <c r="FO73" s="443"/>
      <c r="FP73" s="443"/>
      <c r="FQ73" s="443"/>
      <c r="FR73" s="443"/>
      <c r="FS73" s="443"/>
      <c r="FT73" s="443"/>
      <c r="FU73" s="443"/>
      <c r="FV73" s="443"/>
      <c r="FW73" s="443"/>
      <c r="FX73" s="443"/>
      <c r="FY73" s="443"/>
      <c r="FZ73" s="443"/>
      <c r="GA73" s="443"/>
      <c r="GB73" s="443"/>
      <c r="GC73" s="443"/>
      <c r="GD73" s="443"/>
      <c r="GE73" s="443"/>
      <c r="GF73" s="443"/>
      <c r="GG73" s="443"/>
      <c r="GH73" s="443"/>
      <c r="GI73" s="443"/>
      <c r="GJ73" s="443"/>
      <c r="GK73" s="443"/>
      <c r="GL73" s="443"/>
      <c r="GM73" s="443"/>
      <c r="GN73" s="443"/>
      <c r="GO73" s="443"/>
      <c r="GP73" s="443"/>
      <c r="GQ73" s="443"/>
      <c r="GR73" s="443"/>
      <c r="GS73" s="443"/>
      <c r="GT73" s="443"/>
      <c r="GU73" s="443"/>
      <c r="GV73" s="443"/>
      <c r="GW73" s="443"/>
      <c r="GX73" s="443"/>
      <c r="GY73" s="443"/>
      <c r="GZ73" s="443"/>
      <c r="HA73" s="443"/>
      <c r="HB73" s="443"/>
      <c r="HC73" s="443"/>
      <c r="HD73" s="443"/>
      <c r="HE73" s="443"/>
      <c r="HF73" s="443"/>
      <c r="HG73" s="443"/>
      <c r="HH73" s="443"/>
      <c r="HI73" s="443"/>
      <c r="HJ73" s="443"/>
      <c r="HK73" s="443"/>
      <c r="HL73" s="443"/>
      <c r="HM73" s="443"/>
      <c r="HN73" s="443"/>
      <c r="HO73" s="443"/>
      <c r="HP73" s="443"/>
      <c r="HQ73" s="443"/>
      <c r="HR73" s="443"/>
      <c r="HS73" s="443"/>
      <c r="HT73" s="443"/>
      <c r="HU73" s="443"/>
      <c r="HV73" s="443"/>
      <c r="HW73" s="443"/>
      <c r="HX73" s="443"/>
      <c r="HY73" s="443"/>
      <c r="HZ73" s="443"/>
      <c r="IA73" s="443"/>
      <c r="IB73" s="443"/>
      <c r="IC73" s="443"/>
      <c r="ID73" s="443"/>
      <c r="IE73" s="443"/>
      <c r="IF73" s="443"/>
      <c r="IG73" s="443"/>
      <c r="IH73" s="443"/>
      <c r="II73" s="443"/>
      <c r="IJ73" s="443"/>
      <c r="IK73" s="443"/>
      <c r="IL73" s="443"/>
      <c r="IM73" s="443"/>
      <c r="IN73" s="443"/>
      <c r="IO73" s="443"/>
      <c r="IP73" s="443"/>
      <c r="IQ73" s="443"/>
      <c r="IR73" s="443"/>
      <c r="IS73" s="443"/>
      <c r="IT73" s="443"/>
      <c r="IU73" s="443"/>
      <c r="IV73" s="443"/>
      <c r="IW73" s="443"/>
      <c r="IX73" s="443"/>
      <c r="IY73" s="443"/>
      <c r="IZ73" s="443"/>
      <c r="JA73" s="443"/>
      <c r="JB73" s="443"/>
      <c r="JC73" s="443"/>
      <c r="JD73" s="443"/>
      <c r="JE73" s="443"/>
      <c r="JF73" s="443"/>
      <c r="JG73" s="443"/>
      <c r="JH73" s="443"/>
      <c r="JI73" s="443"/>
      <c r="JJ73" s="443"/>
      <c r="JK73" s="443"/>
      <c r="JL73" s="443"/>
      <c r="JM73" s="443"/>
      <c r="JN73" s="443"/>
      <c r="JO73" s="443"/>
      <c r="JP73" s="443"/>
      <c r="JQ73" s="443"/>
      <c r="JR73" s="443"/>
      <c r="JS73" s="443"/>
      <c r="JT73" s="443"/>
      <c r="JU73" s="443"/>
      <c r="JV73" s="443"/>
      <c r="JW73" s="443"/>
      <c r="JX73" s="443"/>
      <c r="JY73" s="443"/>
      <c r="JZ73" s="443"/>
      <c r="KA73" s="443"/>
      <c r="KB73" s="443"/>
      <c r="KC73" s="443"/>
      <c r="KD73" s="443"/>
      <c r="KE73" s="443"/>
      <c r="KF73" s="443"/>
      <c r="KG73" s="443"/>
      <c r="KH73" s="443"/>
      <c r="KI73" s="443"/>
      <c r="KJ73" s="443"/>
      <c r="KK73" s="443"/>
      <c r="KL73" s="443"/>
      <c r="KM73" s="443"/>
      <c r="KN73" s="443"/>
      <c r="KO73" s="443"/>
      <c r="KP73" s="443"/>
      <c r="KQ73" s="443"/>
      <c r="KR73" s="443"/>
      <c r="KS73" s="443"/>
      <c r="KT73" s="443"/>
      <c r="KU73" s="443"/>
      <c r="KV73" s="443"/>
      <c r="KW73" s="443"/>
      <c r="KX73" s="443"/>
      <c r="KY73" s="443"/>
      <c r="KZ73" s="443"/>
      <c r="LA73" s="443"/>
      <c r="LB73" s="443"/>
      <c r="LC73" s="443"/>
      <c r="LD73" s="443"/>
      <c r="LE73" s="443"/>
      <c r="LF73" s="443"/>
      <c r="LG73" s="443"/>
      <c r="LH73" s="443"/>
      <c r="LI73" s="443"/>
      <c r="LJ73" s="443"/>
      <c r="LK73" s="443"/>
      <c r="LL73" s="443"/>
      <c r="LM73" s="443"/>
      <c r="LN73" s="443"/>
      <c r="LO73" s="443"/>
      <c r="LP73" s="443"/>
      <c r="LQ73" s="443"/>
      <c r="LR73" s="443"/>
      <c r="LS73" s="443"/>
      <c r="LT73" s="443"/>
      <c r="LU73" s="443"/>
      <c r="LV73" s="443"/>
      <c r="LW73" s="443"/>
      <c r="LX73" s="443"/>
      <c r="LY73" s="443"/>
      <c r="LZ73" s="443"/>
      <c r="MA73" s="443"/>
      <c r="MB73" s="443"/>
      <c r="MC73" s="443"/>
      <c r="MD73" s="443"/>
      <c r="ME73" s="443"/>
      <c r="MF73" s="443"/>
      <c r="MG73" s="443"/>
      <c r="MH73" s="443"/>
      <c r="MI73" s="443"/>
      <c r="MJ73" s="443"/>
      <c r="MK73" s="443"/>
      <c r="ML73" s="443"/>
      <c r="MM73" s="443"/>
      <c r="MN73" s="443"/>
      <c r="MO73" s="443"/>
      <c r="MP73" s="443"/>
      <c r="MQ73" s="443"/>
      <c r="MR73" s="443"/>
      <c r="MS73" s="443"/>
      <c r="MT73" s="443"/>
      <c r="MU73" s="443"/>
      <c r="MV73" s="443"/>
      <c r="MW73" s="443"/>
      <c r="MX73" s="443"/>
      <c r="MY73" s="443"/>
      <c r="MZ73" s="443"/>
      <c r="NA73" s="443"/>
      <c r="NB73" s="443"/>
      <c r="NC73" s="443"/>
      <c r="ND73" s="443"/>
      <c r="NE73" s="443"/>
      <c r="NF73" s="443"/>
      <c r="NG73" s="443"/>
      <c r="NH73" s="443"/>
      <c r="NI73" s="443"/>
      <c r="NJ73" s="443"/>
      <c r="NK73" s="443"/>
      <c r="NL73" s="443"/>
      <c r="NM73" s="443"/>
      <c r="NN73" s="443"/>
      <c r="NO73" s="443"/>
      <c r="NP73" s="443"/>
      <c r="NQ73" s="443"/>
      <c r="NR73" s="443"/>
      <c r="NS73" s="443"/>
      <c r="NT73" s="443"/>
      <c r="NU73" s="443"/>
      <c r="NV73" s="443"/>
      <c r="NW73" s="443"/>
      <c r="NX73" s="443"/>
      <c r="NY73" s="443"/>
      <c r="NZ73" s="443"/>
      <c r="OA73" s="443"/>
      <c r="OB73" s="443"/>
      <c r="OC73" s="443"/>
      <c r="OD73" s="443"/>
      <c r="OE73" s="443"/>
      <c r="OF73" s="443"/>
      <c r="OG73" s="443"/>
      <c r="OH73" s="443"/>
      <c r="OI73" s="443"/>
      <c r="OJ73" s="443"/>
      <c r="OK73" s="443"/>
      <c r="OL73" s="443"/>
      <c r="OM73" s="443"/>
      <c r="ON73" s="443"/>
      <c r="OO73" s="443"/>
      <c r="OP73" s="443"/>
      <c r="OQ73" s="443"/>
      <c r="OR73" s="443"/>
      <c r="OS73" s="443"/>
      <c r="OT73" s="443"/>
      <c r="OU73" s="443"/>
      <c r="OV73" s="443"/>
      <c r="OW73" s="443"/>
      <c r="OX73" s="443"/>
      <c r="OY73" s="443"/>
      <c r="OZ73" s="443"/>
      <c r="PA73" s="443"/>
      <c r="PB73" s="443"/>
      <c r="PC73" s="443"/>
      <c r="PD73" s="443"/>
      <c r="PE73" s="443"/>
      <c r="PF73" s="443"/>
      <c r="PG73" s="443"/>
      <c r="PH73" s="443"/>
      <c r="PI73" s="443"/>
      <c r="PJ73" s="443"/>
      <c r="PK73" s="443"/>
      <c r="PL73" s="443"/>
      <c r="PM73" s="443"/>
      <c r="PN73" s="443"/>
      <c r="PO73" s="443"/>
      <c r="PP73" s="443"/>
      <c r="PQ73" s="443"/>
      <c r="PR73" s="443"/>
      <c r="PS73" s="443"/>
      <c r="PT73" s="443"/>
      <c r="PU73" s="443"/>
      <c r="PV73" s="443"/>
      <c r="PW73" s="443"/>
      <c r="PX73" s="443"/>
      <c r="PY73" s="443"/>
      <c r="PZ73" s="443"/>
      <c r="QA73" s="443"/>
      <c r="QB73" s="443"/>
      <c r="QC73" s="443"/>
      <c r="QD73" s="443"/>
      <c r="QE73" s="443"/>
      <c r="QF73" s="443"/>
      <c r="QG73" s="443"/>
      <c r="QH73" s="443"/>
      <c r="QI73" s="443"/>
      <c r="QJ73" s="443"/>
      <c r="QK73" s="443"/>
      <c r="QL73" s="443"/>
      <c r="QM73" s="443"/>
      <c r="QN73" s="443"/>
      <c r="QO73" s="443"/>
      <c r="QP73" s="443"/>
      <c r="QQ73" s="443"/>
      <c r="QR73" s="443"/>
      <c r="QS73" s="443"/>
      <c r="QT73" s="443"/>
      <c r="QU73" s="443"/>
      <c r="QV73" s="443"/>
      <c r="QW73" s="443"/>
      <c r="QX73" s="443"/>
      <c r="QY73" s="443"/>
      <c r="QZ73" s="443"/>
      <c r="RA73" s="443"/>
      <c r="RB73" s="443"/>
      <c r="RC73" s="443"/>
      <c r="RD73" s="443"/>
      <c r="RE73" s="443"/>
      <c r="RF73" s="443"/>
      <c r="RG73" s="443"/>
      <c r="RH73" s="443"/>
      <c r="RI73" s="443"/>
      <c r="RJ73" s="443"/>
      <c r="RK73" s="443"/>
      <c r="RL73" s="443"/>
      <c r="RM73" s="443"/>
      <c r="RN73" s="443"/>
      <c r="RO73" s="443"/>
      <c r="RP73" s="443"/>
      <c r="RQ73" s="443"/>
      <c r="RR73" s="443"/>
      <c r="RS73" s="443"/>
      <c r="RT73" s="443"/>
      <c r="RU73" s="443"/>
      <c r="RV73" s="443"/>
      <c r="RW73" s="443"/>
      <c r="RX73" s="443"/>
      <c r="RY73" s="443"/>
      <c r="RZ73" s="443"/>
      <c r="SA73" s="443"/>
      <c r="SB73" s="443"/>
      <c r="SC73" s="443"/>
      <c r="SD73" s="443"/>
      <c r="SE73" s="443"/>
      <c r="SF73" s="443"/>
      <c r="SG73" s="443"/>
      <c r="SH73" s="443"/>
      <c r="SI73" s="443"/>
      <c r="SJ73" s="443"/>
      <c r="SK73" s="443"/>
      <c r="SL73" s="443"/>
      <c r="SM73" s="443"/>
      <c r="SN73" s="443"/>
      <c r="SO73" s="443"/>
      <c r="SP73" s="443"/>
      <c r="SQ73" s="443"/>
      <c r="SR73" s="443"/>
      <c r="SS73" s="443"/>
      <c r="ST73" s="443"/>
      <c r="SU73" s="443"/>
      <c r="SV73" s="443"/>
      <c r="SW73" s="443"/>
      <c r="SX73" s="443"/>
      <c r="SY73" s="443"/>
      <c r="SZ73" s="443"/>
      <c r="TA73" s="443"/>
      <c r="TB73" s="443"/>
      <c r="TC73" s="443"/>
      <c r="TD73" s="443"/>
      <c r="TE73" s="443"/>
      <c r="TF73" s="443"/>
      <c r="TG73" s="443"/>
      <c r="TH73" s="443"/>
      <c r="TI73" s="443"/>
      <c r="TJ73" s="443"/>
      <c r="TK73" s="443"/>
      <c r="TL73" s="443"/>
      <c r="TM73" s="443"/>
      <c r="TN73" s="443"/>
      <c r="TO73" s="443"/>
      <c r="TP73" s="443"/>
      <c r="TQ73" s="443"/>
      <c r="TR73" s="443"/>
      <c r="TS73" s="443"/>
      <c r="TT73" s="443"/>
      <c r="TU73" s="443"/>
      <c r="TV73" s="443"/>
      <c r="TW73" s="443"/>
      <c r="TX73" s="443"/>
      <c r="TY73" s="443"/>
      <c r="TZ73" s="443"/>
      <c r="UA73" s="443"/>
      <c r="UB73" s="443"/>
      <c r="UC73" s="443"/>
      <c r="UD73" s="443"/>
      <c r="UE73" s="443"/>
      <c r="UF73" s="443"/>
      <c r="UG73" s="443"/>
      <c r="UH73" s="443"/>
      <c r="UI73" s="443"/>
      <c r="UJ73" s="443"/>
      <c r="UK73" s="443"/>
      <c r="UL73" s="443"/>
      <c r="UM73" s="443"/>
      <c r="UN73" s="443"/>
      <c r="UO73" s="443"/>
      <c r="UP73" s="443"/>
      <c r="UQ73" s="443"/>
      <c r="UR73" s="443"/>
      <c r="US73" s="443"/>
      <c r="UT73" s="443"/>
      <c r="UU73" s="443"/>
      <c r="UV73" s="443"/>
      <c r="UW73" s="443"/>
      <c r="UX73" s="443"/>
      <c r="UY73" s="443"/>
      <c r="UZ73" s="443"/>
      <c r="VA73" s="443"/>
      <c r="VB73" s="443"/>
      <c r="VC73" s="443"/>
      <c r="VD73" s="443"/>
      <c r="VE73" s="443"/>
      <c r="VF73" s="443"/>
      <c r="VG73" s="443"/>
      <c r="VH73" s="443"/>
      <c r="VI73" s="443"/>
      <c r="VJ73" s="443"/>
      <c r="VK73" s="443"/>
      <c r="VL73" s="443"/>
      <c r="VM73" s="443"/>
      <c r="VN73" s="443"/>
      <c r="VO73" s="443"/>
      <c r="VP73" s="443"/>
      <c r="VQ73" s="443"/>
      <c r="VR73" s="443"/>
      <c r="VS73" s="443"/>
      <c r="VT73" s="443"/>
      <c r="VU73" s="443"/>
      <c r="VV73" s="443"/>
      <c r="VW73" s="443"/>
      <c r="VX73" s="443"/>
      <c r="VY73" s="443"/>
      <c r="VZ73" s="443"/>
      <c r="WA73" s="443"/>
      <c r="WB73" s="443"/>
      <c r="WC73" s="443"/>
      <c r="WD73" s="443"/>
      <c r="WE73" s="443"/>
      <c r="WF73" s="443"/>
      <c r="WG73" s="443"/>
      <c r="WH73" s="443"/>
      <c r="WI73" s="443"/>
      <c r="WJ73" s="443"/>
      <c r="WK73" s="443"/>
      <c r="WL73" s="443"/>
      <c r="WM73" s="443"/>
      <c r="WN73" s="443"/>
      <c r="WO73" s="443"/>
      <c r="WP73" s="443"/>
      <c r="WQ73" s="443"/>
      <c r="WR73" s="443"/>
      <c r="WS73" s="443"/>
      <c r="WT73" s="443"/>
      <c r="WU73" s="443"/>
      <c r="WV73" s="443"/>
      <c r="WW73" s="443"/>
      <c r="WX73" s="443"/>
      <c r="WY73" s="443"/>
      <c r="WZ73" s="443"/>
      <c r="XA73" s="443"/>
      <c r="XB73" s="443"/>
      <c r="XC73" s="443"/>
      <c r="XD73" s="443"/>
      <c r="XE73" s="443"/>
      <c r="XF73" s="443"/>
      <c r="XG73" s="443"/>
      <c r="XH73" s="443"/>
      <c r="XI73" s="443"/>
      <c r="XJ73" s="443"/>
      <c r="XK73" s="443"/>
      <c r="XL73" s="443"/>
      <c r="XM73" s="443"/>
      <c r="XN73" s="443"/>
      <c r="XO73" s="443"/>
      <c r="XP73" s="443"/>
      <c r="XQ73" s="443"/>
      <c r="XR73" s="443"/>
      <c r="XS73" s="443"/>
      <c r="XT73" s="443"/>
      <c r="XU73" s="443"/>
      <c r="XV73" s="443"/>
      <c r="XW73" s="443"/>
      <c r="XX73" s="443"/>
      <c r="XY73" s="443"/>
      <c r="XZ73" s="443"/>
      <c r="YA73" s="443"/>
      <c r="YB73" s="443"/>
      <c r="YC73" s="443"/>
      <c r="YD73" s="443"/>
      <c r="YE73" s="443"/>
      <c r="YF73" s="443"/>
      <c r="YG73" s="443"/>
      <c r="YH73" s="443"/>
      <c r="YI73" s="443"/>
      <c r="YJ73" s="443"/>
      <c r="YK73" s="443"/>
      <c r="YL73" s="443"/>
      <c r="YM73" s="443"/>
      <c r="YN73" s="443"/>
      <c r="YO73" s="443"/>
      <c r="YP73" s="443"/>
      <c r="YQ73" s="443"/>
      <c r="YR73" s="443"/>
      <c r="YS73" s="443"/>
      <c r="YT73" s="443"/>
      <c r="YU73" s="443"/>
      <c r="YV73" s="443"/>
      <c r="YW73" s="443"/>
      <c r="YX73" s="443"/>
      <c r="YY73" s="443"/>
      <c r="YZ73" s="443"/>
      <c r="ZA73" s="443"/>
      <c r="ZB73" s="443"/>
      <c r="ZC73" s="443"/>
      <c r="ZD73" s="443"/>
      <c r="ZE73" s="443"/>
      <c r="ZF73" s="443"/>
      <c r="ZG73" s="443"/>
      <c r="ZH73" s="443"/>
      <c r="ZI73" s="443"/>
      <c r="ZJ73" s="443"/>
      <c r="ZK73" s="443"/>
      <c r="ZL73" s="443"/>
      <c r="ZM73" s="443"/>
      <c r="ZN73" s="443"/>
      <c r="ZO73" s="443"/>
      <c r="ZP73" s="443"/>
      <c r="ZQ73" s="443"/>
      <c r="ZR73" s="443"/>
      <c r="ZS73" s="443"/>
      <c r="ZT73" s="443"/>
      <c r="ZU73" s="443"/>
      <c r="ZV73" s="443"/>
      <c r="ZW73" s="443"/>
      <c r="ZX73" s="443"/>
      <c r="ZY73" s="443"/>
      <c r="ZZ73" s="443"/>
      <c r="AAA73" s="443"/>
      <c r="AAB73" s="443"/>
      <c r="AAC73" s="443"/>
      <c r="AAD73" s="443"/>
      <c r="AAE73" s="443"/>
      <c r="AAF73" s="443"/>
      <c r="AAG73" s="443"/>
      <c r="AAH73" s="443"/>
      <c r="AAI73" s="443"/>
      <c r="AAJ73" s="443"/>
      <c r="AAK73" s="443"/>
      <c r="AAL73" s="443"/>
      <c r="AAM73" s="443"/>
      <c r="AAN73" s="443"/>
      <c r="AAO73" s="443"/>
      <c r="AAP73" s="443"/>
      <c r="AAQ73" s="443"/>
      <c r="AAR73" s="443"/>
      <c r="AAS73" s="443"/>
      <c r="AAT73" s="443"/>
      <c r="AAU73" s="443"/>
      <c r="AAV73" s="443"/>
      <c r="AAW73" s="443"/>
      <c r="AAX73" s="443"/>
      <c r="AAY73" s="443"/>
      <c r="AAZ73" s="443"/>
      <c r="ABA73" s="443"/>
      <c r="ABB73" s="443"/>
      <c r="ABC73" s="443"/>
      <c r="ABD73" s="443"/>
      <c r="ABE73" s="443"/>
      <c r="ABF73" s="443"/>
      <c r="ABG73" s="443"/>
      <c r="ABH73" s="443"/>
      <c r="ABI73" s="443"/>
      <c r="ABJ73" s="443"/>
      <c r="ABK73" s="443"/>
      <c r="ABL73" s="443"/>
      <c r="ABM73" s="443"/>
      <c r="ABN73" s="443"/>
      <c r="ABO73" s="443"/>
      <c r="ABP73" s="443"/>
      <c r="ABQ73" s="443"/>
      <c r="ABR73" s="443"/>
      <c r="ABS73" s="443"/>
      <c r="ABT73" s="443"/>
      <c r="ABU73" s="443"/>
      <c r="ABV73" s="443"/>
      <c r="ABW73" s="443"/>
      <c r="ABX73" s="443"/>
      <c r="ABY73" s="443"/>
      <c r="ABZ73" s="443"/>
      <c r="ACA73" s="443"/>
      <c r="ACB73" s="443"/>
      <c r="ACC73" s="443"/>
      <c r="ACD73" s="443"/>
      <c r="ACE73" s="443"/>
      <c r="ACF73" s="443"/>
      <c r="ACG73" s="443"/>
      <c r="ACH73" s="443"/>
      <c r="ACI73" s="443"/>
      <c r="ACJ73" s="443"/>
      <c r="ACK73" s="443"/>
      <c r="ACL73" s="443"/>
      <c r="ACM73" s="443"/>
      <c r="ACN73" s="443"/>
      <c r="ACO73" s="443"/>
      <c r="ACP73" s="443"/>
      <c r="ACQ73" s="443"/>
      <c r="ACR73" s="443"/>
      <c r="ACS73" s="443"/>
      <c r="ACT73" s="443"/>
      <c r="ACU73" s="443"/>
      <c r="ACV73" s="443"/>
      <c r="ACW73" s="443"/>
      <c r="ACX73" s="443"/>
      <c r="ACY73" s="443"/>
      <c r="ACZ73" s="443"/>
      <c r="ADA73" s="443"/>
      <c r="ADB73" s="443"/>
      <c r="ADC73" s="443"/>
      <c r="ADD73" s="443"/>
      <c r="ADE73" s="443"/>
      <c r="ADF73" s="443"/>
      <c r="ADG73" s="443"/>
      <c r="ADH73" s="443"/>
      <c r="ADI73" s="443"/>
      <c r="ADJ73" s="443"/>
      <c r="ADK73" s="443"/>
      <c r="ADL73" s="443"/>
      <c r="ADM73" s="443"/>
      <c r="ADN73" s="443"/>
      <c r="ADO73" s="443"/>
      <c r="ADP73" s="443"/>
      <c r="ADQ73" s="443"/>
      <c r="ADR73" s="443"/>
      <c r="ADS73" s="443"/>
      <c r="ADT73" s="443"/>
      <c r="ADU73" s="443"/>
      <c r="ADV73" s="443"/>
      <c r="ADW73" s="443"/>
      <c r="ADX73" s="443"/>
      <c r="ADY73" s="443"/>
      <c r="ADZ73" s="443"/>
      <c r="AEA73" s="443"/>
      <c r="AEB73" s="443"/>
      <c r="AEC73" s="443"/>
      <c r="AED73" s="443"/>
      <c r="AEE73" s="443"/>
      <c r="AEF73" s="443"/>
      <c r="AEG73" s="443"/>
      <c r="AEH73" s="443"/>
      <c r="AEI73" s="443"/>
      <c r="AEJ73" s="443"/>
      <c r="AEK73" s="443"/>
      <c r="AEL73" s="443"/>
      <c r="AEM73" s="443"/>
      <c r="AEN73" s="443"/>
      <c r="AEO73" s="443"/>
      <c r="AEP73" s="443"/>
      <c r="AEQ73" s="443"/>
      <c r="AER73" s="443"/>
      <c r="AES73" s="443"/>
      <c r="AET73" s="443"/>
      <c r="AEU73" s="443"/>
      <c r="AEV73" s="443"/>
      <c r="AEW73" s="443"/>
      <c r="AEX73" s="443"/>
      <c r="AEY73" s="443"/>
      <c r="AEZ73" s="443"/>
      <c r="AFA73" s="443"/>
      <c r="AFB73" s="443"/>
      <c r="AFC73" s="443"/>
      <c r="AFD73" s="443"/>
      <c r="AFE73" s="443"/>
      <c r="AFF73" s="443"/>
      <c r="AFG73" s="443"/>
      <c r="AFH73" s="443"/>
      <c r="AFI73" s="443"/>
      <c r="AFJ73" s="443"/>
      <c r="AFK73" s="443"/>
      <c r="AFL73" s="443"/>
      <c r="AFM73" s="443"/>
      <c r="AFN73" s="443"/>
      <c r="AFO73" s="443"/>
      <c r="AFP73" s="443"/>
      <c r="AFQ73" s="443"/>
      <c r="AFR73" s="443"/>
      <c r="AFS73" s="443"/>
      <c r="AFT73" s="443"/>
      <c r="AFU73" s="443"/>
      <c r="AFV73" s="443"/>
      <c r="AFW73" s="443"/>
      <c r="AFX73" s="443"/>
      <c r="AFY73" s="443"/>
      <c r="AFZ73" s="443"/>
      <c r="AGA73" s="443"/>
      <c r="AGB73" s="443"/>
      <c r="AGC73" s="443"/>
      <c r="AGD73" s="443"/>
      <c r="AGE73" s="443"/>
      <c r="AGF73" s="443"/>
      <c r="AGG73" s="443"/>
      <c r="AGH73" s="443"/>
      <c r="AGI73" s="443"/>
      <c r="AGJ73" s="443"/>
    </row>
    <row r="74" spans="1:868" s="1" customFormat="1" ht="15.75" thickBot="1">
      <c r="A74" s="651" t="s">
        <v>118</v>
      </c>
      <c r="B74" s="803" t="s">
        <v>446</v>
      </c>
      <c r="C74" s="34" t="s">
        <v>139</v>
      </c>
      <c r="D74" s="123" t="s">
        <v>99</v>
      </c>
      <c r="E74" s="767">
        <f t="shared" si="22"/>
        <v>5.5915505458418391E-2</v>
      </c>
      <c r="F74" s="12">
        <v>1</v>
      </c>
      <c r="G74" s="12" t="s">
        <v>433</v>
      </c>
      <c r="H74" s="14">
        <v>1</v>
      </c>
      <c r="I74" s="14">
        <v>2</v>
      </c>
      <c r="J74" s="14">
        <v>2</v>
      </c>
      <c r="K74" s="14">
        <v>1</v>
      </c>
      <c r="L74" s="14">
        <v>1</v>
      </c>
      <c r="M74" s="14">
        <v>2</v>
      </c>
      <c r="N74" s="434">
        <f t="shared" si="25"/>
        <v>0.35859414261160716</v>
      </c>
      <c r="O74" s="434">
        <f t="shared" si="26"/>
        <v>0.37356464144298934</v>
      </c>
      <c r="P74" s="44"/>
      <c r="Q74" s="443"/>
      <c r="R74" s="443"/>
      <c r="S74" s="443"/>
      <c r="T74" s="443"/>
      <c r="U74" s="443"/>
      <c r="V74" s="443"/>
      <c r="W74" s="443"/>
      <c r="X74" s="443"/>
      <c r="Y74" s="443"/>
      <c r="Z74" s="443"/>
      <c r="AA74" s="443"/>
      <c r="AB74" s="443"/>
      <c r="AC74" s="443"/>
      <c r="AD74" s="443"/>
      <c r="AE74" s="443"/>
      <c r="AF74" s="443"/>
      <c r="AG74" s="443"/>
      <c r="AH74" s="443"/>
      <c r="AI74" s="443"/>
      <c r="AJ74" s="443"/>
      <c r="AK74" s="443"/>
      <c r="AL74" s="443"/>
      <c r="AM74" s="443"/>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443"/>
      <c r="BJ74" s="443"/>
      <c r="BK74" s="443"/>
      <c r="BL74" s="443"/>
      <c r="BM74" s="443"/>
      <c r="BN74" s="443"/>
      <c r="BO74" s="443"/>
      <c r="BP74" s="443"/>
      <c r="BQ74" s="443"/>
      <c r="BR74" s="443"/>
      <c r="BS74" s="443"/>
      <c r="BT74" s="443"/>
      <c r="BU74" s="443"/>
      <c r="BV74" s="443"/>
      <c r="BW74" s="443"/>
      <c r="BX74" s="443"/>
      <c r="BY74" s="443"/>
      <c r="BZ74" s="443"/>
      <c r="CA74" s="443"/>
      <c r="CB74" s="443"/>
      <c r="CC74" s="443"/>
      <c r="CD74" s="443"/>
      <c r="CE74" s="443"/>
      <c r="CF74" s="443"/>
      <c r="CG74" s="443"/>
      <c r="CH74" s="443"/>
      <c r="CI74" s="443"/>
      <c r="CJ74" s="443"/>
      <c r="CK74" s="443"/>
      <c r="CL74" s="443"/>
      <c r="CM74" s="443"/>
      <c r="CN74" s="443"/>
      <c r="CO74" s="443"/>
      <c r="CP74" s="443"/>
      <c r="CQ74" s="443"/>
      <c r="CR74" s="443"/>
      <c r="CS74" s="443"/>
      <c r="CT74" s="443"/>
      <c r="CU74" s="443"/>
      <c r="CV74" s="443"/>
      <c r="CW74" s="443"/>
      <c r="CX74" s="443"/>
      <c r="CY74" s="443"/>
      <c r="CZ74" s="443"/>
      <c r="DA74" s="443"/>
      <c r="DB74" s="443"/>
      <c r="DC74" s="443"/>
      <c r="DD74" s="443"/>
      <c r="DE74" s="443"/>
      <c r="DF74" s="443"/>
      <c r="DG74" s="443"/>
      <c r="DH74" s="443"/>
      <c r="DI74" s="443"/>
      <c r="DJ74" s="443"/>
      <c r="DK74" s="443"/>
      <c r="DL74" s="443"/>
      <c r="DM74" s="443"/>
      <c r="DN74" s="443"/>
      <c r="DO74" s="443"/>
      <c r="DP74" s="443"/>
      <c r="DQ74" s="443"/>
      <c r="DR74" s="443"/>
      <c r="DS74" s="443"/>
      <c r="DT74" s="443"/>
      <c r="DU74" s="443"/>
      <c r="DV74" s="443"/>
      <c r="DW74" s="443"/>
      <c r="DX74" s="443"/>
      <c r="DY74" s="443"/>
      <c r="DZ74" s="443"/>
      <c r="EA74" s="443"/>
      <c r="EB74" s="443"/>
      <c r="EC74" s="443"/>
      <c r="ED74" s="443"/>
      <c r="EE74" s="443"/>
      <c r="EF74" s="443"/>
      <c r="EG74" s="443"/>
      <c r="EH74" s="443"/>
      <c r="EI74" s="443"/>
      <c r="EJ74" s="443"/>
      <c r="EK74" s="443"/>
      <c r="EL74" s="443"/>
      <c r="EM74" s="443"/>
      <c r="EN74" s="443"/>
      <c r="EO74" s="443"/>
      <c r="EP74" s="443"/>
      <c r="EQ74" s="443"/>
      <c r="ER74" s="443"/>
      <c r="ES74" s="443"/>
      <c r="ET74" s="443"/>
      <c r="EU74" s="443"/>
      <c r="EV74" s="443"/>
      <c r="EW74" s="443"/>
      <c r="EX74" s="443"/>
      <c r="EY74" s="443"/>
      <c r="EZ74" s="443"/>
      <c r="FA74" s="443"/>
      <c r="FB74" s="443"/>
      <c r="FC74" s="443"/>
      <c r="FD74" s="443"/>
      <c r="FE74" s="443"/>
      <c r="FF74" s="443"/>
      <c r="FG74" s="443"/>
      <c r="FH74" s="443"/>
      <c r="FI74" s="443"/>
      <c r="FJ74" s="443"/>
      <c r="FK74" s="443"/>
      <c r="FL74" s="443"/>
      <c r="FM74" s="443"/>
      <c r="FN74" s="443"/>
      <c r="FO74" s="443"/>
      <c r="FP74" s="443"/>
      <c r="FQ74" s="443"/>
      <c r="FR74" s="443"/>
      <c r="FS74" s="443"/>
      <c r="FT74" s="443"/>
      <c r="FU74" s="443"/>
      <c r="FV74" s="443"/>
      <c r="FW74" s="443"/>
      <c r="FX74" s="443"/>
      <c r="FY74" s="443"/>
      <c r="FZ74" s="443"/>
      <c r="GA74" s="443"/>
      <c r="GB74" s="443"/>
      <c r="GC74" s="443"/>
      <c r="GD74" s="443"/>
      <c r="GE74" s="443"/>
      <c r="GF74" s="443"/>
      <c r="GG74" s="443"/>
      <c r="GH74" s="443"/>
      <c r="GI74" s="443"/>
      <c r="GJ74" s="443"/>
      <c r="GK74" s="443"/>
      <c r="GL74" s="443"/>
      <c r="GM74" s="443"/>
      <c r="GN74" s="443"/>
      <c r="GO74" s="443"/>
      <c r="GP74" s="443"/>
      <c r="GQ74" s="443"/>
      <c r="GR74" s="443"/>
      <c r="GS74" s="443"/>
      <c r="GT74" s="443"/>
      <c r="GU74" s="443"/>
      <c r="GV74" s="443"/>
      <c r="GW74" s="443"/>
      <c r="GX74" s="443"/>
      <c r="GY74" s="443"/>
      <c r="GZ74" s="443"/>
      <c r="HA74" s="443"/>
      <c r="HB74" s="443"/>
      <c r="HC74" s="443"/>
      <c r="HD74" s="443"/>
      <c r="HE74" s="443"/>
      <c r="HF74" s="443"/>
      <c r="HG74" s="443"/>
      <c r="HH74" s="443"/>
      <c r="HI74" s="443"/>
      <c r="HJ74" s="443"/>
      <c r="HK74" s="443"/>
      <c r="HL74" s="443"/>
      <c r="HM74" s="443"/>
      <c r="HN74" s="443"/>
      <c r="HO74" s="443"/>
      <c r="HP74" s="443"/>
      <c r="HQ74" s="443"/>
      <c r="HR74" s="443"/>
      <c r="HS74" s="443"/>
      <c r="HT74" s="443"/>
      <c r="HU74" s="443"/>
      <c r="HV74" s="443"/>
      <c r="HW74" s="443"/>
      <c r="HX74" s="443"/>
      <c r="HY74" s="443"/>
      <c r="HZ74" s="443"/>
      <c r="IA74" s="443"/>
      <c r="IB74" s="443"/>
      <c r="IC74" s="443"/>
      <c r="ID74" s="443"/>
      <c r="IE74" s="443"/>
      <c r="IF74" s="443"/>
      <c r="IG74" s="443"/>
      <c r="IH74" s="443"/>
      <c r="II74" s="443"/>
      <c r="IJ74" s="443"/>
      <c r="IK74" s="443"/>
      <c r="IL74" s="443"/>
      <c r="IM74" s="443"/>
      <c r="IN74" s="443"/>
      <c r="IO74" s="443"/>
      <c r="IP74" s="443"/>
      <c r="IQ74" s="443"/>
      <c r="IR74" s="443"/>
      <c r="IS74" s="443"/>
      <c r="IT74" s="443"/>
      <c r="IU74" s="443"/>
      <c r="IV74" s="443"/>
      <c r="IW74" s="443"/>
      <c r="IX74" s="443"/>
      <c r="IY74" s="443"/>
      <c r="IZ74" s="443"/>
      <c r="JA74" s="443"/>
      <c r="JB74" s="443"/>
      <c r="JC74" s="443"/>
      <c r="JD74" s="443"/>
      <c r="JE74" s="443"/>
      <c r="JF74" s="443"/>
      <c r="JG74" s="443"/>
      <c r="JH74" s="443"/>
      <c r="JI74" s="443"/>
      <c r="JJ74" s="443"/>
      <c r="JK74" s="443"/>
      <c r="JL74" s="443"/>
      <c r="JM74" s="443"/>
      <c r="JN74" s="443"/>
      <c r="JO74" s="443"/>
      <c r="JP74" s="443"/>
      <c r="JQ74" s="443"/>
      <c r="JR74" s="443"/>
      <c r="JS74" s="443"/>
      <c r="JT74" s="443"/>
      <c r="JU74" s="443"/>
      <c r="JV74" s="443"/>
      <c r="JW74" s="443"/>
      <c r="JX74" s="443"/>
      <c r="JY74" s="443"/>
      <c r="JZ74" s="443"/>
      <c r="KA74" s="443"/>
      <c r="KB74" s="443"/>
      <c r="KC74" s="443"/>
      <c r="KD74" s="443"/>
      <c r="KE74" s="443"/>
      <c r="KF74" s="443"/>
      <c r="KG74" s="443"/>
      <c r="KH74" s="443"/>
      <c r="KI74" s="443"/>
      <c r="KJ74" s="443"/>
      <c r="KK74" s="443"/>
      <c r="KL74" s="443"/>
      <c r="KM74" s="443"/>
      <c r="KN74" s="443"/>
      <c r="KO74" s="443"/>
      <c r="KP74" s="443"/>
      <c r="KQ74" s="443"/>
      <c r="KR74" s="443"/>
      <c r="KS74" s="443"/>
      <c r="KT74" s="443"/>
      <c r="KU74" s="443"/>
      <c r="KV74" s="443"/>
      <c r="KW74" s="443"/>
      <c r="KX74" s="443"/>
      <c r="KY74" s="443"/>
      <c r="KZ74" s="443"/>
      <c r="LA74" s="443"/>
      <c r="LB74" s="443"/>
      <c r="LC74" s="443"/>
      <c r="LD74" s="443"/>
      <c r="LE74" s="443"/>
      <c r="LF74" s="443"/>
      <c r="LG74" s="443"/>
      <c r="LH74" s="443"/>
      <c r="LI74" s="443"/>
      <c r="LJ74" s="443"/>
      <c r="LK74" s="443"/>
      <c r="LL74" s="443"/>
      <c r="LM74" s="443"/>
      <c r="LN74" s="443"/>
      <c r="LO74" s="443"/>
      <c r="LP74" s="443"/>
      <c r="LQ74" s="443"/>
      <c r="LR74" s="443"/>
      <c r="LS74" s="443"/>
      <c r="LT74" s="443"/>
      <c r="LU74" s="443"/>
      <c r="LV74" s="443"/>
      <c r="LW74" s="443"/>
      <c r="LX74" s="443"/>
      <c r="LY74" s="443"/>
      <c r="LZ74" s="443"/>
      <c r="MA74" s="443"/>
      <c r="MB74" s="443"/>
      <c r="MC74" s="443"/>
      <c r="MD74" s="443"/>
      <c r="ME74" s="443"/>
      <c r="MF74" s="443"/>
      <c r="MG74" s="443"/>
      <c r="MH74" s="443"/>
      <c r="MI74" s="443"/>
      <c r="MJ74" s="443"/>
      <c r="MK74" s="443"/>
      <c r="ML74" s="443"/>
      <c r="MM74" s="443"/>
      <c r="MN74" s="443"/>
      <c r="MO74" s="443"/>
      <c r="MP74" s="443"/>
      <c r="MQ74" s="443"/>
      <c r="MR74" s="443"/>
      <c r="MS74" s="443"/>
      <c r="MT74" s="443"/>
      <c r="MU74" s="443"/>
      <c r="MV74" s="443"/>
      <c r="MW74" s="443"/>
      <c r="MX74" s="443"/>
      <c r="MY74" s="443"/>
      <c r="MZ74" s="443"/>
      <c r="NA74" s="443"/>
      <c r="NB74" s="443"/>
      <c r="NC74" s="443"/>
      <c r="ND74" s="443"/>
      <c r="NE74" s="443"/>
      <c r="NF74" s="443"/>
      <c r="NG74" s="443"/>
      <c r="NH74" s="443"/>
      <c r="NI74" s="443"/>
      <c r="NJ74" s="443"/>
      <c r="NK74" s="443"/>
      <c r="NL74" s="443"/>
      <c r="NM74" s="443"/>
      <c r="NN74" s="443"/>
      <c r="NO74" s="443"/>
      <c r="NP74" s="443"/>
      <c r="NQ74" s="443"/>
      <c r="NR74" s="443"/>
      <c r="NS74" s="443"/>
      <c r="NT74" s="443"/>
      <c r="NU74" s="443"/>
      <c r="NV74" s="443"/>
      <c r="NW74" s="443"/>
      <c r="NX74" s="443"/>
      <c r="NY74" s="443"/>
      <c r="NZ74" s="443"/>
      <c r="OA74" s="443"/>
      <c r="OB74" s="443"/>
      <c r="OC74" s="443"/>
      <c r="OD74" s="443"/>
      <c r="OE74" s="443"/>
      <c r="OF74" s="443"/>
      <c r="OG74" s="443"/>
      <c r="OH74" s="443"/>
      <c r="OI74" s="443"/>
      <c r="OJ74" s="443"/>
      <c r="OK74" s="443"/>
      <c r="OL74" s="443"/>
      <c r="OM74" s="443"/>
      <c r="ON74" s="443"/>
      <c r="OO74" s="443"/>
      <c r="OP74" s="443"/>
      <c r="OQ74" s="443"/>
      <c r="OR74" s="443"/>
      <c r="OS74" s="443"/>
      <c r="OT74" s="443"/>
      <c r="OU74" s="443"/>
      <c r="OV74" s="443"/>
      <c r="OW74" s="443"/>
      <c r="OX74" s="443"/>
      <c r="OY74" s="443"/>
      <c r="OZ74" s="443"/>
      <c r="PA74" s="443"/>
      <c r="PB74" s="443"/>
      <c r="PC74" s="443"/>
      <c r="PD74" s="443"/>
      <c r="PE74" s="443"/>
      <c r="PF74" s="443"/>
      <c r="PG74" s="443"/>
      <c r="PH74" s="443"/>
      <c r="PI74" s="443"/>
      <c r="PJ74" s="443"/>
      <c r="PK74" s="443"/>
      <c r="PL74" s="443"/>
      <c r="PM74" s="443"/>
      <c r="PN74" s="443"/>
      <c r="PO74" s="443"/>
      <c r="PP74" s="443"/>
      <c r="PQ74" s="443"/>
      <c r="PR74" s="443"/>
      <c r="PS74" s="443"/>
      <c r="PT74" s="443"/>
      <c r="PU74" s="443"/>
      <c r="PV74" s="443"/>
      <c r="PW74" s="443"/>
      <c r="PX74" s="443"/>
      <c r="PY74" s="443"/>
      <c r="PZ74" s="443"/>
      <c r="QA74" s="443"/>
      <c r="QB74" s="443"/>
      <c r="QC74" s="443"/>
      <c r="QD74" s="443"/>
      <c r="QE74" s="443"/>
      <c r="QF74" s="443"/>
      <c r="QG74" s="443"/>
      <c r="QH74" s="443"/>
      <c r="QI74" s="443"/>
      <c r="QJ74" s="443"/>
      <c r="QK74" s="443"/>
      <c r="QL74" s="443"/>
      <c r="QM74" s="443"/>
      <c r="QN74" s="443"/>
      <c r="QO74" s="443"/>
      <c r="QP74" s="443"/>
      <c r="QQ74" s="443"/>
      <c r="QR74" s="443"/>
      <c r="QS74" s="443"/>
      <c r="QT74" s="443"/>
      <c r="QU74" s="443"/>
      <c r="QV74" s="443"/>
      <c r="QW74" s="443"/>
      <c r="QX74" s="443"/>
      <c r="QY74" s="443"/>
      <c r="QZ74" s="443"/>
      <c r="RA74" s="443"/>
      <c r="RB74" s="443"/>
      <c r="RC74" s="443"/>
      <c r="RD74" s="443"/>
      <c r="RE74" s="443"/>
      <c r="RF74" s="443"/>
      <c r="RG74" s="443"/>
      <c r="RH74" s="443"/>
      <c r="RI74" s="443"/>
      <c r="RJ74" s="443"/>
      <c r="RK74" s="443"/>
      <c r="RL74" s="443"/>
      <c r="RM74" s="443"/>
      <c r="RN74" s="443"/>
      <c r="RO74" s="443"/>
      <c r="RP74" s="443"/>
      <c r="RQ74" s="443"/>
      <c r="RR74" s="443"/>
      <c r="RS74" s="443"/>
      <c r="RT74" s="443"/>
      <c r="RU74" s="443"/>
      <c r="RV74" s="443"/>
      <c r="RW74" s="443"/>
      <c r="RX74" s="443"/>
      <c r="RY74" s="443"/>
      <c r="RZ74" s="443"/>
      <c r="SA74" s="443"/>
      <c r="SB74" s="443"/>
      <c r="SC74" s="443"/>
      <c r="SD74" s="443"/>
      <c r="SE74" s="443"/>
      <c r="SF74" s="443"/>
      <c r="SG74" s="443"/>
      <c r="SH74" s="443"/>
      <c r="SI74" s="443"/>
      <c r="SJ74" s="443"/>
      <c r="SK74" s="443"/>
      <c r="SL74" s="443"/>
      <c r="SM74" s="443"/>
      <c r="SN74" s="443"/>
      <c r="SO74" s="443"/>
      <c r="SP74" s="443"/>
      <c r="SQ74" s="443"/>
      <c r="SR74" s="443"/>
      <c r="SS74" s="443"/>
      <c r="ST74" s="443"/>
      <c r="SU74" s="443"/>
      <c r="SV74" s="443"/>
      <c r="SW74" s="443"/>
      <c r="SX74" s="443"/>
      <c r="SY74" s="443"/>
      <c r="SZ74" s="443"/>
      <c r="TA74" s="443"/>
      <c r="TB74" s="443"/>
      <c r="TC74" s="443"/>
      <c r="TD74" s="443"/>
      <c r="TE74" s="443"/>
      <c r="TF74" s="443"/>
      <c r="TG74" s="443"/>
      <c r="TH74" s="443"/>
      <c r="TI74" s="443"/>
      <c r="TJ74" s="443"/>
      <c r="TK74" s="443"/>
      <c r="TL74" s="443"/>
      <c r="TM74" s="443"/>
      <c r="TN74" s="443"/>
      <c r="TO74" s="443"/>
      <c r="TP74" s="443"/>
      <c r="TQ74" s="443"/>
      <c r="TR74" s="443"/>
      <c r="TS74" s="443"/>
      <c r="TT74" s="443"/>
      <c r="TU74" s="443"/>
      <c r="TV74" s="443"/>
      <c r="TW74" s="443"/>
      <c r="TX74" s="443"/>
      <c r="TY74" s="443"/>
      <c r="TZ74" s="443"/>
      <c r="UA74" s="443"/>
      <c r="UB74" s="443"/>
      <c r="UC74" s="443"/>
      <c r="UD74" s="443"/>
      <c r="UE74" s="443"/>
      <c r="UF74" s="443"/>
      <c r="UG74" s="443"/>
      <c r="UH74" s="443"/>
      <c r="UI74" s="443"/>
      <c r="UJ74" s="443"/>
      <c r="UK74" s="443"/>
      <c r="UL74" s="443"/>
      <c r="UM74" s="443"/>
      <c r="UN74" s="443"/>
      <c r="UO74" s="443"/>
      <c r="UP74" s="443"/>
      <c r="UQ74" s="443"/>
      <c r="UR74" s="443"/>
      <c r="US74" s="443"/>
      <c r="UT74" s="443"/>
      <c r="UU74" s="443"/>
      <c r="UV74" s="443"/>
      <c r="UW74" s="443"/>
      <c r="UX74" s="443"/>
      <c r="UY74" s="443"/>
      <c r="UZ74" s="443"/>
      <c r="VA74" s="443"/>
      <c r="VB74" s="443"/>
      <c r="VC74" s="443"/>
      <c r="VD74" s="443"/>
      <c r="VE74" s="443"/>
      <c r="VF74" s="443"/>
      <c r="VG74" s="443"/>
      <c r="VH74" s="443"/>
      <c r="VI74" s="443"/>
      <c r="VJ74" s="443"/>
      <c r="VK74" s="443"/>
      <c r="VL74" s="443"/>
      <c r="VM74" s="443"/>
      <c r="VN74" s="443"/>
      <c r="VO74" s="443"/>
      <c r="VP74" s="443"/>
      <c r="VQ74" s="443"/>
      <c r="VR74" s="443"/>
      <c r="VS74" s="443"/>
      <c r="VT74" s="443"/>
      <c r="VU74" s="443"/>
      <c r="VV74" s="443"/>
      <c r="VW74" s="443"/>
      <c r="VX74" s="443"/>
      <c r="VY74" s="443"/>
      <c r="VZ74" s="443"/>
      <c r="WA74" s="443"/>
      <c r="WB74" s="443"/>
      <c r="WC74" s="443"/>
      <c r="WD74" s="443"/>
      <c r="WE74" s="443"/>
      <c r="WF74" s="443"/>
      <c r="WG74" s="443"/>
      <c r="WH74" s="443"/>
      <c r="WI74" s="443"/>
      <c r="WJ74" s="443"/>
      <c r="WK74" s="443"/>
      <c r="WL74" s="443"/>
      <c r="WM74" s="443"/>
      <c r="WN74" s="443"/>
      <c r="WO74" s="443"/>
      <c r="WP74" s="443"/>
      <c r="WQ74" s="443"/>
      <c r="WR74" s="443"/>
      <c r="WS74" s="443"/>
      <c r="WT74" s="443"/>
      <c r="WU74" s="443"/>
      <c r="WV74" s="443"/>
      <c r="WW74" s="443"/>
      <c r="WX74" s="443"/>
      <c r="WY74" s="443"/>
      <c r="WZ74" s="443"/>
      <c r="XA74" s="443"/>
      <c r="XB74" s="443"/>
      <c r="XC74" s="443"/>
      <c r="XD74" s="443"/>
      <c r="XE74" s="443"/>
      <c r="XF74" s="443"/>
      <c r="XG74" s="443"/>
      <c r="XH74" s="443"/>
      <c r="XI74" s="443"/>
      <c r="XJ74" s="443"/>
      <c r="XK74" s="443"/>
      <c r="XL74" s="443"/>
      <c r="XM74" s="443"/>
      <c r="XN74" s="443"/>
      <c r="XO74" s="443"/>
      <c r="XP74" s="443"/>
      <c r="XQ74" s="443"/>
      <c r="XR74" s="443"/>
      <c r="XS74" s="443"/>
      <c r="XT74" s="443"/>
      <c r="XU74" s="443"/>
      <c r="XV74" s="443"/>
      <c r="XW74" s="443"/>
      <c r="XX74" s="443"/>
      <c r="XY74" s="443"/>
      <c r="XZ74" s="443"/>
      <c r="YA74" s="443"/>
      <c r="YB74" s="443"/>
      <c r="YC74" s="443"/>
      <c r="YD74" s="443"/>
      <c r="YE74" s="443"/>
      <c r="YF74" s="443"/>
      <c r="YG74" s="443"/>
      <c r="YH74" s="443"/>
      <c r="YI74" s="443"/>
      <c r="YJ74" s="443"/>
      <c r="YK74" s="443"/>
      <c r="YL74" s="443"/>
      <c r="YM74" s="443"/>
      <c r="YN74" s="443"/>
      <c r="YO74" s="443"/>
      <c r="YP74" s="443"/>
      <c r="YQ74" s="443"/>
      <c r="YR74" s="443"/>
      <c r="YS74" s="443"/>
      <c r="YT74" s="443"/>
      <c r="YU74" s="443"/>
      <c r="YV74" s="443"/>
      <c r="YW74" s="443"/>
      <c r="YX74" s="443"/>
      <c r="YY74" s="443"/>
      <c r="YZ74" s="443"/>
      <c r="ZA74" s="443"/>
      <c r="ZB74" s="443"/>
      <c r="ZC74" s="443"/>
      <c r="ZD74" s="443"/>
      <c r="ZE74" s="443"/>
      <c r="ZF74" s="443"/>
      <c r="ZG74" s="443"/>
      <c r="ZH74" s="443"/>
      <c r="ZI74" s="443"/>
      <c r="ZJ74" s="443"/>
      <c r="ZK74" s="443"/>
      <c r="ZL74" s="443"/>
      <c r="ZM74" s="443"/>
      <c r="ZN74" s="443"/>
      <c r="ZO74" s="443"/>
      <c r="ZP74" s="443"/>
      <c r="ZQ74" s="443"/>
      <c r="ZR74" s="443"/>
      <c r="ZS74" s="443"/>
      <c r="ZT74" s="443"/>
      <c r="ZU74" s="443"/>
      <c r="ZV74" s="443"/>
      <c r="ZW74" s="443"/>
      <c r="ZX74" s="443"/>
      <c r="ZY74" s="443"/>
      <c r="ZZ74" s="443"/>
      <c r="AAA74" s="443"/>
      <c r="AAB74" s="443"/>
      <c r="AAC74" s="443"/>
      <c r="AAD74" s="443"/>
      <c r="AAE74" s="443"/>
      <c r="AAF74" s="443"/>
      <c r="AAG74" s="443"/>
      <c r="AAH74" s="443"/>
      <c r="AAI74" s="443"/>
      <c r="AAJ74" s="443"/>
      <c r="AAK74" s="443"/>
      <c r="AAL74" s="443"/>
      <c r="AAM74" s="443"/>
      <c r="AAN74" s="443"/>
      <c r="AAO74" s="443"/>
      <c r="AAP74" s="443"/>
      <c r="AAQ74" s="443"/>
      <c r="AAR74" s="443"/>
      <c r="AAS74" s="443"/>
      <c r="AAT74" s="443"/>
      <c r="AAU74" s="443"/>
      <c r="AAV74" s="443"/>
      <c r="AAW74" s="443"/>
      <c r="AAX74" s="443"/>
      <c r="AAY74" s="443"/>
      <c r="AAZ74" s="443"/>
      <c r="ABA74" s="443"/>
      <c r="ABB74" s="443"/>
      <c r="ABC74" s="443"/>
      <c r="ABD74" s="443"/>
      <c r="ABE74" s="443"/>
      <c r="ABF74" s="443"/>
      <c r="ABG74" s="443"/>
      <c r="ABH74" s="443"/>
      <c r="ABI74" s="443"/>
      <c r="ABJ74" s="443"/>
      <c r="ABK74" s="443"/>
      <c r="ABL74" s="443"/>
      <c r="ABM74" s="443"/>
      <c r="ABN74" s="443"/>
      <c r="ABO74" s="443"/>
      <c r="ABP74" s="443"/>
      <c r="ABQ74" s="443"/>
      <c r="ABR74" s="443"/>
      <c r="ABS74" s="443"/>
      <c r="ABT74" s="443"/>
      <c r="ABU74" s="443"/>
      <c r="ABV74" s="443"/>
      <c r="ABW74" s="443"/>
      <c r="ABX74" s="443"/>
      <c r="ABY74" s="443"/>
      <c r="ABZ74" s="443"/>
      <c r="ACA74" s="443"/>
      <c r="ACB74" s="443"/>
      <c r="ACC74" s="443"/>
      <c r="ACD74" s="443"/>
      <c r="ACE74" s="443"/>
      <c r="ACF74" s="443"/>
      <c r="ACG74" s="443"/>
      <c r="ACH74" s="443"/>
      <c r="ACI74" s="443"/>
      <c r="ACJ74" s="443"/>
      <c r="ACK74" s="443"/>
      <c r="ACL74" s="443"/>
      <c r="ACM74" s="443"/>
      <c r="ACN74" s="443"/>
      <c r="ACO74" s="443"/>
      <c r="ACP74" s="443"/>
      <c r="ACQ74" s="443"/>
      <c r="ACR74" s="443"/>
      <c r="ACS74" s="443"/>
      <c r="ACT74" s="443"/>
      <c r="ACU74" s="443"/>
      <c r="ACV74" s="443"/>
      <c r="ACW74" s="443"/>
      <c r="ACX74" s="443"/>
      <c r="ACY74" s="443"/>
      <c r="ACZ74" s="443"/>
      <c r="ADA74" s="443"/>
      <c r="ADB74" s="443"/>
      <c r="ADC74" s="443"/>
      <c r="ADD74" s="443"/>
      <c r="ADE74" s="443"/>
      <c r="ADF74" s="443"/>
      <c r="ADG74" s="443"/>
      <c r="ADH74" s="443"/>
      <c r="ADI74" s="443"/>
      <c r="ADJ74" s="443"/>
      <c r="ADK74" s="443"/>
      <c r="ADL74" s="443"/>
      <c r="ADM74" s="443"/>
      <c r="ADN74" s="443"/>
      <c r="ADO74" s="443"/>
      <c r="ADP74" s="443"/>
      <c r="ADQ74" s="443"/>
      <c r="ADR74" s="443"/>
      <c r="ADS74" s="443"/>
      <c r="ADT74" s="443"/>
      <c r="ADU74" s="443"/>
      <c r="ADV74" s="443"/>
      <c r="ADW74" s="443"/>
      <c r="ADX74" s="443"/>
      <c r="ADY74" s="443"/>
      <c r="ADZ74" s="443"/>
      <c r="AEA74" s="443"/>
      <c r="AEB74" s="443"/>
      <c r="AEC74" s="443"/>
      <c r="AED74" s="443"/>
      <c r="AEE74" s="443"/>
      <c r="AEF74" s="443"/>
      <c r="AEG74" s="443"/>
      <c r="AEH74" s="443"/>
      <c r="AEI74" s="443"/>
      <c r="AEJ74" s="443"/>
      <c r="AEK74" s="443"/>
      <c r="AEL74" s="443"/>
      <c r="AEM74" s="443"/>
      <c r="AEN74" s="443"/>
      <c r="AEO74" s="443"/>
      <c r="AEP74" s="443"/>
      <c r="AEQ74" s="443"/>
      <c r="AER74" s="443"/>
      <c r="AES74" s="443"/>
      <c r="AET74" s="443"/>
      <c r="AEU74" s="443"/>
      <c r="AEV74" s="443"/>
      <c r="AEW74" s="443"/>
      <c r="AEX74" s="443"/>
      <c r="AEY74" s="443"/>
      <c r="AEZ74" s="443"/>
      <c r="AFA74" s="443"/>
      <c r="AFB74" s="443"/>
      <c r="AFC74" s="443"/>
      <c r="AFD74" s="443"/>
      <c r="AFE74" s="443"/>
      <c r="AFF74" s="443"/>
      <c r="AFG74" s="443"/>
      <c r="AFH74" s="443"/>
      <c r="AFI74" s="443"/>
      <c r="AFJ74" s="443"/>
      <c r="AFK74" s="443"/>
      <c r="AFL74" s="443"/>
      <c r="AFM74" s="443"/>
      <c r="AFN74" s="443"/>
      <c r="AFO74" s="443"/>
      <c r="AFP74" s="443"/>
      <c r="AFQ74" s="443"/>
      <c r="AFR74" s="443"/>
      <c r="AFS74" s="443"/>
      <c r="AFT74" s="443"/>
      <c r="AFU74" s="443"/>
      <c r="AFV74" s="443"/>
      <c r="AFW74" s="443"/>
      <c r="AFX74" s="443"/>
      <c r="AFY74" s="443"/>
      <c r="AFZ74" s="443"/>
      <c r="AGA74" s="443"/>
      <c r="AGB74" s="443"/>
      <c r="AGC74" s="443"/>
      <c r="AGD74" s="443"/>
      <c r="AGE74" s="443"/>
      <c r="AGF74" s="443"/>
      <c r="AGG74" s="443"/>
      <c r="AGH74" s="443"/>
      <c r="AGI74" s="443"/>
      <c r="AGJ74" s="443"/>
    </row>
    <row r="75" spans="1:868" s="443" customFormat="1">
      <c r="A75" s="653" t="s">
        <v>445</v>
      </c>
      <c r="B75" s="793" t="s">
        <v>447</v>
      </c>
      <c r="C75" s="34" t="s">
        <v>139</v>
      </c>
      <c r="D75" s="630" t="s">
        <v>99</v>
      </c>
      <c r="E75" s="763">
        <v>0.01</v>
      </c>
      <c r="F75" s="118">
        <v>2</v>
      </c>
      <c r="G75" s="118" t="s">
        <v>433</v>
      </c>
      <c r="H75" s="66">
        <v>1</v>
      </c>
      <c r="I75" s="66">
        <v>2</v>
      </c>
      <c r="J75" s="66">
        <v>2</v>
      </c>
      <c r="K75" s="66">
        <v>1</v>
      </c>
      <c r="L75" s="66">
        <v>1</v>
      </c>
      <c r="M75" s="66">
        <v>1</v>
      </c>
      <c r="N75" s="445">
        <f t="shared" si="25"/>
        <v>0.16933510251023262</v>
      </c>
      <c r="O75" s="445">
        <f t="shared" si="26"/>
        <v>0.19908580854301616</v>
      </c>
      <c r="P75" s="118" t="s">
        <v>847</v>
      </c>
    </row>
    <row r="76" spans="1:868" s="443" customFormat="1" ht="15.75" thickBot="1">
      <c r="A76" s="654" t="s">
        <v>445</v>
      </c>
      <c r="B76" s="794" t="s">
        <v>448</v>
      </c>
      <c r="C76" s="34" t="s">
        <v>139</v>
      </c>
      <c r="D76" s="124" t="s">
        <v>99</v>
      </c>
      <c r="E76" s="768" t="s">
        <v>150</v>
      </c>
      <c r="F76" s="119">
        <v>1</v>
      </c>
      <c r="G76" s="119" t="s">
        <v>433</v>
      </c>
      <c r="H76" s="15"/>
      <c r="I76" s="15"/>
      <c r="J76" s="15"/>
      <c r="K76" s="15"/>
      <c r="L76" s="15"/>
      <c r="M76" s="15"/>
      <c r="N76" s="430" t="str">
        <f t="shared" si="25"/>
        <v/>
      </c>
      <c r="O76" s="430" t="str">
        <f t="shared" si="26"/>
        <v/>
      </c>
      <c r="P76" s="119"/>
    </row>
    <row r="77" spans="1:868" s="443" customFormat="1" ht="15.75" thickBot="1">
      <c r="A77" s="649" t="s">
        <v>447</v>
      </c>
      <c r="B77" s="804" t="s">
        <v>258</v>
      </c>
      <c r="C77" s="34" t="s">
        <v>139</v>
      </c>
      <c r="D77" s="800" t="s">
        <v>99</v>
      </c>
      <c r="E77" s="770">
        <v>1</v>
      </c>
      <c r="F77" s="769">
        <v>2</v>
      </c>
      <c r="G77" s="769" t="s">
        <v>433</v>
      </c>
      <c r="H77" s="70">
        <v>1</v>
      </c>
      <c r="I77" s="70">
        <v>2</v>
      </c>
      <c r="J77" s="70">
        <v>2</v>
      </c>
      <c r="K77" s="70">
        <v>1</v>
      </c>
      <c r="L77" s="70">
        <v>1</v>
      </c>
      <c r="M77" s="70">
        <v>1</v>
      </c>
      <c r="N77" s="446">
        <f t="shared" si="25"/>
        <v>0.16933510251023262</v>
      </c>
      <c r="O77" s="446">
        <f t="shared" si="26"/>
        <v>0.19908580854301616</v>
      </c>
      <c r="P77" s="771" t="s">
        <v>848</v>
      </c>
    </row>
    <row r="78" spans="1:868" s="443" customFormat="1">
      <c r="A78" s="653" t="s">
        <v>446</v>
      </c>
      <c r="B78" s="793" t="s">
        <v>449</v>
      </c>
      <c r="C78" s="34" t="s">
        <v>139</v>
      </c>
      <c r="D78" s="630" t="s">
        <v>99</v>
      </c>
      <c r="E78" s="763">
        <v>0.01</v>
      </c>
      <c r="F78" s="118">
        <v>2</v>
      </c>
      <c r="G78" s="118" t="s">
        <v>433</v>
      </c>
      <c r="H78" s="66">
        <v>1</v>
      </c>
      <c r="I78" s="66">
        <v>2</v>
      </c>
      <c r="J78" s="66">
        <v>2</v>
      </c>
      <c r="K78" s="66">
        <v>1</v>
      </c>
      <c r="L78" s="66">
        <v>1</v>
      </c>
      <c r="M78" s="66">
        <v>1</v>
      </c>
      <c r="N78" s="445">
        <f t="shared" si="25"/>
        <v>0.16933510251023262</v>
      </c>
      <c r="O78" s="445">
        <f t="shared" si="26"/>
        <v>0.19908580854301616</v>
      </c>
      <c r="P78" s="118" t="s">
        <v>849</v>
      </c>
    </row>
    <row r="79" spans="1:868" s="443" customFormat="1" ht="15.75" thickBot="1">
      <c r="A79" s="654" t="s">
        <v>446</v>
      </c>
      <c r="B79" s="794" t="s">
        <v>450</v>
      </c>
      <c r="C79" s="34" t="s">
        <v>139</v>
      </c>
      <c r="D79" s="124" t="s">
        <v>99</v>
      </c>
      <c r="E79" s="768" t="s">
        <v>150</v>
      </c>
      <c r="F79" s="119">
        <v>1</v>
      </c>
      <c r="G79" s="119" t="s">
        <v>433</v>
      </c>
      <c r="H79" s="15"/>
      <c r="I79" s="15"/>
      <c r="J79" s="15"/>
      <c r="K79" s="15"/>
      <c r="L79" s="15"/>
      <c r="M79" s="15"/>
      <c r="N79" s="430" t="str">
        <f t="shared" si="25"/>
        <v/>
      </c>
      <c r="O79" s="430" t="str">
        <f t="shared" si="26"/>
        <v/>
      </c>
      <c r="P79" s="119"/>
    </row>
    <row r="80" spans="1:868" s="443" customFormat="1" ht="15.75" thickBot="1">
      <c r="A80" s="649" t="s">
        <v>449</v>
      </c>
      <c r="B80" s="804" t="s">
        <v>258</v>
      </c>
      <c r="C80" s="34" t="s">
        <v>139</v>
      </c>
      <c r="D80" s="800" t="s">
        <v>99</v>
      </c>
      <c r="E80" s="770">
        <v>1</v>
      </c>
      <c r="F80" s="769">
        <v>2</v>
      </c>
      <c r="G80" s="769" t="s">
        <v>433</v>
      </c>
      <c r="H80" s="70">
        <v>1</v>
      </c>
      <c r="I80" s="70">
        <v>2</v>
      </c>
      <c r="J80" s="70">
        <v>2</v>
      </c>
      <c r="K80" s="70">
        <v>1</v>
      </c>
      <c r="L80" s="70">
        <v>1</v>
      </c>
      <c r="M80" s="70">
        <v>1</v>
      </c>
      <c r="N80" s="446">
        <f t="shared" si="25"/>
        <v>0.16933510251023262</v>
      </c>
      <c r="O80" s="446">
        <f t="shared" si="26"/>
        <v>0.19908580854301616</v>
      </c>
      <c r="P80" s="771" t="s">
        <v>848</v>
      </c>
    </row>
    <row r="81" spans="1:18" s="443" customFormat="1">
      <c r="A81" s="653" t="s">
        <v>448</v>
      </c>
      <c r="B81" s="793" t="s">
        <v>258</v>
      </c>
      <c r="C81" s="34" t="s">
        <v>139</v>
      </c>
      <c r="D81" s="630" t="s">
        <v>99</v>
      </c>
      <c r="E81" s="763">
        <v>0.01</v>
      </c>
      <c r="F81" s="118">
        <v>2</v>
      </c>
      <c r="G81" s="118" t="s">
        <v>433</v>
      </c>
      <c r="H81" s="66">
        <v>1</v>
      </c>
      <c r="I81" s="66">
        <v>2</v>
      </c>
      <c r="J81" s="66">
        <v>2</v>
      </c>
      <c r="K81" s="66">
        <v>1</v>
      </c>
      <c r="L81" s="66">
        <v>1</v>
      </c>
      <c r="M81" s="66">
        <v>1</v>
      </c>
      <c r="N81" s="445">
        <f t="shared" si="25"/>
        <v>0.16933510251023262</v>
      </c>
      <c r="O81" s="445">
        <f t="shared" si="26"/>
        <v>0.19908580854301616</v>
      </c>
      <c r="P81" s="118" t="s">
        <v>850</v>
      </c>
    </row>
    <row r="82" spans="1:18" s="443" customFormat="1" ht="15.75" thickBot="1">
      <c r="A82" s="654" t="s">
        <v>448</v>
      </c>
      <c r="B82" s="794" t="s">
        <v>334</v>
      </c>
      <c r="C82" s="34" t="s">
        <v>139</v>
      </c>
      <c r="D82" s="124" t="s">
        <v>99</v>
      </c>
      <c r="E82" s="768" t="s">
        <v>150</v>
      </c>
      <c r="F82" s="119">
        <v>1</v>
      </c>
      <c r="G82" s="119" t="s">
        <v>433</v>
      </c>
      <c r="H82" s="15"/>
      <c r="I82" s="15"/>
      <c r="J82" s="15"/>
      <c r="K82" s="15"/>
      <c r="L82" s="15"/>
      <c r="M82" s="15"/>
      <c r="N82" s="430" t="str">
        <f t="shared" si="25"/>
        <v/>
      </c>
      <c r="O82" s="430" t="str">
        <f t="shared" si="26"/>
        <v/>
      </c>
      <c r="P82" s="119"/>
    </row>
    <row r="83" spans="1:18" s="443" customFormat="1">
      <c r="A83" s="650" t="s">
        <v>450</v>
      </c>
      <c r="B83" s="802" t="s">
        <v>258</v>
      </c>
      <c r="C83" s="34" t="s">
        <v>139</v>
      </c>
      <c r="D83" s="121" t="s">
        <v>99</v>
      </c>
      <c r="E83" s="648">
        <v>0.05</v>
      </c>
      <c r="F83" s="11">
        <v>2</v>
      </c>
      <c r="G83" s="11" t="s">
        <v>433</v>
      </c>
      <c r="H83" s="13">
        <v>1</v>
      </c>
      <c r="I83" s="13">
        <v>2</v>
      </c>
      <c r="J83" s="13">
        <v>2</v>
      </c>
      <c r="K83" s="13">
        <v>1</v>
      </c>
      <c r="L83" s="13">
        <v>1</v>
      </c>
      <c r="M83" s="13">
        <v>1</v>
      </c>
      <c r="N83" s="431">
        <f t="shared" si="25"/>
        <v>0.16933510251023262</v>
      </c>
      <c r="O83" s="431">
        <f t="shared" si="26"/>
        <v>0.19908580854301616</v>
      </c>
      <c r="P83" s="42" t="s">
        <v>851</v>
      </c>
    </row>
    <row r="84" spans="1:18" s="443" customFormat="1" ht="15.75" thickBot="1">
      <c r="A84" s="651" t="s">
        <v>450</v>
      </c>
      <c r="B84" s="803" t="s">
        <v>334</v>
      </c>
      <c r="C84" s="34" t="s">
        <v>139</v>
      </c>
      <c r="D84" s="123" t="s">
        <v>99</v>
      </c>
      <c r="E84" s="772" t="s">
        <v>150</v>
      </c>
      <c r="F84" s="12">
        <v>1</v>
      </c>
      <c r="G84" s="12" t="s">
        <v>433</v>
      </c>
      <c r="H84" s="14"/>
      <c r="I84" s="14"/>
      <c r="J84" s="14"/>
      <c r="K84" s="14"/>
      <c r="L84" s="14"/>
      <c r="M84" s="14"/>
      <c r="N84" s="434" t="str">
        <f t="shared" si="25"/>
        <v/>
      </c>
      <c r="O84" s="434" t="str">
        <f t="shared" si="26"/>
        <v/>
      </c>
      <c r="P84" s="44"/>
    </row>
    <row r="85" spans="1:18" s="443" customFormat="1">
      <c r="A85" s="653" t="s">
        <v>432</v>
      </c>
      <c r="B85" s="793" t="s">
        <v>452</v>
      </c>
      <c r="C85" s="34" t="s">
        <v>139</v>
      </c>
      <c r="D85" s="630" t="s">
        <v>99</v>
      </c>
      <c r="E85" s="763">
        <f>0.5*0.97</f>
        <v>0.48499999999999999</v>
      </c>
      <c r="F85" s="118">
        <v>2</v>
      </c>
      <c r="G85" s="118" t="s">
        <v>433</v>
      </c>
      <c r="H85" s="66">
        <v>1</v>
      </c>
      <c r="I85" s="66">
        <v>2</v>
      </c>
      <c r="J85" s="66">
        <v>2</v>
      </c>
      <c r="K85" s="66">
        <v>1</v>
      </c>
      <c r="L85" s="66">
        <v>1</v>
      </c>
      <c r="M85" s="66">
        <v>1</v>
      </c>
      <c r="N85" s="445">
        <f t="shared" si="25"/>
        <v>0.16933510251023262</v>
      </c>
      <c r="O85" s="445">
        <f t="shared" si="26"/>
        <v>0.19908580854301616</v>
      </c>
      <c r="P85" s="118" t="s">
        <v>852</v>
      </c>
    </row>
    <row r="86" spans="1:18" s="443" customFormat="1">
      <c r="A86" s="318" t="s">
        <v>432</v>
      </c>
      <c r="B86" s="799" t="s">
        <v>453</v>
      </c>
      <c r="C86" s="34" t="s">
        <v>139</v>
      </c>
      <c r="D86" s="122" t="s">
        <v>99</v>
      </c>
      <c r="E86" s="245">
        <f>0.5*0.97</f>
        <v>0.48499999999999999</v>
      </c>
      <c r="F86" s="9">
        <v>2</v>
      </c>
      <c r="G86" s="9" t="s">
        <v>433</v>
      </c>
      <c r="H86" s="10">
        <v>1</v>
      </c>
      <c r="I86" s="10">
        <v>2</v>
      </c>
      <c r="J86" s="10">
        <v>2</v>
      </c>
      <c r="K86" s="10">
        <v>1</v>
      </c>
      <c r="L86" s="10">
        <v>1</v>
      </c>
      <c r="M86" s="10">
        <v>1</v>
      </c>
      <c r="N86" s="411">
        <f t="shared" si="25"/>
        <v>0.16933510251023262</v>
      </c>
      <c r="O86" s="411">
        <f t="shared" si="26"/>
        <v>0.19908580854301616</v>
      </c>
      <c r="P86" s="9" t="s">
        <v>853</v>
      </c>
    </row>
    <row r="87" spans="1:18" s="443" customFormat="1" ht="15.75" thickBot="1">
      <c r="A87" s="654" t="s">
        <v>432</v>
      </c>
      <c r="B87" s="794" t="s">
        <v>223</v>
      </c>
      <c r="C87" s="34" t="s">
        <v>139</v>
      </c>
      <c r="D87" s="124" t="s">
        <v>99</v>
      </c>
      <c r="E87" s="768">
        <v>0.03</v>
      </c>
      <c r="F87" s="119">
        <v>1</v>
      </c>
      <c r="G87" s="119" t="s">
        <v>433</v>
      </c>
      <c r="H87" s="15">
        <v>1</v>
      </c>
      <c r="I87" s="15">
        <v>2</v>
      </c>
      <c r="J87" s="15">
        <v>2</v>
      </c>
      <c r="K87" s="15">
        <v>1</v>
      </c>
      <c r="L87" s="15">
        <v>1</v>
      </c>
      <c r="M87" s="15">
        <v>1</v>
      </c>
      <c r="N87" s="430">
        <f t="shared" si="25"/>
        <v>0.16933510251023262</v>
      </c>
      <c r="O87" s="430">
        <f t="shared" si="26"/>
        <v>0.19908580854301616</v>
      </c>
      <c r="P87" s="119" t="s">
        <v>854</v>
      </c>
    </row>
    <row r="88" spans="1:18" s="443" customFormat="1">
      <c r="A88" s="650" t="s">
        <v>452</v>
      </c>
      <c r="B88" s="802" t="s">
        <v>455</v>
      </c>
      <c r="C88" s="34" t="s">
        <v>139</v>
      </c>
      <c r="D88" s="121" t="s">
        <v>99</v>
      </c>
      <c r="E88" s="648">
        <v>0.03</v>
      </c>
      <c r="F88" s="11">
        <v>2</v>
      </c>
      <c r="G88" s="11" t="s">
        <v>433</v>
      </c>
      <c r="H88" s="13">
        <v>1</v>
      </c>
      <c r="I88" s="13">
        <v>2</v>
      </c>
      <c r="J88" s="13">
        <v>2</v>
      </c>
      <c r="K88" s="13">
        <v>1</v>
      </c>
      <c r="L88" s="13">
        <v>1</v>
      </c>
      <c r="M88" s="13">
        <v>1</v>
      </c>
      <c r="N88" s="431">
        <f t="shared" si="25"/>
        <v>0.16933510251023262</v>
      </c>
      <c r="O88" s="431">
        <f t="shared" si="26"/>
        <v>0.19908580854301616</v>
      </c>
      <c r="P88" s="42" t="s">
        <v>855</v>
      </c>
    </row>
    <row r="89" spans="1:18" s="443" customFormat="1" ht="15.75" thickBot="1">
      <c r="A89" s="651" t="s">
        <v>452</v>
      </c>
      <c r="B89" s="803" t="s">
        <v>454</v>
      </c>
      <c r="C89" s="34" t="s">
        <v>139</v>
      </c>
      <c r="D89" s="123" t="s">
        <v>99</v>
      </c>
      <c r="E89" s="772" t="s">
        <v>150</v>
      </c>
      <c r="F89" s="12">
        <v>1</v>
      </c>
      <c r="G89" s="12" t="s">
        <v>433</v>
      </c>
      <c r="H89" s="14"/>
      <c r="I89" s="14"/>
      <c r="J89" s="14"/>
      <c r="K89" s="14"/>
      <c r="L89" s="14"/>
      <c r="M89" s="14"/>
      <c r="N89" s="434" t="str">
        <f t="shared" si="25"/>
        <v/>
      </c>
      <c r="O89" s="434" t="str">
        <f t="shared" si="26"/>
        <v/>
      </c>
      <c r="P89" s="44"/>
    </row>
    <row r="90" spans="1:18" s="443" customFormat="1">
      <c r="A90" s="653" t="s">
        <v>455</v>
      </c>
      <c r="B90" s="793" t="s">
        <v>231</v>
      </c>
      <c r="C90" s="34" t="s">
        <v>139</v>
      </c>
      <c r="D90" s="630" t="s">
        <v>99</v>
      </c>
      <c r="E90" s="768">
        <v>0.05</v>
      </c>
      <c r="F90" s="119">
        <v>2</v>
      </c>
      <c r="G90" s="11" t="s">
        <v>157</v>
      </c>
      <c r="H90" s="15">
        <v>1</v>
      </c>
      <c r="I90" s="15">
        <v>2</v>
      </c>
      <c r="J90" s="15">
        <v>2</v>
      </c>
      <c r="K90" s="15">
        <v>1</v>
      </c>
      <c r="L90" s="15">
        <v>3</v>
      </c>
      <c r="M90" s="13">
        <v>3</v>
      </c>
      <c r="N90" s="430">
        <f>IF( OR( ISBLANK(H90),ISBLANK(J90), ISBLANK(K90), ISBLANK(L90), ISBLANK(M90) ), "", 1.5*SQRT(   EXP(2.21*(H90-1)) + EXP(2.21*(J90-1)) + EXP(2.21*(K90-1)) + EXP(2.21*(L90-1)) + EXP(2.21*M90)   )/100*2.45 )</f>
        <v>1.0725046436742278</v>
      </c>
      <c r="O90" s="430">
        <f>IF( OR( ISBLANK(I90),ISBLANK(J90), ISBLANK(K90), ISBLANK(L90), ISBLANK(M90) ), "", 1.5*SQRT( EXP(2.21*(I90-1)) + EXP(2.21*(J90-1)) + EXP(2.21*(K90-1)) + EXP(2.21*(L90-1)) + EXP(2.21*M90)   )/100*2.45 )</f>
        <v>1.0776024280428556</v>
      </c>
      <c r="P90" s="119" t="s">
        <v>1937</v>
      </c>
      <c r="R90" s="775"/>
    </row>
    <row r="91" spans="1:18" s="443" customFormat="1">
      <c r="A91" s="318" t="s">
        <v>455</v>
      </c>
      <c r="B91" s="799" t="s">
        <v>232</v>
      </c>
      <c r="C91" s="34" t="s">
        <v>139</v>
      </c>
      <c r="D91" s="122" t="s">
        <v>99</v>
      </c>
      <c r="E91" s="245">
        <v>0.39400000000000002</v>
      </c>
      <c r="F91" s="9">
        <v>2</v>
      </c>
      <c r="G91" s="9" t="s">
        <v>433</v>
      </c>
      <c r="H91" s="10">
        <v>1</v>
      </c>
      <c r="I91" s="10">
        <v>2</v>
      </c>
      <c r="J91" s="10">
        <v>2</v>
      </c>
      <c r="K91" s="10">
        <v>1</v>
      </c>
      <c r="L91" s="10">
        <v>1</v>
      </c>
      <c r="M91" s="10">
        <v>1</v>
      </c>
      <c r="N91" s="411">
        <f t="shared" si="25"/>
        <v>0.16933510251023262</v>
      </c>
      <c r="O91" s="411">
        <f t="shared" si="26"/>
        <v>0.19908580854301616</v>
      </c>
      <c r="P91" s="9" t="s">
        <v>1961</v>
      </c>
    </row>
    <row r="92" spans="1:18" s="443" customFormat="1">
      <c r="A92" s="654" t="s">
        <v>455</v>
      </c>
      <c r="B92" s="794" t="s">
        <v>251</v>
      </c>
      <c r="C92" s="34" t="s">
        <v>139</v>
      </c>
      <c r="D92" s="124" t="s">
        <v>99</v>
      </c>
      <c r="E92" s="245">
        <v>0.52200000000000002</v>
      </c>
      <c r="F92" s="7">
        <v>1</v>
      </c>
      <c r="G92" s="9" t="s">
        <v>433</v>
      </c>
      <c r="H92" s="10">
        <v>1</v>
      </c>
      <c r="I92" s="10">
        <v>2</v>
      </c>
      <c r="J92" s="10">
        <v>2</v>
      </c>
      <c r="K92" s="10">
        <v>1</v>
      </c>
      <c r="L92" s="10">
        <v>1</v>
      </c>
      <c r="M92" s="10">
        <v>1</v>
      </c>
      <c r="N92" s="411">
        <f>IF( OR( ISBLANK(H92),ISBLANK(J92), ISBLANK(K92), ISBLANK(L92), ISBLANK(M92) ), "", 1.5*SQRT(   EXP(2.21*(H92-1)) + EXP(2.21*(J92-1)) + EXP(2.21*(K92-1)) + EXP(2.21*(L92-1)) + EXP(2.21*M92)   )/100*2.45 )</f>
        <v>0.16933510251023262</v>
      </c>
      <c r="O92" s="411">
        <f>IF( OR( ISBLANK(I92),ISBLANK(J92), ISBLANK(K92), ISBLANK(L92), ISBLANK(M92) ), "", 1.5*SQRT( EXP(2.21*(I92-1)) + EXP(2.21*(J92-1)) + EXP(2.21*(K92-1)) + EXP(2.21*(L92-1)) + EXP(2.21*M92)   )/100*2.45 )</f>
        <v>0.19908580854301616</v>
      </c>
      <c r="P92" s="9" t="s">
        <v>1962</v>
      </c>
    </row>
    <row r="93" spans="1:18" s="443" customFormat="1" ht="15.75" thickBot="1">
      <c r="A93" s="654" t="s">
        <v>455</v>
      </c>
      <c r="B93" s="794" t="s">
        <v>258</v>
      </c>
      <c r="C93" s="34" t="s">
        <v>139</v>
      </c>
      <c r="D93" s="124" t="s">
        <v>99</v>
      </c>
      <c r="E93" s="768">
        <v>3.4000000000000002E-2</v>
      </c>
      <c r="F93" s="119">
        <v>2</v>
      </c>
      <c r="G93" s="9" t="s">
        <v>433</v>
      </c>
      <c r="H93" s="15"/>
      <c r="I93" s="15"/>
      <c r="J93" s="15"/>
      <c r="K93" s="15"/>
      <c r="L93" s="15"/>
      <c r="M93" s="15"/>
      <c r="N93" s="430"/>
      <c r="O93" s="430"/>
      <c r="P93" s="773" t="s">
        <v>1963</v>
      </c>
    </row>
    <row r="94" spans="1:18" s="443" customFormat="1">
      <c r="A94" s="650" t="s">
        <v>453</v>
      </c>
      <c r="B94" s="802" t="s">
        <v>456</v>
      </c>
      <c r="C94" s="34" t="s">
        <v>139</v>
      </c>
      <c r="D94" s="121" t="s">
        <v>99</v>
      </c>
      <c r="E94" s="648">
        <f>0.1*E88</f>
        <v>3.0000000000000001E-3</v>
      </c>
      <c r="F94" s="11">
        <v>2</v>
      </c>
      <c r="G94" s="11" t="s">
        <v>433</v>
      </c>
      <c r="H94" s="13">
        <v>1</v>
      </c>
      <c r="I94" s="13">
        <v>2</v>
      </c>
      <c r="J94" s="13">
        <v>2</v>
      </c>
      <c r="K94" s="13">
        <v>1</v>
      </c>
      <c r="L94" s="13">
        <v>1</v>
      </c>
      <c r="M94" s="13">
        <v>1</v>
      </c>
      <c r="N94" s="431">
        <f t="shared" si="25"/>
        <v>0.16933510251023262</v>
      </c>
      <c r="O94" s="431">
        <f t="shared" si="26"/>
        <v>0.19908580854301616</v>
      </c>
      <c r="P94" s="42" t="s">
        <v>856</v>
      </c>
    </row>
    <row r="95" spans="1:18" s="443" customFormat="1" ht="15.75" thickBot="1">
      <c r="A95" s="651" t="s">
        <v>453</v>
      </c>
      <c r="B95" s="803" t="s">
        <v>451</v>
      </c>
      <c r="C95" s="34" t="s">
        <v>139</v>
      </c>
      <c r="D95" s="123" t="s">
        <v>99</v>
      </c>
      <c r="E95" s="772" t="s">
        <v>150</v>
      </c>
      <c r="F95" s="12">
        <v>1</v>
      </c>
      <c r="G95" s="12" t="s">
        <v>433</v>
      </c>
      <c r="H95" s="14"/>
      <c r="I95" s="14"/>
      <c r="J95" s="14"/>
      <c r="K95" s="14"/>
      <c r="L95" s="14"/>
      <c r="M95" s="14"/>
      <c r="N95" s="434" t="str">
        <f t="shared" si="25"/>
        <v/>
      </c>
      <c r="O95" s="434" t="str">
        <f t="shared" si="26"/>
        <v/>
      </c>
      <c r="P95" s="44" t="s">
        <v>1938</v>
      </c>
    </row>
    <row r="96" spans="1:18" s="443" customFormat="1" ht="15.75" thickBot="1">
      <c r="A96" s="777" t="s">
        <v>456</v>
      </c>
      <c r="B96" s="796" t="s">
        <v>228</v>
      </c>
      <c r="C96" s="34" t="s">
        <v>139</v>
      </c>
      <c r="D96" s="806" t="s">
        <v>99</v>
      </c>
      <c r="E96" s="774">
        <v>1</v>
      </c>
      <c r="F96" s="773">
        <v>2</v>
      </c>
      <c r="G96" s="773" t="s">
        <v>433</v>
      </c>
      <c r="H96" s="71">
        <v>1</v>
      </c>
      <c r="I96" s="71">
        <v>2</v>
      </c>
      <c r="J96" s="71">
        <v>2</v>
      </c>
      <c r="K96" s="71">
        <v>1</v>
      </c>
      <c r="L96" s="71">
        <v>1</v>
      </c>
      <c r="M96" s="71">
        <v>1</v>
      </c>
      <c r="N96" s="778">
        <f t="shared" si="25"/>
        <v>0.16933510251023262</v>
      </c>
      <c r="O96" s="778">
        <f t="shared" si="26"/>
        <v>0.19908580854301616</v>
      </c>
      <c r="P96" s="773" t="s">
        <v>857</v>
      </c>
    </row>
    <row r="97" spans="1:16" s="443" customFormat="1">
      <c r="A97" s="650" t="s">
        <v>454</v>
      </c>
      <c r="B97" s="802" t="s">
        <v>231</v>
      </c>
      <c r="C97" s="34" t="s">
        <v>139</v>
      </c>
      <c r="D97" s="121" t="s">
        <v>99</v>
      </c>
      <c r="E97" s="648">
        <v>0</v>
      </c>
      <c r="F97" s="11">
        <v>2</v>
      </c>
      <c r="G97" s="11" t="s">
        <v>433</v>
      </c>
      <c r="H97" s="13">
        <v>1</v>
      </c>
      <c r="I97" s="13">
        <v>2</v>
      </c>
      <c r="J97" s="13">
        <v>2</v>
      </c>
      <c r="K97" s="13">
        <v>1</v>
      </c>
      <c r="L97" s="13">
        <v>1</v>
      </c>
      <c r="M97" s="13">
        <v>1</v>
      </c>
      <c r="N97" s="431">
        <f t="shared" si="25"/>
        <v>0.16933510251023262</v>
      </c>
      <c r="O97" s="431">
        <f t="shared" si="26"/>
        <v>0.19908580854301616</v>
      </c>
      <c r="P97" s="42" t="s">
        <v>1979</v>
      </c>
    </row>
    <row r="98" spans="1:16" s="443" customFormat="1">
      <c r="A98" s="652" t="s">
        <v>454</v>
      </c>
      <c r="B98" s="799" t="s">
        <v>232</v>
      </c>
      <c r="C98" s="34" t="s">
        <v>139</v>
      </c>
      <c r="D98" s="122" t="s">
        <v>99</v>
      </c>
      <c r="E98" s="245">
        <v>0</v>
      </c>
      <c r="F98" s="9">
        <v>2</v>
      </c>
      <c r="G98" s="9" t="s">
        <v>433</v>
      </c>
      <c r="H98" s="10">
        <v>1</v>
      </c>
      <c r="I98" s="10">
        <v>2</v>
      </c>
      <c r="J98" s="10">
        <v>2</v>
      </c>
      <c r="K98" s="10">
        <v>1</v>
      </c>
      <c r="L98" s="10">
        <v>1</v>
      </c>
      <c r="M98" s="10">
        <v>1</v>
      </c>
      <c r="N98" s="411">
        <f t="shared" si="25"/>
        <v>0.16933510251023262</v>
      </c>
      <c r="O98" s="411">
        <f t="shared" si="26"/>
        <v>0.19908580854301616</v>
      </c>
      <c r="P98" s="43" t="s">
        <v>1979</v>
      </c>
    </row>
    <row r="99" spans="1:16" s="443" customFormat="1">
      <c r="A99" s="652" t="s">
        <v>454</v>
      </c>
      <c r="B99" s="799" t="s">
        <v>251</v>
      </c>
      <c r="C99" s="34" t="s">
        <v>139</v>
      </c>
      <c r="D99" s="122" t="s">
        <v>99</v>
      </c>
      <c r="E99" s="245">
        <v>0</v>
      </c>
      <c r="F99" s="9">
        <v>2</v>
      </c>
      <c r="G99" s="9" t="s">
        <v>433</v>
      </c>
      <c r="H99" s="10">
        <v>1</v>
      </c>
      <c r="I99" s="10">
        <v>2</v>
      </c>
      <c r="J99" s="10">
        <v>2</v>
      </c>
      <c r="K99" s="10">
        <v>1</v>
      </c>
      <c r="L99" s="10">
        <v>1</v>
      </c>
      <c r="M99" s="10">
        <v>1</v>
      </c>
      <c r="N99" s="411">
        <f>IF( OR( ISBLANK(H99),ISBLANK(J99), ISBLANK(K99), ISBLANK(L99), ISBLANK(M99) ), "", 1.5*SQRT(   EXP(2.21*(H99-1)) + EXP(2.21*(J99-1)) + EXP(2.21*(K99-1)) + EXP(2.21*(L99-1)) + EXP(2.21*M99)   )/100*2.45 )</f>
        <v>0.16933510251023262</v>
      </c>
      <c r="O99" s="411">
        <f>IF( OR( ISBLANK(I99),ISBLANK(J99), ISBLANK(K99), ISBLANK(L99), ISBLANK(M99) ), "", 1.5*SQRT( EXP(2.21*(I99-1)) + EXP(2.21*(J99-1)) + EXP(2.21*(K99-1)) + EXP(2.21*(L99-1)) + EXP(2.21*M99)   )/100*2.45 )</f>
        <v>0.19908580854301616</v>
      </c>
      <c r="P99" s="43" t="s">
        <v>1979</v>
      </c>
    </row>
    <row r="100" spans="1:16" s="443" customFormat="1">
      <c r="A100" s="652" t="s">
        <v>454</v>
      </c>
      <c r="B100" s="794" t="s">
        <v>258</v>
      </c>
      <c r="C100" s="34" t="s">
        <v>139</v>
      </c>
      <c r="D100" s="124" t="s">
        <v>99</v>
      </c>
      <c r="E100" s="768">
        <v>0</v>
      </c>
      <c r="F100" s="119">
        <v>2</v>
      </c>
      <c r="G100" s="119" t="s">
        <v>433</v>
      </c>
      <c r="H100" s="10">
        <v>1</v>
      </c>
      <c r="I100" s="10">
        <v>2</v>
      </c>
      <c r="J100" s="10">
        <v>2</v>
      </c>
      <c r="K100" s="10">
        <v>1</v>
      </c>
      <c r="L100" s="10">
        <v>1</v>
      </c>
      <c r="M100" s="10">
        <v>1</v>
      </c>
      <c r="N100" s="411">
        <f>IF( OR( ISBLANK(H100),ISBLANK(J100), ISBLANK(K100), ISBLANK(L100), ISBLANK(M100) ), "", 1.5*SQRT(   EXP(2.21*(H100-1)) + EXP(2.21*(J100-1)) + EXP(2.21*(K100-1)) + EXP(2.21*(L100-1)) + EXP(2.21*M100)   )/100*2.45 )</f>
        <v>0.16933510251023262</v>
      </c>
      <c r="O100" s="411">
        <f>IF( OR( ISBLANK(I100),ISBLANK(J100), ISBLANK(K100), ISBLANK(L100), ISBLANK(M100) ), "", 1.5*SQRT( EXP(2.21*(I100-1)) + EXP(2.21*(J100-1)) + EXP(2.21*(K100-1)) + EXP(2.21*(L100-1)) + EXP(2.21*M100)   )/100*2.45 )</f>
        <v>0.19908580854301616</v>
      </c>
      <c r="P100" s="156" t="s">
        <v>1979</v>
      </c>
    </row>
    <row r="101" spans="1:16" s="443" customFormat="1" ht="15.75" thickBot="1">
      <c r="A101" s="651" t="s">
        <v>454</v>
      </c>
      <c r="B101" s="803" t="s">
        <v>334</v>
      </c>
      <c r="C101" s="34" t="s">
        <v>139</v>
      </c>
      <c r="D101" s="123" t="s">
        <v>99</v>
      </c>
      <c r="E101" s="772" t="s">
        <v>150</v>
      </c>
      <c r="F101" s="12">
        <v>1</v>
      </c>
      <c r="G101" s="12" t="s">
        <v>433</v>
      </c>
      <c r="H101" s="14"/>
      <c r="I101" s="14"/>
      <c r="J101" s="14"/>
      <c r="K101" s="14"/>
      <c r="L101" s="14"/>
      <c r="M101" s="14"/>
      <c r="N101" s="434" t="str">
        <f t="shared" si="25"/>
        <v/>
      </c>
      <c r="O101" s="434" t="str">
        <f t="shared" si="26"/>
        <v/>
      </c>
      <c r="P101" s="44"/>
    </row>
    <row r="102" spans="1:16" s="443" customFormat="1">
      <c r="A102" s="653" t="s">
        <v>451</v>
      </c>
      <c r="B102" s="793" t="s">
        <v>228</v>
      </c>
      <c r="C102" s="34" t="s">
        <v>139</v>
      </c>
      <c r="D102" s="630" t="s">
        <v>99</v>
      </c>
      <c r="E102" s="763">
        <v>0</v>
      </c>
      <c r="F102" s="118">
        <v>2</v>
      </c>
      <c r="G102" s="118" t="s">
        <v>433</v>
      </c>
      <c r="H102" s="66">
        <v>1</v>
      </c>
      <c r="I102" s="66">
        <v>2</v>
      </c>
      <c r="J102" s="66">
        <v>2</v>
      </c>
      <c r="K102" s="66">
        <v>1</v>
      </c>
      <c r="L102" s="66">
        <v>1</v>
      </c>
      <c r="M102" s="66">
        <v>1</v>
      </c>
      <c r="N102" s="445">
        <f t="shared" si="25"/>
        <v>0.16933510251023262</v>
      </c>
      <c r="O102" s="445">
        <f t="shared" si="26"/>
        <v>0.19908580854301616</v>
      </c>
      <c r="P102" s="118" t="s">
        <v>858</v>
      </c>
    </row>
    <row r="103" spans="1:16" s="443" customFormat="1" ht="15.75" thickBot="1">
      <c r="A103" s="654" t="s">
        <v>451</v>
      </c>
      <c r="B103" s="794" t="s">
        <v>334</v>
      </c>
      <c r="C103" s="34" t="s">
        <v>139</v>
      </c>
      <c r="D103" s="124" t="s">
        <v>99</v>
      </c>
      <c r="E103" s="768" t="s">
        <v>150</v>
      </c>
      <c r="F103" s="119">
        <v>1</v>
      </c>
      <c r="G103" s="119" t="s">
        <v>433</v>
      </c>
      <c r="H103" s="15"/>
      <c r="I103" s="15"/>
      <c r="J103" s="15"/>
      <c r="K103" s="15"/>
      <c r="L103" s="15"/>
      <c r="M103" s="15"/>
      <c r="N103" s="430" t="str">
        <f t="shared" si="25"/>
        <v/>
      </c>
      <c r="O103" s="430" t="str">
        <f t="shared" si="26"/>
        <v/>
      </c>
      <c r="P103" s="119" t="s">
        <v>1939</v>
      </c>
    </row>
    <row r="104" spans="1:16" s="443" customFormat="1">
      <c r="A104" s="650" t="s">
        <v>434</v>
      </c>
      <c r="B104" s="802" t="s">
        <v>457</v>
      </c>
      <c r="C104" s="34" t="s">
        <v>139</v>
      </c>
      <c r="D104" s="121" t="s">
        <v>99</v>
      </c>
      <c r="E104" s="648">
        <f>0.97*0.4</f>
        <v>0.38800000000000001</v>
      </c>
      <c r="F104" s="11">
        <v>2</v>
      </c>
      <c r="G104" s="11" t="s">
        <v>433</v>
      </c>
      <c r="H104" s="13">
        <v>1</v>
      </c>
      <c r="I104" s="13">
        <v>2</v>
      </c>
      <c r="J104" s="13">
        <v>2</v>
      </c>
      <c r="K104" s="13">
        <v>1</v>
      </c>
      <c r="L104" s="13">
        <v>1</v>
      </c>
      <c r="M104" s="13">
        <v>1</v>
      </c>
      <c r="N104" s="431">
        <f t="shared" si="25"/>
        <v>0.16933510251023262</v>
      </c>
      <c r="O104" s="431">
        <f t="shared" si="26"/>
        <v>0.19908580854301616</v>
      </c>
      <c r="P104" s="42" t="s">
        <v>859</v>
      </c>
    </row>
    <row r="105" spans="1:16" s="443" customFormat="1">
      <c r="A105" s="652" t="s">
        <v>434</v>
      </c>
      <c r="B105" s="799" t="s">
        <v>458</v>
      </c>
      <c r="C105" s="34" t="s">
        <v>139</v>
      </c>
      <c r="D105" s="122" t="s">
        <v>99</v>
      </c>
      <c r="E105" s="245">
        <f>0.97*0.6</f>
        <v>0.58199999999999996</v>
      </c>
      <c r="F105" s="9">
        <v>2</v>
      </c>
      <c r="G105" s="9" t="s">
        <v>433</v>
      </c>
      <c r="H105" s="10">
        <v>1</v>
      </c>
      <c r="I105" s="10">
        <v>2</v>
      </c>
      <c r="J105" s="10">
        <v>2</v>
      </c>
      <c r="K105" s="10">
        <v>1</v>
      </c>
      <c r="L105" s="10">
        <v>1</v>
      </c>
      <c r="M105" s="10">
        <v>1</v>
      </c>
      <c r="N105" s="411">
        <f t="shared" si="25"/>
        <v>0.16933510251023262</v>
      </c>
      <c r="O105" s="411">
        <f t="shared" si="26"/>
        <v>0.19908580854301616</v>
      </c>
      <c r="P105" s="43" t="s">
        <v>860</v>
      </c>
    </row>
    <row r="106" spans="1:16" s="443" customFormat="1" ht="15.75" thickBot="1">
      <c r="A106" s="651" t="s">
        <v>434</v>
      </c>
      <c r="B106" s="803" t="s">
        <v>223</v>
      </c>
      <c r="C106" s="34" t="s">
        <v>139</v>
      </c>
      <c r="D106" s="123" t="s">
        <v>99</v>
      </c>
      <c r="E106" s="772">
        <v>0.03</v>
      </c>
      <c r="F106" s="12">
        <v>1</v>
      </c>
      <c r="G106" s="12" t="s">
        <v>433</v>
      </c>
      <c r="H106" s="14">
        <v>1</v>
      </c>
      <c r="I106" s="14">
        <v>2</v>
      </c>
      <c r="J106" s="14">
        <v>2</v>
      </c>
      <c r="K106" s="14">
        <v>1</v>
      </c>
      <c r="L106" s="14">
        <v>1</v>
      </c>
      <c r="M106" s="14">
        <v>1</v>
      </c>
      <c r="N106" s="434">
        <f t="shared" si="25"/>
        <v>0.16933510251023262</v>
      </c>
      <c r="O106" s="434">
        <f t="shared" si="26"/>
        <v>0.19908580854301616</v>
      </c>
      <c r="P106" s="44" t="s">
        <v>854</v>
      </c>
    </row>
    <row r="107" spans="1:16" s="443" customFormat="1">
      <c r="A107" s="653" t="s">
        <v>457</v>
      </c>
      <c r="B107" s="793" t="s">
        <v>459</v>
      </c>
      <c r="C107" s="34" t="s">
        <v>139</v>
      </c>
      <c r="D107" s="630" t="s">
        <v>99</v>
      </c>
      <c r="E107" s="763">
        <v>0.03</v>
      </c>
      <c r="F107" s="118">
        <v>2</v>
      </c>
      <c r="G107" s="118" t="s">
        <v>433</v>
      </c>
      <c r="H107" s="66">
        <v>1</v>
      </c>
      <c r="I107" s="66">
        <v>2</v>
      </c>
      <c r="J107" s="66">
        <v>2</v>
      </c>
      <c r="K107" s="66">
        <v>1</v>
      </c>
      <c r="L107" s="66">
        <v>1</v>
      </c>
      <c r="M107" s="66">
        <v>1</v>
      </c>
      <c r="N107" s="445">
        <f t="shared" si="25"/>
        <v>0.16933510251023262</v>
      </c>
      <c r="O107" s="445">
        <f t="shared" si="26"/>
        <v>0.19908580854301616</v>
      </c>
      <c r="P107" s="118" t="s">
        <v>855</v>
      </c>
    </row>
    <row r="108" spans="1:16" s="443" customFormat="1" ht="15.75" thickBot="1">
      <c r="A108" s="654" t="s">
        <v>457</v>
      </c>
      <c r="B108" s="794" t="s">
        <v>460</v>
      </c>
      <c r="C108" s="34" t="s">
        <v>139</v>
      </c>
      <c r="D108" s="124" t="s">
        <v>99</v>
      </c>
      <c r="E108" s="768" t="s">
        <v>150</v>
      </c>
      <c r="F108" s="119">
        <v>1</v>
      </c>
      <c r="G108" s="119" t="s">
        <v>433</v>
      </c>
      <c r="H108" s="15"/>
      <c r="I108" s="15"/>
      <c r="J108" s="15"/>
      <c r="K108" s="15"/>
      <c r="L108" s="15"/>
      <c r="M108" s="15"/>
      <c r="N108" s="430" t="str">
        <f t="shared" si="25"/>
        <v/>
      </c>
      <c r="O108" s="430" t="str">
        <f t="shared" si="26"/>
        <v/>
      </c>
      <c r="P108" s="119" t="s">
        <v>1940</v>
      </c>
    </row>
    <row r="109" spans="1:16" s="443" customFormat="1">
      <c r="A109" s="444" t="s">
        <v>459</v>
      </c>
      <c r="B109" s="444" t="s">
        <v>231</v>
      </c>
      <c r="C109" s="34" t="s">
        <v>139</v>
      </c>
      <c r="D109" s="121" t="s">
        <v>99</v>
      </c>
      <c r="E109" s="789">
        <v>0.05</v>
      </c>
      <c r="F109" s="790">
        <v>2</v>
      </c>
      <c r="G109" s="11" t="s">
        <v>157</v>
      </c>
      <c r="H109" s="13">
        <v>1</v>
      </c>
      <c r="I109" s="13">
        <v>2</v>
      </c>
      <c r="J109" s="13">
        <v>2</v>
      </c>
      <c r="K109" s="13">
        <v>1</v>
      </c>
      <c r="L109" s="791">
        <v>3</v>
      </c>
      <c r="M109" s="13">
        <v>3</v>
      </c>
      <c r="N109" s="431">
        <f t="shared" si="25"/>
        <v>1.0725046436742278</v>
      </c>
      <c r="O109" s="431">
        <f t="shared" si="26"/>
        <v>1.0776024280428556</v>
      </c>
      <c r="P109" s="779" t="s">
        <v>1937</v>
      </c>
    </row>
    <row r="110" spans="1:16" s="443" customFormat="1">
      <c r="A110" s="503" t="s">
        <v>459</v>
      </c>
      <c r="B110" s="503" t="s">
        <v>232</v>
      </c>
      <c r="C110" s="34" t="s">
        <v>139</v>
      </c>
      <c r="D110" s="122" t="s">
        <v>99</v>
      </c>
      <c r="E110" s="245">
        <v>0.39400000000000002</v>
      </c>
      <c r="F110" s="9">
        <v>2</v>
      </c>
      <c r="G110" s="9" t="s">
        <v>433</v>
      </c>
      <c r="H110" s="10">
        <v>1</v>
      </c>
      <c r="I110" s="10">
        <v>2</v>
      </c>
      <c r="J110" s="10">
        <v>2</v>
      </c>
      <c r="K110" s="10">
        <v>1</v>
      </c>
      <c r="L110" s="10">
        <v>1</v>
      </c>
      <c r="M110" s="10">
        <v>1</v>
      </c>
      <c r="N110" s="411">
        <f t="shared" si="25"/>
        <v>0.16933510251023262</v>
      </c>
      <c r="O110" s="411">
        <f t="shared" si="26"/>
        <v>0.19908580854301616</v>
      </c>
      <c r="P110" s="43" t="s">
        <v>1961</v>
      </c>
    </row>
    <row r="111" spans="1:16" s="443" customFormat="1">
      <c r="A111" s="503" t="s">
        <v>459</v>
      </c>
      <c r="B111" s="503" t="s">
        <v>251</v>
      </c>
      <c r="C111" s="34" t="s">
        <v>139</v>
      </c>
      <c r="D111" s="122" t="s">
        <v>99</v>
      </c>
      <c r="E111" s="245">
        <v>0.52200000000000002</v>
      </c>
      <c r="F111" s="7">
        <v>1</v>
      </c>
      <c r="G111" s="9" t="s">
        <v>433</v>
      </c>
      <c r="H111" s="10">
        <v>1</v>
      </c>
      <c r="I111" s="10">
        <v>2</v>
      </c>
      <c r="J111" s="10">
        <v>2</v>
      </c>
      <c r="K111" s="10">
        <v>1</v>
      </c>
      <c r="L111" s="10">
        <v>1</v>
      </c>
      <c r="M111" s="10">
        <v>1</v>
      </c>
      <c r="N111" s="411">
        <f t="shared" si="25"/>
        <v>0.16933510251023262</v>
      </c>
      <c r="O111" s="411">
        <f t="shared" si="26"/>
        <v>0.19908580854301616</v>
      </c>
      <c r="P111" s="43" t="s">
        <v>1962</v>
      </c>
    </row>
    <row r="112" spans="1:16" s="443" customFormat="1" ht="15.75" thickBot="1">
      <c r="A112" s="503" t="s">
        <v>459</v>
      </c>
      <c r="B112" s="792" t="s">
        <v>258</v>
      </c>
      <c r="C112" s="34" t="s">
        <v>139</v>
      </c>
      <c r="D112" s="123" t="s">
        <v>99</v>
      </c>
      <c r="E112" s="772">
        <v>3.4000000000000002E-2</v>
      </c>
      <c r="F112" s="12">
        <v>2</v>
      </c>
      <c r="G112" s="12" t="s">
        <v>433</v>
      </c>
      <c r="H112" s="14"/>
      <c r="I112" s="14"/>
      <c r="J112" s="14"/>
      <c r="K112" s="14"/>
      <c r="L112" s="14"/>
      <c r="M112" s="14"/>
      <c r="N112" s="434"/>
      <c r="O112" s="434"/>
      <c r="P112" s="44" t="s">
        <v>1963</v>
      </c>
    </row>
    <row r="113" spans="1:16" s="443" customFormat="1">
      <c r="A113" s="653" t="s">
        <v>458</v>
      </c>
      <c r="B113" s="793" t="s">
        <v>461</v>
      </c>
      <c r="C113" s="34" t="s">
        <v>139</v>
      </c>
      <c r="D113" s="630" t="s">
        <v>99</v>
      </c>
      <c r="E113" s="763">
        <f>0.1*E107</f>
        <v>3.0000000000000001E-3</v>
      </c>
      <c r="F113" s="118">
        <v>2</v>
      </c>
      <c r="G113" s="118" t="s">
        <v>433</v>
      </c>
      <c r="H113" s="66">
        <v>1</v>
      </c>
      <c r="I113" s="66">
        <v>2</v>
      </c>
      <c r="J113" s="66">
        <v>2</v>
      </c>
      <c r="K113" s="66">
        <v>1</v>
      </c>
      <c r="L113" s="66">
        <v>1</v>
      </c>
      <c r="M113" s="66">
        <v>1</v>
      </c>
      <c r="N113" s="445">
        <f t="shared" si="25"/>
        <v>0.16933510251023262</v>
      </c>
      <c r="O113" s="445">
        <f t="shared" si="26"/>
        <v>0.19908580854301616</v>
      </c>
      <c r="P113" s="118" t="s">
        <v>856</v>
      </c>
    </row>
    <row r="114" spans="1:16" s="443" customFormat="1" ht="15.75" thickBot="1">
      <c r="A114" s="654" t="s">
        <v>458</v>
      </c>
      <c r="B114" s="794" t="s">
        <v>462</v>
      </c>
      <c r="C114" s="34" t="s">
        <v>139</v>
      </c>
      <c r="D114" s="124" t="s">
        <v>99</v>
      </c>
      <c r="E114" s="768" t="s">
        <v>150</v>
      </c>
      <c r="F114" s="119">
        <v>1</v>
      </c>
      <c r="G114" s="119" t="s">
        <v>433</v>
      </c>
      <c r="H114" s="15"/>
      <c r="I114" s="15"/>
      <c r="J114" s="15"/>
      <c r="K114" s="15"/>
      <c r="L114" s="15"/>
      <c r="M114" s="15"/>
      <c r="N114" s="430" t="str">
        <f t="shared" si="25"/>
        <v/>
      </c>
      <c r="O114" s="430" t="str">
        <f t="shared" si="26"/>
        <v/>
      </c>
      <c r="P114" s="119" t="s">
        <v>1940</v>
      </c>
    </row>
    <row r="115" spans="1:16" s="443" customFormat="1" ht="15.75" thickBot="1">
      <c r="A115" s="649" t="s">
        <v>461</v>
      </c>
      <c r="B115" s="804" t="s">
        <v>228</v>
      </c>
      <c r="C115" s="34" t="s">
        <v>139</v>
      </c>
      <c r="D115" s="800" t="s">
        <v>99</v>
      </c>
      <c r="E115" s="770">
        <v>1</v>
      </c>
      <c r="F115" s="769">
        <v>2</v>
      </c>
      <c r="G115" s="769" t="s">
        <v>433</v>
      </c>
      <c r="H115" s="70">
        <v>1</v>
      </c>
      <c r="I115" s="70">
        <v>2</v>
      </c>
      <c r="J115" s="70">
        <v>2</v>
      </c>
      <c r="K115" s="70">
        <v>1</v>
      </c>
      <c r="L115" s="70">
        <v>1</v>
      </c>
      <c r="M115" s="70">
        <v>1</v>
      </c>
      <c r="N115" s="446">
        <f t="shared" si="25"/>
        <v>0.16933510251023262</v>
      </c>
      <c r="O115" s="446">
        <f t="shared" si="26"/>
        <v>0.19908580854301616</v>
      </c>
      <c r="P115" s="771" t="s">
        <v>857</v>
      </c>
    </row>
    <row r="116" spans="1:16" s="443" customFormat="1">
      <c r="A116" s="653" t="s">
        <v>460</v>
      </c>
      <c r="B116" s="802" t="s">
        <v>231</v>
      </c>
      <c r="C116" s="34" t="s">
        <v>139</v>
      </c>
      <c r="D116" s="630" t="s">
        <v>99</v>
      </c>
      <c r="E116" s="763">
        <v>1.6000000000000001E-3</v>
      </c>
      <c r="F116" s="118">
        <v>2</v>
      </c>
      <c r="G116" s="118" t="s">
        <v>1997</v>
      </c>
      <c r="H116" s="66">
        <v>1</v>
      </c>
      <c r="I116" s="66">
        <v>2</v>
      </c>
      <c r="J116" s="66">
        <v>2</v>
      </c>
      <c r="K116" s="66">
        <v>1</v>
      </c>
      <c r="L116" s="15">
        <v>3</v>
      </c>
      <c r="M116" s="13">
        <v>3</v>
      </c>
      <c r="N116" s="445">
        <f t="shared" si="25"/>
        <v>1.0725046436742278</v>
      </c>
      <c r="O116" s="445">
        <f t="shared" si="26"/>
        <v>1.0776024280428556</v>
      </c>
      <c r="P116" s="118" t="s">
        <v>1976</v>
      </c>
    </row>
    <row r="117" spans="1:16" s="443" customFormat="1">
      <c r="A117" s="318" t="s">
        <v>460</v>
      </c>
      <c r="B117" s="799" t="s">
        <v>232</v>
      </c>
      <c r="C117" s="34" t="s">
        <v>139</v>
      </c>
      <c r="D117" s="122" t="s">
        <v>99</v>
      </c>
      <c r="E117" s="245">
        <v>1.26E-2</v>
      </c>
      <c r="F117" s="9">
        <v>2</v>
      </c>
      <c r="G117" s="9" t="s">
        <v>433</v>
      </c>
      <c r="H117" s="10">
        <v>1</v>
      </c>
      <c r="I117" s="10">
        <v>2</v>
      </c>
      <c r="J117" s="10">
        <v>2</v>
      </c>
      <c r="K117" s="10">
        <v>1</v>
      </c>
      <c r="L117" s="10">
        <v>1</v>
      </c>
      <c r="M117" s="10">
        <v>1</v>
      </c>
      <c r="N117" s="411">
        <f t="shared" si="25"/>
        <v>0.16933510251023262</v>
      </c>
      <c r="O117" s="411">
        <f t="shared" si="26"/>
        <v>0.19908580854301616</v>
      </c>
      <c r="P117" s="9" t="s">
        <v>1977</v>
      </c>
    </row>
    <row r="118" spans="1:16" s="443" customFormat="1">
      <c r="A118" s="318" t="s">
        <v>460</v>
      </c>
      <c r="B118" s="799" t="s">
        <v>251</v>
      </c>
      <c r="C118" s="34" t="s">
        <v>139</v>
      </c>
      <c r="D118" s="122" t="s">
        <v>99</v>
      </c>
      <c r="E118" s="245">
        <v>1.67E-2</v>
      </c>
      <c r="F118" s="9">
        <v>2</v>
      </c>
      <c r="G118" s="9" t="s">
        <v>433</v>
      </c>
      <c r="H118" s="10">
        <v>1</v>
      </c>
      <c r="I118" s="10">
        <v>2</v>
      </c>
      <c r="J118" s="10">
        <v>2</v>
      </c>
      <c r="K118" s="10">
        <v>1</v>
      </c>
      <c r="L118" s="10">
        <v>1</v>
      </c>
      <c r="M118" s="10">
        <v>1</v>
      </c>
      <c r="N118" s="411">
        <f t="shared" si="25"/>
        <v>0.16933510251023262</v>
      </c>
      <c r="O118" s="411">
        <f t="shared" si="26"/>
        <v>0.19908580854301616</v>
      </c>
      <c r="P118" s="9" t="s">
        <v>1981</v>
      </c>
    </row>
    <row r="119" spans="1:16" s="443" customFormat="1">
      <c r="A119" s="318" t="s">
        <v>460</v>
      </c>
      <c r="B119" s="794" t="s">
        <v>258</v>
      </c>
      <c r="C119" s="34" t="s">
        <v>139</v>
      </c>
      <c r="D119" s="124" t="s">
        <v>99</v>
      </c>
      <c r="E119" s="768">
        <v>1.1000000000000001E-3</v>
      </c>
      <c r="F119" s="119">
        <v>2</v>
      </c>
      <c r="G119" s="119" t="s">
        <v>433</v>
      </c>
      <c r="H119" s="10">
        <v>1</v>
      </c>
      <c r="I119" s="10">
        <v>2</v>
      </c>
      <c r="J119" s="10">
        <v>2</v>
      </c>
      <c r="K119" s="10">
        <v>1</v>
      </c>
      <c r="L119" s="10">
        <v>1</v>
      </c>
      <c r="M119" s="10">
        <v>1</v>
      </c>
      <c r="N119" s="411">
        <f>IF( OR( ISBLANK(H119),ISBLANK(J119), ISBLANK(K119), ISBLANK(L119), ISBLANK(M119) ), "", 1.5*SQRT(   EXP(2.21*(H119-1)) + EXP(2.21*(J119-1)) + EXP(2.21*(K119-1)) + EXP(2.21*(L119-1)) + EXP(2.21*M119)   )/100*2.45 )</f>
        <v>0.16933510251023262</v>
      </c>
      <c r="O119" s="411">
        <f>IF( OR( ISBLANK(I119),ISBLANK(J119), ISBLANK(K119), ISBLANK(L119), ISBLANK(M119) ), "", 1.5*SQRT( EXP(2.21*(I119-1)) + EXP(2.21*(J119-1)) + EXP(2.21*(K119-1)) + EXP(2.21*(L119-1)) + EXP(2.21*M119)   )/100*2.45 )</f>
        <v>0.19908580854301616</v>
      </c>
      <c r="P119" s="9" t="s">
        <v>1978</v>
      </c>
    </row>
    <row r="120" spans="1:16" s="443" customFormat="1" ht="15.75" thickBot="1">
      <c r="A120" s="654" t="s">
        <v>460</v>
      </c>
      <c r="B120" s="803" t="s">
        <v>334</v>
      </c>
      <c r="C120" s="34" t="s">
        <v>139</v>
      </c>
      <c r="D120" s="124" t="s">
        <v>99</v>
      </c>
      <c r="E120" s="768" t="s">
        <v>150</v>
      </c>
      <c r="F120" s="119">
        <v>1</v>
      </c>
      <c r="G120" s="119" t="s">
        <v>433</v>
      </c>
      <c r="H120" s="15"/>
      <c r="I120" s="15"/>
      <c r="J120" s="15"/>
      <c r="K120" s="15"/>
      <c r="L120" s="15"/>
      <c r="M120" s="15"/>
      <c r="N120" s="430" t="str">
        <f t="shared" si="25"/>
        <v/>
      </c>
      <c r="O120" s="430" t="str">
        <f t="shared" si="26"/>
        <v/>
      </c>
      <c r="P120" s="119"/>
    </row>
    <row r="121" spans="1:16" s="443" customFormat="1">
      <c r="A121" s="650" t="s">
        <v>462</v>
      </c>
      <c r="B121" s="802" t="s">
        <v>228</v>
      </c>
      <c r="C121" s="34" t="s">
        <v>139</v>
      </c>
      <c r="D121" s="121" t="s">
        <v>99</v>
      </c>
      <c r="E121" s="648">
        <v>3.2000000000000001E-2</v>
      </c>
      <c r="F121" s="11">
        <v>2</v>
      </c>
      <c r="G121" s="11" t="s">
        <v>433</v>
      </c>
      <c r="H121" s="13">
        <v>1</v>
      </c>
      <c r="I121" s="13">
        <v>2</v>
      </c>
      <c r="J121" s="13">
        <v>2</v>
      </c>
      <c r="K121" s="13">
        <v>1</v>
      </c>
      <c r="L121" s="13">
        <v>1</v>
      </c>
      <c r="M121" s="13">
        <v>1</v>
      </c>
      <c r="N121" s="431">
        <f t="shared" si="25"/>
        <v>0.16933510251023262</v>
      </c>
      <c r="O121" s="431">
        <f t="shared" si="26"/>
        <v>0.19908580854301616</v>
      </c>
      <c r="P121" s="42" t="s">
        <v>861</v>
      </c>
    </row>
    <row r="122" spans="1:16" s="443" customFormat="1" ht="15.75" thickBot="1">
      <c r="A122" s="651" t="s">
        <v>462</v>
      </c>
      <c r="B122" s="803" t="s">
        <v>334</v>
      </c>
      <c r="C122" s="34" t="s">
        <v>139</v>
      </c>
      <c r="D122" s="123" t="s">
        <v>99</v>
      </c>
      <c r="E122" s="772" t="s">
        <v>150</v>
      </c>
      <c r="F122" s="12">
        <v>1</v>
      </c>
      <c r="G122" s="12" t="s">
        <v>433</v>
      </c>
      <c r="H122" s="14"/>
      <c r="I122" s="14"/>
      <c r="J122" s="14"/>
      <c r="K122" s="14"/>
      <c r="L122" s="14"/>
      <c r="M122" s="14"/>
      <c r="N122" s="434" t="str">
        <f t="shared" si="25"/>
        <v/>
      </c>
      <c r="O122" s="434" t="str">
        <f t="shared" si="26"/>
        <v/>
      </c>
      <c r="P122" s="44" t="s">
        <v>1941</v>
      </c>
    </row>
    <row r="123" spans="1:16" s="443" customFormat="1">
      <c r="A123" s="653" t="s">
        <v>435</v>
      </c>
      <c r="B123" s="793" t="s">
        <v>463</v>
      </c>
      <c r="C123" s="34" t="s">
        <v>139</v>
      </c>
      <c r="D123" s="630" t="s">
        <v>99</v>
      </c>
      <c r="E123" s="763">
        <f>0.97*0.25</f>
        <v>0.24249999999999999</v>
      </c>
      <c r="F123" s="118">
        <v>2</v>
      </c>
      <c r="G123" s="118" t="s">
        <v>433</v>
      </c>
      <c r="H123" s="66">
        <v>1</v>
      </c>
      <c r="I123" s="66">
        <v>2</v>
      </c>
      <c r="J123" s="66">
        <v>2</v>
      </c>
      <c r="K123" s="66">
        <v>1</v>
      </c>
      <c r="L123" s="66">
        <v>1</v>
      </c>
      <c r="M123" s="66">
        <v>1</v>
      </c>
      <c r="N123" s="445">
        <f t="shared" si="25"/>
        <v>0.16933510251023262</v>
      </c>
      <c r="O123" s="445">
        <f t="shared" si="26"/>
        <v>0.19908580854301616</v>
      </c>
      <c r="P123" s="118" t="s">
        <v>862</v>
      </c>
    </row>
    <row r="124" spans="1:16" s="443" customFormat="1">
      <c r="A124" s="318" t="s">
        <v>435</v>
      </c>
      <c r="B124" s="799" t="s">
        <v>464</v>
      </c>
      <c r="C124" s="34" t="s">
        <v>139</v>
      </c>
      <c r="D124" s="122" t="s">
        <v>99</v>
      </c>
      <c r="E124" s="245">
        <f>0.97*0.75</f>
        <v>0.72750000000000004</v>
      </c>
      <c r="F124" s="9">
        <v>2</v>
      </c>
      <c r="G124" s="9" t="s">
        <v>433</v>
      </c>
      <c r="H124" s="10">
        <v>1</v>
      </c>
      <c r="I124" s="10">
        <v>2</v>
      </c>
      <c r="J124" s="10">
        <v>2</v>
      </c>
      <c r="K124" s="10">
        <v>1</v>
      </c>
      <c r="L124" s="10">
        <v>1</v>
      </c>
      <c r="M124" s="10">
        <v>1</v>
      </c>
      <c r="N124" s="411">
        <f t="shared" si="25"/>
        <v>0.16933510251023262</v>
      </c>
      <c r="O124" s="411">
        <f t="shared" si="26"/>
        <v>0.19908580854301616</v>
      </c>
      <c r="P124" s="9" t="s">
        <v>863</v>
      </c>
    </row>
    <row r="125" spans="1:16" s="443" customFormat="1" ht="15.75" thickBot="1">
      <c r="A125" s="654" t="s">
        <v>435</v>
      </c>
      <c r="B125" s="794" t="s">
        <v>223</v>
      </c>
      <c r="C125" s="34" t="s">
        <v>139</v>
      </c>
      <c r="D125" s="124" t="s">
        <v>99</v>
      </c>
      <c r="E125" s="768">
        <v>0.03</v>
      </c>
      <c r="F125" s="119">
        <v>1</v>
      </c>
      <c r="G125" s="119" t="s">
        <v>433</v>
      </c>
      <c r="H125" s="15">
        <v>1</v>
      </c>
      <c r="I125" s="15">
        <v>2</v>
      </c>
      <c r="J125" s="15">
        <v>2</v>
      </c>
      <c r="K125" s="15">
        <v>1</v>
      </c>
      <c r="L125" s="15">
        <v>1</v>
      </c>
      <c r="M125" s="15">
        <v>1</v>
      </c>
      <c r="N125" s="430">
        <f t="shared" si="25"/>
        <v>0.16933510251023262</v>
      </c>
      <c r="O125" s="430">
        <f t="shared" si="26"/>
        <v>0.19908580854301616</v>
      </c>
      <c r="P125" s="119" t="s">
        <v>854</v>
      </c>
    </row>
    <row r="126" spans="1:16" s="443" customFormat="1">
      <c r="A126" s="650" t="s">
        <v>463</v>
      </c>
      <c r="B126" s="802" t="s">
        <v>466</v>
      </c>
      <c r="C126" s="34" t="s">
        <v>139</v>
      </c>
      <c r="D126" s="121" t="s">
        <v>99</v>
      </c>
      <c r="E126" s="648">
        <v>0.03</v>
      </c>
      <c r="F126" s="11">
        <v>2</v>
      </c>
      <c r="G126" s="11" t="s">
        <v>433</v>
      </c>
      <c r="H126" s="13">
        <v>1</v>
      </c>
      <c r="I126" s="13">
        <v>2</v>
      </c>
      <c r="J126" s="13">
        <v>2</v>
      </c>
      <c r="K126" s="13">
        <v>1</v>
      </c>
      <c r="L126" s="13">
        <v>1</v>
      </c>
      <c r="M126" s="13">
        <v>1</v>
      </c>
      <c r="N126" s="431">
        <f t="shared" si="25"/>
        <v>0.16933510251023262</v>
      </c>
      <c r="O126" s="431">
        <f t="shared" si="26"/>
        <v>0.19908580854301616</v>
      </c>
      <c r="P126" s="42" t="s">
        <v>855</v>
      </c>
    </row>
    <row r="127" spans="1:16" s="443" customFormat="1" ht="15.75" thickBot="1">
      <c r="A127" s="651" t="s">
        <v>463</v>
      </c>
      <c r="B127" s="803" t="s">
        <v>467</v>
      </c>
      <c r="C127" s="34" t="s">
        <v>139</v>
      </c>
      <c r="D127" s="123" t="s">
        <v>99</v>
      </c>
      <c r="E127" s="772" t="s">
        <v>150</v>
      </c>
      <c r="F127" s="12">
        <v>1</v>
      </c>
      <c r="G127" s="12" t="s">
        <v>433</v>
      </c>
      <c r="H127" s="14"/>
      <c r="I127" s="14"/>
      <c r="J127" s="14"/>
      <c r="K127" s="14"/>
      <c r="L127" s="14"/>
      <c r="M127" s="14"/>
      <c r="N127" s="434" t="str">
        <f t="shared" si="25"/>
        <v/>
      </c>
      <c r="O127" s="434" t="str">
        <f t="shared" si="26"/>
        <v/>
      </c>
      <c r="P127" s="44" t="s">
        <v>1942</v>
      </c>
    </row>
    <row r="128" spans="1:16" s="443" customFormat="1">
      <c r="A128" s="653" t="s">
        <v>466</v>
      </c>
      <c r="B128" s="793" t="s">
        <v>231</v>
      </c>
      <c r="C128" s="34" t="s">
        <v>139</v>
      </c>
      <c r="D128" s="630" t="s">
        <v>99</v>
      </c>
      <c r="E128" s="768">
        <v>0.05</v>
      </c>
      <c r="F128" s="119">
        <v>2</v>
      </c>
      <c r="G128" s="11" t="s">
        <v>157</v>
      </c>
      <c r="H128" s="66">
        <v>1</v>
      </c>
      <c r="I128" s="66">
        <v>2</v>
      </c>
      <c r="J128" s="66">
        <v>2</v>
      </c>
      <c r="K128" s="66">
        <v>1</v>
      </c>
      <c r="L128" s="15">
        <v>3</v>
      </c>
      <c r="M128" s="13">
        <v>3</v>
      </c>
      <c r="N128" s="445">
        <f t="shared" si="25"/>
        <v>1.0725046436742278</v>
      </c>
      <c r="O128" s="445">
        <f t="shared" si="26"/>
        <v>1.0776024280428556</v>
      </c>
      <c r="P128" s="119" t="s">
        <v>1937</v>
      </c>
    </row>
    <row r="129" spans="1:16" s="443" customFormat="1">
      <c r="A129" s="318" t="s">
        <v>466</v>
      </c>
      <c r="B129" s="799" t="s">
        <v>232</v>
      </c>
      <c r="C129" s="34" t="s">
        <v>139</v>
      </c>
      <c r="D129" s="122" t="s">
        <v>99</v>
      </c>
      <c r="E129" s="245">
        <v>0.39400000000000002</v>
      </c>
      <c r="F129" s="9">
        <v>2</v>
      </c>
      <c r="G129" s="9" t="s">
        <v>433</v>
      </c>
      <c r="H129" s="10">
        <v>1</v>
      </c>
      <c r="I129" s="10">
        <v>2</v>
      </c>
      <c r="J129" s="10">
        <v>2</v>
      </c>
      <c r="K129" s="10">
        <v>1</v>
      </c>
      <c r="L129" s="10">
        <v>1</v>
      </c>
      <c r="M129" s="10">
        <v>1</v>
      </c>
      <c r="N129" s="411">
        <f t="shared" si="25"/>
        <v>0.16933510251023262</v>
      </c>
      <c r="O129" s="411">
        <f t="shared" si="26"/>
        <v>0.19908580854301616</v>
      </c>
      <c r="P129" s="9" t="s">
        <v>1961</v>
      </c>
    </row>
    <row r="130" spans="1:16" s="443" customFormat="1">
      <c r="A130" s="654" t="s">
        <v>466</v>
      </c>
      <c r="B130" s="794" t="s">
        <v>251</v>
      </c>
      <c r="C130" s="34" t="s">
        <v>139</v>
      </c>
      <c r="D130" s="124" t="s">
        <v>99</v>
      </c>
      <c r="E130" s="245">
        <v>0.52200000000000002</v>
      </c>
      <c r="F130" s="7">
        <v>1</v>
      </c>
      <c r="G130" s="9" t="s">
        <v>433</v>
      </c>
      <c r="H130" s="15">
        <v>1</v>
      </c>
      <c r="I130" s="15">
        <v>2</v>
      </c>
      <c r="J130" s="15">
        <v>2</v>
      </c>
      <c r="K130" s="15">
        <v>1</v>
      </c>
      <c r="L130" s="15">
        <v>1</v>
      </c>
      <c r="M130" s="15">
        <v>1</v>
      </c>
      <c r="N130" s="430">
        <f t="shared" ref="N130:N201" si="27">IF( OR( ISBLANK(H130),ISBLANK(J130), ISBLANK(K130), ISBLANK(L130), ISBLANK(M130) ), "", 1.5*SQRT(   EXP(2.21*(H130-1)) + EXP(2.21*(J130-1)) + EXP(2.21*(K130-1)) + EXP(2.21*(L130-1)) + EXP(2.21*M130)   )/100*2.45 )</f>
        <v>0.16933510251023262</v>
      </c>
      <c r="O130" s="430">
        <f t="shared" ref="O130:O201" si="28">IF( OR( ISBLANK(I130),ISBLANK(J130), ISBLANK(K130), ISBLANK(L130), ISBLANK(M130) ), "", 1.5*SQRT( EXP(2.21*(I130-1)) + EXP(2.21*(J130-1)) + EXP(2.21*(K130-1)) + EXP(2.21*(L130-1)) + EXP(2.21*M130)   )/100*2.45 )</f>
        <v>0.19908580854301616</v>
      </c>
      <c r="P130" s="9" t="s">
        <v>1962</v>
      </c>
    </row>
    <row r="131" spans="1:16" s="443" customFormat="1" ht="15.75" thickBot="1">
      <c r="A131" s="654" t="s">
        <v>466</v>
      </c>
      <c r="B131" s="794" t="s">
        <v>258</v>
      </c>
      <c r="C131" s="34" t="s">
        <v>139</v>
      </c>
      <c r="D131" s="124" t="s">
        <v>99</v>
      </c>
      <c r="E131" s="768">
        <v>3.4000000000000002E-2</v>
      </c>
      <c r="F131" s="119">
        <v>2</v>
      </c>
      <c r="G131" s="9" t="s">
        <v>433</v>
      </c>
      <c r="H131" s="15"/>
      <c r="I131" s="15"/>
      <c r="J131" s="15"/>
      <c r="K131" s="15"/>
      <c r="L131" s="15"/>
      <c r="M131" s="15"/>
      <c r="N131" s="430"/>
      <c r="O131" s="430"/>
      <c r="P131" s="119" t="s">
        <v>1963</v>
      </c>
    </row>
    <row r="132" spans="1:16" s="443" customFormat="1">
      <c r="A132" s="650" t="s">
        <v>464</v>
      </c>
      <c r="B132" s="802" t="s">
        <v>468</v>
      </c>
      <c r="C132" s="34" t="s">
        <v>139</v>
      </c>
      <c r="D132" s="121" t="s">
        <v>99</v>
      </c>
      <c r="E132" s="648">
        <f>0.1*E126</f>
        <v>3.0000000000000001E-3</v>
      </c>
      <c r="F132" s="11">
        <v>2</v>
      </c>
      <c r="G132" s="11" t="s">
        <v>433</v>
      </c>
      <c r="H132" s="13">
        <v>1</v>
      </c>
      <c r="I132" s="13">
        <v>2</v>
      </c>
      <c r="J132" s="13">
        <v>2</v>
      </c>
      <c r="K132" s="13">
        <v>1</v>
      </c>
      <c r="L132" s="13">
        <v>1</v>
      </c>
      <c r="M132" s="13">
        <v>1</v>
      </c>
      <c r="N132" s="431">
        <f t="shared" si="27"/>
        <v>0.16933510251023262</v>
      </c>
      <c r="O132" s="431">
        <f t="shared" si="28"/>
        <v>0.19908580854301616</v>
      </c>
      <c r="P132" s="42" t="s">
        <v>856</v>
      </c>
    </row>
    <row r="133" spans="1:16" s="443" customFormat="1" ht="15.75" thickBot="1">
      <c r="A133" s="651" t="s">
        <v>464</v>
      </c>
      <c r="B133" s="803" t="s">
        <v>469</v>
      </c>
      <c r="C133" s="34" t="s">
        <v>139</v>
      </c>
      <c r="D133" s="123" t="s">
        <v>99</v>
      </c>
      <c r="E133" s="772" t="s">
        <v>150</v>
      </c>
      <c r="F133" s="12">
        <v>1</v>
      </c>
      <c r="G133" s="12" t="s">
        <v>433</v>
      </c>
      <c r="H133" s="14"/>
      <c r="I133" s="14"/>
      <c r="J133" s="14"/>
      <c r="K133" s="14"/>
      <c r="L133" s="14"/>
      <c r="M133" s="14"/>
      <c r="N133" s="434" t="str">
        <f t="shared" si="27"/>
        <v/>
      </c>
      <c r="O133" s="434" t="str">
        <f t="shared" si="28"/>
        <v/>
      </c>
      <c r="P133" s="44" t="s">
        <v>1942</v>
      </c>
    </row>
    <row r="134" spans="1:16" s="443" customFormat="1" ht="15.75" thickBot="1">
      <c r="A134" s="777" t="s">
        <v>468</v>
      </c>
      <c r="B134" s="796" t="s">
        <v>228</v>
      </c>
      <c r="C134" s="34" t="s">
        <v>139</v>
      </c>
      <c r="D134" s="806" t="s">
        <v>99</v>
      </c>
      <c r="E134" s="774">
        <v>1</v>
      </c>
      <c r="F134" s="773">
        <v>2</v>
      </c>
      <c r="G134" s="773" t="s">
        <v>433</v>
      </c>
      <c r="H134" s="71">
        <v>1</v>
      </c>
      <c r="I134" s="71">
        <v>2</v>
      </c>
      <c r="J134" s="71">
        <v>2</v>
      </c>
      <c r="K134" s="71">
        <v>1</v>
      </c>
      <c r="L134" s="71">
        <v>1</v>
      </c>
      <c r="M134" s="71">
        <v>1</v>
      </c>
      <c r="N134" s="778">
        <f t="shared" si="27"/>
        <v>0.16933510251023262</v>
      </c>
      <c r="O134" s="778">
        <f t="shared" si="28"/>
        <v>0.19908580854301616</v>
      </c>
      <c r="P134" s="773" t="s">
        <v>857</v>
      </c>
    </row>
    <row r="135" spans="1:16" s="443" customFormat="1">
      <c r="A135" s="650" t="s">
        <v>467</v>
      </c>
      <c r="B135" s="802" t="s">
        <v>231</v>
      </c>
      <c r="C135" s="34" t="s">
        <v>139</v>
      </c>
      <c r="D135" s="121" t="s">
        <v>99</v>
      </c>
      <c r="E135" s="648">
        <v>1.6000000000000001E-3</v>
      </c>
      <c r="F135" s="11">
        <v>2</v>
      </c>
      <c r="G135" s="118" t="s">
        <v>1997</v>
      </c>
      <c r="H135" s="13">
        <v>1</v>
      </c>
      <c r="I135" s="13">
        <v>2</v>
      </c>
      <c r="J135" s="13">
        <v>2</v>
      </c>
      <c r="K135" s="13">
        <v>1</v>
      </c>
      <c r="L135" s="15">
        <v>3</v>
      </c>
      <c r="M135" s="13">
        <v>3</v>
      </c>
      <c r="N135" s="431">
        <f t="shared" si="27"/>
        <v>1.0725046436742278</v>
      </c>
      <c r="O135" s="431">
        <f t="shared" si="28"/>
        <v>1.0776024280428556</v>
      </c>
      <c r="P135" s="42" t="s">
        <v>1970</v>
      </c>
    </row>
    <row r="136" spans="1:16" s="443" customFormat="1">
      <c r="A136" s="652" t="s">
        <v>467</v>
      </c>
      <c r="B136" s="799" t="s">
        <v>232</v>
      </c>
      <c r="C136" s="34" t="s">
        <v>139</v>
      </c>
      <c r="D136" s="122" t="s">
        <v>99</v>
      </c>
      <c r="E136" s="245">
        <v>1.26E-2</v>
      </c>
      <c r="F136" s="9">
        <v>2</v>
      </c>
      <c r="G136" s="9" t="s">
        <v>433</v>
      </c>
      <c r="H136" s="10">
        <v>1</v>
      </c>
      <c r="I136" s="10">
        <v>2</v>
      </c>
      <c r="J136" s="10">
        <v>2</v>
      </c>
      <c r="K136" s="10">
        <v>1</v>
      </c>
      <c r="L136" s="10">
        <v>1</v>
      </c>
      <c r="M136" s="10">
        <v>1</v>
      </c>
      <c r="N136" s="411">
        <f t="shared" si="27"/>
        <v>0.16933510251023262</v>
      </c>
      <c r="O136" s="411">
        <f t="shared" si="28"/>
        <v>0.19908580854301616</v>
      </c>
      <c r="P136" s="43" t="s">
        <v>1971</v>
      </c>
    </row>
    <row r="137" spans="1:16" s="443" customFormat="1">
      <c r="A137" s="652" t="s">
        <v>467</v>
      </c>
      <c r="B137" s="799" t="s">
        <v>251</v>
      </c>
      <c r="C137" s="34" t="s">
        <v>139</v>
      </c>
      <c r="D137" s="122" t="s">
        <v>99</v>
      </c>
      <c r="E137" s="245">
        <v>1.67E-2</v>
      </c>
      <c r="F137" s="9">
        <v>2</v>
      </c>
      <c r="G137" s="9" t="s">
        <v>433</v>
      </c>
      <c r="H137" s="10">
        <v>1</v>
      </c>
      <c r="I137" s="10">
        <v>2</v>
      </c>
      <c r="J137" s="10">
        <v>2</v>
      </c>
      <c r="K137" s="10">
        <v>1</v>
      </c>
      <c r="L137" s="10">
        <v>1</v>
      </c>
      <c r="M137" s="10">
        <v>1</v>
      </c>
      <c r="N137" s="411">
        <f t="shared" si="27"/>
        <v>0.16933510251023262</v>
      </c>
      <c r="O137" s="411">
        <f t="shared" si="28"/>
        <v>0.19908580854301616</v>
      </c>
      <c r="P137" s="43" t="s">
        <v>1982</v>
      </c>
    </row>
    <row r="138" spans="1:16" s="443" customFormat="1">
      <c r="A138" s="652" t="s">
        <v>467</v>
      </c>
      <c r="B138" s="794" t="s">
        <v>258</v>
      </c>
      <c r="C138" s="34" t="s">
        <v>139</v>
      </c>
      <c r="D138" s="124" t="s">
        <v>99</v>
      </c>
      <c r="E138" s="768">
        <v>1.1000000000000001E-3</v>
      </c>
      <c r="F138" s="119">
        <v>2</v>
      </c>
      <c r="G138" s="119" t="s">
        <v>433</v>
      </c>
      <c r="H138" s="10">
        <v>1</v>
      </c>
      <c r="I138" s="10">
        <v>2</v>
      </c>
      <c r="J138" s="10">
        <v>2</v>
      </c>
      <c r="K138" s="10">
        <v>1</v>
      </c>
      <c r="L138" s="10">
        <v>1</v>
      </c>
      <c r="M138" s="10">
        <v>1</v>
      </c>
      <c r="N138" s="411">
        <f>IF( OR( ISBLANK(H138),ISBLANK(J138), ISBLANK(K138), ISBLANK(L138), ISBLANK(M138) ), "", 1.5*SQRT(   EXP(2.21*(H138-1)) + EXP(2.21*(J138-1)) + EXP(2.21*(K138-1)) + EXP(2.21*(L138-1)) + EXP(2.21*M138)   )/100*2.45 )</f>
        <v>0.16933510251023262</v>
      </c>
      <c r="O138" s="411">
        <f>IF( OR( ISBLANK(I138),ISBLANK(J138), ISBLANK(K138), ISBLANK(L138), ISBLANK(M138) ), "", 1.5*SQRT( EXP(2.21*(I138-1)) + EXP(2.21*(J138-1)) + EXP(2.21*(K138-1)) + EXP(2.21*(L138-1)) + EXP(2.21*M138)   )/100*2.45 )</f>
        <v>0.19908580854301616</v>
      </c>
      <c r="P138" s="43" t="s">
        <v>1972</v>
      </c>
    </row>
    <row r="139" spans="1:16" s="443" customFormat="1" ht="15.75" thickBot="1">
      <c r="A139" s="651" t="s">
        <v>467</v>
      </c>
      <c r="B139" s="803" t="s">
        <v>334</v>
      </c>
      <c r="C139" s="34" t="s">
        <v>139</v>
      </c>
      <c r="D139" s="123" t="s">
        <v>99</v>
      </c>
      <c r="E139" s="772" t="s">
        <v>150</v>
      </c>
      <c r="F139" s="12">
        <v>1</v>
      </c>
      <c r="G139" s="12" t="s">
        <v>433</v>
      </c>
      <c r="H139" s="14"/>
      <c r="I139" s="14"/>
      <c r="J139" s="14"/>
      <c r="K139" s="14"/>
      <c r="L139" s="14"/>
      <c r="M139" s="14"/>
      <c r="N139" s="434" t="str">
        <f t="shared" si="27"/>
        <v/>
      </c>
      <c r="O139" s="434" t="str">
        <f t="shared" si="28"/>
        <v/>
      </c>
      <c r="P139" s="44"/>
    </row>
    <row r="140" spans="1:16" s="443" customFormat="1">
      <c r="A140" s="653" t="s">
        <v>469</v>
      </c>
      <c r="B140" s="793" t="s">
        <v>228</v>
      </c>
      <c r="C140" s="34" t="s">
        <v>139</v>
      </c>
      <c r="D140" s="630" t="s">
        <v>99</v>
      </c>
      <c r="E140" s="763">
        <v>3.2000000000000001E-2</v>
      </c>
      <c r="F140" s="118">
        <v>2</v>
      </c>
      <c r="G140" s="118" t="s">
        <v>433</v>
      </c>
      <c r="H140" s="66">
        <v>1</v>
      </c>
      <c r="I140" s="66">
        <v>2</v>
      </c>
      <c r="J140" s="66">
        <v>2</v>
      </c>
      <c r="K140" s="66">
        <v>1</v>
      </c>
      <c r="L140" s="66">
        <v>1</v>
      </c>
      <c r="M140" s="66">
        <v>1</v>
      </c>
      <c r="N140" s="445">
        <f t="shared" si="27"/>
        <v>0.16933510251023262</v>
      </c>
      <c r="O140" s="445">
        <f t="shared" si="28"/>
        <v>0.19908580854301616</v>
      </c>
      <c r="P140" s="118" t="s">
        <v>861</v>
      </c>
    </row>
    <row r="141" spans="1:16" s="443" customFormat="1" ht="15.75" thickBot="1">
      <c r="A141" s="654" t="s">
        <v>469</v>
      </c>
      <c r="B141" s="794" t="s">
        <v>334</v>
      </c>
      <c r="C141" s="34" t="s">
        <v>139</v>
      </c>
      <c r="D141" s="124" t="s">
        <v>99</v>
      </c>
      <c r="E141" s="768" t="s">
        <v>150</v>
      </c>
      <c r="F141" s="119">
        <v>1</v>
      </c>
      <c r="G141" s="119" t="s">
        <v>433</v>
      </c>
      <c r="H141" s="15"/>
      <c r="I141" s="15"/>
      <c r="J141" s="15"/>
      <c r="K141" s="15"/>
      <c r="L141" s="15"/>
      <c r="M141" s="15"/>
      <c r="N141" s="430" t="str">
        <f t="shared" si="27"/>
        <v/>
      </c>
      <c r="O141" s="430" t="str">
        <f t="shared" si="28"/>
        <v/>
      </c>
      <c r="P141" s="119" t="s">
        <v>1943</v>
      </c>
    </row>
    <row r="142" spans="1:16" s="443" customFormat="1">
      <c r="A142" s="650" t="s">
        <v>436</v>
      </c>
      <c r="B142" s="802" t="s">
        <v>470</v>
      </c>
      <c r="C142" s="34" t="s">
        <v>139</v>
      </c>
      <c r="D142" s="121" t="s">
        <v>99</v>
      </c>
      <c r="E142" s="648">
        <f>0.97*0.07</f>
        <v>6.7900000000000002E-2</v>
      </c>
      <c r="F142" s="11">
        <v>2</v>
      </c>
      <c r="G142" s="11" t="s">
        <v>433</v>
      </c>
      <c r="H142" s="13">
        <v>1</v>
      </c>
      <c r="I142" s="13">
        <v>2</v>
      </c>
      <c r="J142" s="13">
        <v>2</v>
      </c>
      <c r="K142" s="13">
        <v>1</v>
      </c>
      <c r="L142" s="13">
        <v>1</v>
      </c>
      <c r="M142" s="13">
        <v>1</v>
      </c>
      <c r="N142" s="431">
        <f t="shared" si="27"/>
        <v>0.16933510251023262</v>
      </c>
      <c r="O142" s="431">
        <f t="shared" si="28"/>
        <v>0.19908580854301616</v>
      </c>
      <c r="P142" s="42" t="s">
        <v>864</v>
      </c>
    </row>
    <row r="143" spans="1:16" s="443" customFormat="1">
      <c r="A143" s="652" t="s">
        <v>436</v>
      </c>
      <c r="B143" s="799" t="s">
        <v>471</v>
      </c>
      <c r="C143" s="34" t="s">
        <v>139</v>
      </c>
      <c r="D143" s="122" t="s">
        <v>99</v>
      </c>
      <c r="E143" s="245">
        <f>0.97*0.93</f>
        <v>0.90210000000000001</v>
      </c>
      <c r="F143" s="9">
        <v>2</v>
      </c>
      <c r="G143" s="9" t="s">
        <v>433</v>
      </c>
      <c r="H143" s="10">
        <v>1</v>
      </c>
      <c r="I143" s="10">
        <v>2</v>
      </c>
      <c r="J143" s="10">
        <v>2</v>
      </c>
      <c r="K143" s="10">
        <v>1</v>
      </c>
      <c r="L143" s="10">
        <v>1</v>
      </c>
      <c r="M143" s="10">
        <v>1</v>
      </c>
      <c r="N143" s="411">
        <f t="shared" si="27"/>
        <v>0.16933510251023262</v>
      </c>
      <c r="O143" s="411">
        <f t="shared" si="28"/>
        <v>0.19908580854301616</v>
      </c>
      <c r="P143" s="43" t="s">
        <v>865</v>
      </c>
    </row>
    <row r="144" spans="1:16" s="443" customFormat="1" ht="15.75" thickBot="1">
      <c r="A144" s="651" t="s">
        <v>436</v>
      </c>
      <c r="B144" s="803" t="s">
        <v>223</v>
      </c>
      <c r="C144" s="34" t="s">
        <v>139</v>
      </c>
      <c r="D144" s="123" t="s">
        <v>99</v>
      </c>
      <c r="E144" s="772">
        <v>0.03</v>
      </c>
      <c r="F144" s="12">
        <v>1</v>
      </c>
      <c r="G144" s="12" t="s">
        <v>433</v>
      </c>
      <c r="H144" s="14">
        <v>1</v>
      </c>
      <c r="I144" s="14">
        <v>2</v>
      </c>
      <c r="J144" s="14">
        <v>2</v>
      </c>
      <c r="K144" s="14">
        <v>1</v>
      </c>
      <c r="L144" s="14">
        <v>1</v>
      </c>
      <c r="M144" s="14">
        <v>1</v>
      </c>
      <c r="N144" s="434">
        <f t="shared" si="27"/>
        <v>0.16933510251023262</v>
      </c>
      <c r="O144" s="434">
        <f t="shared" si="28"/>
        <v>0.19908580854301616</v>
      </c>
      <c r="P144" s="44" t="s">
        <v>854</v>
      </c>
    </row>
    <row r="145" spans="1:16" s="443" customFormat="1">
      <c r="A145" s="793" t="s">
        <v>470</v>
      </c>
      <c r="B145" s="444" t="s">
        <v>473</v>
      </c>
      <c r="C145" s="34" t="s">
        <v>139</v>
      </c>
      <c r="D145" s="121" t="s">
        <v>99</v>
      </c>
      <c r="E145" s="648">
        <v>0.03</v>
      </c>
      <c r="F145" s="11">
        <v>2</v>
      </c>
      <c r="G145" s="11" t="s">
        <v>433</v>
      </c>
      <c r="H145" s="13">
        <v>1</v>
      </c>
      <c r="I145" s="13">
        <v>2</v>
      </c>
      <c r="J145" s="13">
        <v>2</v>
      </c>
      <c r="K145" s="13">
        <v>1</v>
      </c>
      <c r="L145" s="13">
        <v>1</v>
      </c>
      <c r="M145" s="13">
        <v>1</v>
      </c>
      <c r="N145" s="431">
        <f t="shared" si="27"/>
        <v>0.16933510251023262</v>
      </c>
      <c r="O145" s="431">
        <f t="shared" si="28"/>
        <v>0.19908580854301616</v>
      </c>
      <c r="P145" s="42" t="s">
        <v>855</v>
      </c>
    </row>
    <row r="146" spans="1:16" s="443" customFormat="1" ht="15.75" thickBot="1">
      <c r="A146" s="794" t="s">
        <v>470</v>
      </c>
      <c r="B146" s="792" t="s">
        <v>474</v>
      </c>
      <c r="C146" s="34" t="s">
        <v>139</v>
      </c>
      <c r="D146" s="123" t="s">
        <v>99</v>
      </c>
      <c r="E146" s="772" t="s">
        <v>150</v>
      </c>
      <c r="F146" s="12">
        <v>1</v>
      </c>
      <c r="G146" s="12" t="s">
        <v>433</v>
      </c>
      <c r="H146" s="14"/>
      <c r="I146" s="14"/>
      <c r="J146" s="14"/>
      <c r="K146" s="14"/>
      <c r="L146" s="14"/>
      <c r="M146" s="14"/>
      <c r="N146" s="434" t="str">
        <f t="shared" si="27"/>
        <v/>
      </c>
      <c r="O146" s="434" t="str">
        <f t="shared" si="28"/>
        <v/>
      </c>
      <c r="P146" s="44" t="s">
        <v>1944</v>
      </c>
    </row>
    <row r="147" spans="1:16" s="443" customFormat="1">
      <c r="A147" s="650" t="s">
        <v>473</v>
      </c>
      <c r="B147" s="793" t="s">
        <v>231</v>
      </c>
      <c r="C147" s="34" t="s">
        <v>139</v>
      </c>
      <c r="D147" s="630" t="s">
        <v>99</v>
      </c>
      <c r="E147" s="774">
        <v>0.05</v>
      </c>
      <c r="F147" s="773">
        <v>2</v>
      </c>
      <c r="G147" s="11" t="s">
        <v>157</v>
      </c>
      <c r="H147" s="66">
        <v>1</v>
      </c>
      <c r="I147" s="66">
        <v>2</v>
      </c>
      <c r="J147" s="66">
        <v>2</v>
      </c>
      <c r="K147" s="66">
        <v>1</v>
      </c>
      <c r="L147" s="71">
        <v>3</v>
      </c>
      <c r="M147" s="66">
        <v>3</v>
      </c>
      <c r="N147" s="445">
        <f t="shared" si="27"/>
        <v>1.0725046436742278</v>
      </c>
      <c r="O147" s="445">
        <f t="shared" si="28"/>
        <v>1.0776024280428556</v>
      </c>
      <c r="P147" s="795" t="s">
        <v>1937</v>
      </c>
    </row>
    <row r="148" spans="1:16" s="443" customFormat="1">
      <c r="A148" s="652" t="s">
        <v>473</v>
      </c>
      <c r="B148" s="799" t="s">
        <v>232</v>
      </c>
      <c r="C148" s="34" t="s">
        <v>139</v>
      </c>
      <c r="D148" s="122" t="s">
        <v>99</v>
      </c>
      <c r="E148" s="245">
        <v>0.39400000000000002</v>
      </c>
      <c r="F148" s="9">
        <v>2</v>
      </c>
      <c r="G148" s="9" t="s">
        <v>433</v>
      </c>
      <c r="H148" s="10">
        <v>1</v>
      </c>
      <c r="I148" s="10">
        <v>2</v>
      </c>
      <c r="J148" s="10">
        <v>2</v>
      </c>
      <c r="K148" s="10">
        <v>1</v>
      </c>
      <c r="L148" s="10">
        <v>1</v>
      </c>
      <c r="M148" s="10">
        <v>1</v>
      </c>
      <c r="N148" s="411">
        <f t="shared" si="27"/>
        <v>0.16933510251023262</v>
      </c>
      <c r="O148" s="411">
        <f t="shared" si="28"/>
        <v>0.19908580854301616</v>
      </c>
      <c r="P148" s="43" t="s">
        <v>1961</v>
      </c>
    </row>
    <row r="149" spans="1:16" s="443" customFormat="1">
      <c r="A149" s="652" t="s">
        <v>473</v>
      </c>
      <c r="B149" s="799" t="s">
        <v>251</v>
      </c>
      <c r="C149" s="34" t="s">
        <v>139</v>
      </c>
      <c r="D149" s="122" t="s">
        <v>99</v>
      </c>
      <c r="E149" s="245">
        <v>0.52200000000000002</v>
      </c>
      <c r="F149" s="7">
        <v>1</v>
      </c>
      <c r="G149" s="9" t="s">
        <v>433</v>
      </c>
      <c r="H149" s="10">
        <v>1</v>
      </c>
      <c r="I149" s="10">
        <v>2</v>
      </c>
      <c r="J149" s="10">
        <v>2</v>
      </c>
      <c r="K149" s="10">
        <v>1</v>
      </c>
      <c r="L149" s="10">
        <v>1</v>
      </c>
      <c r="M149" s="10">
        <v>1</v>
      </c>
      <c r="N149" s="411">
        <f t="shared" si="27"/>
        <v>0.16933510251023262</v>
      </c>
      <c r="O149" s="411">
        <f t="shared" si="28"/>
        <v>0.19908580854301616</v>
      </c>
      <c r="P149" s="43" t="s">
        <v>1962</v>
      </c>
    </row>
    <row r="150" spans="1:16" s="443" customFormat="1" ht="15.75" thickBot="1">
      <c r="A150" s="651" t="s">
        <v>473</v>
      </c>
      <c r="B150" s="794" t="s">
        <v>258</v>
      </c>
      <c r="C150" s="34" t="s">
        <v>139</v>
      </c>
      <c r="D150" s="124" t="s">
        <v>99</v>
      </c>
      <c r="E150" s="768">
        <v>3.4000000000000002E-2</v>
      </c>
      <c r="F150" s="119">
        <v>2</v>
      </c>
      <c r="G150" s="119" t="s">
        <v>433</v>
      </c>
      <c r="H150" s="15"/>
      <c r="I150" s="15"/>
      <c r="J150" s="15"/>
      <c r="K150" s="15"/>
      <c r="L150" s="15"/>
      <c r="M150" s="15"/>
      <c r="N150" s="430"/>
      <c r="O150" s="430"/>
      <c r="P150" s="156" t="s">
        <v>1963</v>
      </c>
    </row>
    <row r="151" spans="1:16" s="443" customFormat="1">
      <c r="A151" s="793" t="s">
        <v>471</v>
      </c>
      <c r="B151" s="444" t="s">
        <v>475</v>
      </c>
      <c r="C151" s="34" t="s">
        <v>139</v>
      </c>
      <c r="D151" s="121" t="s">
        <v>99</v>
      </c>
      <c r="E151" s="648">
        <f>0.1*E145</f>
        <v>3.0000000000000001E-3</v>
      </c>
      <c r="F151" s="11">
        <v>2</v>
      </c>
      <c r="G151" s="11" t="s">
        <v>433</v>
      </c>
      <c r="H151" s="13">
        <v>1</v>
      </c>
      <c r="I151" s="13">
        <v>2</v>
      </c>
      <c r="J151" s="13">
        <v>2</v>
      </c>
      <c r="K151" s="13">
        <v>1</v>
      </c>
      <c r="L151" s="13">
        <v>1</v>
      </c>
      <c r="M151" s="13">
        <v>1</v>
      </c>
      <c r="N151" s="431">
        <f t="shared" si="27"/>
        <v>0.16933510251023262</v>
      </c>
      <c r="O151" s="431">
        <f t="shared" si="28"/>
        <v>0.19908580854301616</v>
      </c>
      <c r="P151" s="42" t="s">
        <v>856</v>
      </c>
    </row>
    <row r="152" spans="1:16" s="443" customFormat="1" ht="15.75" thickBot="1">
      <c r="A152" s="794" t="s">
        <v>471</v>
      </c>
      <c r="B152" s="792" t="s">
        <v>476</v>
      </c>
      <c r="C152" s="34" t="s">
        <v>139</v>
      </c>
      <c r="D152" s="123" t="s">
        <v>99</v>
      </c>
      <c r="E152" s="772" t="s">
        <v>150</v>
      </c>
      <c r="F152" s="12">
        <v>1</v>
      </c>
      <c r="G152" s="12" t="s">
        <v>433</v>
      </c>
      <c r="H152" s="14"/>
      <c r="I152" s="14"/>
      <c r="J152" s="14"/>
      <c r="K152" s="14"/>
      <c r="L152" s="14"/>
      <c r="M152" s="14"/>
      <c r="N152" s="434" t="str">
        <f t="shared" si="27"/>
        <v/>
      </c>
      <c r="O152" s="434" t="str">
        <f t="shared" si="28"/>
        <v/>
      </c>
      <c r="P152" s="44" t="s">
        <v>1944</v>
      </c>
    </row>
    <row r="153" spans="1:16" s="443" customFormat="1" ht="15.75" thickBot="1">
      <c r="A153" s="649" t="s">
        <v>475</v>
      </c>
      <c r="B153" s="804" t="s">
        <v>228</v>
      </c>
      <c r="C153" s="34" t="s">
        <v>139</v>
      </c>
      <c r="D153" s="800" t="s">
        <v>99</v>
      </c>
      <c r="E153" s="770">
        <v>1</v>
      </c>
      <c r="F153" s="769">
        <v>2</v>
      </c>
      <c r="G153" s="769" t="s">
        <v>433</v>
      </c>
      <c r="H153" s="70">
        <v>1</v>
      </c>
      <c r="I153" s="70">
        <v>2</v>
      </c>
      <c r="J153" s="70">
        <v>2</v>
      </c>
      <c r="K153" s="70">
        <v>1</v>
      </c>
      <c r="L153" s="70">
        <v>1</v>
      </c>
      <c r="M153" s="70">
        <v>1</v>
      </c>
      <c r="N153" s="446">
        <f t="shared" si="27"/>
        <v>0.16933510251023262</v>
      </c>
      <c r="O153" s="446">
        <f t="shared" si="28"/>
        <v>0.19908580854301616</v>
      </c>
      <c r="P153" s="771" t="s">
        <v>857</v>
      </c>
    </row>
    <row r="154" spans="1:16" s="443" customFormat="1">
      <c r="A154" s="653" t="s">
        <v>474</v>
      </c>
      <c r="B154" s="802" t="s">
        <v>231</v>
      </c>
      <c r="C154" s="34" t="s">
        <v>139</v>
      </c>
      <c r="D154" s="630" t="s">
        <v>99</v>
      </c>
      <c r="E154" s="763">
        <v>0</v>
      </c>
      <c r="F154" s="118">
        <v>2</v>
      </c>
      <c r="G154" s="118" t="s">
        <v>433</v>
      </c>
      <c r="H154" s="66">
        <v>1</v>
      </c>
      <c r="I154" s="66">
        <v>2</v>
      </c>
      <c r="J154" s="66">
        <v>2</v>
      </c>
      <c r="K154" s="66">
        <v>1</v>
      </c>
      <c r="L154" s="15">
        <v>1</v>
      </c>
      <c r="M154" s="13">
        <v>1</v>
      </c>
      <c r="N154" s="445">
        <f t="shared" si="27"/>
        <v>0.16933510251023262</v>
      </c>
      <c r="O154" s="445">
        <f t="shared" si="28"/>
        <v>0.19908580854301616</v>
      </c>
      <c r="P154" s="42" t="s">
        <v>1969</v>
      </c>
    </row>
    <row r="155" spans="1:16" s="443" customFormat="1">
      <c r="A155" s="318" t="s">
        <v>474</v>
      </c>
      <c r="B155" s="799" t="s">
        <v>232</v>
      </c>
      <c r="C155" s="34" t="s">
        <v>139</v>
      </c>
      <c r="D155" s="122" t="s">
        <v>99</v>
      </c>
      <c r="E155" s="245">
        <v>0</v>
      </c>
      <c r="F155" s="9">
        <v>2</v>
      </c>
      <c r="G155" s="9" t="s">
        <v>433</v>
      </c>
      <c r="H155" s="10">
        <v>1</v>
      </c>
      <c r="I155" s="10">
        <v>2</v>
      </c>
      <c r="J155" s="10">
        <v>2</v>
      </c>
      <c r="K155" s="10">
        <v>1</v>
      </c>
      <c r="L155" s="10">
        <v>1</v>
      </c>
      <c r="M155" s="10">
        <v>1</v>
      </c>
      <c r="N155" s="411">
        <f t="shared" si="27"/>
        <v>0.16933510251023262</v>
      </c>
      <c r="O155" s="411">
        <f t="shared" si="28"/>
        <v>0.19908580854301616</v>
      </c>
      <c r="P155" s="43" t="s">
        <v>1969</v>
      </c>
    </row>
    <row r="156" spans="1:16" s="443" customFormat="1">
      <c r="A156" s="318" t="s">
        <v>474</v>
      </c>
      <c r="B156" s="799" t="s">
        <v>251</v>
      </c>
      <c r="C156" s="34" t="s">
        <v>139</v>
      </c>
      <c r="D156" s="122" t="s">
        <v>99</v>
      </c>
      <c r="E156" s="245">
        <v>0</v>
      </c>
      <c r="F156" s="9">
        <v>2</v>
      </c>
      <c r="G156" s="9" t="s">
        <v>433</v>
      </c>
      <c r="H156" s="10">
        <v>1</v>
      </c>
      <c r="I156" s="10">
        <v>2</v>
      </c>
      <c r="J156" s="10">
        <v>2</v>
      </c>
      <c r="K156" s="10">
        <v>1</v>
      </c>
      <c r="L156" s="10">
        <v>1</v>
      </c>
      <c r="M156" s="10">
        <v>1</v>
      </c>
      <c r="N156" s="411">
        <f t="shared" si="27"/>
        <v>0.16933510251023262</v>
      </c>
      <c r="O156" s="411">
        <f t="shared" si="28"/>
        <v>0.19908580854301616</v>
      </c>
      <c r="P156" s="43" t="s">
        <v>1969</v>
      </c>
    </row>
    <row r="157" spans="1:16" s="443" customFormat="1">
      <c r="A157" s="318" t="s">
        <v>474</v>
      </c>
      <c r="B157" s="794" t="s">
        <v>258</v>
      </c>
      <c r="C157" s="34" t="s">
        <v>139</v>
      </c>
      <c r="D157" s="124" t="s">
        <v>99</v>
      </c>
      <c r="E157" s="768">
        <v>0</v>
      </c>
      <c r="F157" s="119">
        <v>2</v>
      </c>
      <c r="G157" s="119" t="s">
        <v>433</v>
      </c>
      <c r="H157" s="10">
        <v>1</v>
      </c>
      <c r="I157" s="10">
        <v>2</v>
      </c>
      <c r="J157" s="10">
        <v>2</v>
      </c>
      <c r="K157" s="10">
        <v>1</v>
      </c>
      <c r="L157" s="10">
        <v>1</v>
      </c>
      <c r="M157" s="10">
        <v>1</v>
      </c>
      <c r="N157" s="411">
        <f>IF( OR( ISBLANK(H157),ISBLANK(J157), ISBLANK(K157), ISBLANK(L157), ISBLANK(M157) ), "", 1.5*SQRT(   EXP(2.21*(H157-1)) + EXP(2.21*(J157-1)) + EXP(2.21*(K157-1)) + EXP(2.21*(L157-1)) + EXP(2.21*M157)   )/100*2.45 )</f>
        <v>0.16933510251023262</v>
      </c>
      <c r="O157" s="411">
        <f>IF( OR( ISBLANK(I157),ISBLANK(J157), ISBLANK(K157), ISBLANK(L157), ISBLANK(M157) ), "", 1.5*SQRT( EXP(2.21*(I157-1)) + EXP(2.21*(J157-1)) + EXP(2.21*(K157-1)) + EXP(2.21*(L157-1)) + EXP(2.21*M157)   )/100*2.45 )</f>
        <v>0.19908580854301616</v>
      </c>
      <c r="P157" s="156" t="s">
        <v>1969</v>
      </c>
    </row>
    <row r="158" spans="1:16" s="443" customFormat="1" ht="15.75" thickBot="1">
      <c r="A158" s="654" t="s">
        <v>474</v>
      </c>
      <c r="B158" s="803" t="s">
        <v>334</v>
      </c>
      <c r="C158" s="34" t="s">
        <v>139</v>
      </c>
      <c r="D158" s="124" t="s">
        <v>99</v>
      </c>
      <c r="E158" s="768" t="s">
        <v>150</v>
      </c>
      <c r="F158" s="119">
        <v>1</v>
      </c>
      <c r="G158" s="119" t="s">
        <v>433</v>
      </c>
      <c r="H158" s="15"/>
      <c r="I158" s="15"/>
      <c r="J158" s="15"/>
      <c r="K158" s="15"/>
      <c r="L158" s="15"/>
      <c r="M158" s="15"/>
      <c r="N158" s="430" t="str">
        <f t="shared" si="27"/>
        <v/>
      </c>
      <c r="O158" s="430" t="str">
        <f t="shared" si="28"/>
        <v/>
      </c>
      <c r="P158" s="44"/>
    </row>
    <row r="159" spans="1:16" s="443" customFormat="1">
      <c r="A159" s="650" t="s">
        <v>476</v>
      </c>
      <c r="B159" s="802" t="s">
        <v>228</v>
      </c>
      <c r="C159" s="34" t="s">
        <v>139</v>
      </c>
      <c r="D159" s="121" t="s">
        <v>99</v>
      </c>
      <c r="E159" s="648">
        <v>0</v>
      </c>
      <c r="F159" s="11">
        <v>2</v>
      </c>
      <c r="G159" s="11" t="s">
        <v>433</v>
      </c>
      <c r="H159" s="13">
        <v>1</v>
      </c>
      <c r="I159" s="13">
        <v>2</v>
      </c>
      <c r="J159" s="13">
        <v>2</v>
      </c>
      <c r="K159" s="13">
        <v>1</v>
      </c>
      <c r="L159" s="13">
        <v>1</v>
      </c>
      <c r="M159" s="13">
        <v>1</v>
      </c>
      <c r="N159" s="431">
        <f t="shared" si="27"/>
        <v>0.16933510251023262</v>
      </c>
      <c r="O159" s="431">
        <f t="shared" si="28"/>
        <v>0.19908580854301616</v>
      </c>
      <c r="P159" s="42" t="s">
        <v>858</v>
      </c>
    </row>
    <row r="160" spans="1:16" s="443" customFormat="1" ht="15.75" thickBot="1">
      <c r="A160" s="651" t="s">
        <v>476</v>
      </c>
      <c r="B160" s="803" t="s">
        <v>334</v>
      </c>
      <c r="C160" s="34" t="s">
        <v>139</v>
      </c>
      <c r="D160" s="123" t="s">
        <v>99</v>
      </c>
      <c r="E160" s="772" t="s">
        <v>150</v>
      </c>
      <c r="F160" s="12">
        <v>1</v>
      </c>
      <c r="G160" s="12" t="s">
        <v>433</v>
      </c>
      <c r="H160" s="14"/>
      <c r="I160" s="14"/>
      <c r="J160" s="14"/>
      <c r="K160" s="14"/>
      <c r="L160" s="14"/>
      <c r="M160" s="14"/>
      <c r="N160" s="434" t="str">
        <f t="shared" si="27"/>
        <v/>
      </c>
      <c r="O160" s="434" t="str">
        <f t="shared" si="28"/>
        <v/>
      </c>
      <c r="P160" s="44" t="s">
        <v>1945</v>
      </c>
    </row>
    <row r="161" spans="1:16" s="443" customFormat="1">
      <c r="A161" s="653" t="s">
        <v>437</v>
      </c>
      <c r="B161" s="793" t="s">
        <v>478</v>
      </c>
      <c r="C161" s="34" t="s">
        <v>139</v>
      </c>
      <c r="D161" s="630" t="s">
        <v>99</v>
      </c>
      <c r="E161" s="763">
        <f>0.97*0.03</f>
        <v>2.9099999999999997E-2</v>
      </c>
      <c r="F161" s="118">
        <v>2</v>
      </c>
      <c r="G161" s="118" t="s">
        <v>433</v>
      </c>
      <c r="H161" s="66">
        <v>1</v>
      </c>
      <c r="I161" s="66">
        <v>2</v>
      </c>
      <c r="J161" s="66">
        <v>2</v>
      </c>
      <c r="K161" s="66">
        <v>1</v>
      </c>
      <c r="L161" s="66">
        <v>1</v>
      </c>
      <c r="M161" s="66">
        <v>1</v>
      </c>
      <c r="N161" s="445">
        <f t="shared" si="27"/>
        <v>0.16933510251023262</v>
      </c>
      <c r="O161" s="445">
        <f t="shared" si="28"/>
        <v>0.19908580854301616</v>
      </c>
      <c r="P161" s="118" t="s">
        <v>866</v>
      </c>
    </row>
    <row r="162" spans="1:16" s="443" customFormat="1">
      <c r="A162" s="318" t="s">
        <v>437</v>
      </c>
      <c r="B162" s="799" t="s">
        <v>479</v>
      </c>
      <c r="C162" s="34" t="s">
        <v>139</v>
      </c>
      <c r="D162" s="122" t="s">
        <v>99</v>
      </c>
      <c r="E162" s="245">
        <f>0.97*0.97</f>
        <v>0.94089999999999996</v>
      </c>
      <c r="F162" s="9">
        <v>2</v>
      </c>
      <c r="G162" s="9" t="s">
        <v>433</v>
      </c>
      <c r="H162" s="10">
        <v>1</v>
      </c>
      <c r="I162" s="10">
        <v>2</v>
      </c>
      <c r="J162" s="10">
        <v>2</v>
      </c>
      <c r="K162" s="10">
        <v>1</v>
      </c>
      <c r="L162" s="10">
        <v>1</v>
      </c>
      <c r="M162" s="10">
        <v>1</v>
      </c>
      <c r="N162" s="411">
        <f t="shared" si="27"/>
        <v>0.16933510251023262</v>
      </c>
      <c r="O162" s="411">
        <f t="shared" si="28"/>
        <v>0.19908580854301616</v>
      </c>
      <c r="P162" s="9" t="s">
        <v>867</v>
      </c>
    </row>
    <row r="163" spans="1:16" s="443" customFormat="1" ht="15.75" thickBot="1">
      <c r="A163" s="654" t="s">
        <v>437</v>
      </c>
      <c r="B163" s="794" t="s">
        <v>223</v>
      </c>
      <c r="C163" s="34" t="s">
        <v>139</v>
      </c>
      <c r="D163" s="124" t="s">
        <v>99</v>
      </c>
      <c r="E163" s="768">
        <v>0.03</v>
      </c>
      <c r="F163" s="119">
        <v>1</v>
      </c>
      <c r="G163" s="119" t="s">
        <v>433</v>
      </c>
      <c r="H163" s="15">
        <v>1</v>
      </c>
      <c r="I163" s="15">
        <v>2</v>
      </c>
      <c r="J163" s="15">
        <v>2</v>
      </c>
      <c r="K163" s="15">
        <v>1</v>
      </c>
      <c r="L163" s="15">
        <v>1</v>
      </c>
      <c r="M163" s="15">
        <v>1</v>
      </c>
      <c r="N163" s="430">
        <f t="shared" si="27"/>
        <v>0.16933510251023262</v>
      </c>
      <c r="O163" s="430">
        <f t="shared" si="28"/>
        <v>0.19908580854301616</v>
      </c>
      <c r="P163" s="119" t="s">
        <v>854</v>
      </c>
    </row>
    <row r="164" spans="1:16" s="443" customFormat="1">
      <c r="A164" s="650" t="s">
        <v>478</v>
      </c>
      <c r="B164" s="802" t="s">
        <v>481</v>
      </c>
      <c r="C164" s="34" t="s">
        <v>139</v>
      </c>
      <c r="D164" s="121" t="s">
        <v>99</v>
      </c>
      <c r="E164" s="648">
        <v>0.03</v>
      </c>
      <c r="F164" s="11">
        <v>2</v>
      </c>
      <c r="G164" s="11" t="s">
        <v>433</v>
      </c>
      <c r="H164" s="13">
        <v>1</v>
      </c>
      <c r="I164" s="13">
        <v>2</v>
      </c>
      <c r="J164" s="13">
        <v>2</v>
      </c>
      <c r="K164" s="13">
        <v>1</v>
      </c>
      <c r="L164" s="13">
        <v>1</v>
      </c>
      <c r="M164" s="13">
        <v>1</v>
      </c>
      <c r="N164" s="431">
        <f t="shared" si="27"/>
        <v>0.16933510251023262</v>
      </c>
      <c r="O164" s="431">
        <f t="shared" si="28"/>
        <v>0.19908580854301616</v>
      </c>
      <c r="P164" s="42" t="s">
        <v>855</v>
      </c>
    </row>
    <row r="165" spans="1:16" s="443" customFormat="1" ht="15.75" thickBot="1">
      <c r="A165" s="651" t="s">
        <v>478</v>
      </c>
      <c r="B165" s="803" t="s">
        <v>482</v>
      </c>
      <c r="C165" s="34" t="s">
        <v>139</v>
      </c>
      <c r="D165" s="123" t="s">
        <v>99</v>
      </c>
      <c r="E165" s="772" t="s">
        <v>150</v>
      </c>
      <c r="F165" s="12">
        <v>1</v>
      </c>
      <c r="G165" s="12" t="s">
        <v>433</v>
      </c>
      <c r="H165" s="14"/>
      <c r="I165" s="14"/>
      <c r="J165" s="14"/>
      <c r="K165" s="14"/>
      <c r="L165" s="14"/>
      <c r="M165" s="14"/>
      <c r="N165" s="434" t="str">
        <f t="shared" si="27"/>
        <v/>
      </c>
      <c r="O165" s="434" t="str">
        <f t="shared" si="28"/>
        <v/>
      </c>
      <c r="P165" s="44" t="s">
        <v>1946</v>
      </c>
    </row>
    <row r="166" spans="1:16" s="443" customFormat="1">
      <c r="A166" s="653" t="s">
        <v>481</v>
      </c>
      <c r="B166" s="793" t="s">
        <v>231</v>
      </c>
      <c r="C166" s="34" t="s">
        <v>139</v>
      </c>
      <c r="D166" s="630" t="s">
        <v>99</v>
      </c>
      <c r="E166" s="768">
        <v>0.05</v>
      </c>
      <c r="F166" s="119">
        <v>2</v>
      </c>
      <c r="G166" s="11" t="s">
        <v>157</v>
      </c>
      <c r="H166" s="66">
        <v>1</v>
      </c>
      <c r="I166" s="66">
        <v>2</v>
      </c>
      <c r="J166" s="66">
        <v>2</v>
      </c>
      <c r="K166" s="66">
        <v>1</v>
      </c>
      <c r="L166" s="15">
        <v>3</v>
      </c>
      <c r="M166" s="13">
        <v>3</v>
      </c>
      <c r="N166" s="445">
        <f t="shared" si="27"/>
        <v>1.0725046436742278</v>
      </c>
      <c r="O166" s="445">
        <f t="shared" si="28"/>
        <v>1.0776024280428556</v>
      </c>
      <c r="P166" s="119" t="s">
        <v>1937</v>
      </c>
    </row>
    <row r="167" spans="1:16" s="443" customFormat="1">
      <c r="A167" s="318" t="s">
        <v>481</v>
      </c>
      <c r="B167" s="799" t="s">
        <v>232</v>
      </c>
      <c r="C167" s="34" t="s">
        <v>139</v>
      </c>
      <c r="D167" s="122" t="s">
        <v>99</v>
      </c>
      <c r="E167" s="245">
        <v>0.39400000000000002</v>
      </c>
      <c r="F167" s="9">
        <v>2</v>
      </c>
      <c r="G167" s="9" t="s">
        <v>433</v>
      </c>
      <c r="H167" s="10">
        <v>1</v>
      </c>
      <c r="I167" s="10">
        <v>2</v>
      </c>
      <c r="J167" s="10">
        <v>2</v>
      </c>
      <c r="K167" s="10">
        <v>1</v>
      </c>
      <c r="L167" s="10">
        <v>1</v>
      </c>
      <c r="M167" s="10">
        <v>1</v>
      </c>
      <c r="N167" s="411">
        <f t="shared" si="27"/>
        <v>0.16933510251023262</v>
      </c>
      <c r="O167" s="411">
        <f t="shared" si="28"/>
        <v>0.19908580854301616</v>
      </c>
      <c r="P167" s="9" t="s">
        <v>1961</v>
      </c>
    </row>
    <row r="168" spans="1:16" s="443" customFormat="1">
      <c r="A168" s="654" t="s">
        <v>481</v>
      </c>
      <c r="B168" s="794" t="s">
        <v>251</v>
      </c>
      <c r="C168" s="34" t="s">
        <v>139</v>
      </c>
      <c r="D168" s="124" t="s">
        <v>99</v>
      </c>
      <c r="E168" s="245">
        <v>0.52200000000000002</v>
      </c>
      <c r="F168" s="7">
        <v>1</v>
      </c>
      <c r="G168" s="9" t="s">
        <v>433</v>
      </c>
      <c r="H168" s="15">
        <v>1</v>
      </c>
      <c r="I168" s="15">
        <v>2</v>
      </c>
      <c r="J168" s="15">
        <v>2</v>
      </c>
      <c r="K168" s="15">
        <v>1</v>
      </c>
      <c r="L168" s="15">
        <v>1</v>
      </c>
      <c r="M168" s="15">
        <v>1</v>
      </c>
      <c r="N168" s="430">
        <f t="shared" si="27"/>
        <v>0.16933510251023262</v>
      </c>
      <c r="O168" s="430">
        <f t="shared" si="28"/>
        <v>0.19908580854301616</v>
      </c>
      <c r="P168" s="9" t="s">
        <v>1962</v>
      </c>
    </row>
    <row r="169" spans="1:16" s="443" customFormat="1" ht="15.75" thickBot="1">
      <c r="A169" s="654" t="s">
        <v>481</v>
      </c>
      <c r="B169" s="794" t="s">
        <v>258</v>
      </c>
      <c r="C169" s="34" t="s">
        <v>139</v>
      </c>
      <c r="D169" s="124" t="s">
        <v>99</v>
      </c>
      <c r="E169" s="768">
        <v>3.4000000000000002E-2</v>
      </c>
      <c r="F169" s="119">
        <v>2</v>
      </c>
      <c r="G169" s="9" t="s">
        <v>433</v>
      </c>
      <c r="H169" s="15"/>
      <c r="I169" s="15"/>
      <c r="J169" s="15"/>
      <c r="K169" s="15"/>
      <c r="L169" s="15"/>
      <c r="M169" s="15"/>
      <c r="N169" s="430"/>
      <c r="O169" s="430"/>
      <c r="P169" s="119" t="s">
        <v>1963</v>
      </c>
    </row>
    <row r="170" spans="1:16" s="443" customFormat="1">
      <c r="A170" s="650" t="s">
        <v>479</v>
      </c>
      <c r="B170" s="802" t="s">
        <v>483</v>
      </c>
      <c r="C170" s="34" t="s">
        <v>139</v>
      </c>
      <c r="D170" s="121" t="s">
        <v>99</v>
      </c>
      <c r="E170" s="648">
        <f>0.1*E164</f>
        <v>3.0000000000000001E-3</v>
      </c>
      <c r="F170" s="11">
        <v>2</v>
      </c>
      <c r="G170" s="11" t="s">
        <v>433</v>
      </c>
      <c r="H170" s="13">
        <v>1</v>
      </c>
      <c r="I170" s="13">
        <v>2</v>
      </c>
      <c r="J170" s="13">
        <v>2</v>
      </c>
      <c r="K170" s="13">
        <v>1</v>
      </c>
      <c r="L170" s="13">
        <v>1</v>
      </c>
      <c r="M170" s="13">
        <v>1</v>
      </c>
      <c r="N170" s="431">
        <f t="shared" si="27"/>
        <v>0.16933510251023262</v>
      </c>
      <c r="O170" s="431">
        <f t="shared" si="28"/>
        <v>0.19908580854301616</v>
      </c>
      <c r="P170" s="42" t="s">
        <v>856</v>
      </c>
    </row>
    <row r="171" spans="1:16" s="443" customFormat="1" ht="15.75" thickBot="1">
      <c r="A171" s="651" t="s">
        <v>479</v>
      </c>
      <c r="B171" s="803" t="s">
        <v>484</v>
      </c>
      <c r="C171" s="34" t="s">
        <v>139</v>
      </c>
      <c r="D171" s="123" t="s">
        <v>99</v>
      </c>
      <c r="E171" s="772" t="s">
        <v>150</v>
      </c>
      <c r="F171" s="12">
        <v>1</v>
      </c>
      <c r="G171" s="12" t="s">
        <v>433</v>
      </c>
      <c r="H171" s="14"/>
      <c r="I171" s="14"/>
      <c r="J171" s="14"/>
      <c r="K171" s="14"/>
      <c r="L171" s="14"/>
      <c r="M171" s="14"/>
      <c r="N171" s="434" t="str">
        <f t="shared" si="27"/>
        <v/>
      </c>
      <c r="O171" s="434" t="str">
        <f t="shared" si="28"/>
        <v/>
      </c>
      <c r="P171" s="44" t="s">
        <v>1946</v>
      </c>
    </row>
    <row r="172" spans="1:16" s="443" customFormat="1" ht="15.75" thickBot="1">
      <c r="A172" s="796" t="s">
        <v>483</v>
      </c>
      <c r="B172" s="805" t="s">
        <v>228</v>
      </c>
      <c r="C172" s="34" t="s">
        <v>139</v>
      </c>
      <c r="D172" s="800" t="s">
        <v>99</v>
      </c>
      <c r="E172" s="770">
        <v>1</v>
      </c>
      <c r="F172" s="769">
        <v>2</v>
      </c>
      <c r="G172" s="769" t="s">
        <v>433</v>
      </c>
      <c r="H172" s="70">
        <v>1</v>
      </c>
      <c r="I172" s="70">
        <v>2</v>
      </c>
      <c r="J172" s="70">
        <v>2</v>
      </c>
      <c r="K172" s="70">
        <v>1</v>
      </c>
      <c r="L172" s="70">
        <v>1</v>
      </c>
      <c r="M172" s="70">
        <v>1</v>
      </c>
      <c r="N172" s="446">
        <f t="shared" si="27"/>
        <v>0.16933510251023262</v>
      </c>
      <c r="O172" s="446">
        <f t="shared" si="28"/>
        <v>0.19908580854301616</v>
      </c>
      <c r="P172" s="771" t="s">
        <v>857</v>
      </c>
    </row>
    <row r="173" spans="1:16" s="443" customFormat="1">
      <c r="A173" s="650" t="s">
        <v>482</v>
      </c>
      <c r="B173" s="793" t="s">
        <v>231</v>
      </c>
      <c r="C173" s="34" t="s">
        <v>139</v>
      </c>
      <c r="D173" s="630" t="s">
        <v>99</v>
      </c>
      <c r="E173" s="763">
        <v>0</v>
      </c>
      <c r="F173" s="118">
        <v>2</v>
      </c>
      <c r="G173" s="118" t="s">
        <v>433</v>
      </c>
      <c r="H173" s="66">
        <v>1</v>
      </c>
      <c r="I173" s="66">
        <v>2</v>
      </c>
      <c r="J173" s="66">
        <v>2</v>
      </c>
      <c r="K173" s="66">
        <v>1</v>
      </c>
      <c r="L173" s="71">
        <v>1</v>
      </c>
      <c r="M173" s="66">
        <v>1</v>
      </c>
      <c r="N173" s="445">
        <f t="shared" si="27"/>
        <v>0.16933510251023262</v>
      </c>
      <c r="O173" s="445">
        <f t="shared" si="28"/>
        <v>0.19908580854301616</v>
      </c>
      <c r="P173" s="677" t="s">
        <v>1968</v>
      </c>
    </row>
    <row r="174" spans="1:16" s="443" customFormat="1">
      <c r="A174" s="652" t="s">
        <v>482</v>
      </c>
      <c r="B174" s="799" t="s">
        <v>232</v>
      </c>
      <c r="C174" s="34" t="s">
        <v>139</v>
      </c>
      <c r="D174" s="122" t="s">
        <v>99</v>
      </c>
      <c r="E174" s="245">
        <v>0</v>
      </c>
      <c r="F174" s="9">
        <v>2</v>
      </c>
      <c r="G174" s="9" t="s">
        <v>433</v>
      </c>
      <c r="H174" s="10">
        <v>1</v>
      </c>
      <c r="I174" s="10">
        <v>2</v>
      </c>
      <c r="J174" s="10">
        <v>2</v>
      </c>
      <c r="K174" s="10">
        <v>1</v>
      </c>
      <c r="L174" s="10">
        <v>1</v>
      </c>
      <c r="M174" s="10">
        <v>1</v>
      </c>
      <c r="N174" s="411">
        <f t="shared" si="27"/>
        <v>0.16933510251023262</v>
      </c>
      <c r="O174" s="411">
        <f t="shared" si="28"/>
        <v>0.19908580854301616</v>
      </c>
      <c r="P174" s="43" t="s">
        <v>1968</v>
      </c>
    </row>
    <row r="175" spans="1:16" s="443" customFormat="1">
      <c r="A175" s="652" t="s">
        <v>482</v>
      </c>
      <c r="B175" s="799" t="s">
        <v>251</v>
      </c>
      <c r="C175" s="34" t="s">
        <v>139</v>
      </c>
      <c r="D175" s="122" t="s">
        <v>99</v>
      </c>
      <c r="E175" s="245">
        <v>0</v>
      </c>
      <c r="F175" s="9">
        <v>2</v>
      </c>
      <c r="G175" s="9" t="s">
        <v>433</v>
      </c>
      <c r="H175" s="10">
        <v>1</v>
      </c>
      <c r="I175" s="10">
        <v>2</v>
      </c>
      <c r="J175" s="10">
        <v>2</v>
      </c>
      <c r="K175" s="10">
        <v>1</v>
      </c>
      <c r="L175" s="10">
        <v>1</v>
      </c>
      <c r="M175" s="10">
        <v>1</v>
      </c>
      <c r="N175" s="411">
        <f t="shared" si="27"/>
        <v>0.16933510251023262</v>
      </c>
      <c r="O175" s="411">
        <f t="shared" si="28"/>
        <v>0.19908580854301616</v>
      </c>
      <c r="P175" s="43" t="s">
        <v>1968</v>
      </c>
    </row>
    <row r="176" spans="1:16" s="443" customFormat="1">
      <c r="A176" s="652" t="s">
        <v>482</v>
      </c>
      <c r="B176" s="794" t="s">
        <v>258</v>
      </c>
      <c r="C176" s="34" t="s">
        <v>139</v>
      </c>
      <c r="D176" s="124" t="s">
        <v>99</v>
      </c>
      <c r="E176" s="768">
        <v>0</v>
      </c>
      <c r="F176" s="119">
        <v>2</v>
      </c>
      <c r="G176" s="119" t="s">
        <v>433</v>
      </c>
      <c r="H176" s="10">
        <v>1</v>
      </c>
      <c r="I176" s="10">
        <v>2</v>
      </c>
      <c r="J176" s="10">
        <v>2</v>
      </c>
      <c r="K176" s="10">
        <v>1</v>
      </c>
      <c r="L176" s="10">
        <v>1</v>
      </c>
      <c r="M176" s="10">
        <v>1</v>
      </c>
      <c r="N176" s="411">
        <f>IF( OR( ISBLANK(H176),ISBLANK(J176), ISBLANK(K176), ISBLANK(L176), ISBLANK(M176) ), "", 1.5*SQRT(   EXP(2.21*(H176-1)) + EXP(2.21*(J176-1)) + EXP(2.21*(K176-1)) + EXP(2.21*(L176-1)) + EXP(2.21*M176)   )/100*2.45 )</f>
        <v>0.16933510251023262</v>
      </c>
      <c r="O176" s="411">
        <f>IF( OR( ISBLANK(I176),ISBLANK(J176), ISBLANK(K176), ISBLANK(L176), ISBLANK(M176) ), "", 1.5*SQRT( EXP(2.21*(I176-1)) + EXP(2.21*(J176-1)) + EXP(2.21*(K176-1)) + EXP(2.21*(L176-1)) + EXP(2.21*M176)   )/100*2.45 )</f>
        <v>0.19908580854301616</v>
      </c>
      <c r="P176" s="156" t="s">
        <v>1968</v>
      </c>
    </row>
    <row r="177" spans="1:16" s="443" customFormat="1" ht="15.75" thickBot="1">
      <c r="A177" s="651" t="s">
        <v>482</v>
      </c>
      <c r="B177" s="803" t="s">
        <v>334</v>
      </c>
      <c r="C177" s="34" t="s">
        <v>139</v>
      </c>
      <c r="D177" s="123" t="s">
        <v>99</v>
      </c>
      <c r="E177" s="772" t="s">
        <v>150</v>
      </c>
      <c r="F177" s="12">
        <v>1</v>
      </c>
      <c r="G177" s="12" t="s">
        <v>433</v>
      </c>
      <c r="H177" s="14"/>
      <c r="I177" s="14"/>
      <c r="J177" s="14"/>
      <c r="K177" s="14"/>
      <c r="L177" s="14"/>
      <c r="M177" s="14"/>
      <c r="N177" s="434" t="str">
        <f t="shared" si="27"/>
        <v/>
      </c>
      <c r="O177" s="434" t="str">
        <f t="shared" si="28"/>
        <v/>
      </c>
      <c r="P177" s="44"/>
    </row>
    <row r="178" spans="1:16" s="443" customFormat="1">
      <c r="A178" s="653" t="s">
        <v>484</v>
      </c>
      <c r="B178" s="793" t="s">
        <v>228</v>
      </c>
      <c r="C178" s="34" t="s">
        <v>139</v>
      </c>
      <c r="D178" s="630" t="s">
        <v>99</v>
      </c>
      <c r="E178" s="763">
        <v>0</v>
      </c>
      <c r="F178" s="118">
        <v>2</v>
      </c>
      <c r="G178" s="118" t="s">
        <v>433</v>
      </c>
      <c r="H178" s="66">
        <v>1</v>
      </c>
      <c r="I178" s="66">
        <v>2</v>
      </c>
      <c r="J178" s="66">
        <v>2</v>
      </c>
      <c r="K178" s="66">
        <v>1</v>
      </c>
      <c r="L178" s="66">
        <v>1</v>
      </c>
      <c r="M178" s="66">
        <v>1</v>
      </c>
      <c r="N178" s="445">
        <f t="shared" si="27"/>
        <v>0.16933510251023262</v>
      </c>
      <c r="O178" s="445">
        <f t="shared" si="28"/>
        <v>0.19908580854301616</v>
      </c>
      <c r="P178" s="118" t="s">
        <v>858</v>
      </c>
    </row>
    <row r="179" spans="1:16" s="443" customFormat="1" ht="15.75" thickBot="1">
      <c r="A179" s="654" t="s">
        <v>484</v>
      </c>
      <c r="B179" s="794" t="s">
        <v>334</v>
      </c>
      <c r="C179" s="34" t="s">
        <v>139</v>
      </c>
      <c r="D179" s="124" t="s">
        <v>99</v>
      </c>
      <c r="E179" s="768" t="s">
        <v>150</v>
      </c>
      <c r="F179" s="119">
        <v>1</v>
      </c>
      <c r="G179" s="119" t="s">
        <v>433</v>
      </c>
      <c r="H179" s="15"/>
      <c r="I179" s="15"/>
      <c r="J179" s="15"/>
      <c r="K179" s="15"/>
      <c r="L179" s="15"/>
      <c r="M179" s="15"/>
      <c r="N179" s="430" t="str">
        <f t="shared" si="27"/>
        <v/>
      </c>
      <c r="O179" s="430" t="str">
        <f t="shared" si="28"/>
        <v/>
      </c>
      <c r="P179" s="119" t="s">
        <v>1947</v>
      </c>
    </row>
    <row r="180" spans="1:16" s="443" customFormat="1">
      <c r="A180" s="650" t="s">
        <v>438</v>
      </c>
      <c r="B180" s="802" t="s">
        <v>485</v>
      </c>
      <c r="C180" s="34" t="s">
        <v>139</v>
      </c>
      <c r="D180" s="121" t="s">
        <v>99</v>
      </c>
      <c r="E180" s="648">
        <f>0.97*0.1</f>
        <v>9.7000000000000003E-2</v>
      </c>
      <c r="F180" s="11">
        <v>2</v>
      </c>
      <c r="G180" s="11" t="s">
        <v>433</v>
      </c>
      <c r="H180" s="13">
        <v>1</v>
      </c>
      <c r="I180" s="13">
        <v>2</v>
      </c>
      <c r="J180" s="13">
        <v>2</v>
      </c>
      <c r="K180" s="13">
        <v>1</v>
      </c>
      <c r="L180" s="13">
        <v>1</v>
      </c>
      <c r="M180" s="13">
        <v>1</v>
      </c>
      <c r="N180" s="431">
        <f t="shared" si="27"/>
        <v>0.16933510251023262</v>
      </c>
      <c r="O180" s="431">
        <f t="shared" si="28"/>
        <v>0.19908580854301616</v>
      </c>
      <c r="P180" s="42" t="s">
        <v>868</v>
      </c>
    </row>
    <row r="181" spans="1:16" s="443" customFormat="1">
      <c r="A181" s="652" t="s">
        <v>438</v>
      </c>
      <c r="B181" s="799" t="s">
        <v>486</v>
      </c>
      <c r="C181" s="34" t="s">
        <v>139</v>
      </c>
      <c r="D181" s="122" t="s">
        <v>99</v>
      </c>
      <c r="E181" s="245">
        <f>0.97*0.9</f>
        <v>0.873</v>
      </c>
      <c r="F181" s="9">
        <v>2</v>
      </c>
      <c r="G181" s="9" t="s">
        <v>433</v>
      </c>
      <c r="H181" s="10">
        <v>1</v>
      </c>
      <c r="I181" s="10">
        <v>2</v>
      </c>
      <c r="J181" s="10">
        <v>2</v>
      </c>
      <c r="K181" s="10">
        <v>1</v>
      </c>
      <c r="L181" s="10">
        <v>1</v>
      </c>
      <c r="M181" s="10">
        <v>1</v>
      </c>
      <c r="N181" s="411">
        <f t="shared" si="27"/>
        <v>0.16933510251023262</v>
      </c>
      <c r="O181" s="411">
        <f t="shared" si="28"/>
        <v>0.19908580854301616</v>
      </c>
      <c r="P181" s="43" t="s">
        <v>869</v>
      </c>
    </row>
    <row r="182" spans="1:16" s="443" customFormat="1" ht="15.75" thickBot="1">
      <c r="A182" s="651" t="s">
        <v>438</v>
      </c>
      <c r="B182" s="803" t="s">
        <v>223</v>
      </c>
      <c r="C182" s="34" t="s">
        <v>139</v>
      </c>
      <c r="D182" s="123" t="s">
        <v>99</v>
      </c>
      <c r="E182" s="772">
        <v>0.03</v>
      </c>
      <c r="F182" s="12">
        <v>1</v>
      </c>
      <c r="G182" s="12" t="s">
        <v>433</v>
      </c>
      <c r="H182" s="14">
        <v>1</v>
      </c>
      <c r="I182" s="14">
        <v>2</v>
      </c>
      <c r="J182" s="14">
        <v>2</v>
      </c>
      <c r="K182" s="14">
        <v>1</v>
      </c>
      <c r="L182" s="14">
        <v>1</v>
      </c>
      <c r="M182" s="14">
        <v>1</v>
      </c>
      <c r="N182" s="434">
        <f t="shared" si="27"/>
        <v>0.16933510251023262</v>
      </c>
      <c r="O182" s="434">
        <f t="shared" si="28"/>
        <v>0.19908580854301616</v>
      </c>
      <c r="P182" s="44" t="s">
        <v>854</v>
      </c>
    </row>
    <row r="183" spans="1:16" s="443" customFormat="1">
      <c r="A183" s="653" t="s">
        <v>485</v>
      </c>
      <c r="B183" s="793" t="s">
        <v>487</v>
      </c>
      <c r="C183" s="34" t="s">
        <v>139</v>
      </c>
      <c r="D183" s="630" t="s">
        <v>99</v>
      </c>
      <c r="E183" s="763">
        <v>0.03</v>
      </c>
      <c r="F183" s="118">
        <v>2</v>
      </c>
      <c r="G183" s="118" t="s">
        <v>433</v>
      </c>
      <c r="H183" s="66">
        <v>1</v>
      </c>
      <c r="I183" s="66">
        <v>2</v>
      </c>
      <c r="J183" s="66">
        <v>2</v>
      </c>
      <c r="K183" s="66">
        <v>1</v>
      </c>
      <c r="L183" s="66">
        <v>1</v>
      </c>
      <c r="M183" s="66">
        <v>1</v>
      </c>
      <c r="N183" s="445">
        <f t="shared" si="27"/>
        <v>0.16933510251023262</v>
      </c>
      <c r="O183" s="445">
        <f t="shared" si="28"/>
        <v>0.19908580854301616</v>
      </c>
      <c r="P183" s="118" t="s">
        <v>855</v>
      </c>
    </row>
    <row r="184" spans="1:16" s="443" customFormat="1" ht="15.75" thickBot="1">
      <c r="A184" s="654" t="s">
        <v>485</v>
      </c>
      <c r="B184" s="794" t="s">
        <v>480</v>
      </c>
      <c r="C184" s="34" t="s">
        <v>139</v>
      </c>
      <c r="D184" s="124" t="s">
        <v>99</v>
      </c>
      <c r="E184" s="768" t="s">
        <v>150</v>
      </c>
      <c r="F184" s="119">
        <v>1</v>
      </c>
      <c r="G184" s="119" t="s">
        <v>433</v>
      </c>
      <c r="H184" s="15"/>
      <c r="I184" s="15"/>
      <c r="J184" s="15"/>
      <c r="K184" s="15"/>
      <c r="L184" s="15"/>
      <c r="M184" s="15"/>
      <c r="N184" s="430" t="str">
        <f t="shared" si="27"/>
        <v/>
      </c>
      <c r="O184" s="430" t="str">
        <f t="shared" si="28"/>
        <v/>
      </c>
      <c r="P184" s="119" t="s">
        <v>1948</v>
      </c>
    </row>
    <row r="185" spans="1:16" s="443" customFormat="1">
      <c r="A185" s="444" t="s">
        <v>487</v>
      </c>
      <c r="B185" s="444" t="s">
        <v>231</v>
      </c>
      <c r="C185" s="34" t="s">
        <v>139</v>
      </c>
      <c r="D185" s="121" t="s">
        <v>99</v>
      </c>
      <c r="E185" s="789">
        <v>0.05</v>
      </c>
      <c r="F185" s="790">
        <v>2</v>
      </c>
      <c r="G185" s="11" t="s">
        <v>157</v>
      </c>
      <c r="H185" s="13">
        <v>1</v>
      </c>
      <c r="I185" s="13">
        <v>2</v>
      </c>
      <c r="J185" s="13">
        <v>2</v>
      </c>
      <c r="K185" s="13">
        <v>1</v>
      </c>
      <c r="L185" s="791">
        <v>3</v>
      </c>
      <c r="M185" s="13">
        <v>3</v>
      </c>
      <c r="N185" s="431">
        <f t="shared" si="27"/>
        <v>1.0725046436742278</v>
      </c>
      <c r="O185" s="431">
        <f t="shared" si="28"/>
        <v>1.0776024280428556</v>
      </c>
      <c r="P185" s="779" t="s">
        <v>1937</v>
      </c>
    </row>
    <row r="186" spans="1:16" s="443" customFormat="1">
      <c r="A186" s="503" t="s">
        <v>487</v>
      </c>
      <c r="B186" s="503" t="s">
        <v>232</v>
      </c>
      <c r="C186" s="34" t="s">
        <v>139</v>
      </c>
      <c r="D186" s="122" t="s">
        <v>99</v>
      </c>
      <c r="E186" s="245">
        <v>0.39400000000000002</v>
      </c>
      <c r="F186" s="9">
        <v>2</v>
      </c>
      <c r="G186" s="9" t="s">
        <v>433</v>
      </c>
      <c r="H186" s="10">
        <v>1</v>
      </c>
      <c r="I186" s="10">
        <v>2</v>
      </c>
      <c r="J186" s="10">
        <v>2</v>
      </c>
      <c r="K186" s="10">
        <v>1</v>
      </c>
      <c r="L186" s="10">
        <v>1</v>
      </c>
      <c r="M186" s="10">
        <v>1</v>
      </c>
      <c r="N186" s="411">
        <f t="shared" si="27"/>
        <v>0.16933510251023262</v>
      </c>
      <c r="O186" s="411">
        <f t="shared" si="28"/>
        <v>0.19908580854301616</v>
      </c>
      <c r="P186" s="43" t="s">
        <v>1961</v>
      </c>
    </row>
    <row r="187" spans="1:16" s="443" customFormat="1">
      <c r="A187" s="503" t="s">
        <v>487</v>
      </c>
      <c r="B187" s="503" t="s">
        <v>251</v>
      </c>
      <c r="C187" s="34" t="s">
        <v>139</v>
      </c>
      <c r="D187" s="122" t="s">
        <v>99</v>
      </c>
      <c r="E187" s="245">
        <v>0.52200000000000002</v>
      </c>
      <c r="F187" s="7">
        <v>1</v>
      </c>
      <c r="G187" s="9" t="s">
        <v>433</v>
      </c>
      <c r="H187" s="10">
        <v>1</v>
      </c>
      <c r="I187" s="10">
        <v>2</v>
      </c>
      <c r="J187" s="10">
        <v>2</v>
      </c>
      <c r="K187" s="10">
        <v>1</v>
      </c>
      <c r="L187" s="10">
        <v>1</v>
      </c>
      <c r="M187" s="10">
        <v>1</v>
      </c>
      <c r="N187" s="411">
        <f t="shared" si="27"/>
        <v>0.16933510251023262</v>
      </c>
      <c r="O187" s="411">
        <f t="shared" si="28"/>
        <v>0.19908580854301616</v>
      </c>
      <c r="P187" s="43" t="s">
        <v>1962</v>
      </c>
    </row>
    <row r="188" spans="1:16" s="443" customFormat="1" ht="15.75" thickBot="1">
      <c r="A188" s="792" t="s">
        <v>487</v>
      </c>
      <c r="B188" s="792" t="s">
        <v>258</v>
      </c>
      <c r="C188" s="34" t="s">
        <v>139</v>
      </c>
      <c r="D188" s="123" t="s">
        <v>99</v>
      </c>
      <c r="E188" s="772">
        <v>3.4000000000000002E-2</v>
      </c>
      <c r="F188" s="12">
        <v>2</v>
      </c>
      <c r="G188" s="12" t="s">
        <v>433</v>
      </c>
      <c r="H188" s="14"/>
      <c r="I188" s="14"/>
      <c r="J188" s="14"/>
      <c r="K188" s="14"/>
      <c r="L188" s="14"/>
      <c r="M188" s="14"/>
      <c r="N188" s="434"/>
      <c r="O188" s="434"/>
      <c r="P188" s="44" t="s">
        <v>1963</v>
      </c>
    </row>
    <row r="189" spans="1:16" s="443" customFormat="1">
      <c r="A189" s="653" t="s">
        <v>486</v>
      </c>
      <c r="B189" s="793" t="s">
        <v>488</v>
      </c>
      <c r="C189" s="34" t="s">
        <v>139</v>
      </c>
      <c r="D189" s="630" t="s">
        <v>99</v>
      </c>
      <c r="E189" s="763">
        <f>0.1*E183</f>
        <v>3.0000000000000001E-3</v>
      </c>
      <c r="F189" s="118">
        <v>2</v>
      </c>
      <c r="G189" s="118" t="s">
        <v>433</v>
      </c>
      <c r="H189" s="66">
        <v>1</v>
      </c>
      <c r="I189" s="66">
        <v>2</v>
      </c>
      <c r="J189" s="66">
        <v>2</v>
      </c>
      <c r="K189" s="66">
        <v>1</v>
      </c>
      <c r="L189" s="66">
        <v>1</v>
      </c>
      <c r="M189" s="66">
        <v>1</v>
      </c>
      <c r="N189" s="445">
        <f t="shared" si="27"/>
        <v>0.16933510251023262</v>
      </c>
      <c r="O189" s="445">
        <f t="shared" si="28"/>
        <v>0.19908580854301616</v>
      </c>
      <c r="P189" s="118" t="s">
        <v>856</v>
      </c>
    </row>
    <row r="190" spans="1:16" s="443" customFormat="1" ht="15.75" thickBot="1">
      <c r="A190" s="654" t="s">
        <v>486</v>
      </c>
      <c r="B190" s="794" t="s">
        <v>477</v>
      </c>
      <c r="C190" s="34" t="s">
        <v>139</v>
      </c>
      <c r="D190" s="124" t="s">
        <v>99</v>
      </c>
      <c r="E190" s="768" t="s">
        <v>150</v>
      </c>
      <c r="F190" s="119">
        <v>1</v>
      </c>
      <c r="G190" s="119" t="s">
        <v>433</v>
      </c>
      <c r="H190" s="15"/>
      <c r="I190" s="15"/>
      <c r="J190" s="15"/>
      <c r="K190" s="15"/>
      <c r="L190" s="15"/>
      <c r="M190" s="15"/>
      <c r="N190" s="430" t="str">
        <f t="shared" si="27"/>
        <v/>
      </c>
      <c r="O190" s="430" t="str">
        <f t="shared" si="28"/>
        <v/>
      </c>
      <c r="P190" s="119" t="s">
        <v>1948</v>
      </c>
    </row>
    <row r="191" spans="1:16" s="443" customFormat="1" ht="15.75" thickBot="1">
      <c r="A191" s="649" t="s">
        <v>488</v>
      </c>
      <c r="B191" s="804" t="s">
        <v>228</v>
      </c>
      <c r="C191" s="34" t="s">
        <v>139</v>
      </c>
      <c r="D191" s="800" t="s">
        <v>99</v>
      </c>
      <c r="E191" s="770">
        <v>1</v>
      </c>
      <c r="F191" s="769">
        <v>2</v>
      </c>
      <c r="G191" s="769" t="s">
        <v>433</v>
      </c>
      <c r="H191" s="70">
        <v>1</v>
      </c>
      <c r="I191" s="70">
        <v>2</v>
      </c>
      <c r="J191" s="70">
        <v>2</v>
      </c>
      <c r="K191" s="70">
        <v>1</v>
      </c>
      <c r="L191" s="70">
        <v>1</v>
      </c>
      <c r="M191" s="70">
        <v>1</v>
      </c>
      <c r="N191" s="446">
        <f t="shared" si="27"/>
        <v>0.16933510251023262</v>
      </c>
      <c r="O191" s="446">
        <f t="shared" si="28"/>
        <v>0.19908580854301616</v>
      </c>
      <c r="P191" s="771" t="s">
        <v>857</v>
      </c>
    </row>
    <row r="192" spans="1:16" s="443" customFormat="1">
      <c r="A192" s="653" t="s">
        <v>480</v>
      </c>
      <c r="B192" s="802" t="s">
        <v>231</v>
      </c>
      <c r="C192" s="34" t="s">
        <v>139</v>
      </c>
      <c r="D192" s="630" t="s">
        <v>99</v>
      </c>
      <c r="E192" s="763">
        <v>0</v>
      </c>
      <c r="F192" s="118">
        <v>2</v>
      </c>
      <c r="G192" s="118" t="s">
        <v>433</v>
      </c>
      <c r="H192" s="66">
        <v>1</v>
      </c>
      <c r="I192" s="66">
        <v>2</v>
      </c>
      <c r="J192" s="66">
        <v>2</v>
      </c>
      <c r="K192" s="66">
        <v>1</v>
      </c>
      <c r="L192" s="66">
        <v>1</v>
      </c>
      <c r="M192" s="66">
        <v>1</v>
      </c>
      <c r="N192" s="445">
        <f t="shared" si="27"/>
        <v>0.16933510251023262</v>
      </c>
      <c r="O192" s="445">
        <f t="shared" si="28"/>
        <v>0.19908580854301616</v>
      </c>
      <c r="P192" s="42" t="s">
        <v>1967</v>
      </c>
    </row>
    <row r="193" spans="1:16" s="443" customFormat="1">
      <c r="A193" s="318" t="s">
        <v>480</v>
      </c>
      <c r="B193" s="799" t="s">
        <v>232</v>
      </c>
      <c r="C193" s="34" t="s">
        <v>139</v>
      </c>
      <c r="D193" s="122" t="s">
        <v>99</v>
      </c>
      <c r="E193" s="245">
        <v>0</v>
      </c>
      <c r="F193" s="9">
        <v>2</v>
      </c>
      <c r="G193" s="9" t="s">
        <v>433</v>
      </c>
      <c r="H193" s="10">
        <v>1</v>
      </c>
      <c r="I193" s="10">
        <v>2</v>
      </c>
      <c r="J193" s="10">
        <v>2</v>
      </c>
      <c r="K193" s="10">
        <v>1</v>
      </c>
      <c r="L193" s="10">
        <v>1</v>
      </c>
      <c r="M193" s="10">
        <v>1</v>
      </c>
      <c r="N193" s="411">
        <f t="shared" si="27"/>
        <v>0.16933510251023262</v>
      </c>
      <c r="O193" s="411">
        <f t="shared" si="28"/>
        <v>0.19908580854301616</v>
      </c>
      <c r="P193" s="43" t="s">
        <v>1967</v>
      </c>
    </row>
    <row r="194" spans="1:16" s="443" customFormat="1">
      <c r="A194" s="318" t="s">
        <v>480</v>
      </c>
      <c r="B194" s="799" t="s">
        <v>251</v>
      </c>
      <c r="C194" s="34" t="s">
        <v>139</v>
      </c>
      <c r="D194" s="122" t="s">
        <v>99</v>
      </c>
      <c r="E194" s="245">
        <v>0</v>
      </c>
      <c r="F194" s="9">
        <v>2</v>
      </c>
      <c r="G194" s="9" t="s">
        <v>433</v>
      </c>
      <c r="H194" s="10">
        <v>1</v>
      </c>
      <c r="I194" s="10">
        <v>2</v>
      </c>
      <c r="J194" s="10">
        <v>2</v>
      </c>
      <c r="K194" s="10">
        <v>1</v>
      </c>
      <c r="L194" s="10">
        <v>1</v>
      </c>
      <c r="M194" s="10">
        <v>1</v>
      </c>
      <c r="N194" s="411">
        <f t="shared" si="27"/>
        <v>0.16933510251023262</v>
      </c>
      <c r="O194" s="411">
        <f t="shared" si="28"/>
        <v>0.19908580854301616</v>
      </c>
      <c r="P194" s="43" t="s">
        <v>1967</v>
      </c>
    </row>
    <row r="195" spans="1:16" s="443" customFormat="1">
      <c r="A195" s="318" t="s">
        <v>480</v>
      </c>
      <c r="B195" s="794" t="s">
        <v>258</v>
      </c>
      <c r="C195" s="34" t="s">
        <v>139</v>
      </c>
      <c r="D195" s="124" t="s">
        <v>99</v>
      </c>
      <c r="E195" s="768">
        <v>0</v>
      </c>
      <c r="F195" s="119">
        <v>2</v>
      </c>
      <c r="G195" s="119" t="s">
        <v>433</v>
      </c>
      <c r="H195" s="10">
        <v>1</v>
      </c>
      <c r="I195" s="10">
        <v>2</v>
      </c>
      <c r="J195" s="10">
        <v>2</v>
      </c>
      <c r="K195" s="10">
        <v>1</v>
      </c>
      <c r="L195" s="10">
        <v>1</v>
      </c>
      <c r="M195" s="10">
        <v>1</v>
      </c>
      <c r="N195" s="411">
        <f>IF( OR( ISBLANK(H195),ISBLANK(J195), ISBLANK(K195), ISBLANK(L195), ISBLANK(M195) ), "", 1.5*SQRT(   EXP(2.21*(H195-1)) + EXP(2.21*(J195-1)) + EXP(2.21*(K195-1)) + EXP(2.21*(L195-1)) + EXP(2.21*M195)   )/100*2.45 )</f>
        <v>0.16933510251023262</v>
      </c>
      <c r="O195" s="411">
        <f>IF( OR( ISBLANK(I195),ISBLANK(J195), ISBLANK(K195), ISBLANK(L195), ISBLANK(M195) ), "", 1.5*SQRT( EXP(2.21*(I195-1)) + EXP(2.21*(J195-1)) + EXP(2.21*(K195-1)) + EXP(2.21*(L195-1)) + EXP(2.21*M195)   )/100*2.45 )</f>
        <v>0.19908580854301616</v>
      </c>
      <c r="P195" s="156" t="s">
        <v>1967</v>
      </c>
    </row>
    <row r="196" spans="1:16" s="443" customFormat="1" ht="15.75" thickBot="1">
      <c r="A196" s="654" t="s">
        <v>480</v>
      </c>
      <c r="B196" s="803" t="s">
        <v>334</v>
      </c>
      <c r="C196" s="34" t="s">
        <v>139</v>
      </c>
      <c r="D196" s="124" t="s">
        <v>99</v>
      </c>
      <c r="E196" s="768" t="s">
        <v>150</v>
      </c>
      <c r="F196" s="119">
        <v>1</v>
      </c>
      <c r="G196" s="119" t="s">
        <v>433</v>
      </c>
      <c r="H196" s="15"/>
      <c r="I196" s="15"/>
      <c r="J196" s="15"/>
      <c r="K196" s="15"/>
      <c r="L196" s="15"/>
      <c r="M196" s="15"/>
      <c r="N196" s="430" t="str">
        <f t="shared" si="27"/>
        <v/>
      </c>
      <c r="O196" s="430" t="str">
        <f t="shared" si="28"/>
        <v/>
      </c>
      <c r="P196" s="44"/>
    </row>
    <row r="197" spans="1:16" s="443" customFormat="1">
      <c r="A197" s="650" t="s">
        <v>477</v>
      </c>
      <c r="B197" s="802" t="s">
        <v>228</v>
      </c>
      <c r="C197" s="34" t="s">
        <v>139</v>
      </c>
      <c r="D197" s="121" t="s">
        <v>99</v>
      </c>
      <c r="E197" s="648">
        <v>0</v>
      </c>
      <c r="F197" s="11">
        <v>2</v>
      </c>
      <c r="G197" s="11" t="s">
        <v>433</v>
      </c>
      <c r="H197" s="13">
        <v>1</v>
      </c>
      <c r="I197" s="13">
        <v>2</v>
      </c>
      <c r="J197" s="13">
        <v>2</v>
      </c>
      <c r="K197" s="13">
        <v>1</v>
      </c>
      <c r="L197" s="13">
        <v>1</v>
      </c>
      <c r="M197" s="13">
        <v>1</v>
      </c>
      <c r="N197" s="431">
        <f t="shared" si="27"/>
        <v>0.16933510251023262</v>
      </c>
      <c r="O197" s="431">
        <f t="shared" si="28"/>
        <v>0.19908580854301616</v>
      </c>
      <c r="P197" s="42" t="s">
        <v>858</v>
      </c>
    </row>
    <row r="198" spans="1:16" s="443" customFormat="1" ht="15.75" thickBot="1">
      <c r="A198" s="651" t="s">
        <v>477</v>
      </c>
      <c r="B198" s="803" t="s">
        <v>334</v>
      </c>
      <c r="C198" s="34" t="s">
        <v>139</v>
      </c>
      <c r="D198" s="123" t="s">
        <v>99</v>
      </c>
      <c r="E198" s="772" t="s">
        <v>150</v>
      </c>
      <c r="F198" s="12">
        <v>1</v>
      </c>
      <c r="G198" s="12" t="s">
        <v>433</v>
      </c>
      <c r="H198" s="14"/>
      <c r="I198" s="14"/>
      <c r="J198" s="14"/>
      <c r="K198" s="14"/>
      <c r="L198" s="14"/>
      <c r="M198" s="14"/>
      <c r="N198" s="434" t="str">
        <f t="shared" si="27"/>
        <v/>
      </c>
      <c r="O198" s="434" t="str">
        <f t="shared" si="28"/>
        <v/>
      </c>
      <c r="P198" s="44" t="s">
        <v>1949</v>
      </c>
    </row>
    <row r="199" spans="1:16" s="443" customFormat="1">
      <c r="A199" s="653" t="s">
        <v>439</v>
      </c>
      <c r="B199" s="793" t="s">
        <v>491</v>
      </c>
      <c r="C199" s="34" t="s">
        <v>139</v>
      </c>
      <c r="D199" s="630" t="s">
        <v>99</v>
      </c>
      <c r="E199" s="763">
        <f>0.97*0.25</f>
        <v>0.24249999999999999</v>
      </c>
      <c r="F199" s="118">
        <v>2</v>
      </c>
      <c r="G199" s="118" t="s">
        <v>433</v>
      </c>
      <c r="H199" s="66">
        <v>1</v>
      </c>
      <c r="I199" s="66">
        <v>2</v>
      </c>
      <c r="J199" s="66">
        <v>2</v>
      </c>
      <c r="K199" s="66">
        <v>1</v>
      </c>
      <c r="L199" s="66">
        <v>1</v>
      </c>
      <c r="M199" s="66">
        <v>1</v>
      </c>
      <c r="N199" s="445">
        <f t="shared" si="27"/>
        <v>0.16933510251023262</v>
      </c>
      <c r="O199" s="445">
        <f t="shared" si="28"/>
        <v>0.19908580854301616</v>
      </c>
      <c r="P199" s="118" t="s">
        <v>862</v>
      </c>
    </row>
    <row r="200" spans="1:16" s="443" customFormat="1">
      <c r="A200" s="318" t="s">
        <v>439</v>
      </c>
      <c r="B200" s="799" t="s">
        <v>492</v>
      </c>
      <c r="C200" s="34" t="s">
        <v>139</v>
      </c>
      <c r="D200" s="122" t="s">
        <v>99</v>
      </c>
      <c r="E200" s="245">
        <f>0.97*0.75</f>
        <v>0.72750000000000004</v>
      </c>
      <c r="F200" s="9">
        <v>2</v>
      </c>
      <c r="G200" s="9" t="s">
        <v>433</v>
      </c>
      <c r="H200" s="10">
        <v>1</v>
      </c>
      <c r="I200" s="10">
        <v>2</v>
      </c>
      <c r="J200" s="10">
        <v>2</v>
      </c>
      <c r="K200" s="10">
        <v>1</v>
      </c>
      <c r="L200" s="10">
        <v>1</v>
      </c>
      <c r="M200" s="10">
        <v>1</v>
      </c>
      <c r="N200" s="411">
        <f t="shared" si="27"/>
        <v>0.16933510251023262</v>
      </c>
      <c r="O200" s="411">
        <f t="shared" si="28"/>
        <v>0.19908580854301616</v>
      </c>
      <c r="P200" s="9" t="s">
        <v>869</v>
      </c>
    </row>
    <row r="201" spans="1:16" s="443" customFormat="1" ht="15.75" thickBot="1">
      <c r="A201" s="654" t="s">
        <v>439</v>
      </c>
      <c r="B201" s="794" t="s">
        <v>223</v>
      </c>
      <c r="C201" s="34" t="s">
        <v>139</v>
      </c>
      <c r="D201" s="124" t="s">
        <v>99</v>
      </c>
      <c r="E201" s="768">
        <v>0.03</v>
      </c>
      <c r="F201" s="119">
        <v>1</v>
      </c>
      <c r="G201" s="119" t="s">
        <v>433</v>
      </c>
      <c r="H201" s="15">
        <v>1</v>
      </c>
      <c r="I201" s="15">
        <v>2</v>
      </c>
      <c r="J201" s="15">
        <v>2</v>
      </c>
      <c r="K201" s="15">
        <v>1</v>
      </c>
      <c r="L201" s="15">
        <v>1</v>
      </c>
      <c r="M201" s="15">
        <v>1</v>
      </c>
      <c r="N201" s="430">
        <f t="shared" si="27"/>
        <v>0.16933510251023262</v>
      </c>
      <c r="O201" s="430">
        <f t="shared" si="28"/>
        <v>0.19908580854301616</v>
      </c>
      <c r="P201" s="119" t="s">
        <v>854</v>
      </c>
    </row>
    <row r="202" spans="1:16" s="443" customFormat="1">
      <c r="A202" s="650" t="s">
        <v>491</v>
      </c>
      <c r="B202" s="802" t="s">
        <v>493</v>
      </c>
      <c r="C202" s="34" t="s">
        <v>139</v>
      </c>
      <c r="D202" s="121" t="s">
        <v>99</v>
      </c>
      <c r="E202" s="648">
        <v>0.03</v>
      </c>
      <c r="F202" s="11">
        <v>2</v>
      </c>
      <c r="G202" s="11" t="s">
        <v>433</v>
      </c>
      <c r="H202" s="13">
        <v>1</v>
      </c>
      <c r="I202" s="13">
        <v>2</v>
      </c>
      <c r="J202" s="13">
        <v>2</v>
      </c>
      <c r="K202" s="13">
        <v>1</v>
      </c>
      <c r="L202" s="13">
        <v>1</v>
      </c>
      <c r="M202" s="13">
        <v>1</v>
      </c>
      <c r="N202" s="431">
        <f t="shared" ref="N202:N272" si="29">IF( OR( ISBLANK(H202),ISBLANK(J202), ISBLANK(K202), ISBLANK(L202), ISBLANK(M202) ), "", 1.5*SQRT(   EXP(2.21*(H202-1)) + EXP(2.21*(J202-1)) + EXP(2.21*(K202-1)) + EXP(2.21*(L202-1)) + EXP(2.21*M202)   )/100*2.45 )</f>
        <v>0.16933510251023262</v>
      </c>
      <c r="O202" s="431">
        <f t="shared" ref="O202:O272" si="30">IF( OR( ISBLANK(I202),ISBLANK(J202), ISBLANK(K202), ISBLANK(L202), ISBLANK(M202) ), "", 1.5*SQRT( EXP(2.21*(I202-1)) + EXP(2.21*(J202-1)) + EXP(2.21*(K202-1)) + EXP(2.21*(L202-1)) + EXP(2.21*M202)   )/100*2.45 )</f>
        <v>0.19908580854301616</v>
      </c>
      <c r="P202" s="42" t="s">
        <v>855</v>
      </c>
    </row>
    <row r="203" spans="1:16" s="443" customFormat="1" ht="15.75" thickBot="1">
      <c r="A203" s="651" t="s">
        <v>491</v>
      </c>
      <c r="B203" s="803" t="s">
        <v>490</v>
      </c>
      <c r="C203" s="34" t="s">
        <v>139</v>
      </c>
      <c r="D203" s="123" t="s">
        <v>99</v>
      </c>
      <c r="E203" s="772" t="s">
        <v>150</v>
      </c>
      <c r="F203" s="12">
        <v>1</v>
      </c>
      <c r="G203" s="12" t="s">
        <v>433</v>
      </c>
      <c r="H203" s="14"/>
      <c r="I203" s="14"/>
      <c r="J203" s="14"/>
      <c r="K203" s="14"/>
      <c r="L203" s="14"/>
      <c r="M203" s="14"/>
      <c r="N203" s="434" t="str">
        <f t="shared" si="29"/>
        <v/>
      </c>
      <c r="O203" s="434" t="str">
        <f t="shared" si="30"/>
        <v/>
      </c>
      <c r="P203" s="44" t="s">
        <v>1983</v>
      </c>
    </row>
    <row r="204" spans="1:16" s="443" customFormat="1">
      <c r="A204" s="653" t="s">
        <v>493</v>
      </c>
      <c r="B204" s="793" t="s">
        <v>231</v>
      </c>
      <c r="C204" s="34" t="s">
        <v>139</v>
      </c>
      <c r="D204" s="630" t="s">
        <v>99</v>
      </c>
      <c r="E204" s="768">
        <v>0.05</v>
      </c>
      <c r="F204" s="119">
        <v>2</v>
      </c>
      <c r="G204" s="11" t="s">
        <v>157</v>
      </c>
      <c r="H204" s="66">
        <v>1</v>
      </c>
      <c r="I204" s="66">
        <v>2</v>
      </c>
      <c r="J204" s="66">
        <v>2</v>
      </c>
      <c r="K204" s="66">
        <v>1</v>
      </c>
      <c r="L204" s="15">
        <v>3</v>
      </c>
      <c r="M204" s="13">
        <v>3</v>
      </c>
      <c r="N204" s="445">
        <f t="shared" si="29"/>
        <v>1.0725046436742278</v>
      </c>
      <c r="O204" s="445">
        <f t="shared" si="30"/>
        <v>1.0776024280428556</v>
      </c>
      <c r="P204" s="119" t="s">
        <v>1937</v>
      </c>
    </row>
    <row r="205" spans="1:16" s="443" customFormat="1">
      <c r="A205" s="318" t="s">
        <v>493</v>
      </c>
      <c r="B205" s="799" t="s">
        <v>232</v>
      </c>
      <c r="C205" s="34" t="s">
        <v>139</v>
      </c>
      <c r="D205" s="122" t="s">
        <v>99</v>
      </c>
      <c r="E205" s="245">
        <v>0.39400000000000002</v>
      </c>
      <c r="F205" s="9">
        <v>2</v>
      </c>
      <c r="G205" s="9" t="s">
        <v>433</v>
      </c>
      <c r="H205" s="10">
        <v>1</v>
      </c>
      <c r="I205" s="10">
        <v>2</v>
      </c>
      <c r="J205" s="10">
        <v>2</v>
      </c>
      <c r="K205" s="10">
        <v>1</v>
      </c>
      <c r="L205" s="10">
        <v>1</v>
      </c>
      <c r="M205" s="10">
        <v>1</v>
      </c>
      <c r="N205" s="411">
        <f t="shared" si="29"/>
        <v>0.16933510251023262</v>
      </c>
      <c r="O205" s="411">
        <f t="shared" si="30"/>
        <v>0.19908580854301616</v>
      </c>
      <c r="P205" s="9" t="s">
        <v>1961</v>
      </c>
    </row>
    <row r="206" spans="1:16" s="443" customFormat="1">
      <c r="A206" s="654" t="s">
        <v>493</v>
      </c>
      <c r="B206" s="794" t="s">
        <v>251</v>
      </c>
      <c r="C206" s="34" t="s">
        <v>139</v>
      </c>
      <c r="D206" s="124" t="s">
        <v>99</v>
      </c>
      <c r="E206" s="245">
        <v>0.52200000000000002</v>
      </c>
      <c r="F206" s="7">
        <v>1</v>
      </c>
      <c r="G206" s="9" t="s">
        <v>433</v>
      </c>
      <c r="H206" s="15">
        <v>1</v>
      </c>
      <c r="I206" s="15">
        <v>2</v>
      </c>
      <c r="J206" s="15">
        <v>2</v>
      </c>
      <c r="K206" s="15">
        <v>1</v>
      </c>
      <c r="L206" s="15">
        <v>1</v>
      </c>
      <c r="M206" s="15">
        <v>1</v>
      </c>
      <c r="N206" s="430">
        <f t="shared" si="29"/>
        <v>0.16933510251023262</v>
      </c>
      <c r="O206" s="430">
        <f t="shared" si="30"/>
        <v>0.19908580854301616</v>
      </c>
      <c r="P206" s="9" t="s">
        <v>1962</v>
      </c>
    </row>
    <row r="207" spans="1:16" s="443" customFormat="1" ht="15.75" thickBot="1">
      <c r="A207" s="654" t="s">
        <v>493</v>
      </c>
      <c r="B207" s="794" t="s">
        <v>258</v>
      </c>
      <c r="C207" s="34" t="s">
        <v>139</v>
      </c>
      <c r="D207" s="124" t="s">
        <v>99</v>
      </c>
      <c r="E207" s="768">
        <v>3.4000000000000002E-2</v>
      </c>
      <c r="F207" s="119">
        <v>2</v>
      </c>
      <c r="G207" s="9" t="s">
        <v>433</v>
      </c>
      <c r="H207" s="15"/>
      <c r="I207" s="15"/>
      <c r="J207" s="15"/>
      <c r="K207" s="15"/>
      <c r="L207" s="15"/>
      <c r="M207" s="15"/>
      <c r="N207" s="430"/>
      <c r="O207" s="430"/>
      <c r="P207" s="119" t="s">
        <v>1963</v>
      </c>
    </row>
    <row r="208" spans="1:16" s="443" customFormat="1">
      <c r="A208" s="650" t="s">
        <v>492</v>
      </c>
      <c r="B208" s="802" t="s">
        <v>494</v>
      </c>
      <c r="C208" s="34" t="s">
        <v>139</v>
      </c>
      <c r="D208" s="121" t="s">
        <v>99</v>
      </c>
      <c r="E208" s="648">
        <f>0.1*E202</f>
        <v>3.0000000000000001E-3</v>
      </c>
      <c r="F208" s="11">
        <v>2</v>
      </c>
      <c r="G208" s="11" t="s">
        <v>433</v>
      </c>
      <c r="H208" s="13">
        <v>1</v>
      </c>
      <c r="I208" s="13">
        <v>2</v>
      </c>
      <c r="J208" s="13">
        <v>2</v>
      </c>
      <c r="K208" s="13">
        <v>1</v>
      </c>
      <c r="L208" s="13">
        <v>1</v>
      </c>
      <c r="M208" s="13">
        <v>1</v>
      </c>
      <c r="N208" s="431">
        <f t="shared" si="29"/>
        <v>0.16933510251023262</v>
      </c>
      <c r="O208" s="431">
        <f t="shared" si="30"/>
        <v>0.19908580854301616</v>
      </c>
      <c r="P208" s="42" t="s">
        <v>856</v>
      </c>
    </row>
    <row r="209" spans="1:16" s="443" customFormat="1" ht="15.75" thickBot="1">
      <c r="A209" s="651" t="s">
        <v>492</v>
      </c>
      <c r="B209" s="803" t="s">
        <v>489</v>
      </c>
      <c r="C209" s="34" t="s">
        <v>139</v>
      </c>
      <c r="D209" s="123" t="s">
        <v>99</v>
      </c>
      <c r="E209" s="772" t="s">
        <v>150</v>
      </c>
      <c r="F209" s="12">
        <v>1</v>
      </c>
      <c r="G209" s="12" t="s">
        <v>433</v>
      </c>
      <c r="H209" s="14">
        <v>1</v>
      </c>
      <c r="I209" s="14">
        <v>2</v>
      </c>
      <c r="J209" s="14">
        <v>2</v>
      </c>
      <c r="K209" s="14">
        <v>1</v>
      </c>
      <c r="L209" s="14">
        <v>1</v>
      </c>
      <c r="M209" s="14">
        <v>1</v>
      </c>
      <c r="N209" s="434">
        <f t="shared" si="29"/>
        <v>0.16933510251023262</v>
      </c>
      <c r="O209" s="434">
        <f t="shared" si="30"/>
        <v>0.19908580854301616</v>
      </c>
      <c r="P209" s="44" t="s">
        <v>1983</v>
      </c>
    </row>
    <row r="210" spans="1:16" s="443" customFormat="1" ht="15.75" thickBot="1">
      <c r="A210" s="796" t="s">
        <v>494</v>
      </c>
      <c r="B210" s="805" t="s">
        <v>228</v>
      </c>
      <c r="C210" s="34" t="s">
        <v>139</v>
      </c>
      <c r="D210" s="800" t="s">
        <v>99</v>
      </c>
      <c r="E210" s="770">
        <v>1</v>
      </c>
      <c r="F210" s="769">
        <v>2</v>
      </c>
      <c r="G210" s="769" t="s">
        <v>433</v>
      </c>
      <c r="H210" s="70"/>
      <c r="I210" s="70"/>
      <c r="J210" s="70"/>
      <c r="K210" s="70"/>
      <c r="L210" s="70"/>
      <c r="M210" s="70"/>
      <c r="N210" s="446" t="str">
        <f t="shared" si="29"/>
        <v/>
      </c>
      <c r="O210" s="446" t="str">
        <f t="shared" si="30"/>
        <v/>
      </c>
      <c r="P210" s="771" t="s">
        <v>857</v>
      </c>
    </row>
    <row r="211" spans="1:16" s="443" customFormat="1">
      <c r="A211" s="650" t="s">
        <v>490</v>
      </c>
      <c r="B211" s="793" t="s">
        <v>231</v>
      </c>
      <c r="C211" s="34" t="s">
        <v>139</v>
      </c>
      <c r="D211" s="630" t="s">
        <v>99</v>
      </c>
      <c r="E211" s="763">
        <v>1.6000000000000001E-3</v>
      </c>
      <c r="F211" s="118">
        <v>2</v>
      </c>
      <c r="G211" s="118" t="s">
        <v>1997</v>
      </c>
      <c r="H211" s="66">
        <v>1</v>
      </c>
      <c r="I211" s="66">
        <v>2</v>
      </c>
      <c r="J211" s="66">
        <v>2</v>
      </c>
      <c r="K211" s="66">
        <v>1</v>
      </c>
      <c r="L211" s="71">
        <v>3</v>
      </c>
      <c r="M211" s="66">
        <v>3</v>
      </c>
      <c r="N211" s="445">
        <f t="shared" si="29"/>
        <v>1.0725046436742278</v>
      </c>
      <c r="O211" s="445">
        <f t="shared" si="30"/>
        <v>1.0776024280428556</v>
      </c>
      <c r="P211" s="677" t="s">
        <v>1973</v>
      </c>
    </row>
    <row r="212" spans="1:16" s="443" customFormat="1">
      <c r="A212" s="652" t="s">
        <v>490</v>
      </c>
      <c r="B212" s="799" t="s">
        <v>232</v>
      </c>
      <c r="C212" s="34" t="s">
        <v>139</v>
      </c>
      <c r="D212" s="122" t="s">
        <v>99</v>
      </c>
      <c r="E212" s="245">
        <v>1.26E-2</v>
      </c>
      <c r="F212" s="9">
        <v>2</v>
      </c>
      <c r="G212" s="9" t="s">
        <v>433</v>
      </c>
      <c r="H212" s="10">
        <v>1</v>
      </c>
      <c r="I212" s="10">
        <v>2</v>
      </c>
      <c r="J212" s="10">
        <v>2</v>
      </c>
      <c r="K212" s="10">
        <v>1</v>
      </c>
      <c r="L212" s="10">
        <v>1</v>
      </c>
      <c r="M212" s="10">
        <v>1</v>
      </c>
      <c r="N212" s="411">
        <f t="shared" si="29"/>
        <v>0.16933510251023262</v>
      </c>
      <c r="O212" s="411">
        <f t="shared" si="30"/>
        <v>0.19908580854301616</v>
      </c>
      <c r="P212" s="43" t="s">
        <v>1974</v>
      </c>
    </row>
    <row r="213" spans="1:16" s="443" customFormat="1">
      <c r="A213" s="652" t="s">
        <v>490</v>
      </c>
      <c r="B213" s="799" t="s">
        <v>251</v>
      </c>
      <c r="C213" s="34" t="s">
        <v>139</v>
      </c>
      <c r="D213" s="122" t="s">
        <v>99</v>
      </c>
      <c r="E213" s="245">
        <v>1.67E-2</v>
      </c>
      <c r="F213" s="9">
        <v>2</v>
      </c>
      <c r="G213" s="9" t="s">
        <v>433</v>
      </c>
      <c r="H213" s="10">
        <v>1</v>
      </c>
      <c r="I213" s="10">
        <v>2</v>
      </c>
      <c r="J213" s="10">
        <v>2</v>
      </c>
      <c r="K213" s="10">
        <v>1</v>
      </c>
      <c r="L213" s="10">
        <v>1</v>
      </c>
      <c r="M213" s="10">
        <v>1</v>
      </c>
      <c r="N213" s="411">
        <f t="shared" si="29"/>
        <v>0.16933510251023262</v>
      </c>
      <c r="O213" s="411">
        <f t="shared" si="30"/>
        <v>0.19908580854301616</v>
      </c>
      <c r="P213" s="43" t="s">
        <v>1980</v>
      </c>
    </row>
    <row r="214" spans="1:16" s="443" customFormat="1">
      <c r="A214" s="652" t="s">
        <v>490</v>
      </c>
      <c r="B214" s="794" t="s">
        <v>258</v>
      </c>
      <c r="C214" s="34" t="s">
        <v>139</v>
      </c>
      <c r="D214" s="124" t="s">
        <v>99</v>
      </c>
      <c r="E214" s="768">
        <v>1.1000000000000001E-3</v>
      </c>
      <c r="F214" s="119">
        <v>2</v>
      </c>
      <c r="G214" s="119" t="s">
        <v>433</v>
      </c>
      <c r="H214" s="10">
        <v>1</v>
      </c>
      <c r="I214" s="10">
        <v>2</v>
      </c>
      <c r="J214" s="10">
        <v>2</v>
      </c>
      <c r="K214" s="10">
        <v>1</v>
      </c>
      <c r="L214" s="10">
        <v>1</v>
      </c>
      <c r="M214" s="10">
        <v>1</v>
      </c>
      <c r="N214" s="411">
        <f>IF( OR( ISBLANK(H214),ISBLANK(J214), ISBLANK(K214), ISBLANK(L214), ISBLANK(M214) ), "", 1.5*SQRT(   EXP(2.21*(H214-1)) + EXP(2.21*(J214-1)) + EXP(2.21*(K214-1)) + EXP(2.21*(L214-1)) + EXP(2.21*M214)   )/100*2.45 )</f>
        <v>0.16933510251023262</v>
      </c>
      <c r="O214" s="411">
        <f>IF( OR( ISBLANK(I214),ISBLANK(J214), ISBLANK(K214), ISBLANK(L214), ISBLANK(M214) ), "", 1.5*SQRT( EXP(2.21*(I214-1)) + EXP(2.21*(J214-1)) + EXP(2.21*(K214-1)) + EXP(2.21*(L214-1)) + EXP(2.21*M214)   )/100*2.45 )</f>
        <v>0.19908580854301616</v>
      </c>
      <c r="P214" s="43" t="s">
        <v>1975</v>
      </c>
    </row>
    <row r="215" spans="1:16" s="443" customFormat="1" ht="15.75" thickBot="1">
      <c r="A215" s="651" t="s">
        <v>490</v>
      </c>
      <c r="B215" s="803" t="s">
        <v>334</v>
      </c>
      <c r="C215" s="34" t="s">
        <v>139</v>
      </c>
      <c r="D215" s="123" t="s">
        <v>99</v>
      </c>
      <c r="E215" s="772" t="s">
        <v>150</v>
      </c>
      <c r="F215" s="12">
        <v>1</v>
      </c>
      <c r="G215" s="12" t="s">
        <v>433</v>
      </c>
      <c r="H215" s="14"/>
      <c r="I215" s="14"/>
      <c r="J215" s="14"/>
      <c r="K215" s="14"/>
      <c r="L215" s="14"/>
      <c r="M215" s="14"/>
      <c r="N215" s="434" t="str">
        <f t="shared" si="29"/>
        <v/>
      </c>
      <c r="O215" s="434" t="str">
        <f t="shared" si="30"/>
        <v/>
      </c>
      <c r="P215" s="44"/>
    </row>
    <row r="216" spans="1:16" s="443" customFormat="1">
      <c r="A216" s="653" t="s">
        <v>489</v>
      </c>
      <c r="B216" s="793" t="s">
        <v>228</v>
      </c>
      <c r="C216" s="34" t="s">
        <v>139</v>
      </c>
      <c r="D216" s="630" t="s">
        <v>99</v>
      </c>
      <c r="E216" s="763">
        <v>3.2000000000000001E-2</v>
      </c>
      <c r="F216" s="118">
        <v>2</v>
      </c>
      <c r="G216" s="118" t="s">
        <v>433</v>
      </c>
      <c r="H216" s="66">
        <v>1</v>
      </c>
      <c r="I216" s="66">
        <v>2</v>
      </c>
      <c r="J216" s="66">
        <v>2</v>
      </c>
      <c r="K216" s="66">
        <v>1</v>
      </c>
      <c r="L216" s="66">
        <v>1</v>
      </c>
      <c r="M216" s="66">
        <v>1</v>
      </c>
      <c r="N216" s="445">
        <f t="shared" si="29"/>
        <v>0.16933510251023262</v>
      </c>
      <c r="O216" s="445">
        <f t="shared" si="30"/>
        <v>0.19908580854301616</v>
      </c>
      <c r="P216" s="118" t="s">
        <v>861</v>
      </c>
    </row>
    <row r="217" spans="1:16" s="443" customFormat="1" ht="15.75" thickBot="1">
      <c r="A217" s="654" t="s">
        <v>489</v>
      </c>
      <c r="B217" s="794" t="s">
        <v>334</v>
      </c>
      <c r="C217" s="34" t="s">
        <v>139</v>
      </c>
      <c r="D217" s="124" t="s">
        <v>99</v>
      </c>
      <c r="E217" s="768" t="s">
        <v>150</v>
      </c>
      <c r="F217" s="119">
        <v>1</v>
      </c>
      <c r="G217" s="119" t="s">
        <v>433</v>
      </c>
      <c r="H217" s="15"/>
      <c r="I217" s="15"/>
      <c r="J217" s="15"/>
      <c r="K217" s="15"/>
      <c r="L217" s="15"/>
      <c r="M217" s="15"/>
      <c r="N217" s="430" t="str">
        <f t="shared" si="29"/>
        <v/>
      </c>
      <c r="O217" s="430" t="str">
        <f t="shared" si="30"/>
        <v/>
      </c>
      <c r="P217" s="119" t="s">
        <v>1984</v>
      </c>
    </row>
    <row r="218" spans="1:16" s="443" customFormat="1">
      <c r="A218" s="650" t="s">
        <v>440</v>
      </c>
      <c r="B218" s="802" t="s">
        <v>495</v>
      </c>
      <c r="C218" s="34" t="s">
        <v>139</v>
      </c>
      <c r="D218" s="121" t="s">
        <v>99</v>
      </c>
      <c r="E218" s="648">
        <f>0.85*0.4</f>
        <v>0.34</v>
      </c>
      <c r="F218" s="11">
        <v>2</v>
      </c>
      <c r="G218" s="11" t="s">
        <v>433</v>
      </c>
      <c r="H218" s="13">
        <v>1</v>
      </c>
      <c r="I218" s="13">
        <v>2</v>
      </c>
      <c r="J218" s="13">
        <v>2</v>
      </c>
      <c r="K218" s="13">
        <v>1</v>
      </c>
      <c r="L218" s="13">
        <v>1</v>
      </c>
      <c r="M218" s="13">
        <v>1</v>
      </c>
      <c r="N218" s="431">
        <f t="shared" si="29"/>
        <v>0.16933510251023262</v>
      </c>
      <c r="O218" s="431">
        <f t="shared" si="30"/>
        <v>0.19908580854301616</v>
      </c>
      <c r="P218" s="42" t="s">
        <v>870</v>
      </c>
    </row>
    <row r="219" spans="1:16" s="443" customFormat="1">
      <c r="A219" s="652" t="s">
        <v>440</v>
      </c>
      <c r="B219" s="799" t="s">
        <v>496</v>
      </c>
      <c r="C219" s="34" t="s">
        <v>139</v>
      </c>
      <c r="D219" s="122" t="s">
        <v>99</v>
      </c>
      <c r="E219" s="245">
        <f>0.85*0.6</f>
        <v>0.51</v>
      </c>
      <c r="F219" s="9">
        <v>2</v>
      </c>
      <c r="G219" s="9" t="s">
        <v>433</v>
      </c>
      <c r="H219" s="10">
        <v>1</v>
      </c>
      <c r="I219" s="10">
        <v>2</v>
      </c>
      <c r="J219" s="10">
        <v>2</v>
      </c>
      <c r="K219" s="10">
        <v>1</v>
      </c>
      <c r="L219" s="10">
        <v>1</v>
      </c>
      <c r="M219" s="10">
        <v>1</v>
      </c>
      <c r="N219" s="411">
        <f t="shared" si="29"/>
        <v>0.16933510251023262</v>
      </c>
      <c r="O219" s="411">
        <f t="shared" si="30"/>
        <v>0.19908580854301616</v>
      </c>
      <c r="P219" s="43" t="s">
        <v>871</v>
      </c>
    </row>
    <row r="220" spans="1:16" s="443" customFormat="1" ht="15.75" thickBot="1">
      <c r="A220" s="651" t="s">
        <v>440</v>
      </c>
      <c r="B220" s="803" t="s">
        <v>223</v>
      </c>
      <c r="C220" s="34" t="s">
        <v>139</v>
      </c>
      <c r="D220" s="123" t="s">
        <v>99</v>
      </c>
      <c r="E220" s="772">
        <v>0.15</v>
      </c>
      <c r="F220" s="12">
        <v>1</v>
      </c>
      <c r="G220" s="12" t="s">
        <v>433</v>
      </c>
      <c r="H220" s="14">
        <v>1</v>
      </c>
      <c r="I220" s="14">
        <v>2</v>
      </c>
      <c r="J220" s="14">
        <v>2</v>
      </c>
      <c r="K220" s="14">
        <v>1</v>
      </c>
      <c r="L220" s="14">
        <v>1</v>
      </c>
      <c r="M220" s="14">
        <v>1</v>
      </c>
      <c r="N220" s="434">
        <f t="shared" si="29"/>
        <v>0.16933510251023262</v>
      </c>
      <c r="O220" s="434">
        <f t="shared" si="30"/>
        <v>0.19908580854301616</v>
      </c>
      <c r="P220" s="44" t="s">
        <v>872</v>
      </c>
    </row>
    <row r="221" spans="1:16" s="443" customFormat="1">
      <c r="A221" s="653" t="s">
        <v>495</v>
      </c>
      <c r="B221" s="793" t="s">
        <v>497</v>
      </c>
      <c r="C221" s="34" t="s">
        <v>139</v>
      </c>
      <c r="D221" s="630" t="s">
        <v>99</v>
      </c>
      <c r="E221" s="763">
        <v>0.03</v>
      </c>
      <c r="F221" s="118">
        <v>2</v>
      </c>
      <c r="G221" s="118" t="s">
        <v>433</v>
      </c>
      <c r="H221" s="66">
        <v>1</v>
      </c>
      <c r="I221" s="66">
        <v>2</v>
      </c>
      <c r="J221" s="66">
        <v>2</v>
      </c>
      <c r="K221" s="66">
        <v>1</v>
      </c>
      <c r="L221" s="66">
        <v>1</v>
      </c>
      <c r="M221" s="66">
        <v>1</v>
      </c>
      <c r="N221" s="445">
        <f t="shared" si="29"/>
        <v>0.16933510251023262</v>
      </c>
      <c r="O221" s="445">
        <f t="shared" si="30"/>
        <v>0.19908580854301616</v>
      </c>
      <c r="P221" s="118" t="s">
        <v>855</v>
      </c>
    </row>
    <row r="222" spans="1:16" s="443" customFormat="1" ht="15.75" thickBot="1">
      <c r="A222" s="654" t="s">
        <v>495</v>
      </c>
      <c r="B222" s="794" t="s">
        <v>498</v>
      </c>
      <c r="C222" s="34" t="s">
        <v>139</v>
      </c>
      <c r="D222" s="124" t="s">
        <v>99</v>
      </c>
      <c r="E222" s="768" t="s">
        <v>150</v>
      </c>
      <c r="F222" s="119">
        <v>1</v>
      </c>
      <c r="G222" s="119" t="s">
        <v>433</v>
      </c>
      <c r="H222" s="15"/>
      <c r="I222" s="15"/>
      <c r="J222" s="15"/>
      <c r="K222" s="15"/>
      <c r="L222" s="15"/>
      <c r="M222" s="15"/>
      <c r="N222" s="430" t="str">
        <f t="shared" si="29"/>
        <v/>
      </c>
      <c r="O222" s="430" t="str">
        <f t="shared" si="30"/>
        <v/>
      </c>
      <c r="P222" s="119" t="s">
        <v>1950</v>
      </c>
    </row>
    <row r="223" spans="1:16" s="443" customFormat="1">
      <c r="A223" s="444" t="s">
        <v>497</v>
      </c>
      <c r="B223" s="444" t="s">
        <v>231</v>
      </c>
      <c r="C223" s="34" t="s">
        <v>139</v>
      </c>
      <c r="D223" s="121" t="s">
        <v>99</v>
      </c>
      <c r="E223" s="789">
        <v>0.05</v>
      </c>
      <c r="F223" s="790">
        <v>2</v>
      </c>
      <c r="G223" s="11" t="s">
        <v>157</v>
      </c>
      <c r="H223" s="13">
        <v>1</v>
      </c>
      <c r="I223" s="13">
        <v>2</v>
      </c>
      <c r="J223" s="13">
        <v>2</v>
      </c>
      <c r="K223" s="13">
        <v>1</v>
      </c>
      <c r="L223" s="791">
        <v>3</v>
      </c>
      <c r="M223" s="13">
        <v>3</v>
      </c>
      <c r="N223" s="431">
        <f t="shared" si="29"/>
        <v>1.0725046436742278</v>
      </c>
      <c r="O223" s="431">
        <f t="shared" si="30"/>
        <v>1.0776024280428556</v>
      </c>
      <c r="P223" s="779" t="s">
        <v>1937</v>
      </c>
    </row>
    <row r="224" spans="1:16" s="443" customFormat="1">
      <c r="A224" s="503" t="s">
        <v>497</v>
      </c>
      <c r="B224" s="503" t="s">
        <v>232</v>
      </c>
      <c r="C224" s="34" t="s">
        <v>139</v>
      </c>
      <c r="D224" s="122" t="s">
        <v>99</v>
      </c>
      <c r="E224" s="245">
        <v>0.39400000000000002</v>
      </c>
      <c r="F224" s="9">
        <v>2</v>
      </c>
      <c r="G224" s="9" t="s">
        <v>433</v>
      </c>
      <c r="H224" s="10">
        <v>1</v>
      </c>
      <c r="I224" s="10">
        <v>2</v>
      </c>
      <c r="J224" s="10">
        <v>2</v>
      </c>
      <c r="K224" s="10">
        <v>1</v>
      </c>
      <c r="L224" s="10">
        <v>1</v>
      </c>
      <c r="M224" s="10">
        <v>1</v>
      </c>
      <c r="N224" s="411">
        <f t="shared" si="29"/>
        <v>0.16933510251023262</v>
      </c>
      <c r="O224" s="411">
        <f t="shared" si="30"/>
        <v>0.19908580854301616</v>
      </c>
      <c r="P224" s="43" t="s">
        <v>1961</v>
      </c>
    </row>
    <row r="225" spans="1:20" s="443" customFormat="1">
      <c r="A225" s="503" t="s">
        <v>497</v>
      </c>
      <c r="B225" s="503" t="s">
        <v>251</v>
      </c>
      <c r="C225" s="34" t="s">
        <v>139</v>
      </c>
      <c r="D225" s="122" t="s">
        <v>99</v>
      </c>
      <c r="E225" s="245">
        <v>0.52200000000000002</v>
      </c>
      <c r="F225" s="7">
        <v>1</v>
      </c>
      <c r="G225" s="9" t="s">
        <v>433</v>
      </c>
      <c r="H225" s="10">
        <v>1</v>
      </c>
      <c r="I225" s="10">
        <v>2</v>
      </c>
      <c r="J225" s="10">
        <v>2</v>
      </c>
      <c r="K225" s="10">
        <v>1</v>
      </c>
      <c r="L225" s="10">
        <v>1</v>
      </c>
      <c r="M225" s="10">
        <v>1</v>
      </c>
      <c r="N225" s="411">
        <f t="shared" si="29"/>
        <v>0.16933510251023262</v>
      </c>
      <c r="O225" s="411">
        <f t="shared" si="30"/>
        <v>0.19908580854301616</v>
      </c>
      <c r="P225" s="43" t="s">
        <v>1962</v>
      </c>
    </row>
    <row r="226" spans="1:20" s="443" customFormat="1" ht="15.75" thickBot="1">
      <c r="A226" s="792" t="s">
        <v>497</v>
      </c>
      <c r="B226" s="792" t="s">
        <v>258</v>
      </c>
      <c r="C226" s="34" t="s">
        <v>139</v>
      </c>
      <c r="D226" s="123" t="s">
        <v>99</v>
      </c>
      <c r="E226" s="772">
        <v>3.4000000000000002E-2</v>
      </c>
      <c r="F226" s="12">
        <v>2</v>
      </c>
      <c r="G226" s="12" t="s">
        <v>433</v>
      </c>
      <c r="H226" s="14"/>
      <c r="I226" s="14"/>
      <c r="J226" s="14"/>
      <c r="K226" s="14"/>
      <c r="L226" s="14"/>
      <c r="M226" s="14"/>
      <c r="N226" s="434"/>
      <c r="O226" s="434"/>
      <c r="P226" s="44" t="s">
        <v>1963</v>
      </c>
    </row>
    <row r="227" spans="1:20" s="443" customFormat="1">
      <c r="A227" s="653" t="s">
        <v>496</v>
      </c>
      <c r="B227" s="793" t="s">
        <v>499</v>
      </c>
      <c r="C227" s="34" t="s">
        <v>139</v>
      </c>
      <c r="D227" s="630" t="s">
        <v>99</v>
      </c>
      <c r="E227" s="763">
        <f>0.1*E221</f>
        <v>3.0000000000000001E-3</v>
      </c>
      <c r="F227" s="118">
        <v>2</v>
      </c>
      <c r="G227" s="118" t="s">
        <v>433</v>
      </c>
      <c r="H227" s="66">
        <v>1</v>
      </c>
      <c r="I227" s="66">
        <v>2</v>
      </c>
      <c r="J227" s="66">
        <v>2</v>
      </c>
      <c r="K227" s="66">
        <v>1</v>
      </c>
      <c r="L227" s="66">
        <v>1</v>
      </c>
      <c r="M227" s="66">
        <v>1</v>
      </c>
      <c r="N227" s="445">
        <f t="shared" si="29"/>
        <v>0.16933510251023262</v>
      </c>
      <c r="O227" s="445">
        <f t="shared" si="30"/>
        <v>0.19908580854301616</v>
      </c>
      <c r="P227" s="118" t="s">
        <v>856</v>
      </c>
    </row>
    <row r="228" spans="1:20" s="443" customFormat="1" ht="15.75" thickBot="1">
      <c r="A228" s="654" t="s">
        <v>496</v>
      </c>
      <c r="B228" s="794" t="s">
        <v>500</v>
      </c>
      <c r="C228" s="34" t="s">
        <v>139</v>
      </c>
      <c r="D228" s="124" t="s">
        <v>99</v>
      </c>
      <c r="E228" s="768" t="s">
        <v>150</v>
      </c>
      <c r="F228" s="119">
        <v>1</v>
      </c>
      <c r="G228" s="119" t="s">
        <v>433</v>
      </c>
      <c r="H228" s="15"/>
      <c r="I228" s="15"/>
      <c r="J228" s="15"/>
      <c r="K228" s="15"/>
      <c r="L228" s="15"/>
      <c r="M228" s="15"/>
      <c r="N228" s="430" t="str">
        <f t="shared" si="29"/>
        <v/>
      </c>
      <c r="O228" s="430" t="str">
        <f t="shared" si="30"/>
        <v/>
      </c>
      <c r="P228" s="119" t="s">
        <v>1950</v>
      </c>
    </row>
    <row r="229" spans="1:20" s="443" customFormat="1" ht="15.75" thickBot="1">
      <c r="A229" s="649" t="s">
        <v>499</v>
      </c>
      <c r="B229" s="804" t="s">
        <v>228</v>
      </c>
      <c r="C229" s="34" t="s">
        <v>139</v>
      </c>
      <c r="D229" s="800" t="s">
        <v>99</v>
      </c>
      <c r="E229" s="770">
        <v>1</v>
      </c>
      <c r="F229" s="769">
        <v>2</v>
      </c>
      <c r="G229" s="769" t="s">
        <v>433</v>
      </c>
      <c r="H229" s="70">
        <v>1</v>
      </c>
      <c r="I229" s="70">
        <v>2</v>
      </c>
      <c r="J229" s="70">
        <v>2</v>
      </c>
      <c r="K229" s="70">
        <v>1</v>
      </c>
      <c r="L229" s="70">
        <v>1</v>
      </c>
      <c r="M229" s="70">
        <v>1</v>
      </c>
      <c r="N229" s="446">
        <f t="shared" si="29"/>
        <v>0.16933510251023262</v>
      </c>
      <c r="O229" s="446">
        <f t="shared" si="30"/>
        <v>0.19908580854301616</v>
      </c>
      <c r="P229" s="771" t="s">
        <v>857</v>
      </c>
    </row>
    <row r="230" spans="1:20" s="443" customFormat="1">
      <c r="A230" s="653" t="s">
        <v>498</v>
      </c>
      <c r="B230" s="802" t="s">
        <v>231</v>
      </c>
      <c r="C230" s="34" t="s">
        <v>139</v>
      </c>
      <c r="D230" s="630" t="s">
        <v>99</v>
      </c>
      <c r="E230" s="763">
        <v>3.2000000000000002E-3</v>
      </c>
      <c r="F230" s="118">
        <v>2</v>
      </c>
      <c r="G230" s="118" t="s">
        <v>1997</v>
      </c>
      <c r="H230" s="66">
        <v>1</v>
      </c>
      <c r="I230" s="66">
        <v>2</v>
      </c>
      <c r="J230" s="66">
        <v>2</v>
      </c>
      <c r="K230" s="66">
        <v>1</v>
      </c>
      <c r="L230" s="15">
        <v>3</v>
      </c>
      <c r="M230" s="13">
        <v>3</v>
      </c>
      <c r="N230" s="445">
        <f t="shared" si="29"/>
        <v>1.0725046436742278</v>
      </c>
      <c r="O230" s="445">
        <f t="shared" si="30"/>
        <v>1.0776024280428556</v>
      </c>
      <c r="P230" s="118" t="s">
        <v>1985</v>
      </c>
      <c r="T230" s="780"/>
    </row>
    <row r="231" spans="1:20" s="443" customFormat="1">
      <c r="A231" s="318" t="s">
        <v>498</v>
      </c>
      <c r="B231" s="799" t="s">
        <v>232</v>
      </c>
      <c r="C231" s="34" t="s">
        <v>139</v>
      </c>
      <c r="D231" s="122" t="s">
        <v>99</v>
      </c>
      <c r="E231" s="245">
        <v>2.5215999999999999E-2</v>
      </c>
      <c r="F231" s="9">
        <v>2</v>
      </c>
      <c r="G231" s="9" t="s">
        <v>433</v>
      </c>
      <c r="H231" s="10">
        <v>1</v>
      </c>
      <c r="I231" s="10">
        <v>2</v>
      </c>
      <c r="J231" s="10">
        <v>2</v>
      </c>
      <c r="K231" s="10">
        <v>1</v>
      </c>
      <c r="L231" s="10">
        <v>1</v>
      </c>
      <c r="M231" s="10">
        <v>1</v>
      </c>
      <c r="N231" s="411">
        <f t="shared" si="29"/>
        <v>0.16933510251023262</v>
      </c>
      <c r="O231" s="411">
        <f t="shared" si="30"/>
        <v>0.19908580854301616</v>
      </c>
      <c r="P231" s="9" t="s">
        <v>1988</v>
      </c>
      <c r="R231" s="776"/>
      <c r="T231" s="780"/>
    </row>
    <row r="232" spans="1:20" s="443" customFormat="1">
      <c r="A232" s="318" t="s">
        <v>498</v>
      </c>
      <c r="B232" s="799" t="s">
        <v>251</v>
      </c>
      <c r="C232" s="34" t="s">
        <v>139</v>
      </c>
      <c r="D232" s="122" t="s">
        <v>99</v>
      </c>
      <c r="E232" s="245">
        <v>3.3408E-2</v>
      </c>
      <c r="F232" s="9">
        <v>2</v>
      </c>
      <c r="G232" s="9" t="s">
        <v>433</v>
      </c>
      <c r="H232" s="10">
        <v>1</v>
      </c>
      <c r="I232" s="10">
        <v>2</v>
      </c>
      <c r="J232" s="10">
        <v>2</v>
      </c>
      <c r="K232" s="10">
        <v>1</v>
      </c>
      <c r="L232" s="10">
        <v>1</v>
      </c>
      <c r="M232" s="10">
        <v>1</v>
      </c>
      <c r="N232" s="411">
        <f t="shared" si="29"/>
        <v>0.16933510251023262</v>
      </c>
      <c r="O232" s="411">
        <f t="shared" si="30"/>
        <v>0.19908580854301616</v>
      </c>
      <c r="P232" s="9" t="s">
        <v>1986</v>
      </c>
      <c r="T232" s="780"/>
    </row>
    <row r="233" spans="1:20" s="443" customFormat="1">
      <c r="A233" s="318" t="s">
        <v>498</v>
      </c>
      <c r="B233" s="794" t="s">
        <v>258</v>
      </c>
      <c r="C233" s="34" t="s">
        <v>139</v>
      </c>
      <c r="D233" s="124" t="s">
        <v>99</v>
      </c>
      <c r="E233" s="768">
        <v>2.176E-3</v>
      </c>
      <c r="F233" s="119">
        <v>2</v>
      </c>
      <c r="G233" s="119" t="s">
        <v>433</v>
      </c>
      <c r="H233" s="10">
        <v>1</v>
      </c>
      <c r="I233" s="10">
        <v>2</v>
      </c>
      <c r="J233" s="10">
        <v>2</v>
      </c>
      <c r="K233" s="10">
        <v>1</v>
      </c>
      <c r="L233" s="10">
        <v>1</v>
      </c>
      <c r="M233" s="10">
        <v>1</v>
      </c>
      <c r="N233" s="411">
        <f>IF( OR( ISBLANK(H233),ISBLANK(J233), ISBLANK(K233), ISBLANK(L233), ISBLANK(M233) ), "", 1.5*SQRT(   EXP(2.21*(H233-1)) + EXP(2.21*(J233-1)) + EXP(2.21*(K233-1)) + EXP(2.21*(L233-1)) + EXP(2.21*M233)   )/100*2.45 )</f>
        <v>0.16933510251023262</v>
      </c>
      <c r="O233" s="411">
        <f>IF( OR( ISBLANK(I233),ISBLANK(J233), ISBLANK(K233), ISBLANK(L233), ISBLANK(M233) ), "", 1.5*SQRT( EXP(2.21*(I233-1)) + EXP(2.21*(J233-1)) + EXP(2.21*(K233-1)) + EXP(2.21*(L233-1)) + EXP(2.21*M233)   )/100*2.45 )</f>
        <v>0.19908580854301616</v>
      </c>
      <c r="P233" s="156" t="s">
        <v>1987</v>
      </c>
      <c r="T233" s="780"/>
    </row>
    <row r="234" spans="1:20" s="443" customFormat="1" ht="15.75" thickBot="1">
      <c r="A234" s="654" t="s">
        <v>498</v>
      </c>
      <c r="B234" s="803" t="s">
        <v>334</v>
      </c>
      <c r="C234" s="34" t="s">
        <v>139</v>
      </c>
      <c r="D234" s="124" t="s">
        <v>99</v>
      </c>
      <c r="E234" s="768" t="s">
        <v>150</v>
      </c>
      <c r="F234" s="119">
        <v>1</v>
      </c>
      <c r="G234" s="119" t="s">
        <v>433</v>
      </c>
      <c r="H234" s="15"/>
      <c r="I234" s="15"/>
      <c r="J234" s="15"/>
      <c r="K234" s="15"/>
      <c r="L234" s="15"/>
      <c r="M234" s="15"/>
      <c r="N234" s="430" t="str">
        <f t="shared" si="29"/>
        <v/>
      </c>
      <c r="O234" s="430" t="str">
        <f t="shared" si="30"/>
        <v/>
      </c>
      <c r="P234" s="119"/>
      <c r="T234" s="780"/>
    </row>
    <row r="235" spans="1:20" s="443" customFormat="1">
      <c r="A235" s="650" t="s">
        <v>500</v>
      </c>
      <c r="B235" s="802" t="s">
        <v>228</v>
      </c>
      <c r="C235" s="34" t="s">
        <v>139</v>
      </c>
      <c r="D235" s="121" t="s">
        <v>99</v>
      </c>
      <c r="E235" s="648">
        <v>6.4000000000000001E-2</v>
      </c>
      <c r="F235" s="11">
        <v>2</v>
      </c>
      <c r="G235" s="11" t="s">
        <v>433</v>
      </c>
      <c r="H235" s="13">
        <v>1</v>
      </c>
      <c r="I235" s="13">
        <v>2</v>
      </c>
      <c r="J235" s="13">
        <v>2</v>
      </c>
      <c r="K235" s="13">
        <v>1</v>
      </c>
      <c r="L235" s="13">
        <v>1</v>
      </c>
      <c r="M235" s="13">
        <v>1</v>
      </c>
      <c r="N235" s="431">
        <f t="shared" si="29"/>
        <v>0.16933510251023262</v>
      </c>
      <c r="O235" s="431">
        <f t="shared" si="30"/>
        <v>0.19908580854301616</v>
      </c>
      <c r="P235" s="42" t="s">
        <v>873</v>
      </c>
    </row>
    <row r="236" spans="1:20" s="443" customFormat="1" ht="15.75" thickBot="1">
      <c r="A236" s="651" t="s">
        <v>500</v>
      </c>
      <c r="B236" s="803" t="s">
        <v>334</v>
      </c>
      <c r="C236" s="34" t="s">
        <v>139</v>
      </c>
      <c r="D236" s="123" t="s">
        <v>99</v>
      </c>
      <c r="E236" s="772" t="s">
        <v>150</v>
      </c>
      <c r="F236" s="12">
        <v>1</v>
      </c>
      <c r="G236" s="12" t="s">
        <v>433</v>
      </c>
      <c r="H236" s="14"/>
      <c r="I236" s="14"/>
      <c r="J236" s="14"/>
      <c r="K236" s="14"/>
      <c r="L236" s="14"/>
      <c r="M236" s="14"/>
      <c r="N236" s="434" t="str">
        <f t="shared" si="29"/>
        <v/>
      </c>
      <c r="O236" s="434" t="str">
        <f t="shared" si="30"/>
        <v/>
      </c>
      <c r="P236" s="44" t="s">
        <v>1951</v>
      </c>
    </row>
    <row r="237" spans="1:20" s="443" customFormat="1">
      <c r="A237" s="653" t="s">
        <v>441</v>
      </c>
      <c r="B237" s="793" t="s">
        <v>501</v>
      </c>
      <c r="C237" s="34" t="s">
        <v>139</v>
      </c>
      <c r="D237" s="630" t="s">
        <v>99</v>
      </c>
      <c r="E237" s="763">
        <f>0.85*0.6</f>
        <v>0.51</v>
      </c>
      <c r="F237" s="118">
        <v>2</v>
      </c>
      <c r="G237" s="118" t="s">
        <v>433</v>
      </c>
      <c r="H237" s="66">
        <v>1</v>
      </c>
      <c r="I237" s="66">
        <v>2</v>
      </c>
      <c r="J237" s="66">
        <v>2</v>
      </c>
      <c r="K237" s="66">
        <v>1</v>
      </c>
      <c r="L237" s="66">
        <v>1</v>
      </c>
      <c r="M237" s="66">
        <v>1</v>
      </c>
      <c r="N237" s="445">
        <f t="shared" si="29"/>
        <v>0.16933510251023262</v>
      </c>
      <c r="O237" s="445">
        <f t="shared" si="30"/>
        <v>0.19908580854301616</v>
      </c>
      <c r="P237" s="118" t="s">
        <v>874</v>
      </c>
    </row>
    <row r="238" spans="1:20" s="443" customFormat="1">
      <c r="A238" s="318" t="s">
        <v>441</v>
      </c>
      <c r="B238" s="799" t="s">
        <v>502</v>
      </c>
      <c r="C238" s="34" t="s">
        <v>139</v>
      </c>
      <c r="D238" s="122" t="s">
        <v>99</v>
      </c>
      <c r="E238" s="245">
        <f>0.85*0.4</f>
        <v>0.34</v>
      </c>
      <c r="F238" s="9">
        <v>2</v>
      </c>
      <c r="G238" s="9" t="s">
        <v>433</v>
      </c>
      <c r="H238" s="10">
        <v>1</v>
      </c>
      <c r="I238" s="10">
        <v>2</v>
      </c>
      <c r="J238" s="10">
        <v>2</v>
      </c>
      <c r="K238" s="10">
        <v>1</v>
      </c>
      <c r="L238" s="10">
        <v>1</v>
      </c>
      <c r="M238" s="10">
        <v>1</v>
      </c>
      <c r="N238" s="411">
        <f t="shared" si="29"/>
        <v>0.16933510251023262</v>
      </c>
      <c r="O238" s="411">
        <f t="shared" si="30"/>
        <v>0.19908580854301616</v>
      </c>
      <c r="P238" s="9" t="s">
        <v>875</v>
      </c>
    </row>
    <row r="239" spans="1:20" s="443" customFormat="1" ht="15.75" thickBot="1">
      <c r="A239" s="654" t="s">
        <v>441</v>
      </c>
      <c r="B239" s="794" t="s">
        <v>223</v>
      </c>
      <c r="C239" s="34" t="s">
        <v>139</v>
      </c>
      <c r="D239" s="124" t="s">
        <v>99</v>
      </c>
      <c r="E239" s="768">
        <v>0.15</v>
      </c>
      <c r="F239" s="119">
        <v>1</v>
      </c>
      <c r="G239" s="119" t="s">
        <v>433</v>
      </c>
      <c r="H239" s="15">
        <v>1</v>
      </c>
      <c r="I239" s="15">
        <v>2</v>
      </c>
      <c r="J239" s="15">
        <v>2</v>
      </c>
      <c r="K239" s="15">
        <v>1</v>
      </c>
      <c r="L239" s="15">
        <v>1</v>
      </c>
      <c r="M239" s="15">
        <v>1</v>
      </c>
      <c r="N239" s="430">
        <f t="shared" si="29"/>
        <v>0.16933510251023262</v>
      </c>
      <c r="O239" s="430">
        <f t="shared" si="30"/>
        <v>0.19908580854301616</v>
      </c>
      <c r="P239" s="119" t="s">
        <v>872</v>
      </c>
    </row>
    <row r="240" spans="1:20" s="443" customFormat="1">
      <c r="A240" s="650" t="s">
        <v>501</v>
      </c>
      <c r="B240" s="802" t="s">
        <v>503</v>
      </c>
      <c r="C240" s="34" t="s">
        <v>139</v>
      </c>
      <c r="D240" s="121" t="s">
        <v>99</v>
      </c>
      <c r="E240" s="648">
        <v>0.15</v>
      </c>
      <c r="F240" s="11">
        <v>2</v>
      </c>
      <c r="G240" s="11" t="s">
        <v>433</v>
      </c>
      <c r="H240" s="13">
        <v>1</v>
      </c>
      <c r="I240" s="13">
        <v>2</v>
      </c>
      <c r="J240" s="13">
        <v>2</v>
      </c>
      <c r="K240" s="13">
        <v>1</v>
      </c>
      <c r="L240" s="13">
        <v>1</v>
      </c>
      <c r="M240" s="13">
        <v>1</v>
      </c>
      <c r="N240" s="431">
        <f t="shared" si="29"/>
        <v>0.16933510251023262</v>
      </c>
      <c r="O240" s="431">
        <f t="shared" si="30"/>
        <v>0.19908580854301616</v>
      </c>
      <c r="P240" s="42" t="s">
        <v>876</v>
      </c>
    </row>
    <row r="241" spans="1:16" s="443" customFormat="1" ht="15.75" thickBot="1">
      <c r="A241" s="651" t="s">
        <v>501</v>
      </c>
      <c r="B241" s="803" t="s">
        <v>504</v>
      </c>
      <c r="C241" s="34" t="s">
        <v>139</v>
      </c>
      <c r="D241" s="123" t="s">
        <v>99</v>
      </c>
      <c r="E241" s="772" t="s">
        <v>150</v>
      </c>
      <c r="F241" s="12">
        <v>1</v>
      </c>
      <c r="G241" s="12" t="s">
        <v>433</v>
      </c>
      <c r="H241" s="14"/>
      <c r="I241" s="14"/>
      <c r="J241" s="14"/>
      <c r="K241" s="14"/>
      <c r="L241" s="14"/>
      <c r="M241" s="14"/>
      <c r="N241" s="434" t="str">
        <f t="shared" si="29"/>
        <v/>
      </c>
      <c r="O241" s="434" t="str">
        <f t="shared" si="30"/>
        <v/>
      </c>
      <c r="P241" s="44" t="s">
        <v>1952</v>
      </c>
    </row>
    <row r="242" spans="1:16" s="443" customFormat="1">
      <c r="A242" s="653" t="s">
        <v>503</v>
      </c>
      <c r="B242" s="793" t="s">
        <v>231</v>
      </c>
      <c r="C242" s="34" t="s">
        <v>139</v>
      </c>
      <c r="D242" s="630" t="s">
        <v>99</v>
      </c>
      <c r="E242" s="768">
        <v>0.05</v>
      </c>
      <c r="F242" s="119">
        <v>2</v>
      </c>
      <c r="G242" s="11" t="s">
        <v>157</v>
      </c>
      <c r="H242" s="66">
        <v>1</v>
      </c>
      <c r="I242" s="66">
        <v>2</v>
      </c>
      <c r="J242" s="66">
        <v>2</v>
      </c>
      <c r="K242" s="66">
        <v>1</v>
      </c>
      <c r="L242" s="15">
        <v>3</v>
      </c>
      <c r="M242" s="13">
        <v>3</v>
      </c>
      <c r="N242" s="445">
        <f t="shared" si="29"/>
        <v>1.0725046436742278</v>
      </c>
      <c r="O242" s="445">
        <f t="shared" si="30"/>
        <v>1.0776024280428556</v>
      </c>
      <c r="P242" s="119" t="s">
        <v>1937</v>
      </c>
    </row>
    <row r="243" spans="1:16" s="443" customFormat="1">
      <c r="A243" s="318" t="s">
        <v>503</v>
      </c>
      <c r="B243" s="799" t="s">
        <v>232</v>
      </c>
      <c r="C243" s="34" t="s">
        <v>139</v>
      </c>
      <c r="D243" s="122" t="s">
        <v>99</v>
      </c>
      <c r="E243" s="245">
        <v>0.39400000000000002</v>
      </c>
      <c r="F243" s="9">
        <v>2</v>
      </c>
      <c r="G243" s="9" t="s">
        <v>433</v>
      </c>
      <c r="H243" s="10">
        <v>1</v>
      </c>
      <c r="I243" s="10">
        <v>2</v>
      </c>
      <c r="J243" s="10">
        <v>2</v>
      </c>
      <c r="K243" s="10">
        <v>1</v>
      </c>
      <c r="L243" s="10">
        <v>1</v>
      </c>
      <c r="M243" s="10">
        <v>1</v>
      </c>
      <c r="N243" s="411">
        <f t="shared" si="29"/>
        <v>0.16933510251023262</v>
      </c>
      <c r="O243" s="411">
        <f t="shared" si="30"/>
        <v>0.19908580854301616</v>
      </c>
      <c r="P243" s="9" t="s">
        <v>1961</v>
      </c>
    </row>
    <row r="244" spans="1:16" s="443" customFormat="1">
      <c r="A244" s="654" t="s">
        <v>503</v>
      </c>
      <c r="B244" s="794" t="s">
        <v>251</v>
      </c>
      <c r="C244" s="34" t="s">
        <v>139</v>
      </c>
      <c r="D244" s="124" t="s">
        <v>99</v>
      </c>
      <c r="E244" s="245">
        <v>0.52200000000000002</v>
      </c>
      <c r="F244" s="7">
        <v>1</v>
      </c>
      <c r="G244" s="9" t="s">
        <v>433</v>
      </c>
      <c r="H244" s="15">
        <v>1</v>
      </c>
      <c r="I244" s="15">
        <v>2</v>
      </c>
      <c r="J244" s="15">
        <v>2</v>
      </c>
      <c r="K244" s="15">
        <v>1</v>
      </c>
      <c r="L244" s="15">
        <v>1</v>
      </c>
      <c r="M244" s="15">
        <v>1</v>
      </c>
      <c r="N244" s="430">
        <f t="shared" si="29"/>
        <v>0.16933510251023262</v>
      </c>
      <c r="O244" s="430">
        <f t="shared" si="30"/>
        <v>0.19908580854301616</v>
      </c>
      <c r="P244" s="9" t="s">
        <v>1962</v>
      </c>
    </row>
    <row r="245" spans="1:16" s="443" customFormat="1" ht="15.75" thickBot="1">
      <c r="A245" s="654" t="s">
        <v>503</v>
      </c>
      <c r="B245" s="794" t="s">
        <v>258</v>
      </c>
      <c r="C245" s="34" t="s">
        <v>139</v>
      </c>
      <c r="D245" s="124" t="s">
        <v>99</v>
      </c>
      <c r="E245" s="768">
        <v>3.4000000000000002E-2</v>
      </c>
      <c r="F245" s="119">
        <v>2</v>
      </c>
      <c r="G245" s="9" t="s">
        <v>433</v>
      </c>
      <c r="H245" s="15"/>
      <c r="I245" s="15"/>
      <c r="J245" s="15"/>
      <c r="K245" s="15"/>
      <c r="L245" s="15"/>
      <c r="M245" s="15"/>
      <c r="N245" s="430"/>
      <c r="O245" s="430"/>
      <c r="P245" s="119" t="s">
        <v>1963</v>
      </c>
    </row>
    <row r="246" spans="1:16" s="443" customFormat="1">
      <c r="A246" s="650" t="s">
        <v>502</v>
      </c>
      <c r="B246" s="802" t="s">
        <v>505</v>
      </c>
      <c r="C246" s="34" t="s">
        <v>139</v>
      </c>
      <c r="D246" s="121" t="s">
        <v>99</v>
      </c>
      <c r="E246" s="648">
        <f>0.1*E240</f>
        <v>1.4999999999999999E-2</v>
      </c>
      <c r="F246" s="11">
        <v>2</v>
      </c>
      <c r="G246" s="11" t="s">
        <v>433</v>
      </c>
      <c r="H246" s="13">
        <v>1</v>
      </c>
      <c r="I246" s="13">
        <v>2</v>
      </c>
      <c r="J246" s="13">
        <v>2</v>
      </c>
      <c r="K246" s="13">
        <v>1</v>
      </c>
      <c r="L246" s="13">
        <v>1</v>
      </c>
      <c r="M246" s="13">
        <v>1</v>
      </c>
      <c r="N246" s="431">
        <f t="shared" si="29"/>
        <v>0.16933510251023262</v>
      </c>
      <c r="O246" s="431">
        <f t="shared" si="30"/>
        <v>0.19908580854301616</v>
      </c>
      <c r="P246" s="42" t="s">
        <v>856</v>
      </c>
    </row>
    <row r="247" spans="1:16" s="443" customFormat="1" ht="15.75" thickBot="1">
      <c r="A247" s="651" t="s">
        <v>502</v>
      </c>
      <c r="B247" s="803" t="s">
        <v>506</v>
      </c>
      <c r="C247" s="34" t="s">
        <v>139</v>
      </c>
      <c r="D247" s="123" t="s">
        <v>99</v>
      </c>
      <c r="E247" s="772" t="s">
        <v>150</v>
      </c>
      <c r="F247" s="12">
        <v>1</v>
      </c>
      <c r="G247" s="12" t="s">
        <v>433</v>
      </c>
      <c r="H247" s="14"/>
      <c r="I247" s="14"/>
      <c r="J247" s="14"/>
      <c r="K247" s="14"/>
      <c r="L247" s="14"/>
      <c r="M247" s="14"/>
      <c r="N247" s="434" t="str">
        <f t="shared" si="29"/>
        <v/>
      </c>
      <c r="O247" s="434" t="str">
        <f t="shared" si="30"/>
        <v/>
      </c>
      <c r="P247" s="44" t="s">
        <v>1952</v>
      </c>
    </row>
    <row r="248" spans="1:16" s="443" customFormat="1" ht="15.75" thickBot="1">
      <c r="A248" s="777" t="s">
        <v>505</v>
      </c>
      <c r="B248" s="796" t="s">
        <v>228</v>
      </c>
      <c r="C248" s="34" t="s">
        <v>139</v>
      </c>
      <c r="D248" s="806" t="s">
        <v>99</v>
      </c>
      <c r="E248" s="774">
        <v>1</v>
      </c>
      <c r="F248" s="773">
        <v>2</v>
      </c>
      <c r="G248" s="773" t="s">
        <v>433</v>
      </c>
      <c r="H248" s="71">
        <v>1</v>
      </c>
      <c r="I248" s="71">
        <v>2</v>
      </c>
      <c r="J248" s="71">
        <v>2</v>
      </c>
      <c r="K248" s="71">
        <v>1</v>
      </c>
      <c r="L248" s="71">
        <v>1</v>
      </c>
      <c r="M248" s="71">
        <v>1</v>
      </c>
      <c r="N248" s="778">
        <f t="shared" si="29"/>
        <v>0.16933510251023262</v>
      </c>
      <c r="O248" s="778">
        <f t="shared" si="30"/>
        <v>0.19908580854301616</v>
      </c>
      <c r="P248" s="773" t="s">
        <v>857</v>
      </c>
    </row>
    <row r="249" spans="1:16" s="443" customFormat="1">
      <c r="A249" s="444" t="s">
        <v>504</v>
      </c>
      <c r="B249" s="444" t="s">
        <v>231</v>
      </c>
      <c r="C249" s="34" t="s">
        <v>139</v>
      </c>
      <c r="D249" s="121" t="s">
        <v>99</v>
      </c>
      <c r="E249" s="648">
        <v>0</v>
      </c>
      <c r="F249" s="11">
        <v>2</v>
      </c>
      <c r="G249" s="11" t="s">
        <v>433</v>
      </c>
      <c r="H249" s="13">
        <v>1</v>
      </c>
      <c r="I249" s="13">
        <v>2</v>
      </c>
      <c r="J249" s="13">
        <v>2</v>
      </c>
      <c r="K249" s="13">
        <v>1</v>
      </c>
      <c r="L249" s="791">
        <v>1</v>
      </c>
      <c r="M249" s="13">
        <v>1</v>
      </c>
      <c r="N249" s="431">
        <f t="shared" si="29"/>
        <v>0.16933510251023262</v>
      </c>
      <c r="O249" s="431">
        <f t="shared" si="30"/>
        <v>0.19908580854301616</v>
      </c>
      <c r="P249" s="42" t="s">
        <v>1966</v>
      </c>
    </row>
    <row r="250" spans="1:16" s="443" customFormat="1">
      <c r="A250" s="503" t="s">
        <v>504</v>
      </c>
      <c r="B250" s="503" t="s">
        <v>232</v>
      </c>
      <c r="C250" s="34" t="s">
        <v>139</v>
      </c>
      <c r="D250" s="122" t="s">
        <v>99</v>
      </c>
      <c r="E250" s="245">
        <v>0</v>
      </c>
      <c r="F250" s="9">
        <v>2</v>
      </c>
      <c r="G250" s="9" t="s">
        <v>433</v>
      </c>
      <c r="H250" s="10">
        <v>1</v>
      </c>
      <c r="I250" s="10">
        <v>2</v>
      </c>
      <c r="J250" s="10">
        <v>2</v>
      </c>
      <c r="K250" s="10">
        <v>1</v>
      </c>
      <c r="L250" s="10">
        <v>1</v>
      </c>
      <c r="M250" s="10">
        <v>1</v>
      </c>
      <c r="N250" s="411">
        <f t="shared" si="29"/>
        <v>0.16933510251023262</v>
      </c>
      <c r="O250" s="411">
        <f t="shared" si="30"/>
        <v>0.19908580854301616</v>
      </c>
      <c r="P250" s="43" t="s">
        <v>1966</v>
      </c>
    </row>
    <row r="251" spans="1:16" s="443" customFormat="1">
      <c r="A251" s="503" t="s">
        <v>504</v>
      </c>
      <c r="B251" s="503" t="s">
        <v>251</v>
      </c>
      <c r="C251" s="34" t="s">
        <v>139</v>
      </c>
      <c r="D251" s="122" t="s">
        <v>99</v>
      </c>
      <c r="E251" s="245">
        <v>0</v>
      </c>
      <c r="F251" s="9">
        <v>2</v>
      </c>
      <c r="G251" s="9" t="s">
        <v>433</v>
      </c>
      <c r="H251" s="10">
        <v>1</v>
      </c>
      <c r="I251" s="10">
        <v>2</v>
      </c>
      <c r="J251" s="10">
        <v>2</v>
      </c>
      <c r="K251" s="10">
        <v>1</v>
      </c>
      <c r="L251" s="10">
        <v>1</v>
      </c>
      <c r="M251" s="10">
        <v>1</v>
      </c>
      <c r="N251" s="411">
        <f t="shared" si="29"/>
        <v>0.16933510251023262</v>
      </c>
      <c r="O251" s="411">
        <f t="shared" si="30"/>
        <v>0.19908580854301616</v>
      </c>
      <c r="P251" s="43" t="s">
        <v>1966</v>
      </c>
    </row>
    <row r="252" spans="1:16" s="443" customFormat="1">
      <c r="A252" s="503" t="s">
        <v>504</v>
      </c>
      <c r="B252" s="801" t="s">
        <v>258</v>
      </c>
      <c r="C252" s="34" t="s">
        <v>139</v>
      </c>
      <c r="D252" s="124" t="s">
        <v>99</v>
      </c>
      <c r="E252" s="768">
        <v>0</v>
      </c>
      <c r="F252" s="119">
        <v>2</v>
      </c>
      <c r="G252" s="119" t="s">
        <v>433</v>
      </c>
      <c r="H252" s="10">
        <v>1</v>
      </c>
      <c r="I252" s="10">
        <v>2</v>
      </c>
      <c r="J252" s="10">
        <v>2</v>
      </c>
      <c r="K252" s="10">
        <v>1</v>
      </c>
      <c r="L252" s="10">
        <v>1</v>
      </c>
      <c r="M252" s="10">
        <v>1</v>
      </c>
      <c r="N252" s="411">
        <f>IF( OR( ISBLANK(H252),ISBLANK(J252), ISBLANK(K252), ISBLANK(L252), ISBLANK(M252) ), "", 1.5*SQRT(   EXP(2.21*(H252-1)) + EXP(2.21*(J252-1)) + EXP(2.21*(K252-1)) + EXP(2.21*(L252-1)) + EXP(2.21*M252)   )/100*2.45 )</f>
        <v>0.16933510251023262</v>
      </c>
      <c r="O252" s="411">
        <f>IF( OR( ISBLANK(I252),ISBLANK(J252), ISBLANK(K252), ISBLANK(L252), ISBLANK(M252) ), "", 1.5*SQRT( EXP(2.21*(I252-1)) + EXP(2.21*(J252-1)) + EXP(2.21*(K252-1)) + EXP(2.21*(L252-1)) + EXP(2.21*M252)   )/100*2.45 )</f>
        <v>0.19908580854301616</v>
      </c>
      <c r="P252" s="156" t="s">
        <v>1966</v>
      </c>
    </row>
    <row r="253" spans="1:16" s="443" customFormat="1" ht="15.75" thickBot="1">
      <c r="A253" s="792" t="s">
        <v>504</v>
      </c>
      <c r="B253" s="792" t="s">
        <v>334</v>
      </c>
      <c r="C253" s="34" t="s">
        <v>139</v>
      </c>
      <c r="D253" s="123" t="s">
        <v>99</v>
      </c>
      <c r="E253" s="772" t="s">
        <v>150</v>
      </c>
      <c r="F253" s="12">
        <v>1</v>
      </c>
      <c r="G253" s="12" t="s">
        <v>433</v>
      </c>
      <c r="H253" s="14"/>
      <c r="I253" s="14"/>
      <c r="J253" s="14"/>
      <c r="K253" s="14"/>
      <c r="L253" s="14"/>
      <c r="M253" s="14"/>
      <c r="N253" s="434" t="str">
        <f t="shared" si="29"/>
        <v/>
      </c>
      <c r="O253" s="434" t="str">
        <f t="shared" si="30"/>
        <v/>
      </c>
      <c r="P253" s="44"/>
    </row>
    <row r="254" spans="1:16" s="443" customFormat="1">
      <c r="A254" s="653" t="s">
        <v>506</v>
      </c>
      <c r="B254" s="793" t="s">
        <v>228</v>
      </c>
      <c r="C254" s="34" t="s">
        <v>139</v>
      </c>
      <c r="D254" s="630" t="s">
        <v>99</v>
      </c>
      <c r="E254" s="763">
        <v>0</v>
      </c>
      <c r="F254" s="118">
        <v>2</v>
      </c>
      <c r="G254" s="118" t="s">
        <v>433</v>
      </c>
      <c r="H254" s="66">
        <v>1</v>
      </c>
      <c r="I254" s="66">
        <v>2</v>
      </c>
      <c r="J254" s="66">
        <v>2</v>
      </c>
      <c r="K254" s="66">
        <v>1</v>
      </c>
      <c r="L254" s="66">
        <v>1</v>
      </c>
      <c r="M254" s="66">
        <v>1</v>
      </c>
      <c r="N254" s="445">
        <f t="shared" si="29"/>
        <v>0.16933510251023262</v>
      </c>
      <c r="O254" s="445">
        <f t="shared" si="30"/>
        <v>0.19908580854301616</v>
      </c>
      <c r="P254" s="118" t="s">
        <v>858</v>
      </c>
    </row>
    <row r="255" spans="1:16" s="443" customFormat="1" ht="15.75" thickBot="1">
      <c r="A255" s="654" t="s">
        <v>506</v>
      </c>
      <c r="B255" s="794" t="s">
        <v>334</v>
      </c>
      <c r="C255" s="34" t="s">
        <v>139</v>
      </c>
      <c r="D255" s="124" t="s">
        <v>99</v>
      </c>
      <c r="E255" s="768" t="s">
        <v>150</v>
      </c>
      <c r="F255" s="119">
        <v>1</v>
      </c>
      <c r="G255" s="119" t="s">
        <v>433</v>
      </c>
      <c r="H255" s="15">
        <v>1</v>
      </c>
      <c r="I255" s="15">
        <v>2</v>
      </c>
      <c r="J255" s="15">
        <v>2</v>
      </c>
      <c r="K255" s="15">
        <v>1</v>
      </c>
      <c r="L255" s="15">
        <v>1</v>
      </c>
      <c r="M255" s="15">
        <v>1</v>
      </c>
      <c r="N255" s="430">
        <f t="shared" si="29"/>
        <v>0.16933510251023262</v>
      </c>
      <c r="O255" s="430">
        <f t="shared" si="30"/>
        <v>0.19908580854301616</v>
      </c>
      <c r="P255" s="119" t="s">
        <v>1953</v>
      </c>
    </row>
    <row r="256" spans="1:16" s="443" customFormat="1">
      <c r="A256" s="650" t="s">
        <v>442</v>
      </c>
      <c r="B256" s="802" t="s">
        <v>507</v>
      </c>
      <c r="C256" s="34" t="s">
        <v>139</v>
      </c>
      <c r="D256" s="121" t="s">
        <v>99</v>
      </c>
      <c r="E256" s="648">
        <v>0</v>
      </c>
      <c r="F256" s="11">
        <v>2</v>
      </c>
      <c r="G256" s="11" t="s">
        <v>433</v>
      </c>
      <c r="H256" s="13">
        <v>1</v>
      </c>
      <c r="I256" s="13">
        <v>2</v>
      </c>
      <c r="J256" s="13">
        <v>2</v>
      </c>
      <c r="K256" s="13">
        <v>1</v>
      </c>
      <c r="L256" s="13">
        <v>1</v>
      </c>
      <c r="M256" s="13">
        <v>1</v>
      </c>
      <c r="N256" s="431">
        <f t="shared" si="29"/>
        <v>0.16933510251023262</v>
      </c>
      <c r="O256" s="431">
        <f t="shared" si="30"/>
        <v>0.19908580854301616</v>
      </c>
      <c r="P256" s="42" t="s">
        <v>877</v>
      </c>
    </row>
    <row r="257" spans="1:16" s="443" customFormat="1">
      <c r="A257" s="652" t="s">
        <v>442</v>
      </c>
      <c r="B257" s="799" t="s">
        <v>508</v>
      </c>
      <c r="C257" s="34" t="s">
        <v>139</v>
      </c>
      <c r="D257" s="122" t="s">
        <v>99</v>
      </c>
      <c r="E257" s="245">
        <v>0.85</v>
      </c>
      <c r="F257" s="9">
        <v>2</v>
      </c>
      <c r="G257" s="9" t="s">
        <v>433</v>
      </c>
      <c r="H257" s="10">
        <v>1</v>
      </c>
      <c r="I257" s="10">
        <v>2</v>
      </c>
      <c r="J257" s="10">
        <v>2</v>
      </c>
      <c r="K257" s="10">
        <v>1</v>
      </c>
      <c r="L257" s="10">
        <v>1</v>
      </c>
      <c r="M257" s="10">
        <v>1</v>
      </c>
      <c r="N257" s="411">
        <f t="shared" si="29"/>
        <v>0.16933510251023262</v>
      </c>
      <c r="O257" s="411">
        <f t="shared" si="30"/>
        <v>0.19908580854301616</v>
      </c>
      <c r="P257" s="43" t="s">
        <v>878</v>
      </c>
    </row>
    <row r="258" spans="1:16" s="443" customFormat="1" ht="15.75" thickBot="1">
      <c r="A258" s="651" t="s">
        <v>442</v>
      </c>
      <c r="B258" s="803" t="s">
        <v>223</v>
      </c>
      <c r="C258" s="34" t="s">
        <v>139</v>
      </c>
      <c r="D258" s="123" t="s">
        <v>99</v>
      </c>
      <c r="E258" s="772">
        <v>0.15</v>
      </c>
      <c r="F258" s="12">
        <v>1</v>
      </c>
      <c r="G258" s="12" t="s">
        <v>433</v>
      </c>
      <c r="H258" s="14">
        <v>1</v>
      </c>
      <c r="I258" s="14">
        <v>2</v>
      </c>
      <c r="J258" s="14">
        <v>2</v>
      </c>
      <c r="K258" s="14">
        <v>1</v>
      </c>
      <c r="L258" s="14">
        <v>1</v>
      </c>
      <c r="M258" s="14">
        <v>1</v>
      </c>
      <c r="N258" s="434">
        <f t="shared" si="29"/>
        <v>0.16933510251023262</v>
      </c>
      <c r="O258" s="434">
        <f t="shared" si="30"/>
        <v>0.19908580854301616</v>
      </c>
      <c r="P258" s="44" t="s">
        <v>872</v>
      </c>
    </row>
    <row r="259" spans="1:16" s="443" customFormat="1">
      <c r="A259" s="793" t="s">
        <v>507</v>
      </c>
      <c r="B259" s="444" t="s">
        <v>510</v>
      </c>
      <c r="C259" s="34" t="s">
        <v>139</v>
      </c>
      <c r="D259" s="121" t="s">
        <v>99</v>
      </c>
      <c r="E259" s="648">
        <v>0.03</v>
      </c>
      <c r="F259" s="11">
        <v>2</v>
      </c>
      <c r="G259" s="11" t="s">
        <v>433</v>
      </c>
      <c r="H259" s="13">
        <v>1</v>
      </c>
      <c r="I259" s="13">
        <v>2</v>
      </c>
      <c r="J259" s="13">
        <v>2</v>
      </c>
      <c r="K259" s="13">
        <v>1</v>
      </c>
      <c r="L259" s="13">
        <v>1</v>
      </c>
      <c r="M259" s="13">
        <v>1</v>
      </c>
      <c r="N259" s="431">
        <f t="shared" si="29"/>
        <v>0.16933510251023262</v>
      </c>
      <c r="O259" s="431">
        <f t="shared" si="30"/>
        <v>0.19908580854301616</v>
      </c>
      <c r="P259" s="42" t="s">
        <v>855</v>
      </c>
    </row>
    <row r="260" spans="1:16" s="443" customFormat="1" ht="15.75" thickBot="1">
      <c r="A260" s="794" t="s">
        <v>507</v>
      </c>
      <c r="B260" s="792" t="s">
        <v>511</v>
      </c>
      <c r="C260" s="34" t="s">
        <v>139</v>
      </c>
      <c r="D260" s="123" t="s">
        <v>99</v>
      </c>
      <c r="E260" s="772" t="s">
        <v>150</v>
      </c>
      <c r="F260" s="12">
        <v>1</v>
      </c>
      <c r="G260" s="12" t="s">
        <v>433</v>
      </c>
      <c r="H260" s="14"/>
      <c r="I260" s="14"/>
      <c r="J260" s="14"/>
      <c r="K260" s="14"/>
      <c r="L260" s="14"/>
      <c r="M260" s="14"/>
      <c r="N260" s="434" t="str">
        <f t="shared" si="29"/>
        <v/>
      </c>
      <c r="O260" s="434" t="str">
        <f t="shared" si="30"/>
        <v/>
      </c>
      <c r="P260" s="44" t="s">
        <v>1954</v>
      </c>
    </row>
    <row r="261" spans="1:16" s="443" customFormat="1">
      <c r="A261" s="650" t="s">
        <v>510</v>
      </c>
      <c r="B261" s="793" t="s">
        <v>231</v>
      </c>
      <c r="C261" s="34" t="s">
        <v>139</v>
      </c>
      <c r="D261" s="630" t="s">
        <v>99</v>
      </c>
      <c r="E261" s="774">
        <v>0.05</v>
      </c>
      <c r="F261" s="773">
        <v>2</v>
      </c>
      <c r="G261" s="773"/>
      <c r="H261" s="66">
        <v>1</v>
      </c>
      <c r="I261" s="66">
        <v>2</v>
      </c>
      <c r="J261" s="66">
        <v>2</v>
      </c>
      <c r="K261" s="66">
        <v>1</v>
      </c>
      <c r="L261" s="71">
        <v>3</v>
      </c>
      <c r="M261" s="66">
        <v>3</v>
      </c>
      <c r="N261" s="445">
        <f t="shared" si="29"/>
        <v>1.0725046436742278</v>
      </c>
      <c r="O261" s="445">
        <f t="shared" si="30"/>
        <v>1.0776024280428556</v>
      </c>
      <c r="P261" s="795" t="s">
        <v>1937</v>
      </c>
    </row>
    <row r="262" spans="1:16" s="443" customFormat="1">
      <c r="A262" s="652" t="s">
        <v>510</v>
      </c>
      <c r="B262" s="799" t="s">
        <v>232</v>
      </c>
      <c r="C262" s="34" t="s">
        <v>139</v>
      </c>
      <c r="D262" s="122" t="s">
        <v>99</v>
      </c>
      <c r="E262" s="245">
        <v>0.39400000000000002</v>
      </c>
      <c r="F262" s="9">
        <v>2</v>
      </c>
      <c r="G262" s="9" t="s">
        <v>433</v>
      </c>
      <c r="H262" s="10">
        <v>1</v>
      </c>
      <c r="I262" s="10">
        <v>2</v>
      </c>
      <c r="J262" s="10">
        <v>2</v>
      </c>
      <c r="K262" s="10">
        <v>1</v>
      </c>
      <c r="L262" s="10">
        <v>1</v>
      </c>
      <c r="M262" s="10">
        <v>1</v>
      </c>
      <c r="N262" s="411">
        <f t="shared" si="29"/>
        <v>0.16933510251023262</v>
      </c>
      <c r="O262" s="411">
        <f t="shared" si="30"/>
        <v>0.19908580854301616</v>
      </c>
      <c r="P262" s="43" t="s">
        <v>1961</v>
      </c>
    </row>
    <row r="263" spans="1:16" s="443" customFormat="1">
      <c r="A263" s="652" t="s">
        <v>510</v>
      </c>
      <c r="B263" s="799" t="s">
        <v>251</v>
      </c>
      <c r="C263" s="34" t="s">
        <v>139</v>
      </c>
      <c r="D263" s="122" t="s">
        <v>99</v>
      </c>
      <c r="E263" s="245">
        <v>0.52200000000000002</v>
      </c>
      <c r="F263" s="7">
        <v>1</v>
      </c>
      <c r="G263" s="9" t="s">
        <v>433</v>
      </c>
      <c r="H263" s="10">
        <v>1</v>
      </c>
      <c r="I263" s="10">
        <v>2</v>
      </c>
      <c r="J263" s="10">
        <v>2</v>
      </c>
      <c r="K263" s="10">
        <v>1</v>
      </c>
      <c r="L263" s="10">
        <v>1</v>
      </c>
      <c r="M263" s="10">
        <v>1</v>
      </c>
      <c r="N263" s="411">
        <f t="shared" si="29"/>
        <v>0.16933510251023262</v>
      </c>
      <c r="O263" s="411">
        <f t="shared" si="30"/>
        <v>0.19908580854301616</v>
      </c>
      <c r="P263" s="43" t="s">
        <v>1962</v>
      </c>
    </row>
    <row r="264" spans="1:16" s="443" customFormat="1" ht="15.75" thickBot="1">
      <c r="A264" s="651" t="s">
        <v>510</v>
      </c>
      <c r="B264" s="794" t="s">
        <v>258</v>
      </c>
      <c r="C264" s="34" t="s">
        <v>139</v>
      </c>
      <c r="D264" s="124" t="s">
        <v>99</v>
      </c>
      <c r="E264" s="768">
        <v>3.4000000000000002E-2</v>
      </c>
      <c r="F264" s="119">
        <v>2</v>
      </c>
      <c r="G264" s="119" t="s">
        <v>433</v>
      </c>
      <c r="H264" s="15"/>
      <c r="I264" s="15"/>
      <c r="J264" s="15"/>
      <c r="K264" s="15"/>
      <c r="L264" s="15"/>
      <c r="M264" s="15"/>
      <c r="N264" s="430"/>
      <c r="O264" s="430"/>
      <c r="P264" s="156" t="s">
        <v>1963</v>
      </c>
    </row>
    <row r="265" spans="1:16" s="443" customFormat="1">
      <c r="A265" s="793" t="s">
        <v>508</v>
      </c>
      <c r="B265" s="444" t="s">
        <v>512</v>
      </c>
      <c r="C265" s="34" t="s">
        <v>139</v>
      </c>
      <c r="D265" s="121" t="s">
        <v>99</v>
      </c>
      <c r="E265" s="648" t="s">
        <v>150</v>
      </c>
      <c r="F265" s="11">
        <v>1</v>
      </c>
      <c r="G265" s="11" t="s">
        <v>433</v>
      </c>
      <c r="H265" s="13">
        <v>1</v>
      </c>
      <c r="I265" s="13">
        <v>2</v>
      </c>
      <c r="J265" s="13">
        <v>2</v>
      </c>
      <c r="K265" s="13">
        <v>1</v>
      </c>
      <c r="L265" s="13">
        <v>1</v>
      </c>
      <c r="M265" s="13">
        <v>1</v>
      </c>
      <c r="N265" s="431">
        <f t="shared" si="29"/>
        <v>0.16933510251023262</v>
      </c>
      <c r="O265" s="431">
        <f t="shared" si="30"/>
        <v>0.19908580854301616</v>
      </c>
      <c r="P265" s="42" t="s">
        <v>1955</v>
      </c>
    </row>
    <row r="266" spans="1:16" s="443" customFormat="1" ht="15.75" thickBot="1">
      <c r="A266" s="794" t="s">
        <v>508</v>
      </c>
      <c r="B266" s="792" t="s">
        <v>513</v>
      </c>
      <c r="C266" s="34" t="s">
        <v>139</v>
      </c>
      <c r="D266" s="123" t="s">
        <v>99</v>
      </c>
      <c r="E266" s="772">
        <f>0.016*0.091</f>
        <v>1.456E-3</v>
      </c>
      <c r="F266" s="12">
        <v>2</v>
      </c>
      <c r="G266" s="12" t="s">
        <v>433</v>
      </c>
      <c r="H266" s="14">
        <v>1</v>
      </c>
      <c r="I266" s="14">
        <v>2</v>
      </c>
      <c r="J266" s="14">
        <v>2</v>
      </c>
      <c r="K266" s="14">
        <v>1</v>
      </c>
      <c r="L266" s="14">
        <v>1</v>
      </c>
      <c r="M266" s="14">
        <v>1</v>
      </c>
      <c r="N266" s="434">
        <f t="shared" si="29"/>
        <v>0.16933510251023262</v>
      </c>
      <c r="O266" s="434">
        <f t="shared" si="30"/>
        <v>0.19908580854301616</v>
      </c>
      <c r="P266" s="44" t="s">
        <v>879</v>
      </c>
    </row>
    <row r="267" spans="1:16" s="443" customFormat="1">
      <c r="A267" s="650" t="s">
        <v>512</v>
      </c>
      <c r="B267" s="802" t="s">
        <v>514</v>
      </c>
      <c r="C267" s="34" t="s">
        <v>139</v>
      </c>
      <c r="D267" s="121" t="s">
        <v>99</v>
      </c>
      <c r="E267" s="648">
        <f>0.1*E259</f>
        <v>3.0000000000000001E-3</v>
      </c>
      <c r="F267" s="11">
        <v>2</v>
      </c>
      <c r="G267" s="11" t="s">
        <v>433</v>
      </c>
      <c r="H267" s="13">
        <v>1</v>
      </c>
      <c r="I267" s="13">
        <v>2</v>
      </c>
      <c r="J267" s="13">
        <v>2</v>
      </c>
      <c r="K267" s="13">
        <v>1</v>
      </c>
      <c r="L267" s="13">
        <v>1</v>
      </c>
      <c r="M267" s="13">
        <v>1</v>
      </c>
      <c r="N267" s="431">
        <f t="shared" si="29"/>
        <v>0.16933510251023262</v>
      </c>
      <c r="O267" s="431">
        <f t="shared" si="30"/>
        <v>0.19908580854301616</v>
      </c>
      <c r="P267" s="42" t="s">
        <v>856</v>
      </c>
    </row>
    <row r="268" spans="1:16" s="443" customFormat="1" ht="15.75" thickBot="1">
      <c r="A268" s="651" t="s">
        <v>512</v>
      </c>
      <c r="B268" s="803" t="s">
        <v>509</v>
      </c>
      <c r="C268" s="34" t="s">
        <v>139</v>
      </c>
      <c r="D268" s="123" t="s">
        <v>99</v>
      </c>
      <c r="E268" s="772" t="s">
        <v>150</v>
      </c>
      <c r="F268" s="12">
        <v>1</v>
      </c>
      <c r="G268" s="12" t="s">
        <v>433</v>
      </c>
      <c r="H268" s="14"/>
      <c r="I268" s="14"/>
      <c r="J268" s="14"/>
      <c r="K268" s="14"/>
      <c r="L268" s="14"/>
      <c r="M268" s="14"/>
      <c r="N268" s="434" t="str">
        <f t="shared" si="29"/>
        <v/>
      </c>
      <c r="O268" s="434" t="str">
        <f t="shared" si="30"/>
        <v/>
      </c>
      <c r="P268" s="44" t="s">
        <v>1956</v>
      </c>
    </row>
    <row r="269" spans="1:16" s="443" customFormat="1" ht="15.75" thickBot="1">
      <c r="A269" s="777" t="s">
        <v>514</v>
      </c>
      <c r="B269" s="796" t="s">
        <v>228</v>
      </c>
      <c r="C269" s="34" t="s">
        <v>139</v>
      </c>
      <c r="D269" s="806" t="s">
        <v>99</v>
      </c>
      <c r="E269" s="774">
        <v>1</v>
      </c>
      <c r="F269" s="773">
        <v>2</v>
      </c>
      <c r="G269" s="773" t="s">
        <v>433</v>
      </c>
      <c r="H269" s="71">
        <v>1</v>
      </c>
      <c r="I269" s="71">
        <v>2</v>
      </c>
      <c r="J269" s="71">
        <v>2</v>
      </c>
      <c r="K269" s="71">
        <v>1</v>
      </c>
      <c r="L269" s="71">
        <v>1</v>
      </c>
      <c r="M269" s="71">
        <v>1</v>
      </c>
      <c r="N269" s="778">
        <f t="shared" si="29"/>
        <v>0.16933510251023262</v>
      </c>
      <c r="O269" s="778">
        <f t="shared" si="30"/>
        <v>0.19908580854301616</v>
      </c>
      <c r="P269" s="773" t="s">
        <v>857</v>
      </c>
    </row>
    <row r="270" spans="1:16" s="443" customFormat="1" ht="15.75" thickBot="1">
      <c r="A270" s="649" t="s">
        <v>513</v>
      </c>
      <c r="B270" s="804" t="s">
        <v>232</v>
      </c>
      <c r="C270" s="34" t="s">
        <v>139</v>
      </c>
      <c r="D270" s="800" t="s">
        <v>99</v>
      </c>
      <c r="E270" s="770">
        <v>1</v>
      </c>
      <c r="F270" s="769">
        <v>1</v>
      </c>
      <c r="G270" s="769" t="s">
        <v>433</v>
      </c>
      <c r="H270" s="70">
        <v>1</v>
      </c>
      <c r="I270" s="70">
        <v>2</v>
      </c>
      <c r="J270" s="70">
        <v>2</v>
      </c>
      <c r="K270" s="70">
        <v>1</v>
      </c>
      <c r="L270" s="70">
        <v>1</v>
      </c>
      <c r="M270" s="70">
        <v>1</v>
      </c>
      <c r="N270" s="446">
        <f t="shared" si="29"/>
        <v>0.16933510251023262</v>
      </c>
      <c r="O270" s="446">
        <f t="shared" si="30"/>
        <v>0.19908580854301616</v>
      </c>
      <c r="P270" s="771" t="s">
        <v>857</v>
      </c>
    </row>
    <row r="271" spans="1:16" s="443" customFormat="1">
      <c r="A271" s="653" t="s">
        <v>511</v>
      </c>
      <c r="B271" s="802" t="s">
        <v>231</v>
      </c>
      <c r="C271" s="34" t="s">
        <v>139</v>
      </c>
      <c r="D271" s="630" t="s">
        <v>99</v>
      </c>
      <c r="E271" s="763">
        <v>0</v>
      </c>
      <c r="F271" s="118">
        <v>2</v>
      </c>
      <c r="G271" s="118" t="s">
        <v>433</v>
      </c>
      <c r="H271" s="66">
        <v>1</v>
      </c>
      <c r="I271" s="66">
        <v>2</v>
      </c>
      <c r="J271" s="66">
        <v>2</v>
      </c>
      <c r="K271" s="66">
        <v>1</v>
      </c>
      <c r="L271" s="15">
        <v>1</v>
      </c>
      <c r="M271" s="13">
        <v>1</v>
      </c>
      <c r="N271" s="445">
        <f t="shared" si="29"/>
        <v>0.16933510251023262</v>
      </c>
      <c r="O271" s="445">
        <f t="shared" si="30"/>
        <v>0.19908580854301616</v>
      </c>
      <c r="P271" s="42" t="s">
        <v>1965</v>
      </c>
    </row>
    <row r="272" spans="1:16" s="443" customFormat="1">
      <c r="A272" s="318" t="s">
        <v>511</v>
      </c>
      <c r="B272" s="799" t="s">
        <v>232</v>
      </c>
      <c r="C272" s="34" t="s">
        <v>139</v>
      </c>
      <c r="D272" s="122" t="s">
        <v>99</v>
      </c>
      <c r="E272" s="245">
        <v>0</v>
      </c>
      <c r="F272" s="9">
        <v>2</v>
      </c>
      <c r="G272" s="9" t="s">
        <v>433</v>
      </c>
      <c r="H272" s="10">
        <v>1</v>
      </c>
      <c r="I272" s="10">
        <v>2</v>
      </c>
      <c r="J272" s="10">
        <v>2</v>
      </c>
      <c r="K272" s="10">
        <v>1</v>
      </c>
      <c r="L272" s="10">
        <v>1</v>
      </c>
      <c r="M272" s="10">
        <v>1</v>
      </c>
      <c r="N272" s="411">
        <f t="shared" si="29"/>
        <v>0.16933510251023262</v>
      </c>
      <c r="O272" s="411">
        <f t="shared" si="30"/>
        <v>0.19908580854301616</v>
      </c>
      <c r="P272" s="43" t="s">
        <v>1965</v>
      </c>
    </row>
    <row r="273" spans="1:16" s="443" customFormat="1">
      <c r="A273" s="318" t="s">
        <v>511</v>
      </c>
      <c r="B273" s="799" t="s">
        <v>251</v>
      </c>
      <c r="C273" s="34" t="s">
        <v>139</v>
      </c>
      <c r="D273" s="122" t="s">
        <v>99</v>
      </c>
      <c r="E273" s="245">
        <v>0</v>
      </c>
      <c r="F273" s="9">
        <v>2</v>
      </c>
      <c r="G273" s="9" t="s">
        <v>433</v>
      </c>
      <c r="H273" s="10">
        <v>1</v>
      </c>
      <c r="I273" s="10">
        <v>2</v>
      </c>
      <c r="J273" s="10">
        <v>2</v>
      </c>
      <c r="K273" s="10">
        <v>1</v>
      </c>
      <c r="L273" s="10">
        <v>1</v>
      </c>
      <c r="M273" s="10">
        <v>1</v>
      </c>
      <c r="N273" s="411">
        <f t="shared" ref="N273:N315" si="31">IF( OR( ISBLANK(H273),ISBLANK(J273), ISBLANK(K273), ISBLANK(L273), ISBLANK(M273) ), "", 1.5*SQRT(   EXP(2.21*(H273-1)) + EXP(2.21*(J273-1)) + EXP(2.21*(K273-1)) + EXP(2.21*(L273-1)) + EXP(2.21*M273)   )/100*2.45 )</f>
        <v>0.16933510251023262</v>
      </c>
      <c r="O273" s="411">
        <f t="shared" ref="O273:O315" si="32">IF( OR( ISBLANK(I273),ISBLANK(J273), ISBLANK(K273), ISBLANK(L273), ISBLANK(M273) ), "", 1.5*SQRT( EXP(2.21*(I273-1)) + EXP(2.21*(J273-1)) + EXP(2.21*(K273-1)) + EXP(2.21*(L273-1)) + EXP(2.21*M273)   )/100*2.45 )</f>
        <v>0.19908580854301616</v>
      </c>
      <c r="P273" s="43" t="s">
        <v>1965</v>
      </c>
    </row>
    <row r="274" spans="1:16" s="443" customFormat="1">
      <c r="A274" s="318" t="s">
        <v>511</v>
      </c>
      <c r="B274" s="794" t="s">
        <v>258</v>
      </c>
      <c r="C274" s="34" t="s">
        <v>139</v>
      </c>
      <c r="D274" s="124" t="s">
        <v>99</v>
      </c>
      <c r="E274" s="768">
        <v>0</v>
      </c>
      <c r="F274" s="119">
        <v>2</v>
      </c>
      <c r="G274" s="119" t="s">
        <v>433</v>
      </c>
      <c r="H274" s="10">
        <v>1</v>
      </c>
      <c r="I274" s="10">
        <v>2</v>
      </c>
      <c r="J274" s="10">
        <v>2</v>
      </c>
      <c r="K274" s="10">
        <v>1</v>
      </c>
      <c r="L274" s="10">
        <v>1</v>
      </c>
      <c r="M274" s="10">
        <v>1</v>
      </c>
      <c r="N274" s="411">
        <f>IF( OR( ISBLANK(H274),ISBLANK(J274), ISBLANK(K274), ISBLANK(L274), ISBLANK(M274) ), "", 1.5*SQRT(   EXP(2.21*(H274-1)) + EXP(2.21*(J274-1)) + EXP(2.21*(K274-1)) + EXP(2.21*(L274-1)) + EXP(2.21*M274)   )/100*2.45 )</f>
        <v>0.16933510251023262</v>
      </c>
      <c r="O274" s="411">
        <f>IF( OR( ISBLANK(I274),ISBLANK(J274), ISBLANK(K274), ISBLANK(L274), ISBLANK(M274) ), "", 1.5*SQRT( EXP(2.21*(I274-1)) + EXP(2.21*(J274-1)) + EXP(2.21*(K274-1)) + EXP(2.21*(L274-1)) + EXP(2.21*M274)   )/100*2.45 )</f>
        <v>0.19908580854301616</v>
      </c>
      <c r="P274" s="156" t="s">
        <v>1965</v>
      </c>
    </row>
    <row r="275" spans="1:16" s="443" customFormat="1" ht="15.75" thickBot="1">
      <c r="A275" s="654" t="s">
        <v>511</v>
      </c>
      <c r="B275" s="803" t="s">
        <v>334</v>
      </c>
      <c r="C275" s="34" t="s">
        <v>139</v>
      </c>
      <c r="D275" s="124" t="s">
        <v>99</v>
      </c>
      <c r="E275" s="768" t="s">
        <v>150</v>
      </c>
      <c r="F275" s="119">
        <v>1</v>
      </c>
      <c r="G275" s="119" t="s">
        <v>433</v>
      </c>
      <c r="H275" s="15"/>
      <c r="I275" s="15"/>
      <c r="J275" s="15"/>
      <c r="K275" s="15"/>
      <c r="L275" s="15"/>
      <c r="M275" s="15"/>
      <c r="N275" s="430" t="str">
        <f t="shared" si="31"/>
        <v/>
      </c>
      <c r="O275" s="430" t="str">
        <f t="shared" si="32"/>
        <v/>
      </c>
      <c r="P275" s="44"/>
    </row>
    <row r="276" spans="1:16" s="443" customFormat="1">
      <c r="A276" s="650" t="s">
        <v>509</v>
      </c>
      <c r="B276" s="802" t="s">
        <v>228</v>
      </c>
      <c r="C276" s="34" t="s">
        <v>139</v>
      </c>
      <c r="D276" s="121" t="s">
        <v>99</v>
      </c>
      <c r="E276" s="648">
        <v>0</v>
      </c>
      <c r="F276" s="11">
        <v>2</v>
      </c>
      <c r="G276" s="11" t="s">
        <v>433</v>
      </c>
      <c r="H276" s="13">
        <v>1</v>
      </c>
      <c r="I276" s="13">
        <v>2</v>
      </c>
      <c r="J276" s="13">
        <v>2</v>
      </c>
      <c r="K276" s="13">
        <v>1</v>
      </c>
      <c r="L276" s="13">
        <v>1</v>
      </c>
      <c r="M276" s="13">
        <v>1</v>
      </c>
      <c r="N276" s="431">
        <f t="shared" si="31"/>
        <v>0.16933510251023262</v>
      </c>
      <c r="O276" s="431">
        <f t="shared" si="32"/>
        <v>0.19908580854301616</v>
      </c>
      <c r="P276" s="42" t="s">
        <v>858</v>
      </c>
    </row>
    <row r="277" spans="1:16" s="443" customFormat="1" ht="15.75" thickBot="1">
      <c r="A277" s="651" t="s">
        <v>509</v>
      </c>
      <c r="B277" s="803" t="s">
        <v>334</v>
      </c>
      <c r="C277" s="34" t="s">
        <v>139</v>
      </c>
      <c r="D277" s="123" t="s">
        <v>99</v>
      </c>
      <c r="E277" s="772" t="s">
        <v>150</v>
      </c>
      <c r="F277" s="12">
        <v>1</v>
      </c>
      <c r="G277" s="12" t="s">
        <v>433</v>
      </c>
      <c r="H277" s="14"/>
      <c r="I277" s="14"/>
      <c r="J277" s="14"/>
      <c r="K277" s="14"/>
      <c r="L277" s="14"/>
      <c r="M277" s="14"/>
      <c r="N277" s="434" t="str">
        <f t="shared" si="31"/>
        <v/>
      </c>
      <c r="O277" s="434" t="str">
        <f t="shared" si="32"/>
        <v/>
      </c>
      <c r="P277" s="44" t="s">
        <v>1957</v>
      </c>
    </row>
    <row r="278" spans="1:16" s="443" customFormat="1">
      <c r="A278" s="653" t="s">
        <v>443</v>
      </c>
      <c r="B278" s="793" t="s">
        <v>515</v>
      </c>
      <c r="C278" s="34" t="s">
        <v>139</v>
      </c>
      <c r="D278" s="630" t="s">
        <v>99</v>
      </c>
      <c r="E278" s="763">
        <v>0</v>
      </c>
      <c r="F278" s="118">
        <v>2</v>
      </c>
      <c r="G278" s="118" t="s">
        <v>433</v>
      </c>
      <c r="H278" s="66">
        <v>1</v>
      </c>
      <c r="I278" s="66">
        <v>2</v>
      </c>
      <c r="J278" s="66">
        <v>2</v>
      </c>
      <c r="K278" s="66">
        <v>1</v>
      </c>
      <c r="L278" s="66">
        <v>1</v>
      </c>
      <c r="M278" s="66">
        <v>1</v>
      </c>
      <c r="N278" s="445">
        <f t="shared" si="31"/>
        <v>0.16933510251023262</v>
      </c>
      <c r="O278" s="445">
        <f t="shared" si="32"/>
        <v>0.19908580854301616</v>
      </c>
      <c r="P278" s="118" t="s">
        <v>877</v>
      </c>
    </row>
    <row r="279" spans="1:16" s="443" customFormat="1">
      <c r="A279" s="318" t="s">
        <v>443</v>
      </c>
      <c r="B279" s="799" t="s">
        <v>516</v>
      </c>
      <c r="C279" s="34" t="s">
        <v>139</v>
      </c>
      <c r="D279" s="122" t="s">
        <v>99</v>
      </c>
      <c r="E279" s="245">
        <v>0.85</v>
      </c>
      <c r="F279" s="9">
        <v>2</v>
      </c>
      <c r="G279" s="9" t="s">
        <v>433</v>
      </c>
      <c r="H279" s="10">
        <v>1</v>
      </c>
      <c r="I279" s="10">
        <v>2</v>
      </c>
      <c r="J279" s="10">
        <v>2</v>
      </c>
      <c r="K279" s="10">
        <v>1</v>
      </c>
      <c r="L279" s="10">
        <v>1</v>
      </c>
      <c r="M279" s="10">
        <v>1</v>
      </c>
      <c r="N279" s="411">
        <f t="shared" si="31"/>
        <v>0.16933510251023262</v>
      </c>
      <c r="O279" s="411">
        <f t="shared" si="32"/>
        <v>0.19908580854301616</v>
      </c>
      <c r="P279" s="9" t="s">
        <v>878</v>
      </c>
    </row>
    <row r="280" spans="1:16" s="443" customFormat="1" ht="15.75" thickBot="1">
      <c r="A280" s="654" t="s">
        <v>443</v>
      </c>
      <c r="B280" s="794" t="s">
        <v>223</v>
      </c>
      <c r="C280" s="34" t="s">
        <v>139</v>
      </c>
      <c r="D280" s="124" t="s">
        <v>99</v>
      </c>
      <c r="E280" s="768">
        <v>0.15</v>
      </c>
      <c r="F280" s="119">
        <v>1</v>
      </c>
      <c r="G280" s="119" t="s">
        <v>433</v>
      </c>
      <c r="H280" s="15">
        <v>1</v>
      </c>
      <c r="I280" s="15">
        <v>2</v>
      </c>
      <c r="J280" s="15">
        <v>2</v>
      </c>
      <c r="K280" s="15">
        <v>1</v>
      </c>
      <c r="L280" s="15">
        <v>1</v>
      </c>
      <c r="M280" s="15">
        <v>1</v>
      </c>
      <c r="N280" s="430">
        <f t="shared" si="31"/>
        <v>0.16933510251023262</v>
      </c>
      <c r="O280" s="430">
        <f t="shared" si="32"/>
        <v>0.19908580854301616</v>
      </c>
      <c r="P280" s="119" t="s">
        <v>872</v>
      </c>
    </row>
    <row r="281" spans="1:16" s="443" customFormat="1">
      <c r="A281" s="650" t="s">
        <v>515</v>
      </c>
      <c r="B281" s="802" t="s">
        <v>517</v>
      </c>
      <c r="C281" s="34" t="s">
        <v>139</v>
      </c>
      <c r="D281" s="121" t="s">
        <v>99</v>
      </c>
      <c r="E281" s="648">
        <v>0.03</v>
      </c>
      <c r="F281" s="11">
        <v>2</v>
      </c>
      <c r="G281" s="11" t="s">
        <v>433</v>
      </c>
      <c r="H281" s="13">
        <v>1</v>
      </c>
      <c r="I281" s="13">
        <v>2</v>
      </c>
      <c r="J281" s="13">
        <v>2</v>
      </c>
      <c r="K281" s="13">
        <v>1</v>
      </c>
      <c r="L281" s="13">
        <v>1</v>
      </c>
      <c r="M281" s="13">
        <v>1</v>
      </c>
      <c r="N281" s="431">
        <f t="shared" si="31"/>
        <v>0.16933510251023262</v>
      </c>
      <c r="O281" s="431">
        <f t="shared" si="32"/>
        <v>0.19908580854301616</v>
      </c>
      <c r="P281" s="42" t="s">
        <v>855</v>
      </c>
    </row>
    <row r="282" spans="1:16" s="443" customFormat="1" ht="15.75" thickBot="1">
      <c r="A282" s="651" t="s">
        <v>515</v>
      </c>
      <c r="B282" s="803" t="s">
        <v>518</v>
      </c>
      <c r="C282" s="34" t="s">
        <v>139</v>
      </c>
      <c r="D282" s="123" t="s">
        <v>99</v>
      </c>
      <c r="E282" s="772" t="s">
        <v>150</v>
      </c>
      <c r="F282" s="12">
        <v>1</v>
      </c>
      <c r="G282" s="12" t="s">
        <v>433</v>
      </c>
      <c r="H282" s="14"/>
      <c r="I282" s="14"/>
      <c r="J282" s="14"/>
      <c r="K282" s="14"/>
      <c r="L282" s="14"/>
      <c r="M282" s="14"/>
      <c r="N282" s="434" t="str">
        <f t="shared" si="31"/>
        <v/>
      </c>
      <c r="O282" s="434" t="str">
        <f t="shared" si="32"/>
        <v/>
      </c>
      <c r="P282" s="44" t="s">
        <v>1950</v>
      </c>
    </row>
    <row r="283" spans="1:16" s="443" customFormat="1">
      <c r="A283" s="653" t="s">
        <v>517</v>
      </c>
      <c r="B283" s="793" t="s">
        <v>231</v>
      </c>
      <c r="C283" s="34" t="s">
        <v>139</v>
      </c>
      <c r="D283" s="630" t="s">
        <v>99</v>
      </c>
      <c r="E283" s="768">
        <v>0.05</v>
      </c>
      <c r="F283" s="119">
        <v>2</v>
      </c>
      <c r="G283" s="11" t="s">
        <v>157</v>
      </c>
      <c r="H283" s="66">
        <v>1</v>
      </c>
      <c r="I283" s="66">
        <v>2</v>
      </c>
      <c r="J283" s="66">
        <v>2</v>
      </c>
      <c r="K283" s="66">
        <v>1</v>
      </c>
      <c r="L283" s="15">
        <v>3</v>
      </c>
      <c r="M283" s="13">
        <v>3</v>
      </c>
      <c r="N283" s="445">
        <f t="shared" si="31"/>
        <v>1.0725046436742278</v>
      </c>
      <c r="O283" s="445">
        <f t="shared" si="32"/>
        <v>1.0776024280428556</v>
      </c>
      <c r="P283" s="119" t="s">
        <v>1937</v>
      </c>
    </row>
    <row r="284" spans="1:16" s="443" customFormat="1">
      <c r="A284" s="318" t="s">
        <v>517</v>
      </c>
      <c r="B284" s="799" t="s">
        <v>232</v>
      </c>
      <c r="C284" s="34" t="s">
        <v>139</v>
      </c>
      <c r="D284" s="122" t="s">
        <v>99</v>
      </c>
      <c r="E284" s="245">
        <v>0.39400000000000002</v>
      </c>
      <c r="F284" s="9">
        <v>2</v>
      </c>
      <c r="G284" s="9" t="s">
        <v>433</v>
      </c>
      <c r="H284" s="10">
        <v>1</v>
      </c>
      <c r="I284" s="10">
        <v>2</v>
      </c>
      <c r="J284" s="10">
        <v>2</v>
      </c>
      <c r="K284" s="10">
        <v>1</v>
      </c>
      <c r="L284" s="10">
        <v>1</v>
      </c>
      <c r="M284" s="10">
        <v>1</v>
      </c>
      <c r="N284" s="411">
        <f t="shared" si="31"/>
        <v>0.16933510251023262</v>
      </c>
      <c r="O284" s="411">
        <f t="shared" si="32"/>
        <v>0.19908580854301616</v>
      </c>
      <c r="P284" s="9" t="s">
        <v>1961</v>
      </c>
    </row>
    <row r="285" spans="1:16" s="443" customFormat="1">
      <c r="A285" s="654" t="s">
        <v>517</v>
      </c>
      <c r="B285" s="794" t="s">
        <v>251</v>
      </c>
      <c r="C285" s="34" t="s">
        <v>139</v>
      </c>
      <c r="D285" s="124" t="s">
        <v>99</v>
      </c>
      <c r="E285" s="245">
        <v>0.52200000000000002</v>
      </c>
      <c r="F285" s="7">
        <v>1</v>
      </c>
      <c r="G285" s="9" t="s">
        <v>433</v>
      </c>
      <c r="H285" s="15">
        <v>1</v>
      </c>
      <c r="I285" s="15">
        <v>2</v>
      </c>
      <c r="J285" s="15">
        <v>2</v>
      </c>
      <c r="K285" s="15">
        <v>1</v>
      </c>
      <c r="L285" s="15">
        <v>1</v>
      </c>
      <c r="M285" s="15">
        <v>1</v>
      </c>
      <c r="N285" s="430">
        <f t="shared" si="31"/>
        <v>0.16933510251023262</v>
      </c>
      <c r="O285" s="430">
        <f t="shared" si="32"/>
        <v>0.19908580854301616</v>
      </c>
      <c r="P285" s="9" t="s">
        <v>1962</v>
      </c>
    </row>
    <row r="286" spans="1:16" s="443" customFormat="1" ht="15.75" thickBot="1">
      <c r="A286" s="654" t="s">
        <v>517</v>
      </c>
      <c r="B286" s="794" t="s">
        <v>258</v>
      </c>
      <c r="C286" s="34" t="s">
        <v>139</v>
      </c>
      <c r="D286" s="124" t="s">
        <v>99</v>
      </c>
      <c r="E286" s="768">
        <v>3.4000000000000002E-2</v>
      </c>
      <c r="F286" s="119">
        <v>2</v>
      </c>
      <c r="G286" s="9" t="s">
        <v>433</v>
      </c>
      <c r="H286" s="15"/>
      <c r="I286" s="15"/>
      <c r="J286" s="15"/>
      <c r="K286" s="15"/>
      <c r="L286" s="15"/>
      <c r="M286" s="15"/>
      <c r="N286" s="430"/>
      <c r="O286" s="430"/>
      <c r="P286" s="119" t="s">
        <v>1963</v>
      </c>
    </row>
    <row r="287" spans="1:16" s="443" customFormat="1">
      <c r="A287" s="650" t="s">
        <v>516</v>
      </c>
      <c r="B287" s="802" t="s">
        <v>519</v>
      </c>
      <c r="C287" s="34" t="s">
        <v>139</v>
      </c>
      <c r="D287" s="121" t="s">
        <v>99</v>
      </c>
      <c r="E287" s="648">
        <f>0.1*E281</f>
        <v>3.0000000000000001E-3</v>
      </c>
      <c r="F287" s="11">
        <v>2</v>
      </c>
      <c r="G287" s="11" t="s">
        <v>433</v>
      </c>
      <c r="H287" s="13">
        <v>1</v>
      </c>
      <c r="I287" s="13">
        <v>2</v>
      </c>
      <c r="J287" s="13">
        <v>2</v>
      </c>
      <c r="K287" s="13">
        <v>1</v>
      </c>
      <c r="L287" s="13">
        <v>1</v>
      </c>
      <c r="M287" s="13">
        <v>1</v>
      </c>
      <c r="N287" s="431">
        <f t="shared" si="31"/>
        <v>0.16933510251023262</v>
      </c>
      <c r="O287" s="431">
        <f t="shared" si="32"/>
        <v>0.19908580854301616</v>
      </c>
      <c r="P287" s="42" t="s">
        <v>856</v>
      </c>
    </row>
    <row r="288" spans="1:16" s="443" customFormat="1" ht="15.75" thickBot="1">
      <c r="A288" s="651" t="s">
        <v>516</v>
      </c>
      <c r="B288" s="803" t="s">
        <v>520</v>
      </c>
      <c r="C288" s="34" t="s">
        <v>139</v>
      </c>
      <c r="D288" s="123" t="s">
        <v>99</v>
      </c>
      <c r="E288" s="772" t="s">
        <v>150</v>
      </c>
      <c r="F288" s="12">
        <v>1</v>
      </c>
      <c r="G288" s="12" t="s">
        <v>433</v>
      </c>
      <c r="H288" s="14"/>
      <c r="I288" s="14"/>
      <c r="J288" s="14"/>
      <c r="K288" s="14"/>
      <c r="L288" s="14"/>
      <c r="M288" s="14"/>
      <c r="N288" s="434" t="str">
        <f t="shared" si="31"/>
        <v/>
      </c>
      <c r="O288" s="434" t="str">
        <f t="shared" si="32"/>
        <v/>
      </c>
      <c r="P288" s="44" t="s">
        <v>1950</v>
      </c>
    </row>
    <row r="289" spans="1:16" s="443" customFormat="1" ht="15.75" thickBot="1">
      <c r="A289" s="777" t="s">
        <v>519</v>
      </c>
      <c r="B289" s="796" t="s">
        <v>228</v>
      </c>
      <c r="C289" s="34" t="s">
        <v>139</v>
      </c>
      <c r="D289" s="806" t="s">
        <v>99</v>
      </c>
      <c r="E289" s="774">
        <v>1</v>
      </c>
      <c r="F289" s="773">
        <v>2</v>
      </c>
      <c r="G289" s="773" t="s">
        <v>433</v>
      </c>
      <c r="H289" s="71">
        <v>1</v>
      </c>
      <c r="I289" s="71">
        <v>2</v>
      </c>
      <c r="J289" s="71">
        <v>2</v>
      </c>
      <c r="K289" s="71">
        <v>1</v>
      </c>
      <c r="L289" s="71">
        <v>1</v>
      </c>
      <c r="M289" s="71">
        <v>1</v>
      </c>
      <c r="N289" s="778">
        <f t="shared" si="31"/>
        <v>0.16933510251023262</v>
      </c>
      <c r="O289" s="778">
        <f t="shared" si="32"/>
        <v>0.19908580854301616</v>
      </c>
      <c r="P289" s="773" t="s">
        <v>857</v>
      </c>
    </row>
    <row r="290" spans="1:16" s="443" customFormat="1">
      <c r="A290" s="650" t="s">
        <v>518</v>
      </c>
      <c r="B290" s="802" t="s">
        <v>231</v>
      </c>
      <c r="C290" s="34" t="s">
        <v>139</v>
      </c>
      <c r="D290" s="121" t="s">
        <v>99</v>
      </c>
      <c r="E290" s="648">
        <v>0</v>
      </c>
      <c r="F290" s="11">
        <v>2</v>
      </c>
      <c r="G290" s="11" t="s">
        <v>433</v>
      </c>
      <c r="H290" s="13">
        <v>1</v>
      </c>
      <c r="I290" s="13">
        <v>2</v>
      </c>
      <c r="J290" s="13">
        <v>2</v>
      </c>
      <c r="K290" s="13">
        <v>1</v>
      </c>
      <c r="L290" s="791">
        <v>1</v>
      </c>
      <c r="M290" s="13">
        <v>1</v>
      </c>
      <c r="N290" s="431">
        <f t="shared" si="31"/>
        <v>0.16933510251023262</v>
      </c>
      <c r="O290" s="431">
        <f t="shared" si="32"/>
        <v>0.19908580854301616</v>
      </c>
      <c r="P290" s="42" t="s">
        <v>1964</v>
      </c>
    </row>
    <row r="291" spans="1:16" s="443" customFormat="1">
      <c r="A291" s="652" t="s">
        <v>518</v>
      </c>
      <c r="B291" s="799" t="s">
        <v>232</v>
      </c>
      <c r="C291" s="34" t="s">
        <v>139</v>
      </c>
      <c r="D291" s="122" t="s">
        <v>99</v>
      </c>
      <c r="E291" s="245">
        <v>0</v>
      </c>
      <c r="F291" s="9">
        <v>2</v>
      </c>
      <c r="G291" s="9" t="s">
        <v>433</v>
      </c>
      <c r="H291" s="10">
        <v>1</v>
      </c>
      <c r="I291" s="10">
        <v>2</v>
      </c>
      <c r="J291" s="10">
        <v>2</v>
      </c>
      <c r="K291" s="10">
        <v>1</v>
      </c>
      <c r="L291" s="10">
        <v>1</v>
      </c>
      <c r="M291" s="10">
        <v>1</v>
      </c>
      <c r="N291" s="411">
        <f t="shared" si="31"/>
        <v>0.16933510251023262</v>
      </c>
      <c r="O291" s="411">
        <f t="shared" si="32"/>
        <v>0.19908580854301616</v>
      </c>
      <c r="P291" s="43" t="s">
        <v>1964</v>
      </c>
    </row>
    <row r="292" spans="1:16" s="443" customFormat="1">
      <c r="A292" s="652" t="s">
        <v>518</v>
      </c>
      <c r="B292" s="799" t="s">
        <v>251</v>
      </c>
      <c r="C292" s="34" t="s">
        <v>139</v>
      </c>
      <c r="D292" s="122" t="s">
        <v>99</v>
      </c>
      <c r="E292" s="245">
        <v>0</v>
      </c>
      <c r="F292" s="9">
        <v>2</v>
      </c>
      <c r="G292" s="9" t="s">
        <v>433</v>
      </c>
      <c r="H292" s="10">
        <v>1</v>
      </c>
      <c r="I292" s="10">
        <v>2</v>
      </c>
      <c r="J292" s="10">
        <v>2</v>
      </c>
      <c r="K292" s="10">
        <v>1</v>
      </c>
      <c r="L292" s="10">
        <v>1</v>
      </c>
      <c r="M292" s="10">
        <v>1</v>
      </c>
      <c r="N292" s="411">
        <f t="shared" si="31"/>
        <v>0.16933510251023262</v>
      </c>
      <c r="O292" s="411">
        <f t="shared" si="32"/>
        <v>0.19908580854301616</v>
      </c>
      <c r="P292" s="43" t="s">
        <v>1964</v>
      </c>
    </row>
    <row r="293" spans="1:16" s="443" customFormat="1">
      <c r="A293" s="652" t="s">
        <v>518</v>
      </c>
      <c r="B293" s="794" t="s">
        <v>258</v>
      </c>
      <c r="C293" s="34" t="s">
        <v>139</v>
      </c>
      <c r="D293" s="124" t="s">
        <v>99</v>
      </c>
      <c r="E293" s="768">
        <v>0</v>
      </c>
      <c r="F293" s="119">
        <v>2</v>
      </c>
      <c r="G293" s="119" t="s">
        <v>433</v>
      </c>
      <c r="H293" s="10">
        <v>1</v>
      </c>
      <c r="I293" s="10">
        <v>2</v>
      </c>
      <c r="J293" s="10">
        <v>2</v>
      </c>
      <c r="K293" s="10">
        <v>1</v>
      </c>
      <c r="L293" s="10">
        <v>1</v>
      </c>
      <c r="M293" s="10">
        <v>1</v>
      </c>
      <c r="N293" s="411">
        <f>IF( OR( ISBLANK(H293),ISBLANK(J293), ISBLANK(K293), ISBLANK(L293), ISBLANK(M293) ), "", 1.5*SQRT(   EXP(2.21*(H293-1)) + EXP(2.21*(J293-1)) + EXP(2.21*(K293-1)) + EXP(2.21*(L293-1)) + EXP(2.21*M293)   )/100*2.45 )</f>
        <v>0.16933510251023262</v>
      </c>
      <c r="O293" s="411">
        <f>IF( OR( ISBLANK(I293),ISBLANK(J293), ISBLANK(K293), ISBLANK(L293), ISBLANK(M293) ), "", 1.5*SQRT( EXP(2.21*(I293-1)) + EXP(2.21*(J293-1)) + EXP(2.21*(K293-1)) + EXP(2.21*(L293-1)) + EXP(2.21*M293)   )/100*2.45 )</f>
        <v>0.19908580854301616</v>
      </c>
      <c r="P293" s="156" t="s">
        <v>1964</v>
      </c>
    </row>
    <row r="294" spans="1:16" s="443" customFormat="1" ht="15.75" thickBot="1">
      <c r="A294" s="651" t="s">
        <v>518</v>
      </c>
      <c r="B294" s="803" t="s">
        <v>334</v>
      </c>
      <c r="C294" s="34" t="s">
        <v>139</v>
      </c>
      <c r="D294" s="123" t="s">
        <v>99</v>
      </c>
      <c r="E294" s="772" t="s">
        <v>150</v>
      </c>
      <c r="F294" s="12">
        <v>1</v>
      </c>
      <c r="G294" s="12" t="s">
        <v>433</v>
      </c>
      <c r="H294" s="14"/>
      <c r="I294" s="14"/>
      <c r="J294" s="14"/>
      <c r="K294" s="14"/>
      <c r="L294" s="14"/>
      <c r="M294" s="14"/>
      <c r="N294" s="434" t="str">
        <f t="shared" si="31"/>
        <v/>
      </c>
      <c r="O294" s="434" t="str">
        <f t="shared" si="32"/>
        <v/>
      </c>
      <c r="P294" s="44"/>
    </row>
    <row r="295" spans="1:16" s="443" customFormat="1">
      <c r="A295" s="653" t="s">
        <v>520</v>
      </c>
      <c r="B295" s="793" t="s">
        <v>228</v>
      </c>
      <c r="C295" s="34" t="s">
        <v>139</v>
      </c>
      <c r="D295" s="630" t="s">
        <v>99</v>
      </c>
      <c r="E295" s="763">
        <v>0</v>
      </c>
      <c r="F295" s="118">
        <v>2</v>
      </c>
      <c r="G295" s="118" t="s">
        <v>433</v>
      </c>
      <c r="H295" s="66">
        <v>1</v>
      </c>
      <c r="I295" s="66">
        <v>2</v>
      </c>
      <c r="J295" s="66">
        <v>2</v>
      </c>
      <c r="K295" s="66">
        <v>1</v>
      </c>
      <c r="L295" s="66">
        <v>1</v>
      </c>
      <c r="M295" s="66">
        <v>1</v>
      </c>
      <c r="N295" s="445">
        <f t="shared" si="31"/>
        <v>0.16933510251023262</v>
      </c>
      <c r="O295" s="445">
        <f t="shared" si="32"/>
        <v>0.19908580854301616</v>
      </c>
      <c r="P295" s="118" t="s">
        <v>858</v>
      </c>
    </row>
    <row r="296" spans="1:16" s="443" customFormat="1" ht="15.75" thickBot="1">
      <c r="A296" s="654" t="s">
        <v>520</v>
      </c>
      <c r="B296" s="794" t="s">
        <v>334</v>
      </c>
      <c r="C296" s="34" t="s">
        <v>139</v>
      </c>
      <c r="D296" s="124" t="s">
        <v>99</v>
      </c>
      <c r="E296" s="768" t="s">
        <v>150</v>
      </c>
      <c r="F296" s="119">
        <v>1</v>
      </c>
      <c r="G296" s="119" t="s">
        <v>433</v>
      </c>
      <c r="H296" s="15"/>
      <c r="I296" s="15"/>
      <c r="J296" s="15"/>
      <c r="K296" s="15"/>
      <c r="L296" s="15"/>
      <c r="M296" s="15"/>
      <c r="N296" s="430" t="str">
        <f t="shared" si="31"/>
        <v/>
      </c>
      <c r="O296" s="430" t="str">
        <f t="shared" si="32"/>
        <v/>
      </c>
      <c r="P296" s="119" t="s">
        <v>1958</v>
      </c>
    </row>
    <row r="297" spans="1:16" s="443" customFormat="1">
      <c r="A297" s="650" t="s">
        <v>444</v>
      </c>
      <c r="B297" s="802" t="s">
        <v>521</v>
      </c>
      <c r="C297" s="34" t="s">
        <v>139</v>
      </c>
      <c r="D297" s="121" t="s">
        <v>99</v>
      </c>
      <c r="E297" s="648">
        <v>0</v>
      </c>
      <c r="F297" s="11">
        <v>2</v>
      </c>
      <c r="G297" s="11" t="s">
        <v>433</v>
      </c>
      <c r="H297" s="13">
        <v>1</v>
      </c>
      <c r="I297" s="13">
        <v>2</v>
      </c>
      <c r="J297" s="13">
        <v>2</v>
      </c>
      <c r="K297" s="13">
        <v>1</v>
      </c>
      <c r="L297" s="13">
        <v>1</v>
      </c>
      <c r="M297" s="13">
        <v>1</v>
      </c>
      <c r="N297" s="431">
        <f t="shared" si="31"/>
        <v>0.16933510251023262</v>
      </c>
      <c r="O297" s="431">
        <f t="shared" si="32"/>
        <v>0.19908580854301616</v>
      </c>
      <c r="P297" s="42" t="s">
        <v>877</v>
      </c>
    </row>
    <row r="298" spans="1:16" s="443" customFormat="1">
      <c r="A298" s="652" t="s">
        <v>444</v>
      </c>
      <c r="B298" s="799" t="s">
        <v>522</v>
      </c>
      <c r="C298" s="34" t="s">
        <v>139</v>
      </c>
      <c r="D298" s="122" t="s">
        <v>99</v>
      </c>
      <c r="E298" s="245">
        <v>0.85</v>
      </c>
      <c r="F298" s="9">
        <v>2</v>
      </c>
      <c r="G298" s="9" t="s">
        <v>433</v>
      </c>
      <c r="H298" s="10">
        <v>1</v>
      </c>
      <c r="I298" s="10">
        <v>2</v>
      </c>
      <c r="J298" s="10">
        <v>2</v>
      </c>
      <c r="K298" s="10">
        <v>1</v>
      </c>
      <c r="L298" s="10">
        <v>1</v>
      </c>
      <c r="M298" s="10">
        <v>1</v>
      </c>
      <c r="N298" s="411">
        <f t="shared" si="31"/>
        <v>0.16933510251023262</v>
      </c>
      <c r="O298" s="411">
        <f t="shared" si="32"/>
        <v>0.19908580854301616</v>
      </c>
      <c r="P298" s="43" t="s">
        <v>878</v>
      </c>
    </row>
    <row r="299" spans="1:16" s="443" customFormat="1" ht="15.75" thickBot="1">
      <c r="A299" s="651" t="s">
        <v>444</v>
      </c>
      <c r="B299" s="803" t="s">
        <v>223</v>
      </c>
      <c r="C299" s="34" t="s">
        <v>139</v>
      </c>
      <c r="D299" s="123" t="s">
        <v>99</v>
      </c>
      <c r="E299" s="772">
        <v>0.15</v>
      </c>
      <c r="F299" s="12">
        <v>1</v>
      </c>
      <c r="G299" s="12" t="s">
        <v>433</v>
      </c>
      <c r="H299" s="14">
        <v>1</v>
      </c>
      <c r="I299" s="14">
        <v>2</v>
      </c>
      <c r="J299" s="14">
        <v>2</v>
      </c>
      <c r="K299" s="14">
        <v>1</v>
      </c>
      <c r="L299" s="14">
        <v>1</v>
      </c>
      <c r="M299" s="14">
        <v>1</v>
      </c>
      <c r="N299" s="434">
        <f t="shared" si="31"/>
        <v>0.16933510251023262</v>
      </c>
      <c r="O299" s="434">
        <f t="shared" si="32"/>
        <v>0.19908580854301616</v>
      </c>
      <c r="P299" s="44" t="s">
        <v>872</v>
      </c>
    </row>
    <row r="300" spans="1:16" s="443" customFormat="1">
      <c r="A300" s="653" t="s">
        <v>521</v>
      </c>
      <c r="B300" s="793" t="s">
        <v>523</v>
      </c>
      <c r="C300" s="34" t="s">
        <v>139</v>
      </c>
      <c r="D300" s="630" t="s">
        <v>99</v>
      </c>
      <c r="E300" s="763">
        <v>0.03</v>
      </c>
      <c r="F300" s="118">
        <v>2</v>
      </c>
      <c r="G300" s="118" t="s">
        <v>433</v>
      </c>
      <c r="H300" s="66">
        <v>1</v>
      </c>
      <c r="I300" s="66">
        <v>2</v>
      </c>
      <c r="J300" s="66">
        <v>2</v>
      </c>
      <c r="K300" s="66">
        <v>1</v>
      </c>
      <c r="L300" s="66">
        <v>1</v>
      </c>
      <c r="M300" s="66">
        <v>1</v>
      </c>
      <c r="N300" s="445">
        <f t="shared" si="31"/>
        <v>0.16933510251023262</v>
      </c>
      <c r="O300" s="445">
        <f t="shared" si="32"/>
        <v>0.19908580854301616</v>
      </c>
      <c r="P300" s="118" t="s">
        <v>855</v>
      </c>
    </row>
    <row r="301" spans="1:16" s="443" customFormat="1" ht="15.75" thickBot="1">
      <c r="A301" s="654" t="s">
        <v>521</v>
      </c>
      <c r="B301" s="794" t="s">
        <v>472</v>
      </c>
      <c r="C301" s="34" t="s">
        <v>139</v>
      </c>
      <c r="D301" s="124" t="s">
        <v>99</v>
      </c>
      <c r="E301" s="768" t="s">
        <v>150</v>
      </c>
      <c r="F301" s="119">
        <v>1</v>
      </c>
      <c r="G301" s="119" t="s">
        <v>433</v>
      </c>
      <c r="H301" s="15"/>
      <c r="I301" s="15"/>
      <c r="J301" s="15"/>
      <c r="K301" s="15"/>
      <c r="L301" s="15"/>
      <c r="M301" s="15"/>
      <c r="N301" s="430" t="str">
        <f t="shared" si="31"/>
        <v/>
      </c>
      <c r="O301" s="430" t="str">
        <f t="shared" si="32"/>
        <v/>
      </c>
      <c r="P301" s="119" t="s">
        <v>1959</v>
      </c>
    </row>
    <row r="302" spans="1:16" s="443" customFormat="1">
      <c r="A302" s="650" t="s">
        <v>523</v>
      </c>
      <c r="B302" s="802" t="s">
        <v>231</v>
      </c>
      <c r="C302" s="34" t="s">
        <v>139</v>
      </c>
      <c r="D302" s="121" t="s">
        <v>99</v>
      </c>
      <c r="E302" s="648">
        <v>0.05</v>
      </c>
      <c r="F302" s="11">
        <v>2</v>
      </c>
      <c r="G302" s="11" t="s">
        <v>157</v>
      </c>
      <c r="H302" s="13">
        <v>1</v>
      </c>
      <c r="I302" s="13">
        <v>2</v>
      </c>
      <c r="J302" s="13">
        <v>2</v>
      </c>
      <c r="K302" s="13">
        <v>1</v>
      </c>
      <c r="L302" s="13">
        <v>3</v>
      </c>
      <c r="M302" s="13">
        <v>3</v>
      </c>
      <c r="N302" s="431">
        <f t="shared" si="31"/>
        <v>1.0725046436742278</v>
      </c>
      <c r="O302" s="431">
        <f t="shared" si="32"/>
        <v>1.0776024280428556</v>
      </c>
      <c r="P302" s="42" t="s">
        <v>1937</v>
      </c>
    </row>
    <row r="303" spans="1:16" s="443" customFormat="1">
      <c r="A303" s="652" t="s">
        <v>523</v>
      </c>
      <c r="B303" s="799" t="s">
        <v>232</v>
      </c>
      <c r="C303" s="34" t="s">
        <v>139</v>
      </c>
      <c r="D303" s="122" t="s">
        <v>99</v>
      </c>
      <c r="E303" s="245">
        <v>0.39400000000000002</v>
      </c>
      <c r="F303" s="9">
        <v>2</v>
      </c>
      <c r="G303" s="9" t="s">
        <v>433</v>
      </c>
      <c r="H303" s="10">
        <v>1</v>
      </c>
      <c r="I303" s="10">
        <v>2</v>
      </c>
      <c r="J303" s="10">
        <v>2</v>
      </c>
      <c r="K303" s="10">
        <v>1</v>
      </c>
      <c r="L303" s="10">
        <v>1</v>
      </c>
      <c r="M303" s="10">
        <v>1</v>
      </c>
      <c r="N303" s="411">
        <f t="shared" si="31"/>
        <v>0.16933510251023262</v>
      </c>
      <c r="O303" s="411">
        <f t="shared" si="32"/>
        <v>0.19908580854301616</v>
      </c>
      <c r="P303" s="43" t="s">
        <v>1961</v>
      </c>
    </row>
    <row r="304" spans="1:16" s="443" customFormat="1">
      <c r="A304" s="652" t="s">
        <v>523</v>
      </c>
      <c r="B304" s="799" t="s">
        <v>251</v>
      </c>
      <c r="C304" s="34" t="s">
        <v>139</v>
      </c>
      <c r="D304" s="122" t="s">
        <v>99</v>
      </c>
      <c r="E304" s="245">
        <v>0.52200000000000002</v>
      </c>
      <c r="F304" s="9">
        <v>1</v>
      </c>
      <c r="G304" s="9" t="s">
        <v>433</v>
      </c>
      <c r="H304" s="10">
        <v>1</v>
      </c>
      <c r="I304" s="10">
        <v>2</v>
      </c>
      <c r="J304" s="10">
        <v>2</v>
      </c>
      <c r="K304" s="10">
        <v>1</v>
      </c>
      <c r="L304" s="10">
        <v>1</v>
      </c>
      <c r="M304" s="10">
        <v>1</v>
      </c>
      <c r="N304" s="411">
        <f t="shared" si="31"/>
        <v>0.16933510251023262</v>
      </c>
      <c r="O304" s="411">
        <f t="shared" si="32"/>
        <v>0.19908580854301616</v>
      </c>
      <c r="P304" s="43" t="s">
        <v>1962</v>
      </c>
    </row>
    <row r="305" spans="1:19" s="443" customFormat="1" ht="15.75" thickBot="1">
      <c r="A305" s="651" t="s">
        <v>523</v>
      </c>
      <c r="B305" s="803" t="s">
        <v>258</v>
      </c>
      <c r="C305" s="34" t="s">
        <v>139</v>
      </c>
      <c r="D305" s="123" t="s">
        <v>99</v>
      </c>
      <c r="E305" s="772">
        <v>3.4000000000000002E-2</v>
      </c>
      <c r="F305" s="12">
        <v>2</v>
      </c>
      <c r="G305" s="12" t="s">
        <v>433</v>
      </c>
      <c r="H305" s="14"/>
      <c r="I305" s="14"/>
      <c r="J305" s="14"/>
      <c r="K305" s="14"/>
      <c r="L305" s="14"/>
      <c r="M305" s="14"/>
      <c r="N305" s="434"/>
      <c r="O305" s="434"/>
      <c r="P305" s="44" t="s">
        <v>1963</v>
      </c>
    </row>
    <row r="306" spans="1:19" s="443" customFormat="1">
      <c r="A306" s="653" t="s">
        <v>522</v>
      </c>
      <c r="B306" s="793" t="s">
        <v>524</v>
      </c>
      <c r="C306" s="34" t="s">
        <v>139</v>
      </c>
      <c r="D306" s="630" t="s">
        <v>99</v>
      </c>
      <c r="E306" s="763">
        <f>0.1*E300</f>
        <v>3.0000000000000001E-3</v>
      </c>
      <c r="F306" s="118">
        <v>2</v>
      </c>
      <c r="G306" s="118" t="s">
        <v>433</v>
      </c>
      <c r="H306" s="66">
        <v>1</v>
      </c>
      <c r="I306" s="66">
        <v>2</v>
      </c>
      <c r="J306" s="66">
        <v>2</v>
      </c>
      <c r="K306" s="66">
        <v>1</v>
      </c>
      <c r="L306" s="66">
        <v>1</v>
      </c>
      <c r="M306" s="66">
        <v>1</v>
      </c>
      <c r="N306" s="445">
        <f t="shared" si="31"/>
        <v>0.16933510251023262</v>
      </c>
      <c r="O306" s="445">
        <f t="shared" si="32"/>
        <v>0.19908580854301616</v>
      </c>
      <c r="P306" s="118" t="s">
        <v>856</v>
      </c>
    </row>
    <row r="307" spans="1:19" s="443" customFormat="1" ht="15.75" thickBot="1">
      <c r="A307" s="654" t="s">
        <v>522</v>
      </c>
      <c r="B307" s="794" t="s">
        <v>465</v>
      </c>
      <c r="C307" s="34" t="s">
        <v>139</v>
      </c>
      <c r="D307" s="124" t="s">
        <v>99</v>
      </c>
      <c r="E307" s="768" t="s">
        <v>150</v>
      </c>
      <c r="F307" s="119">
        <v>1</v>
      </c>
      <c r="G307" s="119" t="s">
        <v>433</v>
      </c>
      <c r="H307" s="15"/>
      <c r="I307" s="15"/>
      <c r="J307" s="15"/>
      <c r="K307" s="15"/>
      <c r="L307" s="15"/>
      <c r="M307" s="15"/>
      <c r="N307" s="430" t="str">
        <f t="shared" si="31"/>
        <v/>
      </c>
      <c r="O307" s="430" t="str">
        <f t="shared" si="32"/>
        <v/>
      </c>
      <c r="P307" s="119" t="s">
        <v>1959</v>
      </c>
    </row>
    <row r="308" spans="1:19" s="443" customFormat="1" ht="15.75" thickBot="1">
      <c r="A308" s="649" t="s">
        <v>524</v>
      </c>
      <c r="B308" s="804" t="s">
        <v>228</v>
      </c>
      <c r="C308" s="34" t="s">
        <v>139</v>
      </c>
      <c r="D308" s="800" t="s">
        <v>99</v>
      </c>
      <c r="E308" s="770">
        <v>1</v>
      </c>
      <c r="F308" s="769">
        <v>2</v>
      </c>
      <c r="G308" s="769" t="s">
        <v>433</v>
      </c>
      <c r="H308" s="70">
        <v>1</v>
      </c>
      <c r="I308" s="70">
        <v>2</v>
      </c>
      <c r="J308" s="70">
        <v>2</v>
      </c>
      <c r="K308" s="70">
        <v>1</v>
      </c>
      <c r="L308" s="70">
        <v>1</v>
      </c>
      <c r="M308" s="70">
        <v>1</v>
      </c>
      <c r="N308" s="446">
        <f t="shared" si="31"/>
        <v>0.16933510251023262</v>
      </c>
      <c r="O308" s="446">
        <f t="shared" si="32"/>
        <v>0.19908580854301616</v>
      </c>
      <c r="P308" s="771" t="s">
        <v>857</v>
      </c>
    </row>
    <row r="309" spans="1:19" s="443" customFormat="1">
      <c r="A309" s="653" t="s">
        <v>472</v>
      </c>
      <c r="B309" s="802" t="s">
        <v>231</v>
      </c>
      <c r="C309" s="34" t="s">
        <v>139</v>
      </c>
      <c r="D309" s="630" t="s">
        <v>99</v>
      </c>
      <c r="E309" s="763">
        <v>3.2000000000000002E-3</v>
      </c>
      <c r="F309" s="118">
        <v>2</v>
      </c>
      <c r="G309" s="118" t="s">
        <v>1997</v>
      </c>
      <c r="H309" s="66">
        <v>1</v>
      </c>
      <c r="I309" s="66">
        <v>2</v>
      </c>
      <c r="J309" s="66">
        <v>2</v>
      </c>
      <c r="K309" s="66">
        <v>1</v>
      </c>
      <c r="L309" s="15">
        <v>3</v>
      </c>
      <c r="M309" s="13">
        <v>3</v>
      </c>
      <c r="N309" s="445">
        <f t="shared" si="31"/>
        <v>1.0725046436742278</v>
      </c>
      <c r="O309" s="445">
        <f t="shared" si="32"/>
        <v>1.0776024280428556</v>
      </c>
      <c r="P309" s="118" t="s">
        <v>1989</v>
      </c>
    </row>
    <row r="310" spans="1:19" s="443" customFormat="1">
      <c r="A310" s="318" t="s">
        <v>472</v>
      </c>
      <c r="B310" s="799" t="s">
        <v>232</v>
      </c>
      <c r="C310" s="34" t="s">
        <v>139</v>
      </c>
      <c r="D310" s="122" t="s">
        <v>99</v>
      </c>
      <c r="E310" s="245">
        <v>2.5215999999999999E-2</v>
      </c>
      <c r="F310" s="9">
        <v>2</v>
      </c>
      <c r="G310" s="9" t="s">
        <v>433</v>
      </c>
      <c r="H310" s="10">
        <v>1</v>
      </c>
      <c r="I310" s="10">
        <v>2</v>
      </c>
      <c r="J310" s="10">
        <v>2</v>
      </c>
      <c r="K310" s="10">
        <v>1</v>
      </c>
      <c r="L310" s="10">
        <v>1</v>
      </c>
      <c r="M310" s="10">
        <v>1</v>
      </c>
      <c r="N310" s="411">
        <f t="shared" si="31"/>
        <v>0.16933510251023262</v>
      </c>
      <c r="O310" s="411">
        <f t="shared" si="32"/>
        <v>0.19908580854301616</v>
      </c>
      <c r="P310" s="9" t="s">
        <v>1990</v>
      </c>
    </row>
    <row r="311" spans="1:19" s="443" customFormat="1">
      <c r="A311" s="318" t="s">
        <v>472</v>
      </c>
      <c r="B311" s="799" t="s">
        <v>251</v>
      </c>
      <c r="C311" s="34" t="s">
        <v>139</v>
      </c>
      <c r="D311" s="122" t="s">
        <v>99</v>
      </c>
      <c r="E311" s="245">
        <v>3.3408E-2</v>
      </c>
      <c r="F311" s="9">
        <v>2</v>
      </c>
      <c r="G311" s="9" t="s">
        <v>433</v>
      </c>
      <c r="H311" s="10">
        <v>1</v>
      </c>
      <c r="I311" s="10">
        <v>2</v>
      </c>
      <c r="J311" s="10">
        <v>2</v>
      </c>
      <c r="K311" s="10">
        <v>1</v>
      </c>
      <c r="L311" s="10">
        <v>1</v>
      </c>
      <c r="M311" s="10">
        <v>1</v>
      </c>
      <c r="N311" s="411">
        <f t="shared" si="31"/>
        <v>0.16933510251023262</v>
      </c>
      <c r="O311" s="411">
        <f t="shared" si="32"/>
        <v>0.19908580854301616</v>
      </c>
      <c r="P311" s="9" t="s">
        <v>1991</v>
      </c>
    </row>
    <row r="312" spans="1:19" s="443" customFormat="1">
      <c r="A312" s="318" t="s">
        <v>472</v>
      </c>
      <c r="B312" s="794" t="s">
        <v>258</v>
      </c>
      <c r="C312" s="34" t="s">
        <v>139</v>
      </c>
      <c r="D312" s="124" t="s">
        <v>99</v>
      </c>
      <c r="E312" s="768">
        <v>2.176E-3</v>
      </c>
      <c r="F312" s="119">
        <v>2</v>
      </c>
      <c r="G312" s="119" t="s">
        <v>433</v>
      </c>
      <c r="H312" s="10">
        <v>1</v>
      </c>
      <c r="I312" s="10">
        <v>2</v>
      </c>
      <c r="J312" s="10">
        <v>2</v>
      </c>
      <c r="K312" s="10">
        <v>1</v>
      </c>
      <c r="L312" s="10">
        <v>1</v>
      </c>
      <c r="M312" s="10">
        <v>1</v>
      </c>
      <c r="N312" s="411">
        <f>IF( OR( ISBLANK(H312),ISBLANK(J312), ISBLANK(K312), ISBLANK(L312), ISBLANK(M312) ), "", 1.5*SQRT(   EXP(2.21*(H312-1)) + EXP(2.21*(J312-1)) + EXP(2.21*(K312-1)) + EXP(2.21*(L312-1)) + EXP(2.21*M312)   )/100*2.45 )</f>
        <v>0.16933510251023262</v>
      </c>
      <c r="O312" s="411">
        <f>IF( OR( ISBLANK(I312),ISBLANK(J312), ISBLANK(K312), ISBLANK(L312), ISBLANK(M312) ), "", 1.5*SQRT( EXP(2.21*(I312-1)) + EXP(2.21*(J312-1)) + EXP(2.21*(K312-1)) + EXP(2.21*(L312-1)) + EXP(2.21*M312)   )/100*2.45 )</f>
        <v>0.19908580854301616</v>
      </c>
      <c r="P312" s="156" t="s">
        <v>1992</v>
      </c>
    </row>
    <row r="313" spans="1:19" s="443" customFormat="1" ht="15.75" thickBot="1">
      <c r="A313" s="654" t="s">
        <v>472</v>
      </c>
      <c r="B313" s="803" t="s">
        <v>334</v>
      </c>
      <c r="C313" s="34" t="s">
        <v>139</v>
      </c>
      <c r="D313" s="124" t="s">
        <v>99</v>
      </c>
      <c r="E313" s="768" t="s">
        <v>150</v>
      </c>
      <c r="F313" s="119">
        <v>1</v>
      </c>
      <c r="G313" s="119" t="s">
        <v>433</v>
      </c>
      <c r="H313" s="15"/>
      <c r="I313" s="15"/>
      <c r="J313" s="15"/>
      <c r="K313" s="15"/>
      <c r="L313" s="15"/>
      <c r="M313" s="15"/>
      <c r="N313" s="430" t="str">
        <f t="shared" si="31"/>
        <v/>
      </c>
      <c r="O313" s="430" t="str">
        <f t="shared" si="32"/>
        <v/>
      </c>
      <c r="P313" s="119"/>
    </row>
    <row r="314" spans="1:19" s="443" customFormat="1">
      <c r="A314" s="650" t="s">
        <v>465</v>
      </c>
      <c r="B314" s="802" t="s">
        <v>228</v>
      </c>
      <c r="C314" s="34" t="s">
        <v>139</v>
      </c>
      <c r="D314" s="121" t="s">
        <v>99</v>
      </c>
      <c r="E314" s="648">
        <v>6.4000000000000001E-2</v>
      </c>
      <c r="F314" s="11">
        <v>2</v>
      </c>
      <c r="G314" s="11" t="s">
        <v>433</v>
      </c>
      <c r="H314" s="13">
        <v>1</v>
      </c>
      <c r="I314" s="13">
        <v>2</v>
      </c>
      <c r="J314" s="13">
        <v>2</v>
      </c>
      <c r="K314" s="13">
        <v>1</v>
      </c>
      <c r="L314" s="13">
        <v>1</v>
      </c>
      <c r="M314" s="13">
        <v>1</v>
      </c>
      <c r="N314" s="431">
        <f t="shared" si="31"/>
        <v>0.16933510251023262</v>
      </c>
      <c r="O314" s="431">
        <f t="shared" si="32"/>
        <v>0.19908580854301616</v>
      </c>
      <c r="P314" s="42" t="s">
        <v>873</v>
      </c>
    </row>
    <row r="315" spans="1:19" s="443" customFormat="1" ht="15.75" thickBot="1">
      <c r="A315" s="651" t="s">
        <v>465</v>
      </c>
      <c r="B315" s="803" t="s">
        <v>334</v>
      </c>
      <c r="C315" s="35" t="s">
        <v>139</v>
      </c>
      <c r="D315" s="123" t="s">
        <v>99</v>
      </c>
      <c r="E315" s="772" t="s">
        <v>150</v>
      </c>
      <c r="F315" s="12">
        <v>1</v>
      </c>
      <c r="G315" s="12" t="s">
        <v>433</v>
      </c>
      <c r="H315" s="14"/>
      <c r="I315" s="14"/>
      <c r="J315" s="14"/>
      <c r="K315" s="14"/>
      <c r="L315" s="14"/>
      <c r="M315" s="14"/>
      <c r="N315" s="434" t="str">
        <f t="shared" si="31"/>
        <v/>
      </c>
      <c r="O315" s="434" t="str">
        <f t="shared" si="32"/>
        <v/>
      </c>
      <c r="P315" s="44" t="s">
        <v>1960</v>
      </c>
    </row>
    <row r="317" spans="1:19" s="6" customFormat="1" ht="18.75">
      <c r="A317" s="1022" t="s">
        <v>880</v>
      </c>
      <c r="B317" s="1022"/>
      <c r="C317" s="1022"/>
      <c r="D317" s="1022"/>
      <c r="E317" s="1022"/>
      <c r="F317" s="1022"/>
      <c r="G317" s="1022"/>
      <c r="H317" s="1022"/>
      <c r="I317" s="1022"/>
      <c r="J317" s="1022"/>
      <c r="K317" s="1022"/>
      <c r="L317" s="1022"/>
      <c r="M317" s="1022"/>
      <c r="N317" s="1022"/>
      <c r="O317" s="1022"/>
      <c r="P317" s="1022"/>
      <c r="Q317" s="1022"/>
      <c r="R317" s="1022"/>
      <c r="S317" s="1022"/>
    </row>
    <row r="319" spans="1:19">
      <c r="A319" t="s">
        <v>881</v>
      </c>
    </row>
    <row r="323" spans="1:1">
      <c r="A323" s="657"/>
    </row>
  </sheetData>
  <autoFilter ref="A60:P315" xr:uid="{E8338EDF-3B93-4267-BDF4-561D15195B80}"/>
  <mergeCells count="54">
    <mergeCell ref="A1:S1"/>
    <mergeCell ref="D13:E13"/>
    <mergeCell ref="E4:G4"/>
    <mergeCell ref="E5:G5"/>
    <mergeCell ref="E6:G6"/>
    <mergeCell ref="E7:G7"/>
    <mergeCell ref="E8:G8"/>
    <mergeCell ref="E9:G9"/>
    <mergeCell ref="E10:G10"/>
    <mergeCell ref="E11:G11"/>
    <mergeCell ref="E2:O2"/>
    <mergeCell ref="H11:O11"/>
    <mergeCell ref="H4:O4"/>
    <mergeCell ref="H5:O5"/>
    <mergeCell ref="H6:O6"/>
    <mergeCell ref="H7:O7"/>
    <mergeCell ref="D14:E14"/>
    <mergeCell ref="D35:E35"/>
    <mergeCell ref="D20:E20"/>
    <mergeCell ref="D21:E27"/>
    <mergeCell ref="D28:E32"/>
    <mergeCell ref="D33:E34"/>
    <mergeCell ref="D15:E15"/>
    <mergeCell ref="D17:E17"/>
    <mergeCell ref="D16:E16"/>
    <mergeCell ref="D18:E18"/>
    <mergeCell ref="D19:E19"/>
    <mergeCell ref="D36:E36"/>
    <mergeCell ref="D37:E37"/>
    <mergeCell ref="D38:E38"/>
    <mergeCell ref="D39:E39"/>
    <mergeCell ref="D40:E40"/>
    <mergeCell ref="D43:E43"/>
    <mergeCell ref="D44:E44"/>
    <mergeCell ref="A59:S59"/>
    <mergeCell ref="D45:E45"/>
    <mergeCell ref="D41:E41"/>
    <mergeCell ref="D42:E42"/>
    <mergeCell ref="L52:N52"/>
    <mergeCell ref="L53:N53"/>
    <mergeCell ref="A317:S317"/>
    <mergeCell ref="D46:E46"/>
    <mergeCell ref="D47:E47"/>
    <mergeCell ref="D48:E48"/>
    <mergeCell ref="D49:E49"/>
    <mergeCell ref="L56:N56"/>
    <mergeCell ref="L57:N57"/>
    <mergeCell ref="A55:G55"/>
    <mergeCell ref="A51:G51"/>
    <mergeCell ref="E3:G3"/>
    <mergeCell ref="H3:O3"/>
    <mergeCell ref="H8:O8"/>
    <mergeCell ref="H9:O9"/>
    <mergeCell ref="H10:O10"/>
  </mergeCells>
  <phoneticPr fontId="22" type="noConversion"/>
  <conditionalFormatting sqref="D52">
    <cfRule type="cellIs" dxfId="89" priority="62" operator="greaterThan">
      <formula>0</formula>
    </cfRule>
    <cfRule type="cellIs" dxfId="88" priority="63" operator="equal">
      <formula>0</formula>
    </cfRule>
  </conditionalFormatting>
  <conditionalFormatting sqref="D56">
    <cfRule type="cellIs" dxfId="87" priority="57" operator="greaterThan">
      <formula>0</formula>
    </cfRule>
    <cfRule type="cellIs" dxfId="86" priority="58" operator="equal">
      <formula>0</formula>
    </cfRule>
  </conditionalFormatting>
  <conditionalFormatting sqref="F57:J57 F53:J53">
    <cfRule type="dataBar" priority="60">
      <dataBar>
        <cfvo type="min"/>
        <cfvo type="num" val="4"/>
        <color rgb="FFFFC000"/>
      </dataBar>
      <extLst>
        <ext xmlns:x14="http://schemas.microsoft.com/office/spreadsheetml/2009/9/main" uri="{B025F937-C7B1-47D3-B67F-A62EFF666E3E}">
          <x14:id>{3A722EE9-4AD8-468F-912A-D15B9889449A}</x14:id>
        </ext>
      </extLst>
    </cfRule>
  </conditionalFormatting>
  <conditionalFormatting sqref="F53:K53 F57:K57">
    <cfRule type="containsBlanks" dxfId="85" priority="59">
      <formula>LEN(TRIM(F53))=0</formula>
    </cfRule>
  </conditionalFormatting>
  <conditionalFormatting sqref="H61:M74">
    <cfRule type="dataBar" priority="74">
      <dataBar>
        <cfvo type="min"/>
        <cfvo type="num" val="4"/>
        <color rgb="FFFFC000"/>
      </dataBar>
      <extLst>
        <ext xmlns:x14="http://schemas.microsoft.com/office/spreadsheetml/2009/9/main" uri="{B025F937-C7B1-47D3-B67F-A62EFF666E3E}">
          <x14:id>{8BED2EB0-F282-4F38-BA10-752BAED5F9D3}</x14:id>
        </ext>
      </extLst>
    </cfRule>
  </conditionalFormatting>
  <conditionalFormatting sqref="H61:M315">
    <cfRule type="cellIs" dxfId="84" priority="3" stopIfTrue="1" operator="notBetween">
      <formula>1</formula>
      <formula>4</formula>
    </cfRule>
  </conditionalFormatting>
  <conditionalFormatting sqref="H75:M315">
    <cfRule type="containsBlanks" dxfId="83" priority="2" stopIfTrue="1">
      <formula>LEN(TRIM(H75))=0</formula>
    </cfRule>
  </conditionalFormatting>
  <conditionalFormatting sqref="H92:M92">
    <cfRule type="dataBar" priority="56">
      <dataBar>
        <cfvo type="min"/>
        <cfvo type="num" val="4"/>
        <color rgb="FFFFC000"/>
      </dataBar>
      <extLst>
        <ext xmlns:x14="http://schemas.microsoft.com/office/spreadsheetml/2009/9/main" uri="{B025F937-C7B1-47D3-B67F-A62EFF666E3E}">
          <x14:id>{13BFA7C7-29FC-471F-982B-8F9EDBA4F32D}</x14:id>
        </ext>
      </extLst>
    </cfRule>
  </conditionalFormatting>
  <conditionalFormatting sqref="H93:M98 H313:M315 H75:M91 H101:M118 H120:M137 H139:M156 H158:M175 H177:M194 H196:M213 H215:M232 H234:M251 H253:M273 H275:M292 H294:M311">
    <cfRule type="dataBar" priority="7099">
      <dataBar>
        <cfvo type="min"/>
        <cfvo type="num" val="4"/>
        <color rgb="FFFFC000"/>
      </dataBar>
      <extLst>
        <ext xmlns:x14="http://schemas.microsoft.com/office/spreadsheetml/2009/9/main" uri="{B025F937-C7B1-47D3-B67F-A62EFF666E3E}">
          <x14:id>{2C3CE673-9A40-40F4-AB61-33FB72B5B39F}</x14:id>
        </ext>
      </extLst>
    </cfRule>
  </conditionalFormatting>
  <conditionalFormatting sqref="H99:M100">
    <cfRule type="dataBar" priority="52">
      <dataBar>
        <cfvo type="min"/>
        <cfvo type="num" val="4"/>
        <color rgb="FFFFC000"/>
      </dataBar>
      <extLst>
        <ext xmlns:x14="http://schemas.microsoft.com/office/spreadsheetml/2009/9/main" uri="{B025F937-C7B1-47D3-B67F-A62EFF666E3E}">
          <x14:id>{7FADE4B1-0CC7-438F-B82E-2F91F34C5B15}</x14:id>
        </ext>
      </extLst>
    </cfRule>
  </conditionalFormatting>
  <conditionalFormatting sqref="H119:M119">
    <cfRule type="dataBar" priority="48">
      <dataBar>
        <cfvo type="min"/>
        <cfvo type="num" val="4"/>
        <color rgb="FFFFC000"/>
      </dataBar>
      <extLst>
        <ext xmlns:x14="http://schemas.microsoft.com/office/spreadsheetml/2009/9/main" uri="{B025F937-C7B1-47D3-B67F-A62EFF666E3E}">
          <x14:id>{D42B2016-A305-4BFB-B49A-F31ED28893A6}</x14:id>
        </ext>
      </extLst>
    </cfRule>
  </conditionalFormatting>
  <conditionalFormatting sqref="H138:M138">
    <cfRule type="dataBar" priority="40">
      <dataBar>
        <cfvo type="min"/>
        <cfvo type="num" val="4"/>
        <color rgb="FFFFC000"/>
      </dataBar>
      <extLst>
        <ext xmlns:x14="http://schemas.microsoft.com/office/spreadsheetml/2009/9/main" uri="{B025F937-C7B1-47D3-B67F-A62EFF666E3E}">
          <x14:id>{999CA19B-1545-4F65-800F-470D70C61C1B}</x14:id>
        </ext>
      </extLst>
    </cfRule>
  </conditionalFormatting>
  <conditionalFormatting sqref="H157:M157">
    <cfRule type="dataBar" priority="36">
      <dataBar>
        <cfvo type="min"/>
        <cfvo type="num" val="4"/>
        <color rgb="FFFFC000"/>
      </dataBar>
      <extLst>
        <ext xmlns:x14="http://schemas.microsoft.com/office/spreadsheetml/2009/9/main" uri="{B025F937-C7B1-47D3-B67F-A62EFF666E3E}">
          <x14:id>{21E0EBD7-68F7-40DD-A96F-E96019312248}</x14:id>
        </ext>
      </extLst>
    </cfRule>
  </conditionalFormatting>
  <conditionalFormatting sqref="H176:M176">
    <cfRule type="dataBar" priority="32">
      <dataBar>
        <cfvo type="min"/>
        <cfvo type="num" val="4"/>
        <color rgb="FFFFC000"/>
      </dataBar>
      <extLst>
        <ext xmlns:x14="http://schemas.microsoft.com/office/spreadsheetml/2009/9/main" uri="{B025F937-C7B1-47D3-B67F-A62EFF666E3E}">
          <x14:id>{CCE07B65-D941-439C-993B-7236BF62814A}</x14:id>
        </ext>
      </extLst>
    </cfRule>
  </conditionalFormatting>
  <conditionalFormatting sqref="H195:M195">
    <cfRule type="dataBar" priority="28">
      <dataBar>
        <cfvo type="min"/>
        <cfvo type="num" val="4"/>
        <color rgb="FFFFC000"/>
      </dataBar>
      <extLst>
        <ext xmlns:x14="http://schemas.microsoft.com/office/spreadsheetml/2009/9/main" uri="{B025F937-C7B1-47D3-B67F-A62EFF666E3E}">
          <x14:id>{8ECF9FF9-D23E-4379-B97D-AFBF8CBBC197}</x14:id>
        </ext>
      </extLst>
    </cfRule>
  </conditionalFormatting>
  <conditionalFormatting sqref="H214:M214">
    <cfRule type="dataBar" priority="24">
      <dataBar>
        <cfvo type="min"/>
        <cfvo type="num" val="4"/>
        <color rgb="FFFFC000"/>
      </dataBar>
      <extLst>
        <ext xmlns:x14="http://schemas.microsoft.com/office/spreadsheetml/2009/9/main" uri="{B025F937-C7B1-47D3-B67F-A62EFF666E3E}">
          <x14:id>{33B090F6-CEE9-41AE-8443-E53952BCA93B}</x14:id>
        </ext>
      </extLst>
    </cfRule>
  </conditionalFormatting>
  <conditionalFormatting sqref="H233:M233">
    <cfRule type="dataBar" priority="20">
      <dataBar>
        <cfvo type="min"/>
        <cfvo type="num" val="4"/>
        <color rgb="FFFFC000"/>
      </dataBar>
      <extLst>
        <ext xmlns:x14="http://schemas.microsoft.com/office/spreadsheetml/2009/9/main" uri="{B025F937-C7B1-47D3-B67F-A62EFF666E3E}">
          <x14:id>{1209E3A6-3055-4E8F-8B96-8758FD76BA64}</x14:id>
        </ext>
      </extLst>
    </cfRule>
  </conditionalFormatting>
  <conditionalFormatting sqref="H252:M252">
    <cfRule type="dataBar" priority="16">
      <dataBar>
        <cfvo type="min"/>
        <cfvo type="num" val="4"/>
        <color rgb="FFFFC000"/>
      </dataBar>
      <extLst>
        <ext xmlns:x14="http://schemas.microsoft.com/office/spreadsheetml/2009/9/main" uri="{B025F937-C7B1-47D3-B67F-A62EFF666E3E}">
          <x14:id>{125F6B38-82FD-4AAA-A200-BEFDA1E19609}</x14:id>
        </ext>
      </extLst>
    </cfRule>
  </conditionalFormatting>
  <conditionalFormatting sqref="H274:M274">
    <cfRule type="dataBar" priority="12">
      <dataBar>
        <cfvo type="min"/>
        <cfvo type="num" val="4"/>
        <color rgb="FFFFC000"/>
      </dataBar>
      <extLst>
        <ext xmlns:x14="http://schemas.microsoft.com/office/spreadsheetml/2009/9/main" uri="{B025F937-C7B1-47D3-B67F-A62EFF666E3E}">
          <x14:id>{86489237-8ED2-4F6C-BA92-14053B5076F5}</x14:id>
        </ext>
      </extLst>
    </cfRule>
  </conditionalFormatting>
  <conditionalFormatting sqref="H293:M293">
    <cfRule type="dataBar" priority="8">
      <dataBar>
        <cfvo type="min"/>
        <cfvo type="num" val="4"/>
        <color rgb="FFFFC000"/>
      </dataBar>
      <extLst>
        <ext xmlns:x14="http://schemas.microsoft.com/office/spreadsheetml/2009/9/main" uri="{B025F937-C7B1-47D3-B67F-A62EFF666E3E}">
          <x14:id>{CBB9E265-0A48-40A8-BFE6-BA26A6B0B8D9}</x14:id>
        </ext>
      </extLst>
    </cfRule>
  </conditionalFormatting>
  <conditionalFormatting sqref="H312:M312">
    <cfRule type="dataBar" priority="4">
      <dataBar>
        <cfvo type="min"/>
        <cfvo type="num" val="4"/>
        <color rgb="FFFFC000"/>
      </dataBar>
      <extLst>
        <ext xmlns:x14="http://schemas.microsoft.com/office/spreadsheetml/2009/9/main" uri="{B025F937-C7B1-47D3-B67F-A62EFF666E3E}">
          <x14:id>{E5B27D8B-02E0-4DC9-9799-3F74D0D31E25}</x14:id>
        </ext>
      </extLst>
    </cfRule>
  </conditionalFormatting>
  <conditionalFormatting sqref="H61:O61 H62:M74">
    <cfRule type="containsBlanks" dxfId="82" priority="75">
      <formula>LEN(TRIM(H61))=0</formula>
    </cfRule>
  </conditionalFormatting>
  <conditionalFormatting sqref="K53 K57">
    <cfRule type="dataBar" priority="61">
      <dataBar>
        <cfvo type="min"/>
        <cfvo type="max"/>
        <color rgb="FF3FCDFF"/>
      </dataBar>
      <extLst>
        <ext xmlns:x14="http://schemas.microsoft.com/office/spreadsheetml/2009/9/main" uri="{B025F937-C7B1-47D3-B67F-A62EFF666E3E}">
          <x14:id>{33465670-860A-497C-8F9E-62B2FB11C992}</x14:id>
        </ext>
      </extLst>
    </cfRule>
  </conditionalFormatting>
  <conditionalFormatting sqref="N61:N315">
    <cfRule type="dataBar" priority="76">
      <dataBar>
        <cfvo type="min"/>
        <cfvo type="max"/>
        <color rgb="FF3FCDFF"/>
      </dataBar>
      <extLst>
        <ext xmlns:x14="http://schemas.microsoft.com/office/spreadsheetml/2009/9/main" uri="{B025F937-C7B1-47D3-B67F-A62EFF666E3E}">
          <x14:id>{BF2F1159-2A6A-4893-92D2-5A2683E7BC2A}</x14:id>
        </ext>
      </extLst>
    </cfRule>
  </conditionalFormatting>
  <conditionalFormatting sqref="N62:O315">
    <cfRule type="containsBlanks" dxfId="81" priority="1">
      <formula>LEN(TRIM(N62))=0</formula>
    </cfRule>
  </conditionalFormatting>
  <conditionalFormatting sqref="O61:O315">
    <cfRule type="dataBar" priority="77">
      <dataBar>
        <cfvo type="min"/>
        <cfvo type="max"/>
        <color rgb="FF3FCDFF"/>
      </dataBar>
      <extLst>
        <ext xmlns:x14="http://schemas.microsoft.com/office/spreadsheetml/2009/9/main" uri="{B025F937-C7B1-47D3-B67F-A62EFF666E3E}">
          <x14:id>{9DCB1330-52A5-4F24-A2B2-10F12C5227DB}</x14:id>
        </ext>
      </extLst>
    </cfRule>
  </conditionalFormatting>
  <hyperlinks>
    <hyperlink ref="H4" r:id="rId1" xr:uid="{35A91B79-19C1-4C63-BF8D-A86B20D37553}"/>
    <hyperlink ref="H5" r:id="rId2" xr:uid="{1BD113FD-B881-4FAB-AF0B-A2A6356BF2A3}"/>
    <hyperlink ref="H7" r:id="rId3" display="https://docplayer.nl/138278287-Vvvf-jaaroverzicht-2018.html" xr:uid="{494CE9A3-BE07-43EF-9498-CBE144B24711}"/>
    <hyperlink ref="H6" r:id="rId4" display="https://docplayer.nl/138278287-Vvvf-jaaroverzicht-2018.html" xr:uid="{12111823-B9B8-4AA7-8E4A-14057C7D47DB}"/>
    <hyperlink ref="H8" r:id="rId5" xr:uid="{BB984821-D46D-4CF4-B969-236893BE6212}"/>
    <hyperlink ref="H9" r:id="rId6" xr:uid="{C82287F3-0522-4C9B-99F7-EA9986FEFD93}"/>
    <hyperlink ref="H10" r:id="rId7" xr:uid="{0A708D5D-F25E-4CDF-AFC4-97585C531CEC}"/>
    <hyperlink ref="H11" r:id="rId8" xr:uid="{8DA6866D-9E7C-4F2A-A880-35FCFA9253F1}"/>
  </hyperlinks>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x14:cfRule type="dataBar" id="{3A722EE9-4AD8-468F-912A-D15B9889449A}">
            <x14:dataBar minLength="0" maxLength="100" gradient="0">
              <x14:cfvo type="autoMin"/>
              <x14:cfvo type="num">
                <xm:f>4</xm:f>
              </x14:cfvo>
              <x14:negativeFillColor rgb="FFFF0000"/>
              <x14:axisColor rgb="FF000000"/>
            </x14:dataBar>
          </x14:cfRule>
          <xm:sqref>F57:J57 F53:J53</xm:sqref>
        </x14:conditionalFormatting>
        <x14:conditionalFormatting xmlns:xm="http://schemas.microsoft.com/office/excel/2006/main">
          <x14:cfRule type="dataBar" id="{8BED2EB0-F282-4F38-BA10-752BAED5F9D3}">
            <x14:dataBar minLength="0" maxLength="100" gradient="0">
              <x14:cfvo type="autoMin"/>
              <x14:cfvo type="num">
                <xm:f>4</xm:f>
              </x14:cfvo>
              <x14:negativeFillColor rgb="FFFF0000"/>
              <x14:axisColor rgb="FF000000"/>
            </x14:dataBar>
          </x14:cfRule>
          <xm:sqref>H61:M74</xm:sqref>
        </x14:conditionalFormatting>
        <x14:conditionalFormatting xmlns:xm="http://schemas.microsoft.com/office/excel/2006/main">
          <x14:cfRule type="dataBar" id="{13BFA7C7-29FC-471F-982B-8F9EDBA4F32D}">
            <x14:dataBar minLength="0" maxLength="100" gradient="0">
              <x14:cfvo type="autoMin"/>
              <x14:cfvo type="num">
                <xm:f>4</xm:f>
              </x14:cfvo>
              <x14:negativeFillColor rgb="FFFF0000"/>
              <x14:axisColor rgb="FF000000"/>
            </x14:dataBar>
          </x14:cfRule>
          <xm:sqref>H92:M92</xm:sqref>
        </x14:conditionalFormatting>
        <x14:conditionalFormatting xmlns:xm="http://schemas.microsoft.com/office/excel/2006/main">
          <x14:cfRule type="dataBar" id="{2C3CE673-9A40-40F4-AB61-33FB72B5B39F}">
            <x14:dataBar minLength="0" maxLength="100" gradient="0">
              <x14:cfvo type="autoMin"/>
              <x14:cfvo type="num">
                <xm:f>4</xm:f>
              </x14:cfvo>
              <x14:negativeFillColor rgb="FFFF0000"/>
              <x14:axisColor rgb="FF000000"/>
            </x14:dataBar>
          </x14:cfRule>
          <xm:sqref>H93:M98 H313:M315 H75:M91 H101:M118 H120:M137 H139:M156 H158:M175 H177:M194 H196:M213 H215:M232 H234:M251 H253:M273 H275:M292 H294:M311</xm:sqref>
        </x14:conditionalFormatting>
        <x14:conditionalFormatting xmlns:xm="http://schemas.microsoft.com/office/excel/2006/main">
          <x14:cfRule type="dataBar" id="{7FADE4B1-0CC7-438F-B82E-2F91F34C5B15}">
            <x14:dataBar minLength="0" maxLength="100" gradient="0">
              <x14:cfvo type="autoMin"/>
              <x14:cfvo type="num">
                <xm:f>4</xm:f>
              </x14:cfvo>
              <x14:negativeFillColor rgb="FFFF0000"/>
              <x14:axisColor rgb="FF000000"/>
            </x14:dataBar>
          </x14:cfRule>
          <xm:sqref>H99:M100</xm:sqref>
        </x14:conditionalFormatting>
        <x14:conditionalFormatting xmlns:xm="http://schemas.microsoft.com/office/excel/2006/main">
          <x14:cfRule type="dataBar" id="{D42B2016-A305-4BFB-B49A-F31ED28893A6}">
            <x14:dataBar minLength="0" maxLength="100" gradient="0">
              <x14:cfvo type="autoMin"/>
              <x14:cfvo type="num">
                <xm:f>4</xm:f>
              </x14:cfvo>
              <x14:negativeFillColor rgb="FFFF0000"/>
              <x14:axisColor rgb="FF000000"/>
            </x14:dataBar>
          </x14:cfRule>
          <xm:sqref>H119:M119</xm:sqref>
        </x14:conditionalFormatting>
        <x14:conditionalFormatting xmlns:xm="http://schemas.microsoft.com/office/excel/2006/main">
          <x14:cfRule type="dataBar" id="{999CA19B-1545-4F65-800F-470D70C61C1B}">
            <x14:dataBar minLength="0" maxLength="100" gradient="0">
              <x14:cfvo type="autoMin"/>
              <x14:cfvo type="num">
                <xm:f>4</xm:f>
              </x14:cfvo>
              <x14:negativeFillColor rgb="FFFF0000"/>
              <x14:axisColor rgb="FF000000"/>
            </x14:dataBar>
          </x14:cfRule>
          <xm:sqref>H138:M138</xm:sqref>
        </x14:conditionalFormatting>
        <x14:conditionalFormatting xmlns:xm="http://schemas.microsoft.com/office/excel/2006/main">
          <x14:cfRule type="dataBar" id="{21E0EBD7-68F7-40DD-A96F-E96019312248}">
            <x14:dataBar minLength="0" maxLength="100" gradient="0">
              <x14:cfvo type="autoMin"/>
              <x14:cfvo type="num">
                <xm:f>4</xm:f>
              </x14:cfvo>
              <x14:negativeFillColor rgb="FFFF0000"/>
              <x14:axisColor rgb="FF000000"/>
            </x14:dataBar>
          </x14:cfRule>
          <xm:sqref>H157:M157</xm:sqref>
        </x14:conditionalFormatting>
        <x14:conditionalFormatting xmlns:xm="http://schemas.microsoft.com/office/excel/2006/main">
          <x14:cfRule type="dataBar" id="{CCE07B65-D941-439C-993B-7236BF62814A}">
            <x14:dataBar minLength="0" maxLength="100" gradient="0">
              <x14:cfvo type="autoMin"/>
              <x14:cfvo type="num">
                <xm:f>4</xm:f>
              </x14:cfvo>
              <x14:negativeFillColor rgb="FFFF0000"/>
              <x14:axisColor rgb="FF000000"/>
            </x14:dataBar>
          </x14:cfRule>
          <xm:sqref>H176:M176</xm:sqref>
        </x14:conditionalFormatting>
        <x14:conditionalFormatting xmlns:xm="http://schemas.microsoft.com/office/excel/2006/main">
          <x14:cfRule type="dataBar" id="{8ECF9FF9-D23E-4379-B97D-AFBF8CBBC197}">
            <x14:dataBar minLength="0" maxLength="100" gradient="0">
              <x14:cfvo type="autoMin"/>
              <x14:cfvo type="num">
                <xm:f>4</xm:f>
              </x14:cfvo>
              <x14:negativeFillColor rgb="FFFF0000"/>
              <x14:axisColor rgb="FF000000"/>
            </x14:dataBar>
          </x14:cfRule>
          <xm:sqref>H195:M195</xm:sqref>
        </x14:conditionalFormatting>
        <x14:conditionalFormatting xmlns:xm="http://schemas.microsoft.com/office/excel/2006/main">
          <x14:cfRule type="dataBar" id="{33B090F6-CEE9-41AE-8443-E53952BCA93B}">
            <x14:dataBar minLength="0" maxLength="100" gradient="0">
              <x14:cfvo type="autoMin"/>
              <x14:cfvo type="num">
                <xm:f>4</xm:f>
              </x14:cfvo>
              <x14:negativeFillColor rgb="FFFF0000"/>
              <x14:axisColor rgb="FF000000"/>
            </x14:dataBar>
          </x14:cfRule>
          <xm:sqref>H214:M214</xm:sqref>
        </x14:conditionalFormatting>
        <x14:conditionalFormatting xmlns:xm="http://schemas.microsoft.com/office/excel/2006/main">
          <x14:cfRule type="dataBar" id="{1209E3A6-3055-4E8F-8B96-8758FD76BA64}">
            <x14:dataBar minLength="0" maxLength="100" gradient="0">
              <x14:cfvo type="autoMin"/>
              <x14:cfvo type="num">
                <xm:f>4</xm:f>
              </x14:cfvo>
              <x14:negativeFillColor rgb="FFFF0000"/>
              <x14:axisColor rgb="FF000000"/>
            </x14:dataBar>
          </x14:cfRule>
          <xm:sqref>H233:M233</xm:sqref>
        </x14:conditionalFormatting>
        <x14:conditionalFormatting xmlns:xm="http://schemas.microsoft.com/office/excel/2006/main">
          <x14:cfRule type="dataBar" id="{125F6B38-82FD-4AAA-A200-BEFDA1E19609}">
            <x14:dataBar minLength="0" maxLength="100" gradient="0">
              <x14:cfvo type="autoMin"/>
              <x14:cfvo type="num">
                <xm:f>4</xm:f>
              </x14:cfvo>
              <x14:negativeFillColor rgb="FFFF0000"/>
              <x14:axisColor rgb="FF000000"/>
            </x14:dataBar>
          </x14:cfRule>
          <xm:sqref>H252:M252</xm:sqref>
        </x14:conditionalFormatting>
        <x14:conditionalFormatting xmlns:xm="http://schemas.microsoft.com/office/excel/2006/main">
          <x14:cfRule type="dataBar" id="{86489237-8ED2-4F6C-BA92-14053B5076F5}">
            <x14:dataBar minLength="0" maxLength="100" gradient="0">
              <x14:cfvo type="autoMin"/>
              <x14:cfvo type="num">
                <xm:f>4</xm:f>
              </x14:cfvo>
              <x14:negativeFillColor rgb="FFFF0000"/>
              <x14:axisColor rgb="FF000000"/>
            </x14:dataBar>
          </x14:cfRule>
          <xm:sqref>H274:M274</xm:sqref>
        </x14:conditionalFormatting>
        <x14:conditionalFormatting xmlns:xm="http://schemas.microsoft.com/office/excel/2006/main">
          <x14:cfRule type="dataBar" id="{CBB9E265-0A48-40A8-BFE6-BA26A6B0B8D9}">
            <x14:dataBar minLength="0" maxLength="100" gradient="0">
              <x14:cfvo type="autoMin"/>
              <x14:cfvo type="num">
                <xm:f>4</xm:f>
              </x14:cfvo>
              <x14:negativeFillColor rgb="FFFF0000"/>
              <x14:axisColor rgb="FF000000"/>
            </x14:dataBar>
          </x14:cfRule>
          <xm:sqref>H293:M293</xm:sqref>
        </x14:conditionalFormatting>
        <x14:conditionalFormatting xmlns:xm="http://schemas.microsoft.com/office/excel/2006/main">
          <x14:cfRule type="dataBar" id="{E5B27D8B-02E0-4DC9-9799-3F74D0D31E25}">
            <x14:dataBar minLength="0" maxLength="100" gradient="0">
              <x14:cfvo type="autoMin"/>
              <x14:cfvo type="num">
                <xm:f>4</xm:f>
              </x14:cfvo>
              <x14:negativeFillColor rgb="FFFF0000"/>
              <x14:axisColor rgb="FF000000"/>
            </x14:dataBar>
          </x14:cfRule>
          <xm:sqref>H312:M312</xm:sqref>
        </x14:conditionalFormatting>
        <x14:conditionalFormatting xmlns:xm="http://schemas.microsoft.com/office/excel/2006/main">
          <x14:cfRule type="dataBar" id="{33465670-860A-497C-8F9E-62B2FB11C992}">
            <x14:dataBar minLength="0" maxLength="100" gradient="0">
              <x14:cfvo type="autoMin"/>
              <x14:cfvo type="autoMax"/>
              <x14:negativeFillColor rgb="FFFF0000"/>
              <x14:axisColor rgb="FF000000"/>
            </x14:dataBar>
          </x14:cfRule>
          <xm:sqref>K53 K57</xm:sqref>
        </x14:conditionalFormatting>
        <x14:conditionalFormatting xmlns:xm="http://schemas.microsoft.com/office/excel/2006/main">
          <x14:cfRule type="dataBar" id="{BF2F1159-2A6A-4893-92D2-5A2683E7BC2A}">
            <x14:dataBar minLength="0" maxLength="100" gradient="0">
              <x14:cfvo type="autoMin"/>
              <x14:cfvo type="autoMax"/>
              <x14:negativeFillColor rgb="FFFF0000"/>
              <x14:axisColor rgb="FF000000"/>
            </x14:dataBar>
          </x14:cfRule>
          <xm:sqref>N61:N315</xm:sqref>
        </x14:conditionalFormatting>
        <x14:conditionalFormatting xmlns:xm="http://schemas.microsoft.com/office/excel/2006/main">
          <x14:cfRule type="dataBar" id="{9DCB1330-52A5-4F24-A2B2-10F12C5227DB}">
            <x14:dataBar minLength="0" maxLength="100" gradient="0">
              <x14:cfvo type="autoMin"/>
              <x14:cfvo type="autoMax"/>
              <x14:negativeFillColor rgb="FFFF0000"/>
              <x14:axisColor rgb="FF000000"/>
            </x14:dataBar>
          </x14:cfRule>
          <xm:sqref>O61:O315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9F066-5860-4542-8A5E-C7F31B6269B4}">
  <sheetPr>
    <tabColor theme="8"/>
  </sheetPr>
  <dimension ref="A1:AF243"/>
  <sheetViews>
    <sheetView topLeftCell="A123" zoomScale="69" zoomScaleNormal="69" workbookViewId="0">
      <selection activeCell="F164" sqref="F164"/>
    </sheetView>
  </sheetViews>
  <sheetFormatPr defaultRowHeight="15"/>
  <cols>
    <col min="1" max="1" width="50.7109375" style="6" customWidth="1"/>
    <col min="2" max="29" width="20.7109375" style="6" customWidth="1"/>
    <col min="30" max="32" width="20.7109375" customWidth="1"/>
  </cols>
  <sheetData>
    <row r="1" spans="1:19" ht="30" customHeight="1">
      <c r="A1" s="1085" t="s">
        <v>799</v>
      </c>
      <c r="B1" s="1017"/>
      <c r="C1" s="1017"/>
      <c r="D1" s="1017"/>
      <c r="E1" s="1017"/>
      <c r="F1" s="1017"/>
      <c r="G1" s="1017"/>
      <c r="H1" s="1017"/>
      <c r="I1" s="1017"/>
      <c r="J1" s="1017"/>
      <c r="K1" s="1017"/>
      <c r="L1" s="1017"/>
      <c r="M1" s="1017"/>
      <c r="N1" s="1017"/>
      <c r="O1" s="1017"/>
      <c r="P1" s="1017"/>
      <c r="Q1" s="1017"/>
      <c r="R1" s="1017"/>
      <c r="S1" s="1017"/>
    </row>
    <row r="2" spans="1:19" ht="30" customHeight="1">
      <c r="A2" s="140" t="s">
        <v>100</v>
      </c>
      <c r="B2" s="140" t="s">
        <v>101</v>
      </c>
      <c r="C2" s="140" t="s">
        <v>131</v>
      </c>
      <c r="D2" s="190" t="s">
        <v>85</v>
      </c>
      <c r="E2" s="190" t="s">
        <v>86</v>
      </c>
      <c r="F2" s="190" t="s">
        <v>87</v>
      </c>
      <c r="G2" s="190" t="s">
        <v>88</v>
      </c>
      <c r="H2" s="190" t="s">
        <v>89</v>
      </c>
      <c r="I2" s="190" t="s">
        <v>90</v>
      </c>
      <c r="J2" s="190" t="s">
        <v>91</v>
      </c>
      <c r="K2" s="190" t="s">
        <v>95</v>
      </c>
      <c r="L2" s="190" t="s">
        <v>882</v>
      </c>
      <c r="M2" s="1052" t="s">
        <v>104</v>
      </c>
      <c r="N2" s="1052"/>
      <c r="O2" s="1052"/>
      <c r="P2" s="1052"/>
      <c r="Q2" s="1052"/>
      <c r="R2" s="1052"/>
      <c r="S2" s="1052"/>
    </row>
    <row r="3" spans="1:19">
      <c r="A3" s="213" t="s">
        <v>883</v>
      </c>
      <c r="B3" s="117" t="s">
        <v>884</v>
      </c>
      <c r="C3" s="117" t="s">
        <v>884</v>
      </c>
      <c r="D3" s="214">
        <v>0</v>
      </c>
      <c r="E3" s="214">
        <v>0.01</v>
      </c>
      <c r="F3" s="214">
        <v>0.01</v>
      </c>
      <c r="G3" s="214">
        <v>0</v>
      </c>
      <c r="H3" s="214">
        <v>0</v>
      </c>
      <c r="I3" s="214">
        <v>0</v>
      </c>
      <c r="J3" s="214">
        <v>0.77</v>
      </c>
      <c r="K3" s="214">
        <v>0.12</v>
      </c>
      <c r="L3" s="214">
        <v>0.09</v>
      </c>
      <c r="M3" s="1086" t="s">
        <v>885</v>
      </c>
      <c r="N3" s="1086"/>
      <c r="O3" s="1086"/>
      <c r="P3" s="1086"/>
      <c r="Q3" s="1086"/>
      <c r="R3" s="1086"/>
      <c r="S3" s="1086"/>
    </row>
    <row r="4" spans="1:19">
      <c r="A4" s="213" t="s">
        <v>886</v>
      </c>
      <c r="B4" s="117" t="s">
        <v>884</v>
      </c>
      <c r="C4" s="117" t="s">
        <v>884</v>
      </c>
      <c r="D4" s="214">
        <v>0</v>
      </c>
      <c r="E4" s="214">
        <v>0</v>
      </c>
      <c r="F4" s="214">
        <v>0</v>
      </c>
      <c r="G4" s="214">
        <v>0</v>
      </c>
      <c r="H4" s="214">
        <v>0</v>
      </c>
      <c r="I4" s="214">
        <v>0</v>
      </c>
      <c r="J4" s="214">
        <v>0.5</v>
      </c>
      <c r="K4" s="214">
        <v>0.5</v>
      </c>
      <c r="L4" s="214">
        <v>0</v>
      </c>
      <c r="M4" s="1084" t="s">
        <v>43</v>
      </c>
      <c r="N4" s="1084"/>
      <c r="O4" s="1084"/>
      <c r="P4" s="1084"/>
      <c r="Q4" s="1084"/>
      <c r="R4" s="1084"/>
      <c r="S4" s="1084"/>
    </row>
    <row r="5" spans="1:19">
      <c r="A5" s="213" t="s">
        <v>337</v>
      </c>
      <c r="B5" s="117" t="s">
        <v>884</v>
      </c>
      <c r="C5" s="117" t="s">
        <v>884</v>
      </c>
      <c r="D5" s="214">
        <v>0</v>
      </c>
      <c r="E5" s="214">
        <v>0.5</v>
      </c>
      <c r="F5" s="214">
        <v>0</v>
      </c>
      <c r="G5" s="214">
        <v>0</v>
      </c>
      <c r="H5" s="214">
        <v>0</v>
      </c>
      <c r="I5" s="214">
        <v>0</v>
      </c>
      <c r="J5" s="214">
        <v>0.5</v>
      </c>
      <c r="K5" s="214">
        <v>0</v>
      </c>
      <c r="L5" s="214">
        <v>0</v>
      </c>
      <c r="M5" s="1084" t="s">
        <v>43</v>
      </c>
      <c r="N5" s="1084"/>
      <c r="O5" s="1084"/>
      <c r="P5" s="1084"/>
      <c r="Q5" s="1084"/>
      <c r="R5" s="1084"/>
      <c r="S5" s="1084"/>
    </row>
    <row r="6" spans="1:19">
      <c r="A6" s="213" t="s">
        <v>241</v>
      </c>
      <c r="B6" s="117" t="s">
        <v>884</v>
      </c>
      <c r="C6" s="117" t="s">
        <v>884</v>
      </c>
      <c r="D6" s="214">
        <v>0</v>
      </c>
      <c r="E6" s="214">
        <v>0.5</v>
      </c>
      <c r="F6" s="214">
        <v>0</v>
      </c>
      <c r="G6" s="214">
        <v>0</v>
      </c>
      <c r="H6" s="214">
        <v>0</v>
      </c>
      <c r="I6" s="214">
        <v>0</v>
      </c>
      <c r="J6" s="214">
        <v>0.5</v>
      </c>
      <c r="K6" s="214">
        <v>0</v>
      </c>
      <c r="L6" s="214">
        <v>0</v>
      </c>
      <c r="M6" s="1084" t="s">
        <v>43</v>
      </c>
      <c r="N6" s="1084"/>
      <c r="O6" s="1084"/>
      <c r="P6" s="1084"/>
      <c r="Q6" s="1084"/>
      <c r="R6" s="1084"/>
      <c r="S6" s="1084"/>
    </row>
    <row r="7" spans="1:19">
      <c r="A7" s="213" t="s">
        <v>239</v>
      </c>
      <c r="B7" s="117" t="s">
        <v>884</v>
      </c>
      <c r="C7" s="117" t="s">
        <v>884</v>
      </c>
      <c r="D7" s="214">
        <v>0</v>
      </c>
      <c r="E7" s="214">
        <v>0</v>
      </c>
      <c r="F7" s="214">
        <v>1</v>
      </c>
      <c r="G7" s="214">
        <v>0</v>
      </c>
      <c r="H7" s="214">
        <v>0</v>
      </c>
      <c r="I7" s="214">
        <v>0</v>
      </c>
      <c r="J7" s="214">
        <v>0</v>
      </c>
      <c r="K7" s="214">
        <v>0</v>
      </c>
      <c r="L7" s="214">
        <v>0</v>
      </c>
      <c r="M7" s="1084" t="s">
        <v>43</v>
      </c>
      <c r="N7" s="1084"/>
      <c r="O7" s="1084"/>
      <c r="P7" s="1084"/>
      <c r="Q7" s="1084"/>
      <c r="R7" s="1084"/>
      <c r="S7" s="1084"/>
    </row>
    <row r="8" spans="1:19">
      <c r="A8" s="213" t="s">
        <v>240</v>
      </c>
      <c r="B8" s="117" t="s">
        <v>884</v>
      </c>
      <c r="C8" s="117" t="s">
        <v>884</v>
      </c>
      <c r="D8" s="214">
        <v>0</v>
      </c>
      <c r="E8" s="214">
        <f>1/3</f>
        <v>0.33333333333333331</v>
      </c>
      <c r="F8" s="214">
        <f>1/3</f>
        <v>0.33333333333333331</v>
      </c>
      <c r="G8" s="214">
        <v>0</v>
      </c>
      <c r="H8" s="214">
        <v>0</v>
      </c>
      <c r="I8" s="214">
        <v>0</v>
      </c>
      <c r="J8" s="214">
        <f>1/3</f>
        <v>0.33333333333333331</v>
      </c>
      <c r="K8" s="214">
        <v>0</v>
      </c>
      <c r="L8" s="214">
        <v>0</v>
      </c>
      <c r="M8" s="1084" t="s">
        <v>43</v>
      </c>
      <c r="N8" s="1084"/>
      <c r="O8" s="1084"/>
      <c r="P8" s="1084"/>
      <c r="Q8" s="1084"/>
      <c r="R8" s="1084"/>
      <c r="S8" s="1084"/>
    </row>
    <row r="9" spans="1:19">
      <c r="A9" s="213" t="s">
        <v>191</v>
      </c>
      <c r="B9" s="117" t="s">
        <v>884</v>
      </c>
      <c r="C9" s="117" t="s">
        <v>884</v>
      </c>
      <c r="D9" s="214">
        <v>0</v>
      </c>
      <c r="E9" s="214">
        <v>0.01</v>
      </c>
      <c r="F9" s="214">
        <v>0.01</v>
      </c>
      <c r="G9" s="214">
        <v>0</v>
      </c>
      <c r="H9" s="214">
        <v>0</v>
      </c>
      <c r="I9" s="214">
        <v>0</v>
      </c>
      <c r="J9" s="214">
        <v>0.77</v>
      </c>
      <c r="K9" s="214">
        <v>0.12</v>
      </c>
      <c r="L9" s="214">
        <v>0.09</v>
      </c>
      <c r="M9" s="1086" t="s">
        <v>885</v>
      </c>
      <c r="N9" s="1086"/>
      <c r="O9" s="1086"/>
      <c r="P9" s="1086"/>
      <c r="Q9" s="1086"/>
      <c r="R9" s="1086"/>
      <c r="S9" s="1086"/>
    </row>
    <row r="10" spans="1:19">
      <c r="A10" s="213" t="s">
        <v>356</v>
      </c>
      <c r="B10" s="117" t="s">
        <v>884</v>
      </c>
      <c r="C10" s="117" t="s">
        <v>884</v>
      </c>
      <c r="D10" s="214">
        <v>0</v>
      </c>
      <c r="E10" s="214">
        <v>0</v>
      </c>
      <c r="F10" s="214">
        <v>0.2</v>
      </c>
      <c r="G10" s="214">
        <v>0</v>
      </c>
      <c r="H10" s="214">
        <v>0</v>
      </c>
      <c r="I10" s="214">
        <v>0</v>
      </c>
      <c r="J10" s="214">
        <v>0.25</v>
      </c>
      <c r="K10" s="214">
        <v>0.5</v>
      </c>
      <c r="L10" s="214">
        <v>0.05</v>
      </c>
      <c r="M10" s="1086" t="s">
        <v>887</v>
      </c>
      <c r="N10" s="1086"/>
      <c r="O10" s="1086"/>
      <c r="P10" s="1086"/>
      <c r="Q10" s="1086"/>
      <c r="R10" s="1086"/>
      <c r="S10" s="1086"/>
    </row>
    <row r="11" spans="1:19">
      <c r="A11" s="213" t="s">
        <v>346</v>
      </c>
      <c r="B11" s="117" t="s">
        <v>884</v>
      </c>
      <c r="C11" s="117" t="s">
        <v>884</v>
      </c>
      <c r="D11" s="214">
        <v>0</v>
      </c>
      <c r="E11" s="214">
        <v>0</v>
      </c>
      <c r="F11" s="214">
        <v>0.25</v>
      </c>
      <c r="G11" s="214">
        <v>0</v>
      </c>
      <c r="H11" s="214">
        <v>0</v>
      </c>
      <c r="I11" s="214">
        <v>0</v>
      </c>
      <c r="J11" s="214">
        <v>0.25</v>
      </c>
      <c r="K11" s="214">
        <v>0.25</v>
      </c>
      <c r="L11" s="214">
        <v>0.25</v>
      </c>
      <c r="M11" s="1084" t="s">
        <v>888</v>
      </c>
      <c r="N11" s="1084"/>
      <c r="O11" s="1084"/>
      <c r="P11" s="1084"/>
      <c r="Q11" s="1084"/>
      <c r="R11" s="1084"/>
      <c r="S11" s="1084"/>
    </row>
    <row r="12" spans="1:19">
      <c r="A12" s="213" t="s">
        <v>889</v>
      </c>
      <c r="B12" s="117" t="s">
        <v>884</v>
      </c>
      <c r="C12" s="117" t="s">
        <v>884</v>
      </c>
      <c r="D12" s="214">
        <v>0</v>
      </c>
      <c r="E12" s="214">
        <v>0</v>
      </c>
      <c r="F12" s="214">
        <f>1/3</f>
        <v>0.33333333333333331</v>
      </c>
      <c r="G12" s="214">
        <v>0</v>
      </c>
      <c r="H12" s="214">
        <v>0</v>
      </c>
      <c r="I12" s="214">
        <v>0</v>
      </c>
      <c r="J12" s="214">
        <f>1/3</f>
        <v>0.33333333333333331</v>
      </c>
      <c r="K12" s="214">
        <f>1/3</f>
        <v>0.33333333333333331</v>
      </c>
      <c r="L12" s="214">
        <v>0</v>
      </c>
      <c r="M12" s="1084" t="s">
        <v>43</v>
      </c>
      <c r="N12" s="1084"/>
      <c r="O12" s="1084"/>
      <c r="P12" s="1084"/>
      <c r="Q12" s="1084"/>
      <c r="R12" s="1084"/>
      <c r="S12" s="1084"/>
    </row>
    <row r="13" spans="1:19">
      <c r="A13" s="213" t="s">
        <v>348</v>
      </c>
      <c r="B13" s="117" t="s">
        <v>884</v>
      </c>
      <c r="C13" s="117" t="s">
        <v>884</v>
      </c>
      <c r="D13" s="214">
        <v>0</v>
      </c>
      <c r="E13" s="214">
        <v>0</v>
      </c>
      <c r="F13" s="214">
        <f>1/3</f>
        <v>0.33333333333333331</v>
      </c>
      <c r="G13" s="214">
        <v>0</v>
      </c>
      <c r="H13" s="214">
        <v>0</v>
      </c>
      <c r="I13" s="214">
        <v>0</v>
      </c>
      <c r="J13" s="214">
        <f>1/3</f>
        <v>0.33333333333333331</v>
      </c>
      <c r="K13" s="214">
        <f>1/3</f>
        <v>0.33333333333333331</v>
      </c>
      <c r="L13" s="214">
        <v>0</v>
      </c>
      <c r="M13" s="1084" t="s">
        <v>43</v>
      </c>
      <c r="N13" s="1084"/>
      <c r="O13" s="1084"/>
      <c r="P13" s="1084"/>
      <c r="Q13" s="1084"/>
      <c r="R13" s="1084"/>
      <c r="S13" s="1084"/>
    </row>
    <row r="14" spans="1:19">
      <c r="A14" s="213" t="s">
        <v>890</v>
      </c>
      <c r="B14" s="117" t="s">
        <v>884</v>
      </c>
      <c r="C14" s="117" t="s">
        <v>884</v>
      </c>
      <c r="D14" s="214">
        <v>0</v>
      </c>
      <c r="E14" s="214">
        <v>0.02</v>
      </c>
      <c r="F14" s="214">
        <v>0.92</v>
      </c>
      <c r="G14" s="214">
        <v>0</v>
      </c>
      <c r="H14" s="214">
        <v>0</v>
      </c>
      <c r="I14" s="214">
        <v>0</v>
      </c>
      <c r="J14" s="214">
        <v>0.05</v>
      </c>
      <c r="K14" s="214">
        <v>0.01</v>
      </c>
      <c r="L14" s="214">
        <v>0</v>
      </c>
      <c r="M14" s="1084" t="s">
        <v>891</v>
      </c>
      <c r="N14" s="1084"/>
      <c r="O14" s="1084"/>
      <c r="P14" s="1084"/>
      <c r="Q14" s="1084"/>
      <c r="R14" s="1084"/>
      <c r="S14" s="1084"/>
    </row>
    <row r="15" spans="1:19">
      <c r="A15" s="213" t="s">
        <v>892</v>
      </c>
      <c r="B15" s="117" t="s">
        <v>884</v>
      </c>
      <c r="C15" s="117" t="s">
        <v>884</v>
      </c>
      <c r="D15" s="214">
        <v>0</v>
      </c>
      <c r="E15" s="214">
        <v>0</v>
      </c>
      <c r="F15" s="214">
        <f>1/3</f>
        <v>0.33333333333333331</v>
      </c>
      <c r="G15" s="214">
        <v>0</v>
      </c>
      <c r="H15" s="214">
        <v>0</v>
      </c>
      <c r="I15" s="214">
        <v>0</v>
      </c>
      <c r="J15" s="214">
        <f>1/3</f>
        <v>0.33333333333333331</v>
      </c>
      <c r="K15" s="214">
        <f>1/3</f>
        <v>0.33333333333333331</v>
      </c>
      <c r="L15" s="214">
        <v>0</v>
      </c>
      <c r="M15" s="1084" t="s">
        <v>43</v>
      </c>
      <c r="N15" s="1084"/>
      <c r="O15" s="1084"/>
      <c r="P15" s="1084"/>
      <c r="Q15" s="1084"/>
      <c r="R15" s="1084"/>
      <c r="S15" s="1084"/>
    </row>
    <row r="16" spans="1:19">
      <c r="A16" s="213" t="s">
        <v>238</v>
      </c>
      <c r="B16" s="117" t="s">
        <v>884</v>
      </c>
      <c r="C16" s="117" t="s">
        <v>884</v>
      </c>
      <c r="D16" s="214">
        <v>0</v>
      </c>
      <c r="E16" s="214">
        <v>0</v>
      </c>
      <c r="F16" s="214">
        <f>1/3</f>
        <v>0.33333333333333331</v>
      </c>
      <c r="G16" s="214">
        <v>0</v>
      </c>
      <c r="H16" s="214">
        <v>0</v>
      </c>
      <c r="I16" s="214">
        <v>0</v>
      </c>
      <c r="J16" s="214">
        <f>1/3</f>
        <v>0.33333333333333331</v>
      </c>
      <c r="K16" s="214">
        <f>1/3</f>
        <v>0.33333333333333331</v>
      </c>
      <c r="L16" s="214">
        <v>0</v>
      </c>
      <c r="M16" s="1084" t="s">
        <v>43</v>
      </c>
      <c r="N16" s="1084"/>
      <c r="O16" s="1084"/>
      <c r="P16" s="1084"/>
      <c r="Q16" s="1084"/>
      <c r="R16" s="1084"/>
      <c r="S16" s="1084"/>
    </row>
    <row r="17" spans="1:19">
      <c r="A17" s="213" t="s">
        <v>893</v>
      </c>
      <c r="B17" s="117" t="s">
        <v>884</v>
      </c>
      <c r="C17" s="117" t="s">
        <v>884</v>
      </c>
      <c r="D17" s="214">
        <v>0</v>
      </c>
      <c r="E17" s="214">
        <v>0</v>
      </c>
      <c r="F17" s="214">
        <v>0</v>
      </c>
      <c r="G17" s="214">
        <v>0</v>
      </c>
      <c r="H17" s="214">
        <v>0</v>
      </c>
      <c r="I17" s="214">
        <v>1</v>
      </c>
      <c r="J17" s="214">
        <v>0</v>
      </c>
      <c r="K17" s="214">
        <v>0</v>
      </c>
      <c r="L17" s="214">
        <v>0</v>
      </c>
      <c r="M17" s="1084" t="s">
        <v>43</v>
      </c>
      <c r="N17" s="1084"/>
      <c r="O17" s="1084"/>
      <c r="P17" s="1084"/>
      <c r="Q17" s="1084"/>
      <c r="R17" s="1084"/>
      <c r="S17" s="1084"/>
    </row>
    <row r="19" spans="1:19" s="6" customFormat="1" ht="30" customHeight="1">
      <c r="A19" s="1085" t="s">
        <v>767</v>
      </c>
      <c r="B19" s="1017"/>
      <c r="C19" s="1017"/>
      <c r="D19" s="1017"/>
      <c r="E19" s="1017"/>
      <c r="F19" s="1017"/>
      <c r="G19" s="1017"/>
      <c r="H19" s="1017"/>
      <c r="I19" s="1017"/>
      <c r="J19" s="1017"/>
      <c r="K19" s="1017"/>
      <c r="L19" s="1017"/>
      <c r="M19" s="1017"/>
      <c r="N19" s="1017"/>
      <c r="O19" s="1017"/>
      <c r="P19" s="1017"/>
      <c r="Q19" s="1017"/>
      <c r="R19" s="1017"/>
      <c r="S19" s="1017"/>
    </row>
    <row r="20" spans="1:19" ht="30" customHeight="1">
      <c r="A20" s="140" t="s">
        <v>100</v>
      </c>
      <c r="B20" s="140" t="s">
        <v>101</v>
      </c>
      <c r="C20" s="140" t="s">
        <v>131</v>
      </c>
      <c r="D20" s="140" t="s">
        <v>894</v>
      </c>
      <c r="E20" s="1052" t="s">
        <v>895</v>
      </c>
      <c r="F20" s="1052"/>
      <c r="G20" s="1061" t="s">
        <v>104</v>
      </c>
      <c r="H20" s="1067"/>
      <c r="I20" s="1052" t="s">
        <v>896</v>
      </c>
      <c r="J20" s="1052"/>
      <c r="K20" s="1052" t="s">
        <v>123</v>
      </c>
      <c r="L20" s="1052"/>
      <c r="M20" s="1052"/>
      <c r="N20" s="1052"/>
      <c r="O20" s="1052"/>
      <c r="P20" s="1052"/>
      <c r="Q20" s="1052"/>
      <c r="R20" s="1052"/>
      <c r="S20" s="1052"/>
    </row>
    <row r="21" spans="1:19">
      <c r="A21" s="213" t="s">
        <v>883</v>
      </c>
      <c r="B21" s="315">
        <v>2019</v>
      </c>
      <c r="C21" s="117" t="s">
        <v>180</v>
      </c>
      <c r="D21" s="184">
        <v>29.57</v>
      </c>
      <c r="E21" s="1082">
        <f>D21/$D$36</f>
        <v>7.2653562653562653E-2</v>
      </c>
      <c r="F21" s="1082"/>
      <c r="G21" s="1081" t="s">
        <v>897</v>
      </c>
      <c r="H21" s="1081"/>
      <c r="I21" s="1054"/>
      <c r="J21" s="1054"/>
      <c r="K21" s="1054"/>
      <c r="L21" s="1054"/>
      <c r="M21" s="1054"/>
      <c r="N21" s="1054"/>
      <c r="O21" s="1054"/>
      <c r="P21" s="1054"/>
      <c r="Q21" s="1054"/>
      <c r="R21" s="1054"/>
      <c r="S21" s="1054"/>
    </row>
    <row r="22" spans="1:19">
      <c r="A22" s="213" t="s">
        <v>886</v>
      </c>
      <c r="B22" s="315">
        <v>2017</v>
      </c>
      <c r="C22" s="117" t="s">
        <v>180</v>
      </c>
      <c r="D22" s="184">
        <v>1.63</v>
      </c>
      <c r="E22" s="1082">
        <f t="shared" ref="E22:E35" si="0">D22/$D$36</f>
        <v>4.004914004914005E-3</v>
      </c>
      <c r="F22" s="1082"/>
      <c r="G22" s="1081" t="s">
        <v>43</v>
      </c>
      <c r="H22" s="1081"/>
      <c r="I22" s="1054"/>
      <c r="J22" s="1054"/>
      <c r="K22" s="1054"/>
      <c r="L22" s="1054"/>
      <c r="M22" s="1054"/>
      <c r="N22" s="1054"/>
      <c r="O22" s="1054"/>
      <c r="P22" s="1054"/>
      <c r="Q22" s="1054"/>
      <c r="R22" s="1054"/>
      <c r="S22" s="1054"/>
    </row>
    <row r="23" spans="1:19">
      <c r="A23" s="213" t="s">
        <v>337</v>
      </c>
      <c r="B23" s="315">
        <v>2017</v>
      </c>
      <c r="C23" s="117" t="s">
        <v>180</v>
      </c>
      <c r="D23" s="184">
        <v>5.7</v>
      </c>
      <c r="E23" s="1082">
        <f t="shared" si="0"/>
        <v>1.4004914004914005E-2</v>
      </c>
      <c r="F23" s="1082"/>
      <c r="G23" s="1081" t="s">
        <v>43</v>
      </c>
      <c r="H23" s="1081"/>
      <c r="I23" s="1054"/>
      <c r="J23" s="1054"/>
      <c r="K23" s="1054"/>
      <c r="L23" s="1054"/>
      <c r="M23" s="1054"/>
      <c r="N23" s="1054"/>
      <c r="O23" s="1054"/>
      <c r="P23" s="1054"/>
      <c r="Q23" s="1054"/>
      <c r="R23" s="1054"/>
      <c r="S23" s="1054"/>
    </row>
    <row r="24" spans="1:19">
      <c r="A24" s="213" t="s">
        <v>241</v>
      </c>
      <c r="B24" s="315">
        <v>2017</v>
      </c>
      <c r="C24" s="117" t="s">
        <v>180</v>
      </c>
      <c r="D24" s="184">
        <v>1.22</v>
      </c>
      <c r="E24" s="1082">
        <f t="shared" si="0"/>
        <v>2.9975429975429976E-3</v>
      </c>
      <c r="F24" s="1082"/>
      <c r="G24" s="1081" t="s">
        <v>43</v>
      </c>
      <c r="H24" s="1081"/>
      <c r="I24" s="1054"/>
      <c r="J24" s="1054"/>
      <c r="K24" s="1054"/>
      <c r="L24" s="1054"/>
      <c r="M24" s="1054"/>
      <c r="N24" s="1054"/>
      <c r="O24" s="1054"/>
      <c r="P24" s="1054"/>
      <c r="Q24" s="1054"/>
      <c r="R24" s="1054"/>
      <c r="S24" s="1054"/>
    </row>
    <row r="25" spans="1:19">
      <c r="A25" s="213" t="s">
        <v>239</v>
      </c>
      <c r="B25" s="315">
        <v>2017</v>
      </c>
      <c r="C25" s="117" t="s">
        <v>180</v>
      </c>
      <c r="D25" s="184">
        <v>0.41</v>
      </c>
      <c r="E25" s="1082">
        <f t="shared" si="0"/>
        <v>1.0073710073710074E-3</v>
      </c>
      <c r="F25" s="1082"/>
      <c r="G25" s="1081" t="s">
        <v>43</v>
      </c>
      <c r="H25" s="1081"/>
      <c r="I25" s="1054"/>
      <c r="J25" s="1054"/>
      <c r="K25" s="1054"/>
      <c r="L25" s="1054"/>
      <c r="M25" s="1054"/>
      <c r="N25" s="1054"/>
      <c r="O25" s="1054"/>
      <c r="P25" s="1054"/>
      <c r="Q25" s="1054"/>
      <c r="R25" s="1054"/>
      <c r="S25" s="1054"/>
    </row>
    <row r="26" spans="1:19">
      <c r="A26" s="213" t="s">
        <v>240</v>
      </c>
      <c r="B26" s="315">
        <v>2017</v>
      </c>
      <c r="C26" s="117" t="s">
        <v>180</v>
      </c>
      <c r="D26" s="184">
        <v>10.58</v>
      </c>
      <c r="E26" s="1082">
        <f t="shared" si="0"/>
        <v>2.5995085995085994E-2</v>
      </c>
      <c r="F26" s="1082"/>
      <c r="G26" s="1081" t="s">
        <v>43</v>
      </c>
      <c r="H26" s="1081"/>
      <c r="I26" s="1054"/>
      <c r="J26" s="1054"/>
      <c r="K26" s="1054"/>
      <c r="L26" s="1054"/>
      <c r="M26" s="1054"/>
      <c r="N26" s="1054"/>
      <c r="O26" s="1054"/>
      <c r="P26" s="1054"/>
      <c r="Q26" s="1054"/>
      <c r="R26" s="1054"/>
      <c r="S26" s="1054"/>
    </row>
    <row r="27" spans="1:19">
      <c r="A27" s="213" t="s">
        <v>191</v>
      </c>
      <c r="B27" s="315">
        <v>2019</v>
      </c>
      <c r="C27" s="117" t="s">
        <v>180</v>
      </c>
      <c r="D27" s="184">
        <v>28.97</v>
      </c>
      <c r="E27" s="1082">
        <f t="shared" si="0"/>
        <v>7.1179361179361175E-2</v>
      </c>
      <c r="F27" s="1082"/>
      <c r="G27" s="1081" t="s">
        <v>897</v>
      </c>
      <c r="H27" s="1081"/>
      <c r="I27" s="1054"/>
      <c r="J27" s="1054"/>
      <c r="K27" s="1054"/>
      <c r="L27" s="1054"/>
      <c r="M27" s="1054"/>
      <c r="N27" s="1054"/>
      <c r="O27" s="1054"/>
      <c r="P27" s="1054"/>
      <c r="Q27" s="1054"/>
      <c r="R27" s="1054"/>
      <c r="S27" s="1054"/>
    </row>
    <row r="28" spans="1:19">
      <c r="A28" s="213" t="s">
        <v>356</v>
      </c>
      <c r="B28" s="315">
        <v>2019</v>
      </c>
      <c r="C28" s="117" t="s">
        <v>180</v>
      </c>
      <c r="D28" s="184">
        <v>108.41</v>
      </c>
      <c r="E28" s="1082">
        <f t="shared" si="0"/>
        <v>0.26636363636363636</v>
      </c>
      <c r="F28" s="1082"/>
      <c r="G28" s="1081" t="s">
        <v>897</v>
      </c>
      <c r="H28" s="1081"/>
      <c r="I28" s="1054"/>
      <c r="J28" s="1054"/>
      <c r="K28" s="1054"/>
      <c r="L28" s="1054"/>
      <c r="M28" s="1054"/>
      <c r="N28" s="1054"/>
      <c r="O28" s="1054"/>
      <c r="P28" s="1054"/>
      <c r="Q28" s="1054"/>
      <c r="R28" s="1054"/>
      <c r="S28" s="1054"/>
    </row>
    <row r="29" spans="1:19">
      <c r="A29" s="213" t="s">
        <v>346</v>
      </c>
      <c r="B29" s="117">
        <v>2017</v>
      </c>
      <c r="C29" s="117" t="s">
        <v>180</v>
      </c>
      <c r="D29" s="184">
        <v>56.98</v>
      </c>
      <c r="E29" s="1082">
        <f>D29/$D$36</f>
        <v>0.13999999999999999</v>
      </c>
      <c r="F29" s="1082"/>
      <c r="G29" s="1081" t="s">
        <v>43</v>
      </c>
      <c r="H29" s="1081"/>
      <c r="I29" s="1054"/>
      <c r="J29" s="1054"/>
      <c r="K29" s="1054"/>
      <c r="L29" s="1054"/>
      <c r="M29" s="1054"/>
      <c r="N29" s="1054"/>
      <c r="O29" s="1054"/>
      <c r="P29" s="1054"/>
      <c r="Q29" s="1054"/>
      <c r="R29" s="1054"/>
      <c r="S29" s="1054"/>
    </row>
    <row r="30" spans="1:19">
      <c r="A30" s="213" t="s">
        <v>889</v>
      </c>
      <c r="B30" s="117">
        <v>2017</v>
      </c>
      <c r="C30" s="117" t="s">
        <v>180</v>
      </c>
      <c r="D30" s="184">
        <v>40.29</v>
      </c>
      <c r="E30" s="1082">
        <f t="shared" si="0"/>
        <v>9.8992628992628992E-2</v>
      </c>
      <c r="F30" s="1082"/>
      <c r="G30" s="1081" t="s">
        <v>43</v>
      </c>
      <c r="H30" s="1081"/>
      <c r="I30" s="1054"/>
      <c r="J30" s="1054"/>
      <c r="K30" s="1054"/>
      <c r="L30" s="1054"/>
      <c r="M30" s="1054"/>
      <c r="N30" s="1054"/>
      <c r="O30" s="1054"/>
      <c r="P30" s="1054"/>
      <c r="Q30" s="1054"/>
      <c r="R30" s="1054"/>
      <c r="S30" s="1054"/>
    </row>
    <row r="31" spans="1:19">
      <c r="A31" s="213" t="s">
        <v>348</v>
      </c>
      <c r="B31" s="117">
        <v>2017</v>
      </c>
      <c r="C31" s="117" t="s">
        <v>180</v>
      </c>
      <c r="D31" s="184">
        <v>47.62</v>
      </c>
      <c r="E31" s="1082">
        <f t="shared" si="0"/>
        <v>0.117002457002457</v>
      </c>
      <c r="F31" s="1082"/>
      <c r="G31" s="1081" t="s">
        <v>43</v>
      </c>
      <c r="H31" s="1081"/>
      <c r="I31" s="1054"/>
      <c r="J31" s="1054"/>
      <c r="K31" s="1054"/>
      <c r="L31" s="1054"/>
      <c r="M31" s="1054"/>
      <c r="N31" s="1054"/>
      <c r="O31" s="1054"/>
      <c r="P31" s="1054"/>
      <c r="Q31" s="1054"/>
      <c r="R31" s="1054"/>
      <c r="S31" s="1054"/>
    </row>
    <row r="32" spans="1:19">
      <c r="A32" s="213" t="s">
        <v>890</v>
      </c>
      <c r="B32" s="117">
        <v>2022</v>
      </c>
      <c r="C32" s="117" t="s">
        <v>180</v>
      </c>
      <c r="D32" s="184">
        <v>11.4</v>
      </c>
      <c r="E32" s="1082">
        <f t="shared" si="0"/>
        <v>2.800982800982801E-2</v>
      </c>
      <c r="F32" s="1082"/>
      <c r="G32" s="1081" t="s">
        <v>898</v>
      </c>
      <c r="H32" s="1081"/>
      <c r="I32" s="1054"/>
      <c r="J32" s="1054"/>
      <c r="K32" s="1054"/>
      <c r="L32" s="1054"/>
      <c r="M32" s="1054"/>
      <c r="N32" s="1054"/>
      <c r="O32" s="1054"/>
      <c r="P32" s="1054"/>
      <c r="Q32" s="1054"/>
      <c r="R32" s="1054"/>
      <c r="S32" s="1054"/>
    </row>
    <row r="33" spans="1:32">
      <c r="A33" s="213" t="s">
        <v>892</v>
      </c>
      <c r="B33" s="117">
        <v>2017</v>
      </c>
      <c r="C33" s="117" t="s">
        <v>180</v>
      </c>
      <c r="D33" s="184">
        <v>15.06</v>
      </c>
      <c r="E33" s="1082">
        <f t="shared" si="0"/>
        <v>3.7002457002457002E-2</v>
      </c>
      <c r="F33" s="1082"/>
      <c r="G33" s="1081" t="s">
        <v>43</v>
      </c>
      <c r="H33" s="1081"/>
      <c r="I33" s="1054"/>
      <c r="J33" s="1054"/>
      <c r="K33" s="1054"/>
      <c r="L33" s="1054"/>
      <c r="M33" s="1054"/>
      <c r="N33" s="1054"/>
      <c r="O33" s="1054"/>
      <c r="P33" s="1054"/>
      <c r="Q33" s="1054"/>
      <c r="R33" s="1054"/>
      <c r="S33" s="1054"/>
    </row>
    <row r="34" spans="1:32">
      <c r="A34" s="213" t="s">
        <v>238</v>
      </c>
      <c r="B34" s="117">
        <v>2017</v>
      </c>
      <c r="C34" s="117" t="s">
        <v>180</v>
      </c>
      <c r="D34" s="184">
        <f>D36-(SUM(D21:D33,D35))</f>
        <v>38.980000000000018</v>
      </c>
      <c r="E34" s="1082">
        <f t="shared" si="0"/>
        <v>9.5773955773955824E-2</v>
      </c>
      <c r="F34" s="1082"/>
      <c r="G34" s="1081"/>
      <c r="H34" s="1081"/>
      <c r="I34" s="1054"/>
      <c r="J34" s="1054"/>
      <c r="K34" s="1054" t="s">
        <v>899</v>
      </c>
      <c r="L34" s="1054"/>
      <c r="M34" s="1054"/>
      <c r="N34" s="1054"/>
      <c r="O34" s="1054"/>
      <c r="P34" s="1054"/>
      <c r="Q34" s="1054"/>
      <c r="R34" s="1054"/>
      <c r="S34" s="1054"/>
    </row>
    <row r="35" spans="1:32">
      <c r="A35" s="213" t="s">
        <v>893</v>
      </c>
      <c r="B35" s="117">
        <v>2017</v>
      </c>
      <c r="C35" s="117" t="s">
        <v>180</v>
      </c>
      <c r="D35" s="184">
        <v>10.18</v>
      </c>
      <c r="E35" s="1082">
        <f t="shared" si="0"/>
        <v>2.5012285012285012E-2</v>
      </c>
      <c r="F35" s="1082"/>
      <c r="G35" s="1081" t="s">
        <v>43</v>
      </c>
      <c r="H35" s="1081"/>
      <c r="I35" s="1054"/>
      <c r="J35" s="1054"/>
      <c r="K35" s="1054"/>
      <c r="L35" s="1054"/>
      <c r="M35" s="1054"/>
      <c r="N35" s="1054"/>
      <c r="O35" s="1054"/>
      <c r="P35" s="1054"/>
      <c r="Q35" s="1054"/>
      <c r="R35" s="1054"/>
      <c r="S35" s="1054"/>
    </row>
    <row r="36" spans="1:32">
      <c r="A36" s="138" t="s">
        <v>900</v>
      </c>
      <c r="B36" s="127">
        <v>2017</v>
      </c>
      <c r="C36" s="127" t="s">
        <v>180</v>
      </c>
      <c r="D36" s="137">
        <v>407</v>
      </c>
      <c r="E36" s="1083">
        <f>SUM(E21:E35)</f>
        <v>1</v>
      </c>
      <c r="F36" s="1083"/>
      <c r="G36" s="1081"/>
      <c r="H36" s="1081"/>
      <c r="I36" s="1054"/>
      <c r="J36" s="1054"/>
      <c r="K36" s="1054"/>
      <c r="L36" s="1054"/>
      <c r="M36" s="1054"/>
      <c r="N36" s="1054"/>
      <c r="O36" s="1054"/>
      <c r="P36" s="1054"/>
      <c r="Q36" s="1054"/>
      <c r="R36" s="1054"/>
      <c r="S36" s="1054"/>
    </row>
    <row r="38" spans="1:32" ht="30" customHeight="1">
      <c r="A38" s="140" t="s">
        <v>901</v>
      </c>
      <c r="B38" s="140" t="s">
        <v>101</v>
      </c>
      <c r="C38" s="140" t="s">
        <v>131</v>
      </c>
      <c r="D38" s="190" t="s">
        <v>902</v>
      </c>
      <c r="E38" s="190" t="s">
        <v>903</v>
      </c>
      <c r="F38" s="190" t="s">
        <v>904</v>
      </c>
      <c r="G38" s="190" t="s">
        <v>905</v>
      </c>
      <c r="H38" s="190" t="s">
        <v>906</v>
      </c>
      <c r="I38" s="190" t="s">
        <v>907</v>
      </c>
      <c r="J38" s="190" t="s">
        <v>908</v>
      </c>
      <c r="K38" s="190" t="s">
        <v>909</v>
      </c>
      <c r="L38" s="190" t="s">
        <v>910</v>
      </c>
      <c r="M38" s="1052" t="s">
        <v>123</v>
      </c>
      <c r="N38" s="1052"/>
      <c r="O38" s="1052"/>
      <c r="P38" s="1052"/>
      <c r="Q38" s="1052"/>
      <c r="R38" s="1052"/>
      <c r="S38" s="1052"/>
    </row>
    <row r="39" spans="1:32">
      <c r="A39" s="213" t="s">
        <v>108</v>
      </c>
      <c r="B39" s="117">
        <v>2019</v>
      </c>
      <c r="C39" s="117" t="s">
        <v>180</v>
      </c>
      <c r="D39" s="184">
        <f>$D21*D3</f>
        <v>0</v>
      </c>
      <c r="E39" s="184">
        <f>$D21*E3</f>
        <v>0.29570000000000002</v>
      </c>
      <c r="F39" s="184">
        <f>$D21*F3</f>
        <v>0.29570000000000002</v>
      </c>
      <c r="G39" s="184">
        <f>D21*G3</f>
        <v>0</v>
      </c>
      <c r="H39" s="184">
        <f>D21*H3</f>
        <v>0</v>
      </c>
      <c r="I39" s="184">
        <f>D21*I3</f>
        <v>0</v>
      </c>
      <c r="J39" s="184">
        <f>D21*J3</f>
        <v>22.768900000000002</v>
      </c>
      <c r="K39" s="184">
        <f>D21*K3</f>
        <v>3.5484</v>
      </c>
      <c r="L39" s="184">
        <f>D21*L3</f>
        <v>2.6612999999999998</v>
      </c>
      <c r="M39" s="1063" t="s">
        <v>911</v>
      </c>
      <c r="N39" s="1063"/>
      <c r="O39" s="1063"/>
      <c r="P39" s="1063"/>
      <c r="Q39" s="1063"/>
      <c r="R39" s="1063"/>
      <c r="S39" s="1063"/>
    </row>
    <row r="40" spans="1:32">
      <c r="A40" s="213" t="s">
        <v>112</v>
      </c>
      <c r="B40" s="117">
        <v>2017</v>
      </c>
      <c r="C40" s="117" t="s">
        <v>180</v>
      </c>
      <c r="D40" s="184">
        <f t="shared" ref="D40:L40" si="1">$D22*D4+$D23*D5+$D24*D6+$D25*D7+$D26*D8+$D27*D9</f>
        <v>0</v>
      </c>
      <c r="E40" s="184">
        <f t="shared" si="1"/>
        <v>7.2763666666666662</v>
      </c>
      <c r="F40" s="184">
        <f t="shared" si="1"/>
        <v>4.2263666666666664</v>
      </c>
      <c r="G40" s="184">
        <f t="shared" si="1"/>
        <v>0</v>
      </c>
      <c r="H40" s="184">
        <f t="shared" si="1"/>
        <v>0</v>
      </c>
      <c r="I40" s="184">
        <f t="shared" si="1"/>
        <v>0</v>
      </c>
      <c r="J40" s="184">
        <f t="shared" si="1"/>
        <v>30.108566666666665</v>
      </c>
      <c r="K40" s="184">
        <f t="shared" si="1"/>
        <v>4.2913999999999994</v>
      </c>
      <c r="L40" s="184">
        <f t="shared" si="1"/>
        <v>2.6073</v>
      </c>
      <c r="M40" s="1068" t="s">
        <v>912</v>
      </c>
      <c r="N40" s="1069"/>
      <c r="O40" s="1069"/>
      <c r="P40" s="1069"/>
      <c r="Q40" s="1069"/>
      <c r="R40" s="1069"/>
      <c r="S40" s="1070"/>
    </row>
    <row r="41" spans="1:32">
      <c r="A41" s="213" t="s">
        <v>121</v>
      </c>
      <c r="B41" s="117">
        <v>2017</v>
      </c>
      <c r="C41" s="117" t="s">
        <v>180</v>
      </c>
      <c r="D41" s="184">
        <f t="shared" ref="D41:L41" si="2">$D28*D10+$D29*D11+$D30*D12+$D31*D13+$D32*D14+$D33*D15+$D34*D16+$D35*D17</f>
        <v>0</v>
      </c>
      <c r="E41" s="184">
        <f t="shared" si="2"/>
        <v>0.22800000000000001</v>
      </c>
      <c r="F41" s="184">
        <f>$D28*F10+$D29*F11+$D30*F12+$D31*F13+$D32*F14+$D33*F15+$D34*F16+$D35*F17</f>
        <v>93.731666666666669</v>
      </c>
      <c r="G41" s="184">
        <f t="shared" si="2"/>
        <v>0</v>
      </c>
      <c r="H41" s="184">
        <f t="shared" si="2"/>
        <v>0</v>
      </c>
      <c r="I41" s="184">
        <f t="shared" si="2"/>
        <v>10.18</v>
      </c>
      <c r="J41" s="184">
        <f t="shared" si="2"/>
        <v>89.234166666666653</v>
      </c>
      <c r="K41" s="184">
        <f t="shared" si="2"/>
        <v>115.88066666666667</v>
      </c>
      <c r="L41" s="184">
        <f t="shared" si="2"/>
        <v>19.665500000000002</v>
      </c>
      <c r="M41" s="1068" t="s">
        <v>913</v>
      </c>
      <c r="N41" s="1069"/>
      <c r="O41" s="1069"/>
      <c r="P41" s="1069"/>
      <c r="Q41" s="1069"/>
      <c r="R41" s="1069"/>
      <c r="S41" s="1070"/>
    </row>
    <row r="42" spans="1:32">
      <c r="A42" s="1060" t="s">
        <v>914</v>
      </c>
      <c r="B42" s="1060"/>
      <c r="C42" s="1060"/>
      <c r="D42" s="1060"/>
      <c r="E42" s="1060"/>
      <c r="F42" s="1060"/>
      <c r="G42" s="1060"/>
      <c r="H42" s="1060"/>
      <c r="I42" s="1060"/>
      <c r="J42" s="1060"/>
      <c r="K42" s="1060"/>
      <c r="L42" s="1060"/>
      <c r="M42" s="1060"/>
      <c r="N42" s="1060"/>
      <c r="O42" s="1060"/>
      <c r="P42" s="1060"/>
      <c r="Q42" s="1060"/>
      <c r="R42" s="1060"/>
      <c r="S42" s="1060"/>
      <c r="AD42" s="6"/>
      <c r="AE42" s="6"/>
      <c r="AF42" s="6"/>
    </row>
    <row r="43" spans="1:32" ht="30" customHeight="1">
      <c r="A43" s="215"/>
      <c r="B43" s="140" t="s">
        <v>101</v>
      </c>
      <c r="C43" s="140" t="s">
        <v>131</v>
      </c>
      <c r="D43" s="1061" t="s">
        <v>915</v>
      </c>
      <c r="E43" s="1067"/>
      <c r="F43" s="1062"/>
      <c r="G43" s="1061" t="s">
        <v>916</v>
      </c>
      <c r="H43" s="1067"/>
      <c r="I43" s="1062"/>
      <c r="J43" s="1061" t="s">
        <v>917</v>
      </c>
      <c r="K43" s="1067"/>
      <c r="L43" s="1062"/>
      <c r="M43" s="1052" t="s">
        <v>123</v>
      </c>
      <c r="N43" s="1052"/>
      <c r="O43" s="1052"/>
      <c r="P43" s="1052"/>
      <c r="Q43" s="1052"/>
      <c r="R43" s="1052"/>
      <c r="S43" s="1052"/>
      <c r="AD43" s="6"/>
      <c r="AE43" s="6"/>
      <c r="AF43" s="6"/>
    </row>
    <row r="44" spans="1:32">
      <c r="A44" s="142" t="s">
        <v>85</v>
      </c>
      <c r="B44" s="117"/>
      <c r="C44" s="117" t="s">
        <v>180</v>
      </c>
      <c r="D44" s="1071">
        <f>D39</f>
        <v>0</v>
      </c>
      <c r="E44" s="1072"/>
      <c r="F44" s="1073"/>
      <c r="G44" s="1064">
        <f>D40</f>
        <v>0</v>
      </c>
      <c r="H44" s="1065"/>
      <c r="I44" s="1066"/>
      <c r="J44" s="1064">
        <f>D41</f>
        <v>0</v>
      </c>
      <c r="K44" s="1065"/>
      <c r="L44" s="1066"/>
      <c r="M44" s="1063"/>
      <c r="N44" s="1063"/>
      <c r="O44" s="1063"/>
      <c r="P44" s="1063"/>
      <c r="Q44" s="1063"/>
      <c r="R44" s="1063"/>
      <c r="S44" s="1063"/>
    </row>
    <row r="45" spans="1:32">
      <c r="A45" s="142" t="s">
        <v>86</v>
      </c>
      <c r="B45" s="117"/>
      <c r="C45" s="117" t="s">
        <v>180</v>
      </c>
      <c r="D45" s="1071">
        <f>E39</f>
        <v>0.29570000000000002</v>
      </c>
      <c r="E45" s="1072"/>
      <c r="F45" s="1073"/>
      <c r="G45" s="1064">
        <f>E40</f>
        <v>7.2763666666666662</v>
      </c>
      <c r="H45" s="1065"/>
      <c r="I45" s="1066"/>
      <c r="J45" s="1064">
        <f>E41</f>
        <v>0.22800000000000001</v>
      </c>
      <c r="K45" s="1065"/>
      <c r="L45" s="1066"/>
      <c r="M45" s="1063"/>
      <c r="N45" s="1063"/>
      <c r="O45" s="1063"/>
      <c r="P45" s="1063"/>
      <c r="Q45" s="1063"/>
      <c r="R45" s="1063"/>
      <c r="S45" s="1063"/>
    </row>
    <row r="46" spans="1:32">
      <c r="A46" s="142" t="s">
        <v>87</v>
      </c>
      <c r="B46" s="117"/>
      <c r="C46" s="117" t="s">
        <v>180</v>
      </c>
      <c r="D46" s="1071">
        <f>F39</f>
        <v>0.29570000000000002</v>
      </c>
      <c r="E46" s="1072"/>
      <c r="F46" s="1073"/>
      <c r="G46" s="1064">
        <f>F40</f>
        <v>4.2263666666666664</v>
      </c>
      <c r="H46" s="1065"/>
      <c r="I46" s="1066"/>
      <c r="J46" s="1064">
        <f>F41</f>
        <v>93.731666666666669</v>
      </c>
      <c r="K46" s="1065"/>
      <c r="L46" s="1066"/>
      <c r="M46" s="1063"/>
      <c r="N46" s="1063"/>
      <c r="O46" s="1063"/>
      <c r="P46" s="1063"/>
      <c r="Q46" s="1063"/>
      <c r="R46" s="1063"/>
      <c r="S46" s="1063"/>
    </row>
    <row r="47" spans="1:32">
      <c r="A47" s="142" t="s">
        <v>88</v>
      </c>
      <c r="B47" s="117"/>
      <c r="C47" s="117" t="s">
        <v>180</v>
      </c>
      <c r="D47" s="1071">
        <f>G39</f>
        <v>0</v>
      </c>
      <c r="E47" s="1072"/>
      <c r="F47" s="1073"/>
      <c r="G47" s="1064">
        <f>G40</f>
        <v>0</v>
      </c>
      <c r="H47" s="1065"/>
      <c r="I47" s="1066"/>
      <c r="J47" s="1064">
        <f>G41</f>
        <v>0</v>
      </c>
      <c r="K47" s="1065"/>
      <c r="L47" s="1066"/>
      <c r="M47" s="1063"/>
      <c r="N47" s="1063"/>
      <c r="O47" s="1063"/>
      <c r="P47" s="1063"/>
      <c r="Q47" s="1063"/>
      <c r="R47" s="1063"/>
      <c r="S47" s="1063"/>
    </row>
    <row r="48" spans="1:32">
      <c r="A48" s="142" t="s">
        <v>89</v>
      </c>
      <c r="B48" s="117"/>
      <c r="C48" s="117" t="s">
        <v>180</v>
      </c>
      <c r="D48" s="1071">
        <f>H39</f>
        <v>0</v>
      </c>
      <c r="E48" s="1072"/>
      <c r="F48" s="1073"/>
      <c r="G48" s="1064">
        <f>H40</f>
        <v>0</v>
      </c>
      <c r="H48" s="1065"/>
      <c r="I48" s="1066"/>
      <c r="J48" s="1064">
        <f>H41</f>
        <v>0</v>
      </c>
      <c r="K48" s="1065"/>
      <c r="L48" s="1066"/>
      <c r="M48" s="1063"/>
      <c r="N48" s="1063"/>
      <c r="O48" s="1063"/>
      <c r="P48" s="1063"/>
      <c r="Q48" s="1063"/>
      <c r="R48" s="1063"/>
      <c r="S48" s="1063"/>
    </row>
    <row r="49" spans="1:19">
      <c r="A49" s="142" t="s">
        <v>90</v>
      </c>
      <c r="B49" s="117"/>
      <c r="C49" s="117" t="s">
        <v>180</v>
      </c>
      <c r="D49" s="1071">
        <f>I39</f>
        <v>0</v>
      </c>
      <c r="E49" s="1072"/>
      <c r="F49" s="1073"/>
      <c r="G49" s="1064">
        <f>I40</f>
        <v>0</v>
      </c>
      <c r="H49" s="1065"/>
      <c r="I49" s="1066"/>
      <c r="J49" s="1064">
        <f>I41</f>
        <v>10.18</v>
      </c>
      <c r="K49" s="1065"/>
      <c r="L49" s="1066"/>
      <c r="M49" s="1063"/>
      <c r="N49" s="1063"/>
      <c r="O49" s="1063"/>
      <c r="P49" s="1063"/>
      <c r="Q49" s="1063"/>
      <c r="R49" s="1063"/>
      <c r="S49" s="1063"/>
    </row>
    <row r="50" spans="1:19">
      <c r="A50" s="142" t="s">
        <v>91</v>
      </c>
      <c r="B50" s="117"/>
      <c r="C50" s="117" t="s">
        <v>180</v>
      </c>
      <c r="D50" s="1071">
        <f>J39</f>
        <v>22.768900000000002</v>
      </c>
      <c r="E50" s="1072"/>
      <c r="F50" s="1073"/>
      <c r="G50" s="1064">
        <f>J40</f>
        <v>30.108566666666665</v>
      </c>
      <c r="H50" s="1065"/>
      <c r="I50" s="1066"/>
      <c r="J50" s="1064">
        <f>J41</f>
        <v>89.234166666666653</v>
      </c>
      <c r="K50" s="1065"/>
      <c r="L50" s="1066"/>
      <c r="M50" s="1063"/>
      <c r="N50" s="1063"/>
      <c r="O50" s="1063"/>
      <c r="P50" s="1063"/>
      <c r="Q50" s="1063"/>
      <c r="R50" s="1063"/>
      <c r="S50" s="1063"/>
    </row>
    <row r="51" spans="1:19">
      <c r="A51" s="216" t="s">
        <v>95</v>
      </c>
      <c r="B51" s="117"/>
      <c r="C51" s="117" t="s">
        <v>180</v>
      </c>
      <c r="D51" s="1071">
        <f>K39</f>
        <v>3.5484</v>
      </c>
      <c r="E51" s="1072"/>
      <c r="F51" s="1073"/>
      <c r="G51" s="1064">
        <f>K40</f>
        <v>4.2913999999999994</v>
      </c>
      <c r="H51" s="1065"/>
      <c r="I51" s="1066"/>
      <c r="J51" s="1064">
        <f>K41</f>
        <v>115.88066666666667</v>
      </c>
      <c r="K51" s="1065"/>
      <c r="L51" s="1066"/>
      <c r="M51" s="1063"/>
      <c r="N51" s="1063"/>
      <c r="O51" s="1063"/>
      <c r="P51" s="1063"/>
      <c r="Q51" s="1063"/>
      <c r="R51" s="1063"/>
      <c r="S51" s="1063"/>
    </row>
    <row r="52" spans="1:19">
      <c r="A52" s="142" t="s">
        <v>882</v>
      </c>
      <c r="B52" s="117"/>
      <c r="C52" s="117" t="s">
        <v>180</v>
      </c>
      <c r="D52" s="1071">
        <f>L39</f>
        <v>2.6612999999999998</v>
      </c>
      <c r="E52" s="1072"/>
      <c r="F52" s="1073"/>
      <c r="G52" s="1064">
        <f>L40</f>
        <v>2.6073</v>
      </c>
      <c r="H52" s="1065"/>
      <c r="I52" s="1066"/>
      <c r="J52" s="1064">
        <f>L41</f>
        <v>19.665500000000002</v>
      </c>
      <c r="K52" s="1065"/>
      <c r="L52" s="1066"/>
      <c r="M52" s="1063"/>
      <c r="N52" s="1063"/>
      <c r="O52" s="1063"/>
      <c r="P52" s="1063"/>
      <c r="Q52" s="1063"/>
      <c r="R52" s="1063"/>
      <c r="S52" s="1063"/>
    </row>
    <row r="54" spans="1:19" ht="30" customHeight="1">
      <c r="A54" s="140" t="s">
        <v>100</v>
      </c>
      <c r="B54" s="140" t="s">
        <v>101</v>
      </c>
      <c r="C54" s="140" t="s">
        <v>131</v>
      </c>
      <c r="D54" s="190" t="s">
        <v>902</v>
      </c>
      <c r="E54" s="190" t="s">
        <v>903</v>
      </c>
      <c r="F54" s="190" t="s">
        <v>904</v>
      </c>
      <c r="G54" s="190" t="s">
        <v>905</v>
      </c>
      <c r="H54" s="190" t="s">
        <v>906</v>
      </c>
      <c r="I54" s="190" t="s">
        <v>907</v>
      </c>
      <c r="J54" s="190" t="s">
        <v>908</v>
      </c>
      <c r="K54" s="190" t="s">
        <v>909</v>
      </c>
      <c r="L54" s="190" t="s">
        <v>910</v>
      </c>
      <c r="M54" s="1052" t="s">
        <v>123</v>
      </c>
      <c r="N54" s="1052"/>
      <c r="O54" s="1052"/>
      <c r="P54" s="1052"/>
      <c r="Q54" s="1052"/>
      <c r="R54" s="1052"/>
      <c r="S54" s="1052"/>
    </row>
    <row r="55" spans="1:19">
      <c r="A55" s="213" t="s">
        <v>883</v>
      </c>
      <c r="B55" s="117">
        <v>2017</v>
      </c>
      <c r="C55" s="117" t="s">
        <v>180</v>
      </c>
      <c r="D55" s="184">
        <f t="shared" ref="D55:L55" si="3">$D21*D3</f>
        <v>0</v>
      </c>
      <c r="E55" s="184">
        <f t="shared" si="3"/>
        <v>0.29570000000000002</v>
      </c>
      <c r="F55" s="184">
        <f t="shared" si="3"/>
        <v>0.29570000000000002</v>
      </c>
      <c r="G55" s="184">
        <f t="shared" si="3"/>
        <v>0</v>
      </c>
      <c r="H55" s="184">
        <f t="shared" si="3"/>
        <v>0</v>
      </c>
      <c r="I55" s="184">
        <f t="shared" si="3"/>
        <v>0</v>
      </c>
      <c r="J55" s="184">
        <f t="shared" si="3"/>
        <v>22.768900000000002</v>
      </c>
      <c r="K55" s="184">
        <f t="shared" si="3"/>
        <v>3.5484</v>
      </c>
      <c r="L55" s="184">
        <f t="shared" si="3"/>
        <v>2.6612999999999998</v>
      </c>
      <c r="M55" s="1063"/>
      <c r="N55" s="1063"/>
      <c r="O55" s="1063"/>
      <c r="P55" s="1063"/>
      <c r="Q55" s="1063"/>
      <c r="R55" s="1063"/>
      <c r="S55" s="1063"/>
    </row>
    <row r="56" spans="1:19">
      <c r="A56" s="213" t="s">
        <v>886</v>
      </c>
      <c r="B56" s="117">
        <v>2017</v>
      </c>
      <c r="C56" s="117" t="s">
        <v>180</v>
      </c>
      <c r="D56" s="184">
        <f t="shared" ref="D56:L56" si="4">$D22*D4</f>
        <v>0</v>
      </c>
      <c r="E56" s="184">
        <f t="shared" si="4"/>
        <v>0</v>
      </c>
      <c r="F56" s="184">
        <f t="shared" si="4"/>
        <v>0</v>
      </c>
      <c r="G56" s="184">
        <f t="shared" si="4"/>
        <v>0</v>
      </c>
      <c r="H56" s="184">
        <f t="shared" si="4"/>
        <v>0</v>
      </c>
      <c r="I56" s="184">
        <f t="shared" si="4"/>
        <v>0</v>
      </c>
      <c r="J56" s="184">
        <f t="shared" si="4"/>
        <v>0.81499999999999995</v>
      </c>
      <c r="K56" s="184">
        <f t="shared" si="4"/>
        <v>0.81499999999999995</v>
      </c>
      <c r="L56" s="184">
        <f t="shared" si="4"/>
        <v>0</v>
      </c>
      <c r="M56" s="1063"/>
      <c r="N56" s="1063"/>
      <c r="O56" s="1063"/>
      <c r="P56" s="1063"/>
      <c r="Q56" s="1063"/>
      <c r="R56" s="1063"/>
      <c r="S56" s="1063"/>
    </row>
    <row r="57" spans="1:19">
      <c r="A57" s="213" t="s">
        <v>337</v>
      </c>
      <c r="B57" s="117">
        <v>2017</v>
      </c>
      <c r="C57" s="117" t="s">
        <v>180</v>
      </c>
      <c r="D57" s="184">
        <f t="shared" ref="D57:L57" si="5">$D23*D5</f>
        <v>0</v>
      </c>
      <c r="E57" s="184">
        <f t="shared" si="5"/>
        <v>2.85</v>
      </c>
      <c r="F57" s="184">
        <f t="shared" si="5"/>
        <v>0</v>
      </c>
      <c r="G57" s="184">
        <f t="shared" si="5"/>
        <v>0</v>
      </c>
      <c r="H57" s="184">
        <f t="shared" si="5"/>
        <v>0</v>
      </c>
      <c r="I57" s="184">
        <f t="shared" si="5"/>
        <v>0</v>
      </c>
      <c r="J57" s="184">
        <f t="shared" si="5"/>
        <v>2.85</v>
      </c>
      <c r="K57" s="184">
        <f t="shared" si="5"/>
        <v>0</v>
      </c>
      <c r="L57" s="184">
        <f t="shared" si="5"/>
        <v>0</v>
      </c>
      <c r="M57" s="1063"/>
      <c r="N57" s="1063"/>
      <c r="O57" s="1063"/>
      <c r="P57" s="1063"/>
      <c r="Q57" s="1063"/>
      <c r="R57" s="1063"/>
      <c r="S57" s="1063"/>
    </row>
    <row r="58" spans="1:19">
      <c r="A58" s="213" t="s">
        <v>241</v>
      </c>
      <c r="B58" s="117">
        <v>2017</v>
      </c>
      <c r="C58" s="117" t="s">
        <v>180</v>
      </c>
      <c r="D58" s="184">
        <f t="shared" ref="D58:L58" si="6">$D24*D6</f>
        <v>0</v>
      </c>
      <c r="E58" s="184">
        <f t="shared" si="6"/>
        <v>0.61</v>
      </c>
      <c r="F58" s="184">
        <f t="shared" si="6"/>
        <v>0</v>
      </c>
      <c r="G58" s="184">
        <f t="shared" si="6"/>
        <v>0</v>
      </c>
      <c r="H58" s="184">
        <f t="shared" si="6"/>
        <v>0</v>
      </c>
      <c r="I58" s="184">
        <f t="shared" si="6"/>
        <v>0</v>
      </c>
      <c r="J58" s="184">
        <f t="shared" si="6"/>
        <v>0.61</v>
      </c>
      <c r="K58" s="184">
        <f t="shared" si="6"/>
        <v>0</v>
      </c>
      <c r="L58" s="184">
        <f t="shared" si="6"/>
        <v>0</v>
      </c>
      <c r="M58" s="1063"/>
      <c r="N58" s="1063"/>
      <c r="O58" s="1063"/>
      <c r="P58" s="1063"/>
      <c r="Q58" s="1063"/>
      <c r="R58" s="1063"/>
      <c r="S58" s="1063"/>
    </row>
    <row r="59" spans="1:19">
      <c r="A59" s="213" t="s">
        <v>239</v>
      </c>
      <c r="B59" s="117">
        <v>2017</v>
      </c>
      <c r="C59" s="117" t="s">
        <v>180</v>
      </c>
      <c r="D59" s="184">
        <f t="shared" ref="D59:L59" si="7">$D25*D7</f>
        <v>0</v>
      </c>
      <c r="E59" s="184">
        <f t="shared" si="7"/>
        <v>0</v>
      </c>
      <c r="F59" s="184">
        <f t="shared" si="7"/>
        <v>0.41</v>
      </c>
      <c r="G59" s="184">
        <f t="shared" si="7"/>
        <v>0</v>
      </c>
      <c r="H59" s="184">
        <f t="shared" si="7"/>
        <v>0</v>
      </c>
      <c r="I59" s="184">
        <f t="shared" si="7"/>
        <v>0</v>
      </c>
      <c r="J59" s="184">
        <f t="shared" si="7"/>
        <v>0</v>
      </c>
      <c r="K59" s="184">
        <f t="shared" si="7"/>
        <v>0</v>
      </c>
      <c r="L59" s="184">
        <f t="shared" si="7"/>
        <v>0</v>
      </c>
      <c r="M59" s="1063"/>
      <c r="N59" s="1063"/>
      <c r="O59" s="1063"/>
      <c r="P59" s="1063"/>
      <c r="Q59" s="1063"/>
      <c r="R59" s="1063"/>
      <c r="S59" s="1063"/>
    </row>
    <row r="60" spans="1:19">
      <c r="A60" s="213" t="s">
        <v>240</v>
      </c>
      <c r="B60" s="117">
        <v>2017</v>
      </c>
      <c r="C60" s="117" t="s">
        <v>180</v>
      </c>
      <c r="D60" s="184">
        <f t="shared" ref="D60:L60" si="8">$D26*D8</f>
        <v>0</v>
      </c>
      <c r="E60" s="184">
        <f t="shared" si="8"/>
        <v>3.5266666666666664</v>
      </c>
      <c r="F60" s="184">
        <f t="shared" si="8"/>
        <v>3.5266666666666664</v>
      </c>
      <c r="G60" s="184">
        <f t="shared" si="8"/>
        <v>0</v>
      </c>
      <c r="H60" s="184">
        <f t="shared" si="8"/>
        <v>0</v>
      </c>
      <c r="I60" s="184">
        <f t="shared" si="8"/>
        <v>0</v>
      </c>
      <c r="J60" s="184">
        <f t="shared" si="8"/>
        <v>3.5266666666666664</v>
      </c>
      <c r="K60" s="184">
        <f t="shared" si="8"/>
        <v>0</v>
      </c>
      <c r="L60" s="184">
        <f t="shared" si="8"/>
        <v>0</v>
      </c>
      <c r="M60" s="1063"/>
      <c r="N60" s="1063"/>
      <c r="O60" s="1063"/>
      <c r="P60" s="1063"/>
      <c r="Q60" s="1063"/>
      <c r="R60" s="1063"/>
      <c r="S60" s="1063"/>
    </row>
    <row r="61" spans="1:19">
      <c r="A61" s="213" t="s">
        <v>191</v>
      </c>
      <c r="B61" s="117">
        <v>2017</v>
      </c>
      <c r="C61" s="117" t="s">
        <v>180</v>
      </c>
      <c r="D61" s="184">
        <f t="shared" ref="D61:L61" si="9">$D27*D9</f>
        <v>0</v>
      </c>
      <c r="E61" s="184">
        <f t="shared" si="9"/>
        <v>0.28970000000000001</v>
      </c>
      <c r="F61" s="184">
        <f t="shared" si="9"/>
        <v>0.28970000000000001</v>
      </c>
      <c r="G61" s="184">
        <f t="shared" si="9"/>
        <v>0</v>
      </c>
      <c r="H61" s="184">
        <f t="shared" si="9"/>
        <v>0</v>
      </c>
      <c r="I61" s="184">
        <f t="shared" si="9"/>
        <v>0</v>
      </c>
      <c r="J61" s="184">
        <f t="shared" si="9"/>
        <v>22.306899999999999</v>
      </c>
      <c r="K61" s="184">
        <f t="shared" si="9"/>
        <v>3.4763999999999999</v>
      </c>
      <c r="L61" s="184">
        <f t="shared" si="9"/>
        <v>2.6073</v>
      </c>
      <c r="M61" s="1063"/>
      <c r="N61" s="1063"/>
      <c r="O61" s="1063"/>
      <c r="P61" s="1063"/>
      <c r="Q61" s="1063"/>
      <c r="R61" s="1063"/>
      <c r="S61" s="1063"/>
    </row>
    <row r="62" spans="1:19">
      <c r="A62" s="213" t="s">
        <v>356</v>
      </c>
      <c r="B62" s="117">
        <v>2017</v>
      </c>
      <c r="C62" s="117" t="s">
        <v>180</v>
      </c>
      <c r="D62" s="184">
        <f t="shared" ref="D62:L62" si="10">$D28*D10</f>
        <v>0</v>
      </c>
      <c r="E62" s="184">
        <f t="shared" si="10"/>
        <v>0</v>
      </c>
      <c r="F62" s="184">
        <f>$D28*F10</f>
        <v>21.682000000000002</v>
      </c>
      <c r="G62" s="184">
        <f t="shared" si="10"/>
        <v>0</v>
      </c>
      <c r="H62" s="184">
        <f t="shared" si="10"/>
        <v>0</v>
      </c>
      <c r="I62" s="184">
        <f t="shared" si="10"/>
        <v>0</v>
      </c>
      <c r="J62" s="184">
        <f t="shared" si="10"/>
        <v>27.102499999999999</v>
      </c>
      <c r="K62" s="184">
        <f t="shared" si="10"/>
        <v>54.204999999999998</v>
      </c>
      <c r="L62" s="184">
        <f t="shared" si="10"/>
        <v>5.4205000000000005</v>
      </c>
      <c r="M62" s="1063"/>
      <c r="N62" s="1063"/>
      <c r="O62" s="1063"/>
      <c r="P62" s="1063"/>
      <c r="Q62" s="1063"/>
      <c r="R62" s="1063"/>
      <c r="S62" s="1063"/>
    </row>
    <row r="63" spans="1:19">
      <c r="A63" s="213" t="s">
        <v>346</v>
      </c>
      <c r="B63" s="117">
        <v>2017</v>
      </c>
      <c r="C63" s="117" t="s">
        <v>180</v>
      </c>
      <c r="D63" s="184">
        <f t="shared" ref="D63:L63" si="11">$D29*D11</f>
        <v>0</v>
      </c>
      <c r="E63" s="184">
        <f t="shared" si="11"/>
        <v>0</v>
      </c>
      <c r="F63" s="184">
        <f t="shared" si="11"/>
        <v>14.244999999999999</v>
      </c>
      <c r="G63" s="184">
        <f t="shared" si="11"/>
        <v>0</v>
      </c>
      <c r="H63" s="184">
        <f t="shared" si="11"/>
        <v>0</v>
      </c>
      <c r="I63" s="184">
        <f t="shared" si="11"/>
        <v>0</v>
      </c>
      <c r="J63" s="184">
        <f t="shared" si="11"/>
        <v>14.244999999999999</v>
      </c>
      <c r="K63" s="184">
        <f t="shared" si="11"/>
        <v>14.244999999999999</v>
      </c>
      <c r="L63" s="184">
        <f t="shared" si="11"/>
        <v>14.244999999999999</v>
      </c>
      <c r="M63" s="1063"/>
      <c r="N63" s="1063"/>
      <c r="O63" s="1063"/>
      <c r="P63" s="1063"/>
      <c r="Q63" s="1063"/>
      <c r="R63" s="1063"/>
      <c r="S63" s="1063"/>
    </row>
    <row r="64" spans="1:19">
      <c r="A64" s="213" t="s">
        <v>889</v>
      </c>
      <c r="B64" s="117">
        <v>2017</v>
      </c>
      <c r="C64" s="117" t="s">
        <v>180</v>
      </c>
      <c r="D64" s="184">
        <f t="shared" ref="D64:L64" si="12">$D30*D12</f>
        <v>0</v>
      </c>
      <c r="E64" s="184">
        <f t="shared" si="12"/>
        <v>0</v>
      </c>
      <c r="F64" s="184">
        <f t="shared" si="12"/>
        <v>13.43</v>
      </c>
      <c r="G64" s="184">
        <f t="shared" si="12"/>
        <v>0</v>
      </c>
      <c r="H64" s="184">
        <f t="shared" si="12"/>
        <v>0</v>
      </c>
      <c r="I64" s="184">
        <f t="shared" si="12"/>
        <v>0</v>
      </c>
      <c r="J64" s="184">
        <f t="shared" si="12"/>
        <v>13.43</v>
      </c>
      <c r="K64" s="184">
        <f t="shared" si="12"/>
        <v>13.43</v>
      </c>
      <c r="L64" s="184">
        <f t="shared" si="12"/>
        <v>0</v>
      </c>
      <c r="M64" s="1063"/>
      <c r="N64" s="1063"/>
      <c r="O64" s="1063"/>
      <c r="P64" s="1063"/>
      <c r="Q64" s="1063"/>
      <c r="R64" s="1063"/>
      <c r="S64" s="1063"/>
    </row>
    <row r="65" spans="1:19">
      <c r="A65" s="213" t="s">
        <v>348</v>
      </c>
      <c r="B65" s="117">
        <v>2017</v>
      </c>
      <c r="C65" s="117" t="s">
        <v>180</v>
      </c>
      <c r="D65" s="184">
        <f t="shared" ref="D65:L65" si="13">$D31*D13</f>
        <v>0</v>
      </c>
      <c r="E65" s="184">
        <f t="shared" si="13"/>
        <v>0</v>
      </c>
      <c r="F65" s="184">
        <f t="shared" si="13"/>
        <v>15.873333333333331</v>
      </c>
      <c r="G65" s="184">
        <f t="shared" si="13"/>
        <v>0</v>
      </c>
      <c r="H65" s="184">
        <f t="shared" si="13"/>
        <v>0</v>
      </c>
      <c r="I65" s="184">
        <f t="shared" si="13"/>
        <v>0</v>
      </c>
      <c r="J65" s="184">
        <f t="shared" si="13"/>
        <v>15.873333333333331</v>
      </c>
      <c r="K65" s="184">
        <f t="shared" si="13"/>
        <v>15.873333333333331</v>
      </c>
      <c r="L65" s="184">
        <f t="shared" si="13"/>
        <v>0</v>
      </c>
      <c r="M65" s="1063"/>
      <c r="N65" s="1063"/>
      <c r="O65" s="1063"/>
      <c r="P65" s="1063"/>
      <c r="Q65" s="1063"/>
      <c r="R65" s="1063"/>
      <c r="S65" s="1063"/>
    </row>
    <row r="66" spans="1:19">
      <c r="A66" s="213" t="s">
        <v>890</v>
      </c>
      <c r="B66" s="117">
        <v>2017</v>
      </c>
      <c r="C66" s="117" t="s">
        <v>180</v>
      </c>
      <c r="D66" s="184">
        <f t="shared" ref="D66:L66" si="14">$D32*D14</f>
        <v>0</v>
      </c>
      <c r="E66" s="184">
        <f t="shared" si="14"/>
        <v>0.22800000000000001</v>
      </c>
      <c r="F66" s="184">
        <f t="shared" si="14"/>
        <v>10.488000000000001</v>
      </c>
      <c r="G66" s="184">
        <f t="shared" si="14"/>
        <v>0</v>
      </c>
      <c r="H66" s="184">
        <f t="shared" si="14"/>
        <v>0</v>
      </c>
      <c r="I66" s="184">
        <f t="shared" si="14"/>
        <v>0</v>
      </c>
      <c r="J66" s="184">
        <f t="shared" si="14"/>
        <v>0.57000000000000006</v>
      </c>
      <c r="K66" s="184">
        <f t="shared" si="14"/>
        <v>0.114</v>
      </c>
      <c r="L66" s="184">
        <f t="shared" si="14"/>
        <v>0</v>
      </c>
      <c r="M66" s="1063"/>
      <c r="N66" s="1063"/>
      <c r="O66" s="1063"/>
      <c r="P66" s="1063"/>
      <c r="Q66" s="1063"/>
      <c r="R66" s="1063"/>
      <c r="S66" s="1063"/>
    </row>
    <row r="67" spans="1:19">
      <c r="A67" s="213" t="s">
        <v>892</v>
      </c>
      <c r="B67" s="117">
        <v>2017</v>
      </c>
      <c r="C67" s="117" t="s">
        <v>180</v>
      </c>
      <c r="D67" s="184">
        <f t="shared" ref="D67:L67" si="15">$D33*D15</f>
        <v>0</v>
      </c>
      <c r="E67" s="184">
        <f t="shared" si="15"/>
        <v>0</v>
      </c>
      <c r="F67" s="184">
        <f t="shared" si="15"/>
        <v>5.0199999999999996</v>
      </c>
      <c r="G67" s="184">
        <f t="shared" si="15"/>
        <v>0</v>
      </c>
      <c r="H67" s="184">
        <f t="shared" si="15"/>
        <v>0</v>
      </c>
      <c r="I67" s="184">
        <f t="shared" si="15"/>
        <v>0</v>
      </c>
      <c r="J67" s="184">
        <f t="shared" si="15"/>
        <v>5.0199999999999996</v>
      </c>
      <c r="K67" s="184">
        <f t="shared" si="15"/>
        <v>5.0199999999999996</v>
      </c>
      <c r="L67" s="184">
        <f t="shared" si="15"/>
        <v>0</v>
      </c>
      <c r="M67" s="1063"/>
      <c r="N67" s="1063"/>
      <c r="O67" s="1063"/>
      <c r="P67" s="1063"/>
      <c r="Q67" s="1063"/>
      <c r="R67" s="1063"/>
      <c r="S67" s="1063"/>
    </row>
    <row r="68" spans="1:19">
      <c r="A68" s="213" t="s">
        <v>238</v>
      </c>
      <c r="B68" s="117">
        <v>2017</v>
      </c>
      <c r="C68" s="117" t="s">
        <v>180</v>
      </c>
      <c r="D68" s="184">
        <f t="shared" ref="D68:L68" si="16">$D34*D16</f>
        <v>0</v>
      </c>
      <c r="E68" s="184">
        <f t="shared" si="16"/>
        <v>0</v>
      </c>
      <c r="F68" s="184">
        <f t="shared" si="16"/>
        <v>12.993333333333339</v>
      </c>
      <c r="G68" s="184">
        <f t="shared" si="16"/>
        <v>0</v>
      </c>
      <c r="H68" s="184">
        <f t="shared" si="16"/>
        <v>0</v>
      </c>
      <c r="I68" s="184">
        <f t="shared" si="16"/>
        <v>0</v>
      </c>
      <c r="J68" s="184">
        <f t="shared" si="16"/>
        <v>12.993333333333339</v>
      </c>
      <c r="K68" s="184">
        <f t="shared" si="16"/>
        <v>12.993333333333339</v>
      </c>
      <c r="L68" s="184">
        <f t="shared" si="16"/>
        <v>0</v>
      </c>
      <c r="M68" s="1063"/>
      <c r="N68" s="1063"/>
      <c r="O68" s="1063"/>
      <c r="P68" s="1063"/>
      <c r="Q68" s="1063"/>
      <c r="R68" s="1063"/>
      <c r="S68" s="1063"/>
    </row>
    <row r="69" spans="1:19">
      <c r="A69" s="213" t="s">
        <v>893</v>
      </c>
      <c r="B69" s="117">
        <v>2017</v>
      </c>
      <c r="C69" s="117" t="s">
        <v>180</v>
      </c>
      <c r="D69" s="184">
        <f t="shared" ref="D69:L69" si="17">$D35*D17</f>
        <v>0</v>
      </c>
      <c r="E69" s="184">
        <f t="shared" si="17"/>
        <v>0</v>
      </c>
      <c r="F69" s="184">
        <f t="shared" si="17"/>
        <v>0</v>
      </c>
      <c r="G69" s="184">
        <f t="shared" si="17"/>
        <v>0</v>
      </c>
      <c r="H69" s="184">
        <f t="shared" si="17"/>
        <v>0</v>
      </c>
      <c r="I69" s="184">
        <f t="shared" si="17"/>
        <v>10.18</v>
      </c>
      <c r="J69" s="184">
        <f t="shared" si="17"/>
        <v>0</v>
      </c>
      <c r="K69" s="184">
        <f t="shared" si="17"/>
        <v>0</v>
      </c>
      <c r="L69" s="184">
        <f t="shared" si="17"/>
        <v>0</v>
      </c>
      <c r="M69" s="1063"/>
      <c r="N69" s="1063"/>
      <c r="O69" s="1063"/>
      <c r="P69" s="1063"/>
      <c r="Q69" s="1063"/>
      <c r="R69" s="1063"/>
      <c r="S69" s="1063"/>
    </row>
    <row r="71" spans="1:19" s="6" customFormat="1" ht="30" customHeight="1">
      <c r="A71" s="1022" t="s">
        <v>785</v>
      </c>
      <c r="B71" s="1022"/>
      <c r="C71" s="1022"/>
      <c r="D71" s="1022"/>
      <c r="E71" s="1022"/>
      <c r="F71" s="1022"/>
      <c r="G71" s="1022"/>
      <c r="H71" s="1022"/>
      <c r="I71" s="1022"/>
      <c r="J71" s="1022"/>
      <c r="K71" s="1022"/>
      <c r="L71" s="1022"/>
      <c r="M71" s="1022"/>
      <c r="N71" s="1022"/>
      <c r="O71" s="1022"/>
      <c r="P71" s="1022"/>
      <c r="Q71" s="1022"/>
      <c r="R71" s="1022"/>
      <c r="S71" s="1022"/>
    </row>
    <row r="72" spans="1:19" ht="30" customHeight="1">
      <c r="A72" s="139" t="s">
        <v>100</v>
      </c>
      <c r="B72" s="139" t="s">
        <v>101</v>
      </c>
      <c r="C72" s="139" t="s">
        <v>131</v>
      </c>
      <c r="D72" s="139" t="s">
        <v>894</v>
      </c>
      <c r="E72" s="1077" t="s">
        <v>104</v>
      </c>
      <c r="F72" s="1078"/>
      <c r="G72" s="1078"/>
      <c r="H72" s="1079"/>
      <c r="I72" s="1080" t="s">
        <v>896</v>
      </c>
      <c r="J72" s="1080"/>
      <c r="K72" s="1080" t="s">
        <v>123</v>
      </c>
      <c r="L72" s="1080"/>
      <c r="M72" s="1080"/>
      <c r="N72" s="1080"/>
      <c r="O72" s="1080"/>
      <c r="P72" s="1080"/>
      <c r="Q72" s="1080"/>
      <c r="R72" s="1080"/>
      <c r="S72" s="1080"/>
    </row>
    <row r="73" spans="1:19">
      <c r="A73" s="213" t="s">
        <v>883</v>
      </c>
      <c r="B73" s="117">
        <v>2017</v>
      </c>
      <c r="C73" s="117" t="s">
        <v>182</v>
      </c>
      <c r="D73" s="184">
        <f t="shared" ref="D73:D87" si="18">E21*$D$88</f>
        <v>606.73285145454543</v>
      </c>
      <c r="E73" s="1074"/>
      <c r="F73" s="1075"/>
      <c r="G73" s="1075"/>
      <c r="H73" s="1076"/>
      <c r="I73" s="1054"/>
      <c r="J73" s="1054"/>
      <c r="K73" s="1054" t="s">
        <v>125</v>
      </c>
      <c r="L73" s="1054"/>
      <c r="M73" s="1054"/>
      <c r="N73" s="1054"/>
      <c r="O73" s="1054"/>
      <c r="P73" s="1054"/>
      <c r="Q73" s="1054"/>
      <c r="R73" s="1054"/>
      <c r="S73" s="1054"/>
    </row>
    <row r="74" spans="1:19">
      <c r="A74" s="213" t="s">
        <v>886</v>
      </c>
      <c r="B74" s="117">
        <v>2017</v>
      </c>
      <c r="C74" s="117" t="s">
        <v>182</v>
      </c>
      <c r="D74" s="184">
        <f t="shared" si="18"/>
        <v>33.44519945454546</v>
      </c>
      <c r="E74" s="1074"/>
      <c r="F74" s="1075"/>
      <c r="G74" s="1075"/>
      <c r="H74" s="1076"/>
      <c r="I74" s="1054"/>
      <c r="J74" s="1054"/>
      <c r="K74" s="1054" t="s">
        <v>125</v>
      </c>
      <c r="L74" s="1054"/>
      <c r="M74" s="1054"/>
      <c r="N74" s="1054"/>
      <c r="O74" s="1054"/>
      <c r="P74" s="1054"/>
      <c r="Q74" s="1054"/>
      <c r="R74" s="1054"/>
      <c r="S74" s="1054"/>
    </row>
    <row r="75" spans="1:19">
      <c r="A75" s="213" t="s">
        <v>337</v>
      </c>
      <c r="B75" s="117">
        <v>2017</v>
      </c>
      <c r="C75" s="117" t="s">
        <v>182</v>
      </c>
      <c r="D75" s="184">
        <f t="shared" si="18"/>
        <v>116.95560545454546</v>
      </c>
      <c r="E75" s="1074"/>
      <c r="F75" s="1075"/>
      <c r="G75" s="1075"/>
      <c r="H75" s="1076"/>
      <c r="I75" s="1054"/>
      <c r="J75" s="1054"/>
      <c r="K75" s="1054" t="s">
        <v>125</v>
      </c>
      <c r="L75" s="1054"/>
      <c r="M75" s="1054"/>
      <c r="N75" s="1054"/>
      <c r="O75" s="1054"/>
      <c r="P75" s="1054"/>
      <c r="Q75" s="1054"/>
      <c r="R75" s="1054"/>
      <c r="S75" s="1054"/>
    </row>
    <row r="76" spans="1:19">
      <c r="A76" s="213" t="s">
        <v>241</v>
      </c>
      <c r="B76" s="117">
        <v>2017</v>
      </c>
      <c r="C76" s="117" t="s">
        <v>182</v>
      </c>
      <c r="D76" s="184">
        <f t="shared" si="18"/>
        <v>25.032603272727275</v>
      </c>
      <c r="E76" s="1074"/>
      <c r="F76" s="1075"/>
      <c r="G76" s="1075"/>
      <c r="H76" s="1076"/>
      <c r="I76" s="1054"/>
      <c r="J76" s="1054"/>
      <c r="K76" s="1054" t="s">
        <v>125</v>
      </c>
      <c r="L76" s="1054"/>
      <c r="M76" s="1054"/>
      <c r="N76" s="1054"/>
      <c r="O76" s="1054"/>
      <c r="P76" s="1054"/>
      <c r="Q76" s="1054"/>
      <c r="R76" s="1054"/>
      <c r="S76" s="1054"/>
    </row>
    <row r="77" spans="1:19">
      <c r="A77" s="213" t="s">
        <v>239</v>
      </c>
      <c r="B77" s="117">
        <v>2017</v>
      </c>
      <c r="C77" s="117" t="s">
        <v>182</v>
      </c>
      <c r="D77" s="184">
        <f t="shared" si="18"/>
        <v>8.4125961818181825</v>
      </c>
      <c r="E77" s="1074"/>
      <c r="F77" s="1075"/>
      <c r="G77" s="1075"/>
      <c r="H77" s="1076"/>
      <c r="I77" s="1054"/>
      <c r="J77" s="1054"/>
      <c r="K77" s="1054" t="s">
        <v>125</v>
      </c>
      <c r="L77" s="1054"/>
      <c r="M77" s="1054"/>
      <c r="N77" s="1054"/>
      <c r="O77" s="1054"/>
      <c r="P77" s="1054"/>
      <c r="Q77" s="1054"/>
      <c r="R77" s="1054"/>
      <c r="S77" s="1054"/>
    </row>
    <row r="78" spans="1:19">
      <c r="A78" s="213" t="s">
        <v>240</v>
      </c>
      <c r="B78" s="117">
        <v>2017</v>
      </c>
      <c r="C78" s="117" t="s">
        <v>182</v>
      </c>
      <c r="D78" s="184">
        <f t="shared" si="18"/>
        <v>217.08601854545455</v>
      </c>
      <c r="E78" s="1074"/>
      <c r="F78" s="1075"/>
      <c r="G78" s="1075"/>
      <c r="H78" s="1076"/>
      <c r="I78" s="1054"/>
      <c r="J78" s="1054"/>
      <c r="K78" s="1054" t="s">
        <v>125</v>
      </c>
      <c r="L78" s="1054"/>
      <c r="M78" s="1054"/>
      <c r="N78" s="1054"/>
      <c r="O78" s="1054"/>
      <c r="P78" s="1054"/>
      <c r="Q78" s="1054"/>
      <c r="R78" s="1054"/>
      <c r="S78" s="1054"/>
    </row>
    <row r="79" spans="1:19">
      <c r="A79" s="213" t="s">
        <v>191</v>
      </c>
      <c r="B79" s="117">
        <v>2017</v>
      </c>
      <c r="C79" s="117" t="s">
        <v>182</v>
      </c>
      <c r="D79" s="184">
        <f t="shared" si="18"/>
        <v>594.42173509090912</v>
      </c>
      <c r="E79" s="1074"/>
      <c r="F79" s="1075"/>
      <c r="G79" s="1075"/>
      <c r="H79" s="1076"/>
      <c r="I79" s="1054"/>
      <c r="J79" s="1054"/>
      <c r="K79" s="1054" t="s">
        <v>125</v>
      </c>
      <c r="L79" s="1054"/>
      <c r="M79" s="1054"/>
      <c r="N79" s="1054"/>
      <c r="O79" s="1054"/>
      <c r="P79" s="1054"/>
      <c r="Q79" s="1054"/>
      <c r="R79" s="1054"/>
      <c r="S79" s="1054"/>
    </row>
    <row r="80" spans="1:19">
      <c r="A80" s="213" t="s">
        <v>356</v>
      </c>
      <c r="B80" s="117">
        <v>2017</v>
      </c>
      <c r="C80" s="117" t="s">
        <v>182</v>
      </c>
      <c r="D80" s="184">
        <f t="shared" si="18"/>
        <v>2224.4135416363638</v>
      </c>
      <c r="E80" s="1074"/>
      <c r="F80" s="1075"/>
      <c r="G80" s="1075"/>
      <c r="H80" s="1076"/>
      <c r="I80" s="1054"/>
      <c r="J80" s="1054"/>
      <c r="K80" s="1054" t="s">
        <v>125</v>
      </c>
      <c r="L80" s="1054"/>
      <c r="M80" s="1054"/>
      <c r="N80" s="1054"/>
      <c r="O80" s="1054"/>
      <c r="P80" s="1054"/>
      <c r="Q80" s="1054"/>
      <c r="R80" s="1054"/>
      <c r="S80" s="1054"/>
    </row>
    <row r="81" spans="1:19">
      <c r="A81" s="213" t="s">
        <v>346</v>
      </c>
      <c r="B81" s="117">
        <v>2017</v>
      </c>
      <c r="C81" s="117" t="s">
        <v>182</v>
      </c>
      <c r="D81" s="184">
        <f t="shared" si="18"/>
        <v>1169.1456839999998</v>
      </c>
      <c r="E81" s="1074"/>
      <c r="F81" s="1075"/>
      <c r="G81" s="1075"/>
      <c r="H81" s="1076"/>
      <c r="I81" s="1054"/>
      <c r="J81" s="1054"/>
      <c r="K81" s="1054" t="s">
        <v>125</v>
      </c>
      <c r="L81" s="1054"/>
      <c r="M81" s="1054"/>
      <c r="N81" s="1054"/>
      <c r="O81" s="1054"/>
      <c r="P81" s="1054"/>
      <c r="Q81" s="1054"/>
      <c r="R81" s="1054"/>
      <c r="S81" s="1054"/>
    </row>
    <row r="82" spans="1:19">
      <c r="A82" s="213" t="s">
        <v>889</v>
      </c>
      <c r="B82" s="117">
        <v>2017</v>
      </c>
      <c r="C82" s="117" t="s">
        <v>182</v>
      </c>
      <c r="D82" s="184">
        <f t="shared" si="18"/>
        <v>826.69146381818189</v>
      </c>
      <c r="E82" s="1074"/>
      <c r="F82" s="1075"/>
      <c r="G82" s="1075"/>
      <c r="H82" s="1076"/>
      <c r="I82" s="1054"/>
      <c r="J82" s="1054"/>
      <c r="K82" s="1054" t="s">
        <v>125</v>
      </c>
      <c r="L82" s="1054"/>
      <c r="M82" s="1054"/>
      <c r="N82" s="1054"/>
      <c r="O82" s="1054"/>
      <c r="P82" s="1054"/>
      <c r="Q82" s="1054"/>
      <c r="R82" s="1054"/>
      <c r="S82" s="1054"/>
    </row>
    <row r="83" spans="1:19">
      <c r="A83" s="213" t="s">
        <v>348</v>
      </c>
      <c r="B83" s="117">
        <v>2017</v>
      </c>
      <c r="C83" s="117" t="s">
        <v>182</v>
      </c>
      <c r="D83" s="184">
        <f t="shared" si="18"/>
        <v>977.09226872727277</v>
      </c>
      <c r="E83" s="1074"/>
      <c r="F83" s="1075"/>
      <c r="G83" s="1075"/>
      <c r="H83" s="1076"/>
      <c r="I83" s="1054"/>
      <c r="J83" s="1054"/>
      <c r="K83" s="1054" t="s">
        <v>125</v>
      </c>
      <c r="L83" s="1054"/>
      <c r="M83" s="1054"/>
      <c r="N83" s="1054"/>
      <c r="O83" s="1054"/>
      <c r="P83" s="1054"/>
      <c r="Q83" s="1054"/>
      <c r="R83" s="1054"/>
      <c r="S83" s="1054"/>
    </row>
    <row r="84" spans="1:19">
      <c r="A84" s="213" t="s">
        <v>890</v>
      </c>
      <c r="B84" s="117">
        <v>2017</v>
      </c>
      <c r="C84" s="117" t="s">
        <v>182</v>
      </c>
      <c r="D84" s="184">
        <v>200</v>
      </c>
      <c r="E84" s="1074"/>
      <c r="F84" s="1075"/>
      <c r="G84" s="1075"/>
      <c r="H84" s="1076"/>
      <c r="I84" s="1054"/>
      <c r="J84" s="1054"/>
      <c r="K84" s="1054" t="s">
        <v>125</v>
      </c>
      <c r="L84" s="1054"/>
      <c r="M84" s="1054"/>
      <c r="N84" s="1054"/>
      <c r="O84" s="1054"/>
      <c r="P84" s="1054"/>
      <c r="Q84" s="1054"/>
      <c r="R84" s="1054"/>
      <c r="S84" s="1054"/>
    </row>
    <row r="85" spans="1:19">
      <c r="A85" s="213" t="s">
        <v>892</v>
      </c>
      <c r="B85" s="117">
        <v>2017</v>
      </c>
      <c r="C85" s="117" t="s">
        <v>182</v>
      </c>
      <c r="D85" s="184">
        <f t="shared" si="18"/>
        <v>309.00902072727274</v>
      </c>
      <c r="E85" s="1074"/>
      <c r="F85" s="1075"/>
      <c r="G85" s="1075"/>
      <c r="H85" s="1076"/>
      <c r="I85" s="1054"/>
      <c r="J85" s="1054"/>
      <c r="K85" s="1054" t="s">
        <v>125</v>
      </c>
      <c r="L85" s="1054"/>
      <c r="M85" s="1054"/>
      <c r="N85" s="1054"/>
      <c r="O85" s="1054"/>
      <c r="P85" s="1054"/>
      <c r="Q85" s="1054"/>
      <c r="R85" s="1054"/>
      <c r="S85" s="1054"/>
    </row>
    <row r="86" spans="1:19">
      <c r="A86" s="213" t="s">
        <v>238</v>
      </c>
      <c r="B86" s="117">
        <v>2017</v>
      </c>
      <c r="C86" s="117" t="s">
        <v>182</v>
      </c>
      <c r="D86" s="184">
        <f>D88-(SUM(D73:D85,D87))</f>
        <v>833.7234040000003</v>
      </c>
      <c r="E86" s="1074"/>
      <c r="F86" s="1075"/>
      <c r="G86" s="1075"/>
      <c r="H86" s="1076"/>
      <c r="I86" s="1054"/>
      <c r="J86" s="1054"/>
      <c r="K86" s="1054" t="s">
        <v>125</v>
      </c>
      <c r="L86" s="1054"/>
      <c r="M86" s="1054"/>
      <c r="N86" s="1054"/>
      <c r="O86" s="1054"/>
      <c r="P86" s="1054"/>
      <c r="Q86" s="1054"/>
      <c r="R86" s="1054"/>
      <c r="S86" s="1054"/>
    </row>
    <row r="87" spans="1:19">
      <c r="A87" s="213" t="s">
        <v>893</v>
      </c>
      <c r="B87" s="117">
        <v>2017</v>
      </c>
      <c r="C87" s="117" t="s">
        <v>182</v>
      </c>
      <c r="D87" s="184">
        <f t="shared" si="18"/>
        <v>208.87860763636365</v>
      </c>
      <c r="E87" s="1074"/>
      <c r="F87" s="1075"/>
      <c r="G87" s="1075"/>
      <c r="H87" s="1076"/>
      <c r="I87" s="1054"/>
      <c r="J87" s="1054"/>
      <c r="K87" s="1054" t="s">
        <v>125</v>
      </c>
      <c r="L87" s="1054"/>
      <c r="M87" s="1054"/>
      <c r="N87" s="1054"/>
      <c r="O87" s="1054"/>
      <c r="P87" s="1054"/>
      <c r="Q87" s="1054"/>
      <c r="R87" s="1054"/>
      <c r="S87" s="1054"/>
    </row>
    <row r="88" spans="1:19">
      <c r="A88" s="138" t="s">
        <v>900</v>
      </c>
      <c r="B88" s="127">
        <v>2017</v>
      </c>
      <c r="C88" s="117" t="s">
        <v>182</v>
      </c>
      <c r="D88" s="185">
        <f>(25.9*511800000/1000000)*0.63</f>
        <v>8351.0406000000003</v>
      </c>
      <c r="E88" s="1074" t="s">
        <v>124</v>
      </c>
      <c r="F88" s="1075"/>
      <c r="G88" s="1075" t="s">
        <v>124</v>
      </c>
      <c r="H88" s="1076"/>
      <c r="I88" s="1054"/>
      <c r="J88" s="1054"/>
      <c r="K88" s="1054"/>
      <c r="L88" s="1054"/>
      <c r="M88" s="1054"/>
      <c r="N88" s="1054"/>
      <c r="O88" s="1054"/>
      <c r="P88" s="1054"/>
      <c r="Q88" s="1054"/>
      <c r="R88" s="1054"/>
      <c r="S88" s="1054"/>
    </row>
    <row r="90" spans="1:19" ht="30" customHeight="1">
      <c r="A90" s="140" t="s">
        <v>901</v>
      </c>
      <c r="B90" s="140" t="s">
        <v>101</v>
      </c>
      <c r="C90" s="140" t="s">
        <v>131</v>
      </c>
      <c r="D90" s="190" t="s">
        <v>902</v>
      </c>
      <c r="E90" s="190" t="s">
        <v>903</v>
      </c>
      <c r="F90" s="190" t="s">
        <v>904</v>
      </c>
      <c r="G90" s="190" t="s">
        <v>905</v>
      </c>
      <c r="H90" s="190" t="s">
        <v>906</v>
      </c>
      <c r="I90" s="190" t="s">
        <v>907</v>
      </c>
      <c r="J90" s="190" t="s">
        <v>908</v>
      </c>
      <c r="K90" s="190" t="s">
        <v>909</v>
      </c>
      <c r="L90" s="190" t="s">
        <v>910</v>
      </c>
      <c r="M90" s="1052" t="s">
        <v>123</v>
      </c>
      <c r="N90" s="1052"/>
      <c r="O90" s="1052"/>
      <c r="P90" s="1052"/>
      <c r="Q90" s="1052"/>
      <c r="R90" s="1052"/>
      <c r="S90" s="1052"/>
    </row>
    <row r="91" spans="1:19">
      <c r="A91" s="213" t="s">
        <v>108</v>
      </c>
      <c r="B91" s="117">
        <v>2017</v>
      </c>
      <c r="C91" s="117" t="s">
        <v>182</v>
      </c>
      <c r="D91" s="184">
        <f t="shared" ref="D91:L91" si="19">$D73*D3</f>
        <v>0</v>
      </c>
      <c r="E91" s="184">
        <f>$D73*E3</f>
        <v>6.0673285145454541</v>
      </c>
      <c r="F91" s="184">
        <f t="shared" si="19"/>
        <v>6.0673285145454541</v>
      </c>
      <c r="G91" s="184">
        <f t="shared" si="19"/>
        <v>0</v>
      </c>
      <c r="H91" s="184">
        <f t="shared" si="19"/>
        <v>0</v>
      </c>
      <c r="I91" s="184">
        <f t="shared" si="19"/>
        <v>0</v>
      </c>
      <c r="J91" s="184">
        <f t="shared" si="19"/>
        <v>467.18429562</v>
      </c>
      <c r="K91" s="184">
        <f t="shared" si="19"/>
        <v>72.807942174545445</v>
      </c>
      <c r="L91" s="184">
        <f t="shared" si="19"/>
        <v>54.605956630909084</v>
      </c>
      <c r="M91" s="1063" t="s">
        <v>911</v>
      </c>
      <c r="N91" s="1063"/>
      <c r="O91" s="1063"/>
      <c r="P91" s="1063"/>
      <c r="Q91" s="1063"/>
      <c r="R91" s="1063"/>
      <c r="S91" s="1063"/>
    </row>
    <row r="92" spans="1:19">
      <c r="A92" s="213" t="s">
        <v>112</v>
      </c>
      <c r="B92" s="117">
        <v>2017</v>
      </c>
      <c r="C92" s="117" t="s">
        <v>182</v>
      </c>
      <c r="D92" s="184">
        <f t="shared" ref="D92:L92" si="20">$D74*D4+$D75*D5+$D76*D6+$D77*D7+$D78*D8+$D79*D9</f>
        <v>0</v>
      </c>
      <c r="E92" s="184">
        <f t="shared" si="20"/>
        <v>149.30032789636365</v>
      </c>
      <c r="F92" s="184">
        <f t="shared" si="20"/>
        <v>86.718819714545447</v>
      </c>
      <c r="G92" s="184">
        <f t="shared" si="20"/>
        <v>0</v>
      </c>
      <c r="H92" s="184">
        <f t="shared" si="20"/>
        <v>0</v>
      </c>
      <c r="I92" s="184">
        <f t="shared" si="20"/>
        <v>0</v>
      </c>
      <c r="J92" s="184">
        <f t="shared" si="20"/>
        <v>617.78344629272738</v>
      </c>
      <c r="K92" s="184">
        <f t="shared" si="20"/>
        <v>88.053207938181828</v>
      </c>
      <c r="L92" s="184">
        <f t="shared" si="20"/>
        <v>53.497956158181822</v>
      </c>
      <c r="M92" s="1068" t="s">
        <v>912</v>
      </c>
      <c r="N92" s="1069"/>
      <c r="O92" s="1069"/>
      <c r="P92" s="1069"/>
      <c r="Q92" s="1069"/>
      <c r="R92" s="1069"/>
      <c r="S92" s="1070"/>
    </row>
    <row r="93" spans="1:19">
      <c r="A93" s="213" t="s">
        <v>121</v>
      </c>
      <c r="B93" s="117">
        <v>2017</v>
      </c>
      <c r="C93" s="117" t="s">
        <v>182</v>
      </c>
      <c r="D93" s="184">
        <f t="shared" ref="D93:L93" si="21">$D80*D10+$D81*D11+$D82*D12+$D83*D13+$D84*D14+$D85*D15+$D86*D16+$D87*D17</f>
        <v>0</v>
      </c>
      <c r="E93" s="184">
        <f t="shared" si="21"/>
        <v>4</v>
      </c>
      <c r="F93" s="184">
        <f t="shared" si="21"/>
        <v>1903.3411817515153</v>
      </c>
      <c r="G93" s="184">
        <f t="shared" si="21"/>
        <v>0</v>
      </c>
      <c r="H93" s="184">
        <f t="shared" si="21"/>
        <v>0</v>
      </c>
      <c r="I93" s="184">
        <f t="shared" si="21"/>
        <v>208.87860763636365</v>
      </c>
      <c r="J93" s="184">
        <f t="shared" si="21"/>
        <v>1840.5618588333332</v>
      </c>
      <c r="K93" s="184">
        <f t="shared" si="21"/>
        <v>2388.6652442424243</v>
      </c>
      <c r="L93" s="184">
        <f t="shared" si="21"/>
        <v>403.50709808181819</v>
      </c>
      <c r="M93" s="1068" t="s">
        <v>918</v>
      </c>
      <c r="N93" s="1069"/>
      <c r="O93" s="1069"/>
      <c r="P93" s="1069"/>
      <c r="Q93" s="1069"/>
      <c r="R93" s="1069"/>
      <c r="S93" s="1070"/>
    </row>
    <row r="94" spans="1:19">
      <c r="A94" s="1060" t="s">
        <v>914</v>
      </c>
      <c r="B94" s="1060"/>
      <c r="C94" s="1060"/>
      <c r="D94" s="1060"/>
      <c r="E94" s="1060"/>
      <c r="F94" s="1060"/>
      <c r="G94" s="1060"/>
      <c r="H94" s="1060"/>
      <c r="I94" s="1060"/>
      <c r="J94" s="1060"/>
      <c r="K94" s="1060"/>
      <c r="L94" s="1060"/>
      <c r="M94" s="1060"/>
      <c r="N94" s="1060"/>
      <c r="O94" s="1060"/>
      <c r="P94" s="1060"/>
      <c r="Q94" s="1060"/>
      <c r="R94" s="1060"/>
      <c r="S94" s="1060"/>
    </row>
    <row r="95" spans="1:19" ht="30" customHeight="1">
      <c r="A95" s="215"/>
      <c r="B95" s="140" t="s">
        <v>101</v>
      </c>
      <c r="C95" s="140" t="s">
        <v>131</v>
      </c>
      <c r="D95" s="1061" t="s">
        <v>915</v>
      </c>
      <c r="E95" s="1067"/>
      <c r="F95" s="1062"/>
      <c r="G95" s="1061" t="s">
        <v>916</v>
      </c>
      <c r="H95" s="1067"/>
      <c r="I95" s="1062"/>
      <c r="J95" s="1061" t="s">
        <v>917</v>
      </c>
      <c r="K95" s="1067"/>
      <c r="L95" s="1062"/>
      <c r="M95" s="1052" t="s">
        <v>123</v>
      </c>
      <c r="N95" s="1052"/>
      <c r="O95" s="1052"/>
      <c r="P95" s="1052"/>
      <c r="Q95" s="1052"/>
      <c r="R95" s="1052"/>
      <c r="S95" s="1052"/>
    </row>
    <row r="96" spans="1:19">
      <c r="A96" s="142" t="s">
        <v>85</v>
      </c>
      <c r="B96" s="117">
        <v>2017</v>
      </c>
      <c r="C96" s="117" t="s">
        <v>182</v>
      </c>
      <c r="D96" s="1064">
        <f>D91</f>
        <v>0</v>
      </c>
      <c r="E96" s="1065"/>
      <c r="F96" s="1066"/>
      <c r="G96" s="1064">
        <f>D92</f>
        <v>0</v>
      </c>
      <c r="H96" s="1065"/>
      <c r="I96" s="1066"/>
      <c r="J96" s="1064">
        <f>D93</f>
        <v>0</v>
      </c>
      <c r="K96" s="1065"/>
      <c r="L96" s="1066"/>
      <c r="M96" s="1063"/>
      <c r="N96" s="1063"/>
      <c r="O96" s="1063"/>
      <c r="P96" s="1063"/>
      <c r="Q96" s="1063"/>
      <c r="R96" s="1063"/>
      <c r="S96" s="1063"/>
    </row>
    <row r="97" spans="1:19">
      <c r="A97" s="142" t="s">
        <v>86</v>
      </c>
      <c r="B97" s="117">
        <v>2017</v>
      </c>
      <c r="C97" s="117" t="s">
        <v>182</v>
      </c>
      <c r="D97" s="1064">
        <f>E91</f>
        <v>6.0673285145454541</v>
      </c>
      <c r="E97" s="1065"/>
      <c r="F97" s="1066"/>
      <c r="G97" s="1064">
        <f>E92</f>
        <v>149.30032789636365</v>
      </c>
      <c r="H97" s="1065"/>
      <c r="I97" s="1066"/>
      <c r="J97" s="1064">
        <f>E93</f>
        <v>4</v>
      </c>
      <c r="K97" s="1065"/>
      <c r="L97" s="1066"/>
      <c r="M97" s="1063"/>
      <c r="N97" s="1063"/>
      <c r="O97" s="1063"/>
      <c r="P97" s="1063"/>
      <c r="Q97" s="1063"/>
      <c r="R97" s="1063"/>
      <c r="S97" s="1063"/>
    </row>
    <row r="98" spans="1:19">
      <c r="A98" s="142" t="s">
        <v>87</v>
      </c>
      <c r="B98" s="117">
        <v>2017</v>
      </c>
      <c r="C98" s="117" t="s">
        <v>182</v>
      </c>
      <c r="D98" s="1064">
        <f>F91</f>
        <v>6.0673285145454541</v>
      </c>
      <c r="E98" s="1065"/>
      <c r="F98" s="1066"/>
      <c r="G98" s="1064">
        <f>F92</f>
        <v>86.718819714545447</v>
      </c>
      <c r="H98" s="1065"/>
      <c r="I98" s="1066"/>
      <c r="J98" s="1064">
        <f>F93</f>
        <v>1903.3411817515153</v>
      </c>
      <c r="K98" s="1065"/>
      <c r="L98" s="1066"/>
      <c r="M98" s="1063"/>
      <c r="N98" s="1063"/>
      <c r="O98" s="1063"/>
      <c r="P98" s="1063"/>
      <c r="Q98" s="1063"/>
      <c r="R98" s="1063"/>
      <c r="S98" s="1063"/>
    </row>
    <row r="99" spans="1:19">
      <c r="A99" s="142" t="s">
        <v>88</v>
      </c>
      <c r="B99" s="117">
        <v>2017</v>
      </c>
      <c r="C99" s="117" t="s">
        <v>182</v>
      </c>
      <c r="D99" s="1064">
        <f>G91</f>
        <v>0</v>
      </c>
      <c r="E99" s="1065"/>
      <c r="F99" s="1066"/>
      <c r="G99" s="1064">
        <f>G92</f>
        <v>0</v>
      </c>
      <c r="H99" s="1065"/>
      <c r="I99" s="1066"/>
      <c r="J99" s="1064">
        <f>G93</f>
        <v>0</v>
      </c>
      <c r="K99" s="1065"/>
      <c r="L99" s="1066"/>
      <c r="M99" s="1063"/>
      <c r="N99" s="1063"/>
      <c r="O99" s="1063"/>
      <c r="P99" s="1063"/>
      <c r="Q99" s="1063"/>
      <c r="R99" s="1063"/>
      <c r="S99" s="1063"/>
    </row>
    <row r="100" spans="1:19">
      <c r="A100" s="142" t="s">
        <v>89</v>
      </c>
      <c r="B100" s="117">
        <v>2017</v>
      </c>
      <c r="C100" s="117" t="s">
        <v>182</v>
      </c>
      <c r="D100" s="1064">
        <f>H91</f>
        <v>0</v>
      </c>
      <c r="E100" s="1065"/>
      <c r="F100" s="1066"/>
      <c r="G100" s="1064">
        <f>H92</f>
        <v>0</v>
      </c>
      <c r="H100" s="1065"/>
      <c r="I100" s="1066"/>
      <c r="J100" s="1064">
        <f>H93</f>
        <v>0</v>
      </c>
      <c r="K100" s="1065"/>
      <c r="L100" s="1066"/>
      <c r="M100" s="1063"/>
      <c r="N100" s="1063"/>
      <c r="O100" s="1063"/>
      <c r="P100" s="1063"/>
      <c r="Q100" s="1063"/>
      <c r="R100" s="1063"/>
      <c r="S100" s="1063"/>
    </row>
    <row r="101" spans="1:19">
      <c r="A101" s="142" t="s">
        <v>90</v>
      </c>
      <c r="B101" s="117">
        <v>2017</v>
      </c>
      <c r="C101" s="117" t="s">
        <v>182</v>
      </c>
      <c r="D101" s="1064">
        <f>I91</f>
        <v>0</v>
      </c>
      <c r="E101" s="1065"/>
      <c r="F101" s="1066"/>
      <c r="G101" s="1064">
        <f>I92</f>
        <v>0</v>
      </c>
      <c r="H101" s="1065"/>
      <c r="I101" s="1066"/>
      <c r="J101" s="1064">
        <f>I93</f>
        <v>208.87860763636365</v>
      </c>
      <c r="K101" s="1065"/>
      <c r="L101" s="1066"/>
      <c r="M101" s="1063"/>
      <c r="N101" s="1063"/>
      <c r="O101" s="1063"/>
      <c r="P101" s="1063"/>
      <c r="Q101" s="1063"/>
      <c r="R101" s="1063"/>
      <c r="S101" s="1063"/>
    </row>
    <row r="102" spans="1:19">
      <c r="A102" s="142" t="s">
        <v>91</v>
      </c>
      <c r="B102" s="117">
        <v>2017</v>
      </c>
      <c r="C102" s="117" t="s">
        <v>182</v>
      </c>
      <c r="D102" s="1064">
        <f>J91</f>
        <v>467.18429562</v>
      </c>
      <c r="E102" s="1065"/>
      <c r="F102" s="1066"/>
      <c r="G102" s="1064">
        <f>J92</f>
        <v>617.78344629272738</v>
      </c>
      <c r="H102" s="1065"/>
      <c r="I102" s="1066"/>
      <c r="J102" s="1064">
        <f>J93</f>
        <v>1840.5618588333332</v>
      </c>
      <c r="K102" s="1065"/>
      <c r="L102" s="1066"/>
      <c r="M102" s="1063"/>
      <c r="N102" s="1063"/>
      <c r="O102" s="1063"/>
      <c r="P102" s="1063"/>
      <c r="Q102" s="1063"/>
      <c r="R102" s="1063"/>
      <c r="S102" s="1063"/>
    </row>
    <row r="103" spans="1:19">
      <c r="A103" s="216" t="s">
        <v>95</v>
      </c>
      <c r="B103" s="117">
        <v>2017</v>
      </c>
      <c r="C103" s="117" t="s">
        <v>182</v>
      </c>
      <c r="D103" s="1064">
        <f>K91</f>
        <v>72.807942174545445</v>
      </c>
      <c r="E103" s="1065"/>
      <c r="F103" s="1066"/>
      <c r="G103" s="1064">
        <f>K92</f>
        <v>88.053207938181828</v>
      </c>
      <c r="H103" s="1065"/>
      <c r="I103" s="1066"/>
      <c r="J103" s="1064">
        <f>K93</f>
        <v>2388.6652442424243</v>
      </c>
      <c r="K103" s="1065"/>
      <c r="L103" s="1066"/>
      <c r="M103" s="1063"/>
      <c r="N103" s="1063"/>
      <c r="O103" s="1063"/>
      <c r="P103" s="1063"/>
      <c r="Q103" s="1063"/>
      <c r="R103" s="1063"/>
      <c r="S103" s="1063"/>
    </row>
    <row r="104" spans="1:19">
      <c r="A104" s="142" t="s">
        <v>882</v>
      </c>
      <c r="B104" s="117">
        <v>2017</v>
      </c>
      <c r="C104" s="117" t="s">
        <v>182</v>
      </c>
      <c r="D104" s="1064">
        <f>L91</f>
        <v>54.605956630909084</v>
      </c>
      <c r="E104" s="1065"/>
      <c r="F104" s="1066"/>
      <c r="G104" s="1064">
        <f>L92</f>
        <v>53.497956158181822</v>
      </c>
      <c r="H104" s="1065"/>
      <c r="I104" s="1066"/>
      <c r="J104" s="1064">
        <f>L93</f>
        <v>403.50709808181819</v>
      </c>
      <c r="K104" s="1065"/>
      <c r="L104" s="1066"/>
      <c r="M104" s="1063"/>
      <c r="N104" s="1063"/>
      <c r="O104" s="1063"/>
      <c r="P104" s="1063"/>
      <c r="Q104" s="1063"/>
      <c r="R104" s="1063"/>
      <c r="S104" s="1063"/>
    </row>
    <row r="106" spans="1:19" s="6" customFormat="1" ht="30" customHeight="1">
      <c r="A106" s="1022" t="s">
        <v>15</v>
      </c>
      <c r="B106" s="1022"/>
      <c r="C106" s="1022"/>
      <c r="D106" s="1022"/>
      <c r="E106" s="1022"/>
      <c r="F106" s="1022"/>
      <c r="G106" s="1022"/>
      <c r="H106" s="1022"/>
      <c r="I106" s="1022"/>
      <c r="J106" s="1022"/>
      <c r="K106" s="1022"/>
      <c r="L106" s="1022"/>
      <c r="M106" s="1022"/>
      <c r="N106" s="1022"/>
      <c r="O106" s="1022"/>
      <c r="P106" s="1022"/>
      <c r="Q106" s="1022"/>
      <c r="R106" s="1022"/>
      <c r="S106" s="1022"/>
    </row>
    <row r="107" spans="1:19">
      <c r="A107" s="1060" t="s">
        <v>919</v>
      </c>
      <c r="B107" s="1060"/>
      <c r="C107" s="1060"/>
      <c r="D107" s="1060"/>
      <c r="E107" s="1060"/>
      <c r="F107" s="1060"/>
      <c r="G107" s="1060"/>
      <c r="H107" s="1060"/>
      <c r="I107" s="1060"/>
      <c r="J107" s="1060"/>
      <c r="K107" s="1060"/>
      <c r="L107" s="1060"/>
      <c r="M107" s="1060"/>
      <c r="N107" s="1060"/>
      <c r="O107" s="1060"/>
      <c r="P107" s="1060"/>
      <c r="Q107" s="1060"/>
      <c r="R107" s="1060"/>
      <c r="S107" s="1060"/>
    </row>
    <row r="108" spans="1:19" ht="30" customHeight="1">
      <c r="A108" s="140" t="s">
        <v>129</v>
      </c>
      <c r="B108" s="1061" t="s">
        <v>130</v>
      </c>
      <c r="C108" s="1062"/>
      <c r="D108" s="140" t="s">
        <v>131</v>
      </c>
      <c r="E108" s="190" t="s">
        <v>85</v>
      </c>
      <c r="F108" s="190" t="s">
        <v>86</v>
      </c>
      <c r="G108" s="190" t="s">
        <v>87</v>
      </c>
      <c r="H108" s="190" t="s">
        <v>88</v>
      </c>
      <c r="I108" s="190" t="s">
        <v>89</v>
      </c>
      <c r="J108" s="190" t="s">
        <v>90</v>
      </c>
      <c r="K108" s="190" t="s">
        <v>91</v>
      </c>
      <c r="L108" s="190" t="s">
        <v>95</v>
      </c>
      <c r="M108" s="190" t="s">
        <v>882</v>
      </c>
      <c r="N108" s="1052" t="s">
        <v>123</v>
      </c>
      <c r="O108" s="1052"/>
      <c r="P108" s="1052"/>
      <c r="Q108" s="1052"/>
      <c r="R108" s="1052"/>
      <c r="S108" s="1052"/>
    </row>
    <row r="109" spans="1:19">
      <c r="A109" s="213" t="s">
        <v>108</v>
      </c>
      <c r="B109" s="1059" t="s">
        <v>196</v>
      </c>
      <c r="C109" s="1059"/>
      <c r="D109" s="117" t="s">
        <v>920</v>
      </c>
      <c r="E109" s="186">
        <f>IF(D$39=0, 0, D55/D$39)</f>
        <v>0</v>
      </c>
      <c r="F109" s="186">
        <f>IF(E$39=0, 0, E55/E$39)</f>
        <v>1</v>
      </c>
      <c r="G109" s="186">
        <f t="shared" ref="G109:M109" si="22">IF(F$39=0, 0, F55/F$39)</f>
        <v>1</v>
      </c>
      <c r="H109" s="186">
        <f t="shared" si="22"/>
        <v>0</v>
      </c>
      <c r="I109" s="186">
        <f t="shared" si="22"/>
        <v>0</v>
      </c>
      <c r="J109" s="186">
        <f t="shared" si="22"/>
        <v>0</v>
      </c>
      <c r="K109" s="186">
        <f t="shared" si="22"/>
        <v>1</v>
      </c>
      <c r="L109" s="186">
        <f t="shared" si="22"/>
        <v>1</v>
      </c>
      <c r="M109" s="186">
        <f t="shared" si="22"/>
        <v>1</v>
      </c>
      <c r="N109" s="1054"/>
      <c r="O109" s="1054"/>
      <c r="P109" s="1054"/>
      <c r="Q109" s="1054"/>
      <c r="R109" s="1054"/>
      <c r="S109" s="1054"/>
    </row>
    <row r="110" spans="1:19">
      <c r="A110" s="213" t="s">
        <v>112</v>
      </c>
      <c r="B110" s="1059" t="s">
        <v>886</v>
      </c>
      <c r="C110" s="1059"/>
      <c r="D110" s="117" t="s">
        <v>920</v>
      </c>
      <c r="E110" s="186">
        <f t="shared" ref="E110:F112" si="23">IF(D$40=0,0, D56/D$40)</f>
        <v>0</v>
      </c>
      <c r="F110" s="186">
        <f t="shared" si="23"/>
        <v>0</v>
      </c>
      <c r="G110" s="186">
        <f t="shared" ref="G110:M110" si="24">IF(F$40=0,0, F56/F$40)</f>
        <v>0</v>
      </c>
      <c r="H110" s="186">
        <f t="shared" si="24"/>
        <v>0</v>
      </c>
      <c r="I110" s="186">
        <f t="shared" si="24"/>
        <v>0</v>
      </c>
      <c r="J110" s="186">
        <f t="shared" si="24"/>
        <v>0</v>
      </c>
      <c r="K110" s="186">
        <f t="shared" si="24"/>
        <v>2.7068708019976597E-2</v>
      </c>
      <c r="L110" s="186">
        <f t="shared" si="24"/>
        <v>0.18991471314722469</v>
      </c>
      <c r="M110" s="186">
        <f t="shared" si="24"/>
        <v>0</v>
      </c>
      <c r="N110" s="1054"/>
      <c r="O110" s="1054"/>
      <c r="P110" s="1054"/>
      <c r="Q110" s="1054"/>
      <c r="R110" s="1054"/>
      <c r="S110" s="1054"/>
    </row>
    <row r="111" spans="1:19">
      <c r="A111" s="213" t="s">
        <v>112</v>
      </c>
      <c r="B111" s="1059" t="s">
        <v>337</v>
      </c>
      <c r="C111" s="1059"/>
      <c r="D111" s="117" t="s">
        <v>920</v>
      </c>
      <c r="E111" s="186">
        <f t="shared" si="23"/>
        <v>0</v>
      </c>
      <c r="F111" s="186">
        <f t="shared" si="23"/>
        <v>0.39167899730176692</v>
      </c>
      <c r="G111" s="186">
        <f t="shared" ref="G111:M111" si="25">IF(F$40=0,0, F57/F$40)</f>
        <v>0</v>
      </c>
      <c r="H111" s="186">
        <f t="shared" si="25"/>
        <v>0</v>
      </c>
      <c r="I111" s="186">
        <f t="shared" si="25"/>
        <v>0</v>
      </c>
      <c r="J111" s="186">
        <f t="shared" si="25"/>
        <v>0</v>
      </c>
      <c r="K111" s="186">
        <f>IF(J$40=0,0, J57/J$40)</f>
        <v>9.4657445223231051E-2</v>
      </c>
      <c r="L111" s="186">
        <f t="shared" si="25"/>
        <v>0</v>
      </c>
      <c r="M111" s="186">
        <f t="shared" si="25"/>
        <v>0</v>
      </c>
      <c r="N111" s="1054"/>
      <c r="O111" s="1054"/>
      <c r="P111" s="1054"/>
      <c r="Q111" s="1054"/>
      <c r="R111" s="1054"/>
      <c r="S111" s="1054"/>
    </row>
    <row r="112" spans="1:19">
      <c r="A112" s="213" t="s">
        <v>112</v>
      </c>
      <c r="B112" s="1059" t="s">
        <v>241</v>
      </c>
      <c r="C112" s="1059"/>
      <c r="D112" s="117" t="s">
        <v>920</v>
      </c>
      <c r="E112" s="186">
        <f t="shared" si="23"/>
        <v>0</v>
      </c>
      <c r="F112" s="186">
        <f t="shared" si="23"/>
        <v>8.3833048545290459E-2</v>
      </c>
      <c r="G112" s="186">
        <f t="shared" ref="G112:M112" si="26">IF(F$40=0,0, F58/F$40)</f>
        <v>0</v>
      </c>
      <c r="H112" s="186">
        <f t="shared" si="26"/>
        <v>0</v>
      </c>
      <c r="I112" s="186">
        <f t="shared" si="26"/>
        <v>0</v>
      </c>
      <c r="J112" s="186">
        <f t="shared" si="26"/>
        <v>0</v>
      </c>
      <c r="K112" s="186">
        <f t="shared" si="26"/>
        <v>2.0260014591638925E-2</v>
      </c>
      <c r="L112" s="186">
        <f t="shared" si="26"/>
        <v>0</v>
      </c>
      <c r="M112" s="186">
        <f t="shared" si="26"/>
        <v>0</v>
      </c>
      <c r="N112" s="1054"/>
      <c r="O112" s="1054"/>
      <c r="P112" s="1054"/>
      <c r="Q112" s="1054"/>
      <c r="R112" s="1054"/>
      <c r="S112" s="1054"/>
    </row>
    <row r="113" spans="1:32">
      <c r="A113" s="213" t="s">
        <v>112</v>
      </c>
      <c r="B113" s="1059" t="s">
        <v>239</v>
      </c>
      <c r="C113" s="1059"/>
      <c r="D113" s="117" t="s">
        <v>920</v>
      </c>
      <c r="E113" s="186">
        <f t="shared" ref="E113:F115" si="27">IF(D$40=0,0, D59/D$40)</f>
        <v>0</v>
      </c>
      <c r="F113" s="186">
        <f t="shared" si="27"/>
        <v>0</v>
      </c>
      <c r="G113" s="186">
        <f t="shared" ref="G113:M113" si="28">IF(F$40=0,0, F59/F$40)</f>
        <v>9.7010040144805229E-2</v>
      </c>
      <c r="H113" s="186">
        <f t="shared" si="28"/>
        <v>0</v>
      </c>
      <c r="I113" s="186">
        <f t="shared" si="28"/>
        <v>0</v>
      </c>
      <c r="J113" s="186">
        <f t="shared" si="28"/>
        <v>0</v>
      </c>
      <c r="K113" s="186">
        <f t="shared" si="28"/>
        <v>0</v>
      </c>
      <c r="L113" s="186">
        <f t="shared" si="28"/>
        <v>0</v>
      </c>
      <c r="M113" s="186">
        <f t="shared" si="28"/>
        <v>0</v>
      </c>
      <c r="N113" s="1054"/>
      <c r="O113" s="1054"/>
      <c r="P113" s="1054"/>
      <c r="Q113" s="1054"/>
      <c r="R113" s="1054"/>
      <c r="S113" s="1054"/>
    </row>
    <row r="114" spans="1:32">
      <c r="A114" s="213" t="s">
        <v>112</v>
      </c>
      <c r="B114" s="1059" t="s">
        <v>240</v>
      </c>
      <c r="C114" s="1059"/>
      <c r="D114" s="117" t="s">
        <v>920</v>
      </c>
      <c r="E114" s="186">
        <f t="shared" si="27"/>
        <v>0</v>
      </c>
      <c r="F114" s="186">
        <f t="shared" si="27"/>
        <v>0.48467412765528584</v>
      </c>
      <c r="G114" s="186">
        <f t="shared" ref="G114:M114" si="29">IF(F$40=0,0, F60/F$40)</f>
        <v>0.8344440851479995</v>
      </c>
      <c r="H114" s="186">
        <f t="shared" si="29"/>
        <v>0</v>
      </c>
      <c r="I114" s="186">
        <f t="shared" si="29"/>
        <v>0</v>
      </c>
      <c r="J114" s="186">
        <f t="shared" si="29"/>
        <v>0</v>
      </c>
      <c r="K114" s="186">
        <f t="shared" si="29"/>
        <v>0.11713166905985782</v>
      </c>
      <c r="L114" s="186">
        <f t="shared" si="29"/>
        <v>0</v>
      </c>
      <c r="M114" s="186">
        <f t="shared" si="29"/>
        <v>0</v>
      </c>
      <c r="N114" s="1054"/>
      <c r="O114" s="1054"/>
      <c r="P114" s="1054"/>
      <c r="Q114" s="1054"/>
      <c r="R114" s="1054"/>
      <c r="S114" s="1054"/>
    </row>
    <row r="115" spans="1:32">
      <c r="A115" s="213" t="s">
        <v>112</v>
      </c>
      <c r="B115" s="1059" t="s">
        <v>191</v>
      </c>
      <c r="C115" s="1059"/>
      <c r="D115" s="117" t="s">
        <v>920</v>
      </c>
      <c r="E115" s="186">
        <f t="shared" si="27"/>
        <v>0</v>
      </c>
      <c r="F115" s="258">
        <f t="shared" si="27"/>
        <v>3.9813826497656801E-2</v>
      </c>
      <c r="G115" s="186">
        <f t="shared" ref="G115:M115" si="30">IF(F$40=0,0, F61/F$40)</f>
        <v>6.8545874707195309E-2</v>
      </c>
      <c r="H115" s="186">
        <f t="shared" si="30"/>
        <v>0</v>
      </c>
      <c r="I115" s="186">
        <f t="shared" si="30"/>
        <v>0</v>
      </c>
      <c r="J115" s="186">
        <f t="shared" si="30"/>
        <v>0</v>
      </c>
      <c r="K115" s="257">
        <f t="shared" si="30"/>
        <v>0.74088216310529564</v>
      </c>
      <c r="L115" s="257">
        <f t="shared" si="30"/>
        <v>0.81008528685277537</v>
      </c>
      <c r="M115" s="257">
        <f t="shared" si="30"/>
        <v>1</v>
      </c>
      <c r="N115" s="1054"/>
      <c r="O115" s="1054"/>
      <c r="P115" s="1054"/>
      <c r="Q115" s="1054"/>
      <c r="R115" s="1054"/>
      <c r="S115" s="1054"/>
    </row>
    <row r="116" spans="1:32">
      <c r="A116" s="213" t="s">
        <v>121</v>
      </c>
      <c r="B116" s="1059" t="s">
        <v>356</v>
      </c>
      <c r="C116" s="1059"/>
      <c r="D116" s="117" t="s">
        <v>920</v>
      </c>
      <c r="E116" s="186">
        <f>IF(D$41=0,0, D62/D$41)</f>
        <v>0</v>
      </c>
      <c r="F116" s="186">
        <f>IF(E$41=0,0, E62/E$41)</f>
        <v>0</v>
      </c>
      <c r="G116" s="186">
        <f>IF(F$41=0,0, F62/F$41)</f>
        <v>0.23131990255872262</v>
      </c>
      <c r="H116" s="186">
        <f t="shared" ref="H116:J116" si="31">IF(G$41=0,0, G62/G$41)</f>
        <v>0</v>
      </c>
      <c r="I116" s="186">
        <f t="shared" si="31"/>
        <v>0</v>
      </c>
      <c r="J116" s="186">
        <f t="shared" si="31"/>
        <v>0</v>
      </c>
      <c r="K116" s="186">
        <f>IF(J$41=0,0, J62/J$41)</f>
        <v>0.30372334961384378</v>
      </c>
      <c r="L116" s="186">
        <f>IF(K$41=0,0, K62/K$41)</f>
        <v>0.46776568999142792</v>
      </c>
      <c r="M116" s="186">
        <f>IF(L$41=0,0, L62/L$41)</f>
        <v>0.27563499529633112</v>
      </c>
      <c r="N116" s="1054"/>
      <c r="O116" s="1054"/>
      <c r="P116" s="1054"/>
      <c r="Q116" s="1054"/>
      <c r="R116" s="1054"/>
      <c r="S116" s="1054"/>
    </row>
    <row r="117" spans="1:32">
      <c r="A117" s="143" t="s">
        <v>121</v>
      </c>
      <c r="B117" s="1059" t="s">
        <v>346</v>
      </c>
      <c r="C117" s="1059"/>
      <c r="D117" s="117" t="s">
        <v>920</v>
      </c>
      <c r="E117" s="186">
        <f t="shared" ref="E117:F123" si="32">IF(D$41=0,0, D63/D$41)</f>
        <v>0</v>
      </c>
      <c r="F117" s="186">
        <f t="shared" si="32"/>
        <v>0</v>
      </c>
      <c r="G117" s="186">
        <f t="shared" ref="G117:I117" si="33">IF(F$41=0,0, F63/F$41)</f>
        <v>0.15197638649335868</v>
      </c>
      <c r="H117" s="186">
        <f t="shared" si="33"/>
        <v>0</v>
      </c>
      <c r="I117" s="186">
        <f t="shared" si="33"/>
        <v>0</v>
      </c>
      <c r="J117" s="186">
        <f t="shared" ref="J117:M117" si="34">IF(I$41=0,0, I63/I$41)</f>
        <v>0</v>
      </c>
      <c r="K117" s="186">
        <f t="shared" si="34"/>
        <v>0.15963616327826599</v>
      </c>
      <c r="L117" s="186">
        <f t="shared" si="34"/>
        <v>0.12292818474177457</v>
      </c>
      <c r="M117" s="186">
        <f t="shared" si="34"/>
        <v>0.72436500470366871</v>
      </c>
      <c r="N117" s="1054"/>
      <c r="O117" s="1054"/>
      <c r="P117" s="1054"/>
      <c r="Q117" s="1054"/>
      <c r="R117" s="1054"/>
      <c r="S117" s="1054"/>
    </row>
    <row r="118" spans="1:32">
      <c r="A118" s="143" t="s">
        <v>121</v>
      </c>
      <c r="B118" s="1059" t="s">
        <v>162</v>
      </c>
      <c r="C118" s="1059"/>
      <c r="D118" s="117" t="s">
        <v>920</v>
      </c>
      <c r="E118" s="186">
        <f t="shared" si="32"/>
        <v>0</v>
      </c>
      <c r="F118" s="186">
        <f t="shared" si="32"/>
        <v>0</v>
      </c>
      <c r="G118" s="186">
        <f t="shared" ref="G118:I118" si="35">IF(F$41=0,0, F64/F$41)</f>
        <v>0.14328135279788046</v>
      </c>
      <c r="H118" s="186">
        <f t="shared" si="35"/>
        <v>0</v>
      </c>
      <c r="I118" s="186">
        <f t="shared" si="35"/>
        <v>0</v>
      </c>
      <c r="J118" s="186">
        <f t="shared" ref="J118:M118" si="36">IF(I$41=0,0, I64/I$41)</f>
        <v>0</v>
      </c>
      <c r="K118" s="186">
        <f t="shared" si="36"/>
        <v>0.15050289033535363</v>
      </c>
      <c r="L118" s="186">
        <f t="shared" si="36"/>
        <v>0.11589508747504616</v>
      </c>
      <c r="M118" s="186">
        <f t="shared" si="36"/>
        <v>0</v>
      </c>
      <c r="N118" s="1054"/>
      <c r="O118" s="1054"/>
      <c r="P118" s="1054"/>
      <c r="Q118" s="1054"/>
      <c r="R118" s="1054"/>
      <c r="S118" s="1054"/>
    </row>
    <row r="119" spans="1:32">
      <c r="A119" s="143" t="s">
        <v>121</v>
      </c>
      <c r="B119" s="1059" t="s">
        <v>348</v>
      </c>
      <c r="C119" s="1059"/>
      <c r="D119" s="117" t="s">
        <v>920</v>
      </c>
      <c r="E119" s="186">
        <f t="shared" si="32"/>
        <v>0</v>
      </c>
      <c r="F119" s="186">
        <f t="shared" si="32"/>
        <v>0</v>
      </c>
      <c r="G119" s="186">
        <f t="shared" ref="G119:I119" si="37">IF(F$41=0,0, F65/F$41)</f>
        <v>0.16934867262931416</v>
      </c>
      <c r="H119" s="186">
        <f t="shared" si="37"/>
        <v>0</v>
      </c>
      <c r="I119" s="186">
        <f t="shared" si="37"/>
        <v>0</v>
      </c>
      <c r="J119" s="186">
        <f t="shared" ref="J119:M119" si="38">IF(I$41=0,0, I65/I$41)</f>
        <v>0</v>
      </c>
      <c r="K119" s="186">
        <f t="shared" si="38"/>
        <v>0.17788403171430972</v>
      </c>
      <c r="L119" s="186">
        <f t="shared" si="38"/>
        <v>0.13697999666323399</v>
      </c>
      <c r="M119" s="186">
        <f t="shared" si="38"/>
        <v>0</v>
      </c>
      <c r="N119" s="1054"/>
      <c r="O119" s="1054"/>
      <c r="P119" s="1054"/>
      <c r="Q119" s="1054"/>
      <c r="R119" s="1054"/>
      <c r="S119" s="1054"/>
    </row>
    <row r="120" spans="1:32">
      <c r="A120" s="143" t="s">
        <v>121</v>
      </c>
      <c r="B120" s="1059" t="s">
        <v>187</v>
      </c>
      <c r="C120" s="1059"/>
      <c r="D120" s="117" t="s">
        <v>920</v>
      </c>
      <c r="E120" s="186">
        <f t="shared" si="32"/>
        <v>0</v>
      </c>
      <c r="F120" s="186">
        <f t="shared" si="32"/>
        <v>1</v>
      </c>
      <c r="G120" s="186">
        <f>IF(F$41=0,0, F66/F$41)</f>
        <v>0.11189388147015418</v>
      </c>
      <c r="H120" s="186">
        <f t="shared" ref="H120:I120" si="39">IF(G$41=0,0, G66/G$41)</f>
        <v>0</v>
      </c>
      <c r="I120" s="186">
        <f t="shared" si="39"/>
        <v>0</v>
      </c>
      <c r="J120" s="186">
        <f t="shared" ref="J120:M120" si="40">IF(I$41=0,0, I66/I$41)</f>
        <v>0</v>
      </c>
      <c r="K120" s="186">
        <f t="shared" si="40"/>
        <v>6.387687825104362E-3</v>
      </c>
      <c r="L120" s="186">
        <f t="shared" si="40"/>
        <v>9.8377066062213417E-4</v>
      </c>
      <c r="M120" s="186">
        <f t="shared" si="40"/>
        <v>0</v>
      </c>
      <c r="N120" s="1054"/>
      <c r="O120" s="1054"/>
      <c r="P120" s="1054"/>
      <c r="Q120" s="1054"/>
      <c r="R120" s="1054"/>
      <c r="S120" s="1054"/>
    </row>
    <row r="121" spans="1:32">
      <c r="A121" s="143" t="s">
        <v>121</v>
      </c>
      <c r="B121" s="1059" t="s">
        <v>172</v>
      </c>
      <c r="C121" s="1059"/>
      <c r="D121" s="117" t="s">
        <v>920</v>
      </c>
      <c r="E121" s="186">
        <f t="shared" si="32"/>
        <v>0</v>
      </c>
      <c r="F121" s="186">
        <f t="shared" si="32"/>
        <v>0</v>
      </c>
      <c r="G121" s="186">
        <f t="shared" ref="G121:I121" si="41">IF(F$41=0,0, F67/F$41)</f>
        <v>5.3557140062945638E-2</v>
      </c>
      <c r="H121" s="186">
        <f t="shared" si="41"/>
        <v>0</v>
      </c>
      <c r="I121" s="186">
        <f t="shared" si="41"/>
        <v>0</v>
      </c>
      <c r="J121" s="186">
        <f t="shared" ref="J121:M121" si="42">IF(I$41=0,0, I67/I$41)</f>
        <v>0</v>
      </c>
      <c r="K121" s="186">
        <f t="shared" si="42"/>
        <v>5.6256478740392787E-2</v>
      </c>
      <c r="L121" s="186">
        <f t="shared" si="42"/>
        <v>4.3320427336167665E-2</v>
      </c>
      <c r="M121" s="186">
        <f t="shared" si="42"/>
        <v>0</v>
      </c>
      <c r="N121" s="1054"/>
      <c r="O121" s="1054"/>
      <c r="P121" s="1054"/>
      <c r="Q121" s="1054"/>
      <c r="R121" s="1054"/>
      <c r="S121" s="1054"/>
    </row>
    <row r="122" spans="1:32">
      <c r="A122" s="143" t="s">
        <v>121</v>
      </c>
      <c r="B122" s="1059" t="s">
        <v>238</v>
      </c>
      <c r="C122" s="1059"/>
      <c r="D122" s="117" t="s">
        <v>920</v>
      </c>
      <c r="E122" s="186">
        <f t="shared" si="32"/>
        <v>0</v>
      </c>
      <c r="F122" s="186">
        <f t="shared" si="32"/>
        <v>0</v>
      </c>
      <c r="G122" s="186">
        <f t="shared" ref="G122:I122" si="43">IF(F$41=0,0, F68/F$41)</f>
        <v>0.13862266398762429</v>
      </c>
      <c r="H122" s="186">
        <f t="shared" si="43"/>
        <v>0</v>
      </c>
      <c r="I122" s="186">
        <f t="shared" si="43"/>
        <v>0</v>
      </c>
      <c r="J122" s="186">
        <f t="shared" ref="J122:M122" si="44">IF(I$41=0,0, I68/I$41)</f>
        <v>0</v>
      </c>
      <c r="K122" s="186">
        <f t="shared" si="44"/>
        <v>0.14560939849272989</v>
      </c>
      <c r="L122" s="186">
        <f t="shared" si="44"/>
        <v>0.11212684313172752</v>
      </c>
      <c r="M122" s="186">
        <f t="shared" si="44"/>
        <v>0</v>
      </c>
      <c r="N122" s="1054"/>
      <c r="O122" s="1054"/>
      <c r="P122" s="1054"/>
      <c r="Q122" s="1054"/>
      <c r="R122" s="1054"/>
      <c r="S122" s="1054"/>
    </row>
    <row r="123" spans="1:32">
      <c r="A123" s="143" t="s">
        <v>121</v>
      </c>
      <c r="B123" s="1059" t="s">
        <v>360</v>
      </c>
      <c r="C123" s="1059"/>
      <c r="D123" s="117" t="s">
        <v>920</v>
      </c>
      <c r="E123" s="186">
        <f t="shared" si="32"/>
        <v>0</v>
      </c>
      <c r="F123" s="186">
        <f t="shared" si="32"/>
        <v>0</v>
      </c>
      <c r="G123" s="186">
        <f t="shared" ref="G123:I123" si="45">IF(F$41=0,0, F69/F$41)</f>
        <v>0</v>
      </c>
      <c r="H123" s="186">
        <f t="shared" si="45"/>
        <v>0</v>
      </c>
      <c r="I123" s="186">
        <f t="shared" si="45"/>
        <v>0</v>
      </c>
      <c r="J123" s="186">
        <f t="shared" ref="J123:M123" si="46">IF(I$41=0,0, I69/I$41)</f>
        <v>1</v>
      </c>
      <c r="K123" s="186">
        <f t="shared" si="46"/>
        <v>0</v>
      </c>
      <c r="L123" s="186">
        <f t="shared" si="46"/>
        <v>0</v>
      </c>
      <c r="M123" s="186">
        <f t="shared" si="46"/>
        <v>0</v>
      </c>
      <c r="N123" s="1054"/>
      <c r="O123" s="1054"/>
      <c r="P123" s="1054"/>
      <c r="Q123" s="1054"/>
      <c r="R123" s="1054"/>
      <c r="S123" s="1054"/>
      <c r="AD123" s="6"/>
      <c r="AE123" s="6"/>
      <c r="AF123" s="6"/>
    </row>
    <row r="124" spans="1:32">
      <c r="A124" s="1060" t="s">
        <v>914</v>
      </c>
      <c r="B124" s="1060"/>
      <c r="C124" s="1060"/>
      <c r="D124" s="1060"/>
      <c r="E124" s="1060"/>
      <c r="F124" s="1060"/>
      <c r="G124" s="1060"/>
      <c r="H124" s="1060"/>
      <c r="I124" s="1060"/>
      <c r="J124" s="1060"/>
      <c r="K124" s="1060"/>
      <c r="L124" s="1060"/>
      <c r="M124" s="1060"/>
      <c r="N124" s="1060"/>
      <c r="O124" s="1060"/>
      <c r="P124" s="1060"/>
      <c r="Q124" s="1060"/>
      <c r="R124" s="1060"/>
      <c r="S124" s="1060"/>
      <c r="AD124" s="6"/>
      <c r="AE124" s="6"/>
      <c r="AF124" s="6"/>
    </row>
    <row r="125" spans="1:32">
      <c r="A125" s="140" t="s">
        <v>129</v>
      </c>
      <c r="B125" s="1051" t="s">
        <v>108</v>
      </c>
      <c r="C125" s="1051"/>
      <c r="D125" s="1051" t="s">
        <v>112</v>
      </c>
      <c r="E125" s="1051"/>
      <c r="F125" s="1051" t="s">
        <v>112</v>
      </c>
      <c r="G125" s="1051"/>
      <c r="H125" s="1051" t="s">
        <v>112</v>
      </c>
      <c r="I125" s="1051"/>
      <c r="J125" s="1051" t="s">
        <v>112</v>
      </c>
      <c r="K125" s="1051"/>
      <c r="L125" s="1051" t="s">
        <v>112</v>
      </c>
      <c r="M125" s="1051"/>
      <c r="N125" s="1051" t="s">
        <v>112</v>
      </c>
      <c r="O125" s="1051"/>
      <c r="P125" s="1051" t="s">
        <v>121</v>
      </c>
      <c r="Q125" s="1051"/>
      <c r="R125" s="1051" t="s">
        <v>121</v>
      </c>
      <c r="S125" s="1051"/>
      <c r="T125" s="1057" t="s">
        <v>121</v>
      </c>
      <c r="U125" s="1058"/>
      <c r="V125" s="1057" t="s">
        <v>121</v>
      </c>
      <c r="W125" s="1058"/>
      <c r="X125" s="1057" t="s">
        <v>121</v>
      </c>
      <c r="Y125" s="1058"/>
      <c r="Z125" s="1051" t="s">
        <v>121</v>
      </c>
      <c r="AA125" s="1051"/>
      <c r="AB125" s="1051" t="s">
        <v>121</v>
      </c>
      <c r="AC125" s="1051"/>
      <c r="AD125" s="1051" t="s">
        <v>121</v>
      </c>
      <c r="AE125" s="1051"/>
    </row>
    <row r="126" spans="1:32">
      <c r="A126" s="140" t="s">
        <v>130</v>
      </c>
      <c r="B126" s="1051" t="s">
        <v>196</v>
      </c>
      <c r="C126" s="1051"/>
      <c r="D126" s="1051" t="s">
        <v>886</v>
      </c>
      <c r="E126" s="1051"/>
      <c r="F126" s="1051" t="s">
        <v>337</v>
      </c>
      <c r="G126" s="1051"/>
      <c r="H126" s="1051" t="s">
        <v>241</v>
      </c>
      <c r="I126" s="1051"/>
      <c r="J126" s="1051" t="s">
        <v>239</v>
      </c>
      <c r="K126" s="1051"/>
      <c r="L126" s="1051" t="s">
        <v>240</v>
      </c>
      <c r="M126" s="1051"/>
      <c r="N126" s="1051" t="s">
        <v>191</v>
      </c>
      <c r="O126" s="1051"/>
      <c r="P126" s="1051" t="s">
        <v>356</v>
      </c>
      <c r="Q126" s="1051"/>
      <c r="R126" s="1051" t="s">
        <v>346</v>
      </c>
      <c r="S126" s="1051"/>
      <c r="T126" s="1051" t="s">
        <v>162</v>
      </c>
      <c r="U126" s="1051"/>
      <c r="V126" s="1051" t="s">
        <v>348</v>
      </c>
      <c r="W126" s="1051"/>
      <c r="X126" s="1051" t="s">
        <v>187</v>
      </c>
      <c r="Y126" s="1051"/>
      <c r="Z126" s="1051" t="s">
        <v>172</v>
      </c>
      <c r="AA126" s="1051"/>
      <c r="AB126" s="1051" t="s">
        <v>238</v>
      </c>
      <c r="AC126" s="1051"/>
      <c r="AD126" s="1051" t="s">
        <v>360</v>
      </c>
      <c r="AE126" s="1051"/>
    </row>
    <row r="127" spans="1:32">
      <c r="A127" s="216" t="s">
        <v>85</v>
      </c>
      <c r="B127" s="1053">
        <f>E109</f>
        <v>0</v>
      </c>
      <c r="C127" s="1053"/>
      <c r="D127" s="1053">
        <f>E110</f>
        <v>0</v>
      </c>
      <c r="E127" s="1053"/>
      <c r="F127" s="1053">
        <f>E111</f>
        <v>0</v>
      </c>
      <c r="G127" s="1053"/>
      <c r="H127" s="1053">
        <f>E112</f>
        <v>0</v>
      </c>
      <c r="I127" s="1053"/>
      <c r="J127" s="1053">
        <f>E113</f>
        <v>0</v>
      </c>
      <c r="K127" s="1053"/>
      <c r="L127" s="1053">
        <f>E114</f>
        <v>0</v>
      </c>
      <c r="M127" s="1053"/>
      <c r="N127" s="1053">
        <f>E115</f>
        <v>0</v>
      </c>
      <c r="O127" s="1053"/>
      <c r="P127" s="1053">
        <f>E116</f>
        <v>0</v>
      </c>
      <c r="Q127" s="1053"/>
      <c r="R127" s="1053">
        <f>E117</f>
        <v>0</v>
      </c>
      <c r="S127" s="1053"/>
      <c r="T127" s="1053">
        <f>E118</f>
        <v>0</v>
      </c>
      <c r="U127" s="1053"/>
      <c r="V127" s="1053">
        <f>E119</f>
        <v>0</v>
      </c>
      <c r="W127" s="1053"/>
      <c r="X127" s="1053">
        <f>E120</f>
        <v>0</v>
      </c>
      <c r="Y127" s="1053"/>
      <c r="Z127" s="1053">
        <f>E121</f>
        <v>0</v>
      </c>
      <c r="AA127" s="1053"/>
      <c r="AB127" s="1053">
        <f>E122</f>
        <v>0</v>
      </c>
      <c r="AC127" s="1053"/>
      <c r="AD127" s="1053">
        <f>E123</f>
        <v>0</v>
      </c>
      <c r="AE127" s="1053"/>
    </row>
    <row r="128" spans="1:32">
      <c r="A128" s="216" t="s">
        <v>86</v>
      </c>
      <c r="B128" s="1053">
        <f>F109</f>
        <v>1</v>
      </c>
      <c r="C128" s="1053"/>
      <c r="D128" s="1053">
        <f>F110</f>
        <v>0</v>
      </c>
      <c r="E128" s="1053"/>
      <c r="F128" s="1053">
        <f>F111</f>
        <v>0.39167899730176692</v>
      </c>
      <c r="G128" s="1053"/>
      <c r="H128" s="1053">
        <f>F112</f>
        <v>8.3833048545290459E-2</v>
      </c>
      <c r="I128" s="1053"/>
      <c r="J128" s="1053">
        <f>F113</f>
        <v>0</v>
      </c>
      <c r="K128" s="1053"/>
      <c r="L128" s="1053">
        <f>F114</f>
        <v>0.48467412765528584</v>
      </c>
      <c r="M128" s="1053"/>
      <c r="N128" s="1053">
        <f>F115</f>
        <v>3.9813826497656801E-2</v>
      </c>
      <c r="O128" s="1053"/>
      <c r="P128" s="1053">
        <f>F116</f>
        <v>0</v>
      </c>
      <c r="Q128" s="1053"/>
      <c r="R128" s="1053">
        <f>F117</f>
        <v>0</v>
      </c>
      <c r="S128" s="1053"/>
      <c r="T128" s="1053">
        <f>F118</f>
        <v>0</v>
      </c>
      <c r="U128" s="1053"/>
      <c r="V128" s="1053">
        <f>F119</f>
        <v>0</v>
      </c>
      <c r="W128" s="1053"/>
      <c r="X128" s="1053">
        <f>F120</f>
        <v>1</v>
      </c>
      <c r="Y128" s="1053"/>
      <c r="Z128" s="1053">
        <f>F121</f>
        <v>0</v>
      </c>
      <c r="AA128" s="1053"/>
      <c r="AB128" s="1053">
        <f>F122</f>
        <v>0</v>
      </c>
      <c r="AC128" s="1053"/>
      <c r="AD128" s="1053">
        <f>F123</f>
        <v>0</v>
      </c>
      <c r="AE128" s="1053"/>
    </row>
    <row r="129" spans="1:31">
      <c r="A129" s="216" t="s">
        <v>87</v>
      </c>
      <c r="B129" s="1053">
        <f>G109</f>
        <v>1</v>
      </c>
      <c r="C129" s="1053"/>
      <c r="D129" s="1053">
        <f>G110</f>
        <v>0</v>
      </c>
      <c r="E129" s="1053"/>
      <c r="F129" s="1053">
        <f>G111</f>
        <v>0</v>
      </c>
      <c r="G129" s="1053"/>
      <c r="H129" s="1053">
        <f>G112</f>
        <v>0</v>
      </c>
      <c r="I129" s="1053"/>
      <c r="J129" s="1053">
        <f>G113</f>
        <v>9.7010040144805229E-2</v>
      </c>
      <c r="K129" s="1053"/>
      <c r="L129" s="1053">
        <f>G114</f>
        <v>0.8344440851479995</v>
      </c>
      <c r="M129" s="1053"/>
      <c r="N129" s="1053">
        <f>G115</f>
        <v>6.8545874707195309E-2</v>
      </c>
      <c r="O129" s="1053"/>
      <c r="P129" s="1053">
        <f>G116</f>
        <v>0.23131990255872262</v>
      </c>
      <c r="Q129" s="1053"/>
      <c r="R129" s="1053">
        <f>G117</f>
        <v>0.15197638649335868</v>
      </c>
      <c r="S129" s="1053"/>
      <c r="T129" s="1053">
        <f>G118</f>
        <v>0.14328135279788046</v>
      </c>
      <c r="U129" s="1053"/>
      <c r="V129" s="1053">
        <f>G119</f>
        <v>0.16934867262931416</v>
      </c>
      <c r="W129" s="1053"/>
      <c r="X129" s="1053">
        <f>G120</f>
        <v>0.11189388147015418</v>
      </c>
      <c r="Y129" s="1053"/>
      <c r="Z129" s="1053">
        <f>G121</f>
        <v>5.3557140062945638E-2</v>
      </c>
      <c r="AA129" s="1053"/>
      <c r="AB129" s="1055">
        <f>G122</f>
        <v>0.13862266398762429</v>
      </c>
      <c r="AC129" s="1056"/>
      <c r="AD129" s="1055">
        <f>G123</f>
        <v>0</v>
      </c>
      <c r="AE129" s="1056"/>
    </row>
    <row r="130" spans="1:31">
      <c r="A130" s="216" t="s">
        <v>88</v>
      </c>
      <c r="B130" s="1053">
        <f>H109</f>
        <v>0</v>
      </c>
      <c r="C130" s="1053"/>
      <c r="D130" s="1053">
        <f>H110</f>
        <v>0</v>
      </c>
      <c r="E130" s="1053"/>
      <c r="F130" s="1053">
        <f>H111</f>
        <v>0</v>
      </c>
      <c r="G130" s="1053"/>
      <c r="H130" s="1053">
        <f>H112</f>
        <v>0</v>
      </c>
      <c r="I130" s="1053"/>
      <c r="J130" s="1053">
        <f>H113</f>
        <v>0</v>
      </c>
      <c r="K130" s="1053"/>
      <c r="L130" s="1053">
        <f>H114</f>
        <v>0</v>
      </c>
      <c r="M130" s="1053"/>
      <c r="N130" s="1053">
        <f>H115</f>
        <v>0</v>
      </c>
      <c r="O130" s="1053"/>
      <c r="P130" s="1053">
        <f>H116</f>
        <v>0</v>
      </c>
      <c r="Q130" s="1053"/>
      <c r="R130" s="1053">
        <f>H117</f>
        <v>0</v>
      </c>
      <c r="S130" s="1053"/>
      <c r="T130" s="1053">
        <f>H118</f>
        <v>0</v>
      </c>
      <c r="U130" s="1053"/>
      <c r="V130" s="1053">
        <f>H119</f>
        <v>0</v>
      </c>
      <c r="W130" s="1053"/>
      <c r="X130" s="1053">
        <f>H120</f>
        <v>0</v>
      </c>
      <c r="Y130" s="1053"/>
      <c r="Z130" s="1053">
        <f>H121</f>
        <v>0</v>
      </c>
      <c r="AA130" s="1053"/>
      <c r="AB130" s="1053">
        <f>H122</f>
        <v>0</v>
      </c>
      <c r="AC130" s="1053"/>
      <c r="AD130" s="1053">
        <f>H123</f>
        <v>0</v>
      </c>
      <c r="AE130" s="1053"/>
    </row>
    <row r="131" spans="1:31">
      <c r="A131" s="216" t="s">
        <v>89</v>
      </c>
      <c r="B131" s="1053">
        <f>I109</f>
        <v>0</v>
      </c>
      <c r="C131" s="1053"/>
      <c r="D131" s="1053">
        <f>I110</f>
        <v>0</v>
      </c>
      <c r="E131" s="1053"/>
      <c r="F131" s="1053">
        <f>I111</f>
        <v>0</v>
      </c>
      <c r="G131" s="1053"/>
      <c r="H131" s="1053">
        <f>I112</f>
        <v>0</v>
      </c>
      <c r="I131" s="1053"/>
      <c r="J131" s="1053">
        <f>I113</f>
        <v>0</v>
      </c>
      <c r="K131" s="1053"/>
      <c r="L131" s="1053">
        <f>I114</f>
        <v>0</v>
      </c>
      <c r="M131" s="1053"/>
      <c r="N131" s="1053">
        <f>I115</f>
        <v>0</v>
      </c>
      <c r="O131" s="1053"/>
      <c r="P131" s="1053">
        <f>I116</f>
        <v>0</v>
      </c>
      <c r="Q131" s="1053"/>
      <c r="R131" s="1053">
        <f>I117</f>
        <v>0</v>
      </c>
      <c r="S131" s="1053"/>
      <c r="T131" s="1053">
        <f>I118</f>
        <v>0</v>
      </c>
      <c r="U131" s="1053"/>
      <c r="V131" s="1053">
        <f>I119</f>
        <v>0</v>
      </c>
      <c r="W131" s="1053"/>
      <c r="X131" s="1053">
        <f>I120</f>
        <v>0</v>
      </c>
      <c r="Y131" s="1053"/>
      <c r="Z131" s="1053">
        <f>I121</f>
        <v>0</v>
      </c>
      <c r="AA131" s="1053"/>
      <c r="AB131" s="1053">
        <f>I122</f>
        <v>0</v>
      </c>
      <c r="AC131" s="1053"/>
      <c r="AD131" s="1053">
        <f>I123</f>
        <v>0</v>
      </c>
      <c r="AE131" s="1053"/>
    </row>
    <row r="132" spans="1:31">
      <c r="A132" s="216" t="s">
        <v>90</v>
      </c>
      <c r="B132" s="1053">
        <f>J109</f>
        <v>0</v>
      </c>
      <c r="C132" s="1053"/>
      <c r="D132" s="1053">
        <f>J110</f>
        <v>0</v>
      </c>
      <c r="E132" s="1053"/>
      <c r="F132" s="1053">
        <f>J111</f>
        <v>0</v>
      </c>
      <c r="G132" s="1053"/>
      <c r="H132" s="1053">
        <f>J112</f>
        <v>0</v>
      </c>
      <c r="I132" s="1053"/>
      <c r="J132" s="1053">
        <f>J113</f>
        <v>0</v>
      </c>
      <c r="K132" s="1053"/>
      <c r="L132" s="1053">
        <f>J114</f>
        <v>0</v>
      </c>
      <c r="M132" s="1053"/>
      <c r="N132" s="1053">
        <f>J115</f>
        <v>0</v>
      </c>
      <c r="O132" s="1053"/>
      <c r="P132" s="1053">
        <f>J116</f>
        <v>0</v>
      </c>
      <c r="Q132" s="1053"/>
      <c r="R132" s="1053">
        <f>J117</f>
        <v>0</v>
      </c>
      <c r="S132" s="1053"/>
      <c r="T132" s="1053">
        <f>J118</f>
        <v>0</v>
      </c>
      <c r="U132" s="1053"/>
      <c r="V132" s="1053">
        <f>J119</f>
        <v>0</v>
      </c>
      <c r="W132" s="1053"/>
      <c r="X132" s="1053">
        <f>J120</f>
        <v>0</v>
      </c>
      <c r="Y132" s="1053"/>
      <c r="Z132" s="1053">
        <f>J121</f>
        <v>0</v>
      </c>
      <c r="AA132" s="1053"/>
      <c r="AB132" s="1053">
        <f>J122</f>
        <v>0</v>
      </c>
      <c r="AC132" s="1053"/>
      <c r="AD132" s="1053">
        <f>J123</f>
        <v>1</v>
      </c>
      <c r="AE132" s="1053"/>
    </row>
    <row r="133" spans="1:31">
      <c r="A133" s="216" t="s">
        <v>91</v>
      </c>
      <c r="B133" s="1053">
        <f>K109</f>
        <v>1</v>
      </c>
      <c r="C133" s="1053"/>
      <c r="D133" s="1053">
        <f>K110</f>
        <v>2.7068708019976597E-2</v>
      </c>
      <c r="E133" s="1053"/>
      <c r="F133" s="1053">
        <f>K111</f>
        <v>9.4657445223231051E-2</v>
      </c>
      <c r="G133" s="1053"/>
      <c r="H133" s="1053">
        <f>K112</f>
        <v>2.0260014591638925E-2</v>
      </c>
      <c r="I133" s="1053"/>
      <c r="J133" s="1053">
        <f>K113</f>
        <v>0</v>
      </c>
      <c r="K133" s="1053"/>
      <c r="L133" s="1053">
        <f>K114</f>
        <v>0.11713166905985782</v>
      </c>
      <c r="M133" s="1053"/>
      <c r="N133" s="1053">
        <f>K115</f>
        <v>0.74088216310529564</v>
      </c>
      <c r="O133" s="1053"/>
      <c r="P133" s="1053">
        <f>K116</f>
        <v>0.30372334961384378</v>
      </c>
      <c r="Q133" s="1053"/>
      <c r="R133" s="1053">
        <f>K117</f>
        <v>0.15963616327826599</v>
      </c>
      <c r="S133" s="1053"/>
      <c r="T133" s="1053">
        <f>K118</f>
        <v>0.15050289033535363</v>
      </c>
      <c r="U133" s="1053"/>
      <c r="V133" s="1053">
        <f>K119</f>
        <v>0.17788403171430972</v>
      </c>
      <c r="W133" s="1053"/>
      <c r="X133" s="1053">
        <f>K120</f>
        <v>6.387687825104362E-3</v>
      </c>
      <c r="Y133" s="1053"/>
      <c r="Z133" s="1053">
        <f>K121</f>
        <v>5.6256478740392787E-2</v>
      </c>
      <c r="AA133" s="1053"/>
      <c r="AB133" s="1053">
        <f>K122</f>
        <v>0.14560939849272989</v>
      </c>
      <c r="AC133" s="1053"/>
      <c r="AD133" s="1053">
        <f>K123</f>
        <v>0</v>
      </c>
      <c r="AE133" s="1053"/>
    </row>
    <row r="134" spans="1:31">
      <c r="A134" s="216" t="s">
        <v>95</v>
      </c>
      <c r="B134" s="1053">
        <f>L109</f>
        <v>1</v>
      </c>
      <c r="C134" s="1053"/>
      <c r="D134" s="1053">
        <f>L110</f>
        <v>0.18991471314722469</v>
      </c>
      <c r="E134" s="1053"/>
      <c r="F134" s="1053">
        <f>L111</f>
        <v>0</v>
      </c>
      <c r="G134" s="1053"/>
      <c r="H134" s="1053">
        <f>L112</f>
        <v>0</v>
      </c>
      <c r="I134" s="1053"/>
      <c r="J134" s="1053">
        <f>L113</f>
        <v>0</v>
      </c>
      <c r="K134" s="1053"/>
      <c r="L134" s="1053">
        <f>L114</f>
        <v>0</v>
      </c>
      <c r="M134" s="1053"/>
      <c r="N134" s="1053">
        <f>L115</f>
        <v>0.81008528685277537</v>
      </c>
      <c r="O134" s="1053"/>
      <c r="P134" s="1053">
        <f>L116</f>
        <v>0.46776568999142792</v>
      </c>
      <c r="Q134" s="1053"/>
      <c r="R134" s="1053">
        <f>L117</f>
        <v>0.12292818474177457</v>
      </c>
      <c r="S134" s="1053"/>
      <c r="T134" s="1053">
        <f>L118</f>
        <v>0.11589508747504616</v>
      </c>
      <c r="U134" s="1053"/>
      <c r="V134" s="1053">
        <f>L119</f>
        <v>0.13697999666323399</v>
      </c>
      <c r="W134" s="1053"/>
      <c r="X134" s="1053">
        <f>L120</f>
        <v>9.8377066062213417E-4</v>
      </c>
      <c r="Y134" s="1053"/>
      <c r="Z134" s="1053">
        <f>L121</f>
        <v>4.3320427336167665E-2</v>
      </c>
      <c r="AA134" s="1053"/>
      <c r="AB134" s="1053">
        <f>L122</f>
        <v>0.11212684313172752</v>
      </c>
      <c r="AC134" s="1053"/>
      <c r="AD134" s="1053">
        <f>L123</f>
        <v>0</v>
      </c>
      <c r="AE134" s="1053"/>
    </row>
    <row r="135" spans="1:31">
      <c r="A135" s="216" t="s">
        <v>882</v>
      </c>
      <c r="B135" s="1053">
        <f>M109</f>
        <v>1</v>
      </c>
      <c r="C135" s="1053"/>
      <c r="D135" s="1053">
        <f>M110</f>
        <v>0</v>
      </c>
      <c r="E135" s="1053"/>
      <c r="F135" s="1053">
        <f>M111</f>
        <v>0</v>
      </c>
      <c r="G135" s="1053"/>
      <c r="H135" s="1053">
        <f>M112</f>
        <v>0</v>
      </c>
      <c r="I135" s="1053"/>
      <c r="J135" s="1053">
        <f>M113</f>
        <v>0</v>
      </c>
      <c r="K135" s="1053"/>
      <c r="L135" s="1053">
        <f>M114</f>
        <v>0</v>
      </c>
      <c r="M135" s="1053"/>
      <c r="N135" s="1053">
        <f>M115</f>
        <v>1</v>
      </c>
      <c r="O135" s="1053"/>
      <c r="P135" s="1053">
        <f>M116</f>
        <v>0.27563499529633112</v>
      </c>
      <c r="Q135" s="1053"/>
      <c r="R135" s="1053">
        <f>M117</f>
        <v>0.72436500470366871</v>
      </c>
      <c r="S135" s="1053"/>
      <c r="T135" s="1053">
        <f>M118</f>
        <v>0</v>
      </c>
      <c r="U135" s="1053"/>
      <c r="V135" s="1053">
        <f>M119</f>
        <v>0</v>
      </c>
      <c r="W135" s="1053"/>
      <c r="X135" s="1053">
        <f>M120</f>
        <v>0</v>
      </c>
      <c r="Y135" s="1053"/>
      <c r="Z135" s="1053">
        <f>M121</f>
        <v>0</v>
      </c>
      <c r="AA135" s="1053"/>
      <c r="AB135" s="1053">
        <f>M122</f>
        <v>0</v>
      </c>
      <c r="AC135" s="1053"/>
      <c r="AD135" s="1053">
        <f>M123</f>
        <v>0</v>
      </c>
      <c r="AE135" s="1053"/>
    </row>
    <row r="136" spans="1:31">
      <c r="A136" s="64"/>
      <c r="B136" s="64"/>
      <c r="C136" s="64"/>
      <c r="D136" s="64"/>
      <c r="E136" s="249"/>
      <c r="F136" s="64"/>
      <c r="G136" s="64"/>
      <c r="H136" s="64"/>
      <c r="I136" s="64"/>
      <c r="J136" s="64"/>
      <c r="K136" s="64"/>
      <c r="L136" s="64"/>
      <c r="M136" s="64"/>
      <c r="N136" s="106"/>
    </row>
    <row r="137" spans="1:31" ht="60" customHeight="1">
      <c r="A137" s="140" t="s">
        <v>129</v>
      </c>
      <c r="B137" s="1052" t="s">
        <v>130</v>
      </c>
      <c r="C137" s="1052"/>
      <c r="D137" s="140" t="s">
        <v>131</v>
      </c>
      <c r="E137" s="247" t="s">
        <v>921</v>
      </c>
      <c r="F137" s="246" t="s">
        <v>102</v>
      </c>
      <c r="G137" s="246" t="s">
        <v>133</v>
      </c>
      <c r="H137" s="1057" t="s">
        <v>104</v>
      </c>
      <c r="I137" s="1058"/>
      <c r="J137" s="1051" t="s">
        <v>123</v>
      </c>
      <c r="K137" s="1051"/>
      <c r="L137" s="1051"/>
      <c r="M137" s="1051"/>
      <c r="N137" s="1051"/>
      <c r="O137" s="1051"/>
      <c r="P137" s="1051"/>
      <c r="Q137" s="1051"/>
      <c r="R137" s="1051"/>
      <c r="S137" s="1051"/>
    </row>
    <row r="138" spans="1:31">
      <c r="A138" s="216" t="s">
        <v>196</v>
      </c>
      <c r="B138" s="1047" t="s">
        <v>922</v>
      </c>
      <c r="C138" s="1047"/>
      <c r="D138" s="186" t="s">
        <v>139</v>
      </c>
      <c r="E138" s="244">
        <v>3.6999999999999999E-4</v>
      </c>
      <c r="F138" s="186" t="s">
        <v>139</v>
      </c>
      <c r="G138" s="248">
        <v>1</v>
      </c>
      <c r="H138" s="1045" t="s">
        <v>163</v>
      </c>
      <c r="I138" s="1046"/>
      <c r="J138" s="1048" t="s">
        <v>923</v>
      </c>
      <c r="K138" s="1048"/>
      <c r="L138" s="1048"/>
      <c r="M138" s="1048"/>
      <c r="N138" s="1048"/>
      <c r="O138" s="1048"/>
      <c r="P138" s="1048"/>
      <c r="Q138" s="1048"/>
      <c r="R138" s="1048"/>
      <c r="S138" s="1048"/>
    </row>
    <row r="139" spans="1:31">
      <c r="A139" s="216" t="s">
        <v>196</v>
      </c>
      <c r="B139" s="1047" t="s">
        <v>922</v>
      </c>
      <c r="C139" s="1047"/>
      <c r="D139" s="186" t="s">
        <v>139</v>
      </c>
      <c r="E139" s="244">
        <v>8.0000000000000002E-3</v>
      </c>
      <c r="F139" s="186" t="s">
        <v>139</v>
      </c>
      <c r="G139" s="248">
        <v>1</v>
      </c>
      <c r="H139" s="1045" t="s">
        <v>163</v>
      </c>
      <c r="I139" s="1046"/>
      <c r="J139" s="1048" t="s">
        <v>924</v>
      </c>
      <c r="K139" s="1048"/>
      <c r="L139" s="1048"/>
      <c r="M139" s="1048"/>
      <c r="N139" s="1048"/>
      <c r="O139" s="1048"/>
      <c r="P139" s="1048"/>
      <c r="Q139" s="1048"/>
      <c r="R139" s="1048"/>
      <c r="S139" s="1048"/>
    </row>
    <row r="140" spans="1:31">
      <c r="A140" s="216" t="s">
        <v>196</v>
      </c>
      <c r="B140" s="1047" t="s">
        <v>922</v>
      </c>
      <c r="C140" s="1047"/>
      <c r="D140" s="186" t="s">
        <v>139</v>
      </c>
      <c r="E140" s="245">
        <v>2.5100000000000001E-3</v>
      </c>
      <c r="F140" s="186" t="s">
        <v>139</v>
      </c>
      <c r="G140" s="248">
        <v>1</v>
      </c>
      <c r="H140" s="1045" t="s">
        <v>163</v>
      </c>
      <c r="I140" s="1046"/>
      <c r="J140" s="1048" t="s">
        <v>925</v>
      </c>
      <c r="K140" s="1048"/>
      <c r="L140" s="1048"/>
      <c r="M140" s="1048"/>
      <c r="N140" s="1048"/>
      <c r="O140" s="1048"/>
      <c r="P140" s="1048"/>
      <c r="Q140" s="1048"/>
      <c r="R140" s="1048"/>
      <c r="S140" s="1048"/>
    </row>
    <row r="141" spans="1:31">
      <c r="A141" s="216" t="s">
        <v>196</v>
      </c>
      <c r="B141" s="1047" t="s">
        <v>231</v>
      </c>
      <c r="C141" s="1047"/>
      <c r="D141" s="186" t="s">
        <v>139</v>
      </c>
      <c r="E141" s="244">
        <v>3.0000000000000001E-5</v>
      </c>
      <c r="F141" s="186" t="s">
        <v>139</v>
      </c>
      <c r="G141" s="248">
        <v>1</v>
      </c>
      <c r="H141" s="1045" t="s">
        <v>163</v>
      </c>
      <c r="I141" s="1046"/>
      <c r="J141" s="1048" t="s">
        <v>926</v>
      </c>
      <c r="K141" s="1048"/>
      <c r="L141" s="1048"/>
      <c r="M141" s="1048"/>
      <c r="N141" s="1048"/>
      <c r="O141" s="1048"/>
      <c r="P141" s="1048"/>
      <c r="Q141" s="1048"/>
      <c r="R141" s="1048"/>
      <c r="S141" s="1048"/>
    </row>
    <row r="142" spans="1:31">
      <c r="A142" s="216" t="s">
        <v>196</v>
      </c>
      <c r="B142" s="1047" t="s">
        <v>231</v>
      </c>
      <c r="C142" s="1047"/>
      <c r="D142" s="186" t="s">
        <v>139</v>
      </c>
      <c r="E142" s="244">
        <v>5.9999999999999995E-4</v>
      </c>
      <c r="F142" s="186" t="s">
        <v>139</v>
      </c>
      <c r="G142" s="248">
        <v>1</v>
      </c>
      <c r="H142" s="1045" t="s">
        <v>163</v>
      </c>
      <c r="I142" s="1046"/>
      <c r="J142" s="1048" t="s">
        <v>927</v>
      </c>
      <c r="K142" s="1048"/>
      <c r="L142" s="1048"/>
      <c r="M142" s="1048"/>
      <c r="N142" s="1048"/>
      <c r="O142" s="1048"/>
      <c r="P142" s="1048"/>
      <c r="Q142" s="1048"/>
      <c r="R142" s="1048"/>
      <c r="S142" s="1048"/>
    </row>
    <row r="143" spans="1:31">
      <c r="A143" s="216" t="s">
        <v>196</v>
      </c>
      <c r="B143" s="1047" t="s">
        <v>231</v>
      </c>
      <c r="C143" s="1047"/>
      <c r="D143" s="186" t="s">
        <v>139</v>
      </c>
      <c r="E143" s="245">
        <v>1.9000000000000001E-4</v>
      </c>
      <c r="F143" s="186" t="s">
        <v>139</v>
      </c>
      <c r="G143" s="248">
        <v>1</v>
      </c>
      <c r="H143" s="1045" t="s">
        <v>163</v>
      </c>
      <c r="I143" s="1046"/>
      <c r="J143" s="1048" t="s">
        <v>928</v>
      </c>
      <c r="K143" s="1048"/>
      <c r="L143" s="1048"/>
      <c r="M143" s="1048"/>
      <c r="N143" s="1048"/>
      <c r="O143" s="1048"/>
      <c r="P143" s="1048"/>
      <c r="Q143" s="1048"/>
      <c r="R143" s="1048"/>
      <c r="S143" s="1048"/>
    </row>
    <row r="144" spans="1:31">
      <c r="A144" s="216" t="s">
        <v>196</v>
      </c>
      <c r="B144" s="1047" t="s">
        <v>232</v>
      </c>
      <c r="C144" s="1047"/>
      <c r="D144" s="186" t="s">
        <v>139</v>
      </c>
      <c r="E144" s="244">
        <v>1.7569999999999999E-2</v>
      </c>
      <c r="F144" s="186" t="s">
        <v>139</v>
      </c>
      <c r="G144" s="248">
        <v>1</v>
      </c>
      <c r="H144" s="1045" t="s">
        <v>168</v>
      </c>
      <c r="I144" s="1046"/>
      <c r="J144" s="1048" t="s">
        <v>929</v>
      </c>
      <c r="K144" s="1048"/>
      <c r="L144" s="1048"/>
      <c r="M144" s="1048"/>
      <c r="N144" s="1048"/>
      <c r="O144" s="1048"/>
      <c r="P144" s="1048"/>
      <c r="Q144" s="1048"/>
      <c r="R144" s="1048"/>
      <c r="S144" s="1048"/>
    </row>
    <row r="145" spans="1:19">
      <c r="A145" s="216" t="s">
        <v>196</v>
      </c>
      <c r="B145" s="1047" t="s">
        <v>194</v>
      </c>
      <c r="C145" s="1047"/>
      <c r="D145" s="186" t="s">
        <v>139</v>
      </c>
      <c r="E145" s="244" t="s">
        <v>150</v>
      </c>
      <c r="F145" s="186" t="s">
        <v>139</v>
      </c>
      <c r="G145" s="248">
        <v>1</v>
      </c>
      <c r="H145" s="1045" t="s">
        <v>168</v>
      </c>
      <c r="I145" s="1046"/>
      <c r="J145" s="1048" t="s">
        <v>930</v>
      </c>
      <c r="K145" s="1048"/>
      <c r="L145" s="1048"/>
      <c r="M145" s="1048"/>
      <c r="N145" s="1048"/>
      <c r="O145" s="1048"/>
      <c r="P145" s="1048"/>
      <c r="Q145" s="1048"/>
      <c r="R145" s="1048"/>
      <c r="S145" s="1048"/>
    </row>
    <row r="146" spans="1:19">
      <c r="A146" s="216" t="s">
        <v>194</v>
      </c>
      <c r="B146" s="1047" t="s">
        <v>204</v>
      </c>
      <c r="C146" s="1047"/>
      <c r="D146" s="186" t="s">
        <v>139</v>
      </c>
      <c r="E146" s="244">
        <v>2.7E-4</v>
      </c>
      <c r="F146" s="186" t="s">
        <v>139</v>
      </c>
      <c r="G146" s="248">
        <v>2</v>
      </c>
      <c r="H146" s="1045" t="s">
        <v>163</v>
      </c>
      <c r="I146" s="1046"/>
      <c r="J146" s="1048"/>
      <c r="K146" s="1048"/>
      <c r="L146" s="1048"/>
      <c r="M146" s="1048"/>
      <c r="N146" s="1048"/>
      <c r="O146" s="1048"/>
      <c r="P146" s="1048"/>
      <c r="Q146" s="1048"/>
      <c r="R146" s="1048"/>
      <c r="S146" s="1048"/>
    </row>
    <row r="147" spans="1:19">
      <c r="A147" s="216" t="s">
        <v>194</v>
      </c>
      <c r="B147" s="1047" t="s">
        <v>223</v>
      </c>
      <c r="C147" s="1047"/>
      <c r="D147" s="186" t="s">
        <v>139</v>
      </c>
      <c r="E147" s="244">
        <v>0.55385041999999995</v>
      </c>
      <c r="F147" s="186" t="s">
        <v>139</v>
      </c>
      <c r="G147" s="248">
        <v>1</v>
      </c>
      <c r="H147" s="1045" t="s">
        <v>224</v>
      </c>
      <c r="I147" s="1046"/>
      <c r="J147" s="1048" t="s">
        <v>931</v>
      </c>
      <c r="K147" s="1048"/>
      <c r="L147" s="1048"/>
      <c r="M147" s="1048"/>
      <c r="N147" s="1048"/>
      <c r="O147" s="1048"/>
      <c r="P147" s="1048"/>
      <c r="Q147" s="1048"/>
      <c r="R147" s="1048"/>
      <c r="S147" s="1048"/>
    </row>
    <row r="148" spans="1:19">
      <c r="A148" s="216" t="s">
        <v>194</v>
      </c>
      <c r="B148" s="1047" t="s">
        <v>225</v>
      </c>
      <c r="C148" s="1047"/>
      <c r="D148" s="186" t="s">
        <v>139</v>
      </c>
      <c r="E148" s="244">
        <v>0.44587958</v>
      </c>
      <c r="F148" s="186" t="s">
        <v>139</v>
      </c>
      <c r="G148" s="248">
        <v>1</v>
      </c>
      <c r="H148" s="1045" t="s">
        <v>224</v>
      </c>
      <c r="I148" s="1046"/>
      <c r="J148" s="1048" t="s">
        <v>932</v>
      </c>
      <c r="K148" s="1048"/>
      <c r="L148" s="1048"/>
      <c r="M148" s="1048"/>
      <c r="N148" s="1048"/>
      <c r="O148" s="1048"/>
      <c r="P148" s="1048"/>
      <c r="Q148" s="1048"/>
      <c r="R148" s="1048"/>
      <c r="S148" s="1048"/>
    </row>
    <row r="149" spans="1:19">
      <c r="A149" s="216" t="s">
        <v>886</v>
      </c>
      <c r="B149" s="1047" t="s">
        <v>232</v>
      </c>
      <c r="C149" s="1047"/>
      <c r="D149" s="186" t="s">
        <v>139</v>
      </c>
      <c r="E149" s="244">
        <v>1.7569999999999999E-2</v>
      </c>
      <c r="F149" s="186" t="s">
        <v>139</v>
      </c>
      <c r="G149" s="248">
        <v>1</v>
      </c>
      <c r="H149" s="1045" t="s">
        <v>168</v>
      </c>
      <c r="I149" s="1046"/>
      <c r="J149" s="1048" t="s">
        <v>933</v>
      </c>
      <c r="K149" s="1048"/>
      <c r="L149" s="1048"/>
      <c r="M149" s="1048"/>
      <c r="N149" s="1048"/>
      <c r="O149" s="1048"/>
      <c r="P149" s="1048"/>
      <c r="Q149" s="1048"/>
      <c r="R149" s="1048"/>
      <c r="S149" s="1048"/>
    </row>
    <row r="150" spans="1:19">
      <c r="A150" s="216" t="s">
        <v>886</v>
      </c>
      <c r="B150" s="1047" t="s">
        <v>934</v>
      </c>
      <c r="C150" s="1047"/>
      <c r="D150" s="186" t="s">
        <v>139</v>
      </c>
      <c r="E150" s="244" t="s">
        <v>150</v>
      </c>
      <c r="F150" s="186" t="s">
        <v>139</v>
      </c>
      <c r="G150" s="248">
        <v>1</v>
      </c>
      <c r="H150" s="1045" t="s">
        <v>168</v>
      </c>
      <c r="I150" s="1046"/>
      <c r="J150" s="1048" t="s">
        <v>930</v>
      </c>
      <c r="K150" s="1048"/>
      <c r="L150" s="1048"/>
      <c r="M150" s="1048"/>
      <c r="N150" s="1048"/>
      <c r="O150" s="1048"/>
      <c r="P150" s="1048"/>
      <c r="Q150" s="1048"/>
      <c r="R150" s="1048"/>
      <c r="S150" s="1048"/>
    </row>
    <row r="151" spans="1:19">
      <c r="A151" s="216" t="s">
        <v>934</v>
      </c>
      <c r="B151" s="1047" t="s">
        <v>204</v>
      </c>
      <c r="C151" s="1047"/>
      <c r="D151" s="186" t="s">
        <v>139</v>
      </c>
      <c r="E151" s="244">
        <v>2.7E-4</v>
      </c>
      <c r="F151" s="186" t="s">
        <v>139</v>
      </c>
      <c r="G151" s="248">
        <v>2</v>
      </c>
      <c r="H151" s="1045" t="s">
        <v>163</v>
      </c>
      <c r="I151" s="1046"/>
      <c r="J151" s="1048"/>
      <c r="K151" s="1048"/>
      <c r="L151" s="1048"/>
      <c r="M151" s="1048"/>
      <c r="N151" s="1048"/>
      <c r="O151" s="1048"/>
      <c r="P151" s="1048"/>
      <c r="Q151" s="1048"/>
      <c r="R151" s="1048"/>
      <c r="S151" s="1048"/>
    </row>
    <row r="152" spans="1:19">
      <c r="A152" s="216" t="s">
        <v>934</v>
      </c>
      <c r="B152" s="1047" t="s">
        <v>223</v>
      </c>
      <c r="C152" s="1047"/>
      <c r="D152" s="186" t="s">
        <v>139</v>
      </c>
      <c r="E152" s="244" t="s">
        <v>150</v>
      </c>
      <c r="F152" s="186" t="s">
        <v>139</v>
      </c>
      <c r="G152" s="248">
        <v>1</v>
      </c>
      <c r="H152" s="1045" t="s">
        <v>347</v>
      </c>
      <c r="I152" s="1046"/>
      <c r="J152" s="1048"/>
      <c r="K152" s="1048"/>
      <c r="L152" s="1048"/>
      <c r="M152" s="1048"/>
      <c r="N152" s="1048"/>
      <c r="O152" s="1048"/>
      <c r="P152" s="1048"/>
      <c r="Q152" s="1048"/>
      <c r="R152" s="1048"/>
      <c r="S152" s="1048"/>
    </row>
    <row r="153" spans="1:19">
      <c r="A153" s="216" t="s">
        <v>337</v>
      </c>
      <c r="B153" s="1047" t="s">
        <v>204</v>
      </c>
      <c r="C153" s="1047"/>
      <c r="D153" s="186" t="s">
        <v>139</v>
      </c>
      <c r="E153" s="244">
        <v>2.7E-4</v>
      </c>
      <c r="F153" s="186" t="s">
        <v>139</v>
      </c>
      <c r="G153" s="248">
        <v>2</v>
      </c>
      <c r="H153" s="1045" t="s">
        <v>163</v>
      </c>
      <c r="I153" s="1046"/>
      <c r="J153" s="1048"/>
      <c r="K153" s="1048"/>
      <c r="L153" s="1048"/>
      <c r="M153" s="1048"/>
      <c r="N153" s="1048"/>
      <c r="O153" s="1048"/>
      <c r="P153" s="1048"/>
      <c r="Q153" s="1048"/>
      <c r="R153" s="1048"/>
      <c r="S153" s="1048"/>
    </row>
    <row r="154" spans="1:19">
      <c r="A154" s="216" t="s">
        <v>337</v>
      </c>
      <c r="B154" s="1047" t="s">
        <v>223</v>
      </c>
      <c r="C154" s="1047"/>
      <c r="D154" s="186" t="s">
        <v>139</v>
      </c>
      <c r="E154" s="244" t="s">
        <v>150</v>
      </c>
      <c r="F154" s="186" t="s">
        <v>139</v>
      </c>
      <c r="G154" s="248">
        <v>1</v>
      </c>
      <c r="H154" s="1045" t="s">
        <v>347</v>
      </c>
      <c r="I154" s="1046"/>
      <c r="J154" s="1048"/>
      <c r="K154" s="1048"/>
      <c r="L154" s="1048"/>
      <c r="M154" s="1048"/>
      <c r="N154" s="1048"/>
      <c r="O154" s="1048"/>
      <c r="P154" s="1048"/>
      <c r="Q154" s="1048"/>
      <c r="R154" s="1048"/>
      <c r="S154" s="1048"/>
    </row>
    <row r="155" spans="1:19">
      <c r="A155" s="216" t="s">
        <v>337</v>
      </c>
      <c r="B155" s="1047" t="s">
        <v>363</v>
      </c>
      <c r="C155" s="1047"/>
      <c r="D155" s="186" t="s">
        <v>139</v>
      </c>
      <c r="E155" s="244">
        <v>6.5000000000000002E-2</v>
      </c>
      <c r="F155" s="186" t="s">
        <v>139</v>
      </c>
      <c r="G155" s="248">
        <v>1</v>
      </c>
      <c r="H155" s="1045" t="s">
        <v>427</v>
      </c>
      <c r="I155" s="1046"/>
      <c r="J155" s="1048" t="s">
        <v>935</v>
      </c>
      <c r="K155" s="1048"/>
      <c r="L155" s="1048"/>
      <c r="M155" s="1048"/>
      <c r="N155" s="1048"/>
      <c r="O155" s="1048"/>
      <c r="P155" s="1048"/>
      <c r="Q155" s="1048"/>
      <c r="R155" s="1048"/>
      <c r="S155" s="1048"/>
    </row>
    <row r="156" spans="1:19">
      <c r="A156" s="216" t="s">
        <v>337</v>
      </c>
      <c r="B156" s="1047" t="s">
        <v>363</v>
      </c>
      <c r="C156" s="1047"/>
      <c r="D156" s="186" t="s">
        <v>139</v>
      </c>
      <c r="E156" s="244">
        <v>0.46</v>
      </c>
      <c r="F156" s="186" t="s">
        <v>139</v>
      </c>
      <c r="G156" s="248">
        <v>1</v>
      </c>
      <c r="H156" s="1045" t="s">
        <v>428</v>
      </c>
      <c r="I156" s="1046"/>
      <c r="J156" s="1048" t="s">
        <v>936</v>
      </c>
      <c r="K156" s="1048"/>
      <c r="L156" s="1048"/>
      <c r="M156" s="1048"/>
      <c r="N156" s="1048"/>
      <c r="O156" s="1048"/>
      <c r="P156" s="1048"/>
      <c r="Q156" s="1048"/>
      <c r="R156" s="1048"/>
      <c r="S156" s="1048"/>
    </row>
    <row r="157" spans="1:19">
      <c r="A157" s="216" t="s">
        <v>241</v>
      </c>
      <c r="B157" s="1047" t="s">
        <v>204</v>
      </c>
      <c r="C157" s="1047"/>
      <c r="D157" s="186" t="s">
        <v>139</v>
      </c>
      <c r="E157" s="244">
        <v>2.7E-4</v>
      </c>
      <c r="F157" s="186" t="s">
        <v>139</v>
      </c>
      <c r="G157" s="248">
        <v>2</v>
      </c>
      <c r="H157" s="1045" t="s">
        <v>163</v>
      </c>
      <c r="I157" s="1046"/>
      <c r="J157" s="1048"/>
      <c r="K157" s="1048"/>
      <c r="L157" s="1048"/>
      <c r="M157" s="1048"/>
      <c r="N157" s="1048"/>
      <c r="O157" s="1048"/>
      <c r="P157" s="1048"/>
      <c r="Q157" s="1048"/>
      <c r="R157" s="1048"/>
      <c r="S157" s="1048"/>
    </row>
    <row r="158" spans="1:19">
      <c r="A158" s="216" t="s">
        <v>241</v>
      </c>
      <c r="B158" s="1047" t="s">
        <v>223</v>
      </c>
      <c r="C158" s="1047"/>
      <c r="D158" s="186" t="s">
        <v>139</v>
      </c>
      <c r="E158" s="244" t="s">
        <v>150</v>
      </c>
      <c r="F158" s="186" t="s">
        <v>139</v>
      </c>
      <c r="G158" s="248">
        <v>1</v>
      </c>
      <c r="H158" s="1045" t="s">
        <v>347</v>
      </c>
      <c r="I158" s="1046"/>
      <c r="J158" s="1048"/>
      <c r="K158" s="1048"/>
      <c r="L158" s="1048"/>
      <c r="M158" s="1048"/>
      <c r="N158" s="1048"/>
      <c r="O158" s="1048"/>
      <c r="P158" s="1048"/>
      <c r="Q158" s="1048"/>
      <c r="R158" s="1048"/>
      <c r="S158" s="1048"/>
    </row>
    <row r="159" spans="1:19">
      <c r="A159" s="216" t="s">
        <v>241</v>
      </c>
      <c r="B159" s="1047" t="s">
        <v>363</v>
      </c>
      <c r="C159" s="1047"/>
      <c r="D159" s="186" t="s">
        <v>139</v>
      </c>
      <c r="E159" s="244">
        <v>0.91400000000000003</v>
      </c>
      <c r="F159" s="186" t="s">
        <v>139</v>
      </c>
      <c r="G159" s="248">
        <v>1</v>
      </c>
      <c r="H159" s="1045" t="s">
        <v>427</v>
      </c>
      <c r="I159" s="1046"/>
      <c r="J159" s="1048" t="s">
        <v>935</v>
      </c>
      <c r="K159" s="1048"/>
      <c r="L159" s="1048"/>
      <c r="M159" s="1048"/>
      <c r="N159" s="1048"/>
      <c r="O159" s="1048"/>
      <c r="P159" s="1048"/>
      <c r="Q159" s="1048"/>
      <c r="R159" s="1048"/>
      <c r="S159" s="1048"/>
    </row>
    <row r="160" spans="1:19">
      <c r="A160" s="216" t="s">
        <v>239</v>
      </c>
      <c r="B160" s="1047" t="s">
        <v>204</v>
      </c>
      <c r="C160" s="1047"/>
      <c r="D160" s="186" t="s">
        <v>139</v>
      </c>
      <c r="E160" s="244">
        <v>2.7E-4</v>
      </c>
      <c r="F160" s="186" t="s">
        <v>139</v>
      </c>
      <c r="G160" s="248">
        <v>2</v>
      </c>
      <c r="H160" s="1045" t="s">
        <v>163</v>
      </c>
      <c r="I160" s="1046"/>
      <c r="J160" s="1048"/>
      <c r="K160" s="1048"/>
      <c r="L160" s="1048"/>
      <c r="M160" s="1048"/>
      <c r="N160" s="1048"/>
      <c r="O160" s="1048"/>
      <c r="P160" s="1048"/>
      <c r="Q160" s="1048"/>
      <c r="R160" s="1048"/>
      <c r="S160" s="1048"/>
    </row>
    <row r="161" spans="1:19">
      <c r="A161" s="216" t="s">
        <v>239</v>
      </c>
      <c r="B161" s="1047" t="s">
        <v>223</v>
      </c>
      <c r="C161" s="1047"/>
      <c r="D161" s="186" t="s">
        <v>139</v>
      </c>
      <c r="E161" s="244" t="s">
        <v>150</v>
      </c>
      <c r="F161" s="186" t="s">
        <v>139</v>
      </c>
      <c r="G161" s="248">
        <v>1</v>
      </c>
      <c r="H161" s="1045" t="s">
        <v>347</v>
      </c>
      <c r="I161" s="1046"/>
      <c r="J161" s="1048"/>
      <c r="K161" s="1048"/>
      <c r="L161" s="1048"/>
      <c r="M161" s="1048"/>
      <c r="N161" s="1048"/>
      <c r="O161" s="1048"/>
      <c r="P161" s="1048"/>
      <c r="Q161" s="1048"/>
      <c r="R161" s="1048"/>
      <c r="S161" s="1048"/>
    </row>
    <row r="162" spans="1:19">
      <c r="A162" s="216" t="s">
        <v>239</v>
      </c>
      <c r="B162" s="1047" t="s">
        <v>363</v>
      </c>
      <c r="C162" s="1047"/>
      <c r="D162" s="186" t="s">
        <v>139</v>
      </c>
      <c r="E162" s="244">
        <v>0.16500000000000001</v>
      </c>
      <c r="F162" s="186" t="s">
        <v>139</v>
      </c>
      <c r="G162" s="248">
        <v>1</v>
      </c>
      <c r="H162" s="1045" t="s">
        <v>427</v>
      </c>
      <c r="I162" s="1046"/>
      <c r="J162" s="1048" t="s">
        <v>935</v>
      </c>
      <c r="K162" s="1048"/>
      <c r="L162" s="1048"/>
      <c r="M162" s="1048"/>
      <c r="N162" s="1048"/>
      <c r="O162" s="1048"/>
      <c r="P162" s="1048"/>
      <c r="Q162" s="1048"/>
      <c r="R162" s="1048"/>
      <c r="S162" s="1048"/>
    </row>
    <row r="163" spans="1:19">
      <c r="A163" s="216" t="s">
        <v>239</v>
      </c>
      <c r="B163" s="1047" t="s">
        <v>363</v>
      </c>
      <c r="C163" s="1047"/>
      <c r="D163" s="186" t="s">
        <v>139</v>
      </c>
      <c r="E163" s="244">
        <v>0.52500000000000002</v>
      </c>
      <c r="F163" s="186" t="s">
        <v>139</v>
      </c>
      <c r="G163" s="248">
        <v>1</v>
      </c>
      <c r="H163" s="1045" t="s">
        <v>427</v>
      </c>
      <c r="I163" s="1046"/>
      <c r="J163" s="1048" t="s">
        <v>936</v>
      </c>
      <c r="K163" s="1048"/>
      <c r="L163" s="1048"/>
      <c r="M163" s="1048"/>
      <c r="N163" s="1048"/>
      <c r="O163" s="1048"/>
      <c r="P163" s="1048"/>
      <c r="Q163" s="1048"/>
      <c r="R163" s="1048"/>
      <c r="S163" s="1048"/>
    </row>
    <row r="164" spans="1:19">
      <c r="A164" s="216" t="s">
        <v>240</v>
      </c>
      <c r="B164" s="1047" t="s">
        <v>204</v>
      </c>
      <c r="C164" s="1047"/>
      <c r="D164" s="186" t="s">
        <v>139</v>
      </c>
      <c r="E164" s="244">
        <v>2.7E-4</v>
      </c>
      <c r="F164" s="186" t="s">
        <v>139</v>
      </c>
      <c r="G164" s="248">
        <v>2</v>
      </c>
      <c r="H164" s="1045" t="s">
        <v>163</v>
      </c>
      <c r="I164" s="1046"/>
      <c r="J164" s="1048"/>
      <c r="K164" s="1048"/>
      <c r="L164" s="1048"/>
      <c r="M164" s="1048"/>
      <c r="N164" s="1048"/>
      <c r="O164" s="1048"/>
      <c r="P164" s="1048"/>
      <c r="Q164" s="1048"/>
      <c r="R164" s="1048"/>
      <c r="S164" s="1048"/>
    </row>
    <row r="165" spans="1:19">
      <c r="A165" s="216" t="s">
        <v>240</v>
      </c>
      <c r="B165" s="1047" t="s">
        <v>223</v>
      </c>
      <c r="C165" s="1047"/>
      <c r="D165" s="186" t="s">
        <v>139</v>
      </c>
      <c r="E165" s="244" t="s">
        <v>150</v>
      </c>
      <c r="F165" s="186" t="s">
        <v>139</v>
      </c>
      <c r="G165" s="248">
        <v>1</v>
      </c>
      <c r="H165" s="1045" t="s">
        <v>347</v>
      </c>
      <c r="I165" s="1046"/>
      <c r="J165" s="1048"/>
      <c r="K165" s="1048"/>
      <c r="L165" s="1048"/>
      <c r="M165" s="1048"/>
      <c r="N165" s="1048"/>
      <c r="O165" s="1048"/>
      <c r="P165" s="1048"/>
      <c r="Q165" s="1048"/>
      <c r="R165" s="1048"/>
      <c r="S165" s="1048"/>
    </row>
    <row r="166" spans="1:19">
      <c r="A166" s="216" t="s">
        <v>240</v>
      </c>
      <c r="B166" s="1047" t="s">
        <v>363</v>
      </c>
      <c r="C166" s="1047"/>
      <c r="D166" s="186" t="s">
        <v>139</v>
      </c>
      <c r="E166" s="244">
        <v>6.5000000000000002E-2</v>
      </c>
      <c r="F166" s="186" t="s">
        <v>139</v>
      </c>
      <c r="G166" s="248">
        <v>1</v>
      </c>
      <c r="H166" s="1045" t="s">
        <v>427</v>
      </c>
      <c r="I166" s="1046"/>
      <c r="J166" s="1048" t="s">
        <v>936</v>
      </c>
      <c r="K166" s="1048"/>
      <c r="L166" s="1048"/>
      <c r="M166" s="1048"/>
      <c r="N166" s="1048"/>
      <c r="O166" s="1048"/>
      <c r="P166" s="1048"/>
      <c r="Q166" s="1048"/>
      <c r="R166" s="1048"/>
      <c r="S166" s="1048"/>
    </row>
    <row r="167" spans="1:19">
      <c r="A167" s="216" t="s">
        <v>191</v>
      </c>
      <c r="B167" s="1047" t="s">
        <v>922</v>
      </c>
      <c r="C167" s="1047"/>
      <c r="D167" s="186" t="s">
        <v>139</v>
      </c>
      <c r="E167" s="244">
        <v>1.2999999999999999E-2</v>
      </c>
      <c r="F167" s="186" t="s">
        <v>139</v>
      </c>
      <c r="G167" s="248">
        <v>1</v>
      </c>
      <c r="H167" s="1045" t="s">
        <v>163</v>
      </c>
      <c r="I167" s="1046"/>
      <c r="J167" s="1048" t="s">
        <v>937</v>
      </c>
      <c r="K167" s="1048"/>
      <c r="L167" s="1048"/>
      <c r="M167" s="1048"/>
      <c r="N167" s="1048"/>
      <c r="O167" s="1048"/>
      <c r="P167" s="1048"/>
      <c r="Q167" s="1048"/>
      <c r="R167" s="1048"/>
      <c r="S167" s="1048"/>
    </row>
    <row r="168" spans="1:19">
      <c r="A168" s="216" t="s">
        <v>191</v>
      </c>
      <c r="B168" s="1047" t="s">
        <v>922</v>
      </c>
      <c r="C168" s="1047"/>
      <c r="D168" s="186" t="s">
        <v>139</v>
      </c>
      <c r="E168" s="244">
        <v>8.6E-3</v>
      </c>
      <c r="F168" s="186" t="s">
        <v>139</v>
      </c>
      <c r="G168" s="248">
        <v>1</v>
      </c>
      <c r="H168" s="1045" t="s">
        <v>163</v>
      </c>
      <c r="I168" s="1046"/>
      <c r="J168" s="1048" t="s">
        <v>938</v>
      </c>
      <c r="K168" s="1048"/>
      <c r="L168" s="1048"/>
      <c r="M168" s="1048"/>
      <c r="N168" s="1048"/>
      <c r="O168" s="1048"/>
      <c r="P168" s="1048"/>
      <c r="Q168" s="1048"/>
      <c r="R168" s="1048"/>
      <c r="S168" s="1048"/>
    </row>
    <row r="169" spans="1:19">
      <c r="A169" s="216" t="s">
        <v>191</v>
      </c>
      <c r="B169" s="1047" t="s">
        <v>231</v>
      </c>
      <c r="C169" s="1047"/>
      <c r="D169" s="186" t="s">
        <v>139</v>
      </c>
      <c r="E169" s="244">
        <v>0</v>
      </c>
      <c r="F169" s="186" t="s">
        <v>139</v>
      </c>
      <c r="G169" s="248">
        <v>1</v>
      </c>
      <c r="H169" s="1045" t="s">
        <v>163</v>
      </c>
      <c r="I169" s="1046"/>
      <c r="J169" s="1048"/>
      <c r="K169" s="1048"/>
      <c r="L169" s="1048"/>
      <c r="M169" s="1048"/>
      <c r="N169" s="1048"/>
      <c r="O169" s="1048"/>
      <c r="P169" s="1048"/>
      <c r="Q169" s="1048"/>
      <c r="R169" s="1048"/>
      <c r="S169" s="1048"/>
    </row>
    <row r="170" spans="1:19">
      <c r="A170" s="216" t="s">
        <v>191</v>
      </c>
      <c r="B170" s="1047" t="s">
        <v>232</v>
      </c>
      <c r="C170" s="1047"/>
      <c r="D170" s="186" t="s">
        <v>139</v>
      </c>
      <c r="E170" s="244">
        <v>1.7569999999999999E-2</v>
      </c>
      <c r="F170" s="186" t="s">
        <v>139</v>
      </c>
      <c r="G170" s="248">
        <v>1</v>
      </c>
      <c r="H170" s="1045" t="s">
        <v>168</v>
      </c>
      <c r="I170" s="1046"/>
      <c r="J170" s="1048" t="s">
        <v>933</v>
      </c>
      <c r="K170" s="1048"/>
      <c r="L170" s="1048"/>
      <c r="M170" s="1048"/>
      <c r="N170" s="1048"/>
      <c r="O170" s="1048"/>
      <c r="P170" s="1048"/>
      <c r="Q170" s="1048"/>
      <c r="R170" s="1048"/>
      <c r="S170" s="1048"/>
    </row>
    <row r="171" spans="1:19">
      <c r="A171" s="216" t="s">
        <v>191</v>
      </c>
      <c r="B171" s="1047" t="s">
        <v>190</v>
      </c>
      <c r="C171" s="1047"/>
      <c r="D171" s="186" t="s">
        <v>139</v>
      </c>
      <c r="E171" s="244" t="s">
        <v>150</v>
      </c>
      <c r="F171" s="186" t="s">
        <v>139</v>
      </c>
      <c r="G171" s="248">
        <v>1</v>
      </c>
      <c r="H171" s="1045" t="s">
        <v>168</v>
      </c>
      <c r="I171" s="1046"/>
      <c r="J171" s="1048" t="s">
        <v>930</v>
      </c>
      <c r="K171" s="1048"/>
      <c r="L171" s="1048"/>
      <c r="M171" s="1048"/>
      <c r="N171" s="1048"/>
      <c r="O171" s="1048"/>
      <c r="P171" s="1048"/>
      <c r="Q171" s="1048"/>
      <c r="R171" s="1048"/>
      <c r="S171" s="1048"/>
    </row>
    <row r="172" spans="1:19">
      <c r="A172" s="216" t="s">
        <v>190</v>
      </c>
      <c r="B172" s="1047" t="s">
        <v>204</v>
      </c>
      <c r="C172" s="1047"/>
      <c r="D172" s="186" t="s">
        <v>139</v>
      </c>
      <c r="E172" s="244">
        <v>2.7E-4</v>
      </c>
      <c r="F172" s="186" t="s">
        <v>139</v>
      </c>
      <c r="G172" s="248">
        <v>2</v>
      </c>
      <c r="H172" s="1045" t="s">
        <v>163</v>
      </c>
      <c r="I172" s="1046"/>
      <c r="J172" s="1048"/>
      <c r="K172" s="1048"/>
      <c r="L172" s="1048"/>
      <c r="M172" s="1048"/>
      <c r="N172" s="1048"/>
      <c r="O172" s="1048"/>
      <c r="P172" s="1048"/>
      <c r="Q172" s="1048"/>
      <c r="R172" s="1048"/>
      <c r="S172" s="1048"/>
    </row>
    <row r="173" spans="1:19">
      <c r="A173" s="216" t="s">
        <v>190</v>
      </c>
      <c r="B173" s="1047" t="s">
        <v>223</v>
      </c>
      <c r="C173" s="1047"/>
      <c r="D173" s="186" t="s">
        <v>139</v>
      </c>
      <c r="E173" s="244">
        <v>0.55385041999999995</v>
      </c>
      <c r="F173" s="186" t="s">
        <v>139</v>
      </c>
      <c r="G173" s="248">
        <v>1</v>
      </c>
      <c r="H173" s="1045" t="s">
        <v>224</v>
      </c>
      <c r="I173" s="1046"/>
      <c r="J173" s="1048" t="s">
        <v>939</v>
      </c>
      <c r="K173" s="1048"/>
      <c r="L173" s="1048"/>
      <c r="M173" s="1048"/>
      <c r="N173" s="1048"/>
      <c r="O173" s="1048"/>
      <c r="P173" s="1048"/>
      <c r="Q173" s="1048"/>
      <c r="R173" s="1048"/>
      <c r="S173" s="1048"/>
    </row>
    <row r="174" spans="1:19">
      <c r="A174" s="216" t="s">
        <v>190</v>
      </c>
      <c r="B174" s="1047" t="s">
        <v>225</v>
      </c>
      <c r="C174" s="1047"/>
      <c r="D174" s="186" t="s">
        <v>139</v>
      </c>
      <c r="E174" s="244">
        <v>0.44587958</v>
      </c>
      <c r="F174" s="186" t="s">
        <v>139</v>
      </c>
      <c r="G174" s="248">
        <v>1</v>
      </c>
      <c r="H174" s="1045" t="s">
        <v>224</v>
      </c>
      <c r="I174" s="1046"/>
      <c r="J174" s="1048" t="s">
        <v>940</v>
      </c>
      <c r="K174" s="1048"/>
      <c r="L174" s="1048"/>
      <c r="M174" s="1048"/>
      <c r="N174" s="1048"/>
      <c r="O174" s="1048"/>
      <c r="P174" s="1048"/>
      <c r="Q174" s="1048"/>
      <c r="R174" s="1048"/>
      <c r="S174" s="1048"/>
    </row>
    <row r="175" spans="1:19">
      <c r="A175" s="216" t="s">
        <v>356</v>
      </c>
      <c r="B175" s="1047" t="s">
        <v>922</v>
      </c>
      <c r="C175" s="1047"/>
      <c r="D175" s="186" t="s">
        <v>139</v>
      </c>
      <c r="E175" s="244">
        <v>1.2999999999999999E-2</v>
      </c>
      <c r="F175" s="186" t="s">
        <v>139</v>
      </c>
      <c r="G175" s="248">
        <v>1</v>
      </c>
      <c r="H175" s="1045" t="s">
        <v>163</v>
      </c>
      <c r="I175" s="1046"/>
      <c r="J175" s="1048" t="s">
        <v>941</v>
      </c>
      <c r="K175" s="1048"/>
      <c r="L175" s="1048"/>
      <c r="M175" s="1048"/>
      <c r="N175" s="1048"/>
      <c r="O175" s="1048"/>
      <c r="P175" s="1048"/>
      <c r="Q175" s="1048"/>
      <c r="R175" s="1048"/>
      <c r="S175" s="1048"/>
    </row>
    <row r="176" spans="1:19">
      <c r="A176" s="216" t="s">
        <v>356</v>
      </c>
      <c r="B176" s="1047" t="s">
        <v>922</v>
      </c>
      <c r="C176" s="1047"/>
      <c r="D176" s="186" t="s">
        <v>139</v>
      </c>
      <c r="E176" s="244">
        <v>8.6E-3</v>
      </c>
      <c r="F176" s="186" t="s">
        <v>139</v>
      </c>
      <c r="G176" s="248">
        <v>1</v>
      </c>
      <c r="H176" s="1045" t="s">
        <v>163</v>
      </c>
      <c r="I176" s="1046"/>
      <c r="J176" s="1048" t="s">
        <v>942</v>
      </c>
      <c r="K176" s="1048"/>
      <c r="L176" s="1048"/>
      <c r="M176" s="1048"/>
      <c r="N176" s="1048"/>
      <c r="O176" s="1048"/>
      <c r="P176" s="1048"/>
      <c r="Q176" s="1048"/>
      <c r="R176" s="1048"/>
      <c r="S176" s="1048"/>
    </row>
    <row r="177" spans="1:19">
      <c r="A177" s="216" t="s">
        <v>356</v>
      </c>
      <c r="B177" s="1047" t="s">
        <v>231</v>
      </c>
      <c r="C177" s="1047"/>
      <c r="D177" s="186" t="s">
        <v>139</v>
      </c>
      <c r="E177" s="244">
        <v>0</v>
      </c>
      <c r="F177" s="186" t="s">
        <v>139</v>
      </c>
      <c r="G177" s="248">
        <v>1</v>
      </c>
      <c r="H177" s="1045" t="s">
        <v>163</v>
      </c>
      <c r="I177" s="1046"/>
      <c r="J177" s="1048" t="s">
        <v>943</v>
      </c>
      <c r="K177" s="1048"/>
      <c r="L177" s="1048"/>
      <c r="M177" s="1048"/>
      <c r="N177" s="1048"/>
      <c r="O177" s="1048"/>
      <c r="P177" s="1048"/>
      <c r="Q177" s="1048"/>
      <c r="R177" s="1048"/>
      <c r="S177" s="1048"/>
    </row>
    <row r="178" spans="1:19">
      <c r="A178" s="216" t="s">
        <v>356</v>
      </c>
      <c r="B178" s="1047" t="s">
        <v>232</v>
      </c>
      <c r="C178" s="1047"/>
      <c r="D178" s="186" t="s">
        <v>139</v>
      </c>
      <c r="E178" s="244">
        <v>0</v>
      </c>
      <c r="F178" s="186" t="s">
        <v>139</v>
      </c>
      <c r="G178" s="248">
        <v>1</v>
      </c>
      <c r="H178" s="1045" t="s">
        <v>163</v>
      </c>
      <c r="I178" s="1046"/>
      <c r="J178" s="1048" t="s">
        <v>944</v>
      </c>
      <c r="K178" s="1048"/>
      <c r="L178" s="1048"/>
      <c r="M178" s="1048"/>
      <c r="N178" s="1048"/>
      <c r="O178" s="1048"/>
      <c r="P178" s="1048"/>
      <c r="Q178" s="1048"/>
      <c r="R178" s="1048"/>
      <c r="S178" s="1048"/>
    </row>
    <row r="179" spans="1:19">
      <c r="A179" s="216" t="s">
        <v>356</v>
      </c>
      <c r="B179" s="1047" t="s">
        <v>242</v>
      </c>
      <c r="C179" s="1047"/>
      <c r="D179" s="186" t="s">
        <v>139</v>
      </c>
      <c r="E179" s="244" t="s">
        <v>150</v>
      </c>
      <c r="F179" s="186" t="s">
        <v>139</v>
      </c>
      <c r="G179" s="248">
        <v>1</v>
      </c>
      <c r="H179" s="1045" t="s">
        <v>168</v>
      </c>
      <c r="I179" s="1046"/>
      <c r="J179" s="1048" t="s">
        <v>930</v>
      </c>
      <c r="K179" s="1048"/>
      <c r="L179" s="1048"/>
      <c r="M179" s="1048"/>
      <c r="N179" s="1048"/>
      <c r="O179" s="1048"/>
      <c r="P179" s="1048"/>
      <c r="Q179" s="1048"/>
      <c r="R179" s="1048"/>
      <c r="S179" s="1048"/>
    </row>
    <row r="180" spans="1:19">
      <c r="A180" s="216" t="s">
        <v>242</v>
      </c>
      <c r="B180" s="1047" t="s">
        <v>204</v>
      </c>
      <c r="C180" s="1047"/>
      <c r="D180" s="186" t="s">
        <v>139</v>
      </c>
      <c r="E180" s="244">
        <v>2.7E-4</v>
      </c>
      <c r="F180" s="186" t="s">
        <v>139</v>
      </c>
      <c r="G180" s="248">
        <v>2</v>
      </c>
      <c r="H180" s="1045" t="s">
        <v>163</v>
      </c>
      <c r="I180" s="1046"/>
      <c r="J180" s="1048"/>
      <c r="K180" s="1048"/>
      <c r="L180" s="1048"/>
      <c r="M180" s="1048"/>
      <c r="N180" s="1048"/>
      <c r="O180" s="1048"/>
      <c r="P180" s="1048"/>
      <c r="Q180" s="1048"/>
      <c r="R180" s="1048"/>
      <c r="S180" s="1048"/>
    </row>
    <row r="181" spans="1:19">
      <c r="A181" s="216" t="s">
        <v>242</v>
      </c>
      <c r="B181" s="1047" t="s">
        <v>223</v>
      </c>
      <c r="C181" s="1047"/>
      <c r="D181" s="186" t="s">
        <v>139</v>
      </c>
      <c r="E181" s="244">
        <v>0.55385041999999995</v>
      </c>
      <c r="F181" s="186" t="s">
        <v>139</v>
      </c>
      <c r="G181" s="248">
        <v>1</v>
      </c>
      <c r="H181" s="1045" t="s">
        <v>224</v>
      </c>
      <c r="I181" s="1046"/>
      <c r="J181" s="1048" t="s">
        <v>945</v>
      </c>
      <c r="K181" s="1048"/>
      <c r="L181" s="1048"/>
      <c r="M181" s="1048"/>
      <c r="N181" s="1048"/>
      <c r="O181" s="1048"/>
      <c r="P181" s="1048"/>
      <c r="Q181" s="1048"/>
      <c r="R181" s="1048"/>
      <c r="S181" s="1048"/>
    </row>
    <row r="182" spans="1:19">
      <c r="A182" s="216" t="s">
        <v>242</v>
      </c>
      <c r="B182" s="1047" t="s">
        <v>225</v>
      </c>
      <c r="C182" s="1047"/>
      <c r="D182" s="186" t="s">
        <v>139</v>
      </c>
      <c r="E182" s="244">
        <v>0.44587958</v>
      </c>
      <c r="F182" s="186" t="s">
        <v>139</v>
      </c>
      <c r="G182" s="248">
        <v>1</v>
      </c>
      <c r="H182" s="1045" t="s">
        <v>224</v>
      </c>
      <c r="I182" s="1046"/>
      <c r="J182" s="1048" t="s">
        <v>946</v>
      </c>
      <c r="K182" s="1048"/>
      <c r="L182" s="1048"/>
      <c r="M182" s="1048"/>
      <c r="N182" s="1048"/>
      <c r="O182" s="1048"/>
      <c r="P182" s="1048"/>
      <c r="Q182" s="1048"/>
      <c r="R182" s="1048"/>
      <c r="S182" s="1048"/>
    </row>
    <row r="183" spans="1:19">
      <c r="A183" s="216" t="s">
        <v>346</v>
      </c>
      <c r="B183" s="1047" t="s">
        <v>223</v>
      </c>
      <c r="C183" s="1047"/>
      <c r="D183" s="186" t="s">
        <v>139</v>
      </c>
      <c r="E183" s="244">
        <v>1</v>
      </c>
      <c r="F183" s="186" t="s">
        <v>139</v>
      </c>
      <c r="G183" s="248">
        <v>1</v>
      </c>
      <c r="H183" s="1045" t="s">
        <v>163</v>
      </c>
      <c r="I183" s="1046"/>
      <c r="J183" s="1048"/>
      <c r="K183" s="1048"/>
      <c r="L183" s="1048"/>
      <c r="M183" s="1048"/>
      <c r="N183" s="1048"/>
      <c r="O183" s="1048"/>
      <c r="P183" s="1048"/>
      <c r="Q183" s="1048"/>
      <c r="R183" s="1048"/>
      <c r="S183" s="1048"/>
    </row>
    <row r="184" spans="1:19">
      <c r="A184" s="216" t="s">
        <v>162</v>
      </c>
      <c r="B184" s="1047" t="s">
        <v>155</v>
      </c>
      <c r="C184" s="1047"/>
      <c r="D184" s="186" t="s">
        <v>139</v>
      </c>
      <c r="E184" s="244">
        <v>0</v>
      </c>
      <c r="F184" s="186" t="s">
        <v>139</v>
      </c>
      <c r="G184" s="248">
        <v>1</v>
      </c>
      <c r="H184" s="1045" t="s">
        <v>163</v>
      </c>
      <c r="I184" s="1046"/>
      <c r="J184" s="1048" t="s">
        <v>147</v>
      </c>
      <c r="K184" s="1048"/>
      <c r="L184" s="1048"/>
      <c r="M184" s="1048"/>
      <c r="N184" s="1048"/>
      <c r="O184" s="1048"/>
      <c r="P184" s="1048"/>
      <c r="Q184" s="1048"/>
      <c r="R184" s="1048"/>
      <c r="S184" s="1048"/>
    </row>
    <row r="185" spans="1:19">
      <c r="A185" s="216" t="s">
        <v>162</v>
      </c>
      <c r="B185" s="1047" t="s">
        <v>155</v>
      </c>
      <c r="C185" s="1047"/>
      <c r="D185" s="186" t="s">
        <v>139</v>
      </c>
      <c r="E185" s="244">
        <v>1.2999999999999999E-2</v>
      </c>
      <c r="F185" s="186" t="s">
        <v>139</v>
      </c>
      <c r="G185" s="248">
        <v>1</v>
      </c>
      <c r="H185" s="1045" t="s">
        <v>163</v>
      </c>
      <c r="I185" s="1046"/>
      <c r="J185" s="1048" t="s">
        <v>947</v>
      </c>
      <c r="K185" s="1048"/>
      <c r="L185" s="1048"/>
      <c r="M185" s="1048"/>
      <c r="N185" s="1048"/>
      <c r="O185" s="1048"/>
      <c r="P185" s="1048"/>
      <c r="Q185" s="1048"/>
      <c r="R185" s="1048"/>
      <c r="S185" s="1048"/>
    </row>
    <row r="186" spans="1:19">
      <c r="A186" s="216" t="s">
        <v>162</v>
      </c>
      <c r="B186" s="1047" t="s">
        <v>146</v>
      </c>
      <c r="C186" s="1047"/>
      <c r="D186" s="186" t="s">
        <v>139</v>
      </c>
      <c r="E186" s="244">
        <v>0</v>
      </c>
      <c r="F186" s="186" t="s">
        <v>139</v>
      </c>
      <c r="G186" s="248">
        <v>1</v>
      </c>
      <c r="H186" s="1045" t="s">
        <v>163</v>
      </c>
      <c r="I186" s="1046"/>
      <c r="J186" s="1048" t="s">
        <v>147</v>
      </c>
      <c r="K186" s="1048"/>
      <c r="L186" s="1048"/>
      <c r="M186" s="1048"/>
      <c r="N186" s="1048"/>
      <c r="O186" s="1048"/>
      <c r="P186" s="1048"/>
      <c r="Q186" s="1048"/>
      <c r="R186" s="1048"/>
      <c r="S186" s="1048"/>
    </row>
    <row r="187" spans="1:19">
      <c r="A187" s="216" t="s">
        <v>162</v>
      </c>
      <c r="B187" s="1047" t="s">
        <v>146</v>
      </c>
      <c r="C187" s="1047"/>
      <c r="D187" s="186" t="s">
        <v>139</v>
      </c>
      <c r="E187" s="244">
        <v>8.5000000000000006E-2</v>
      </c>
      <c r="F187" s="186" t="s">
        <v>139</v>
      </c>
      <c r="G187" s="248">
        <v>1</v>
      </c>
      <c r="H187" s="1045" t="s">
        <v>163</v>
      </c>
      <c r="I187" s="1046"/>
      <c r="J187" s="1048" t="s">
        <v>148</v>
      </c>
      <c r="K187" s="1048"/>
      <c r="L187" s="1048"/>
      <c r="M187" s="1048"/>
      <c r="N187" s="1048"/>
      <c r="O187" s="1048"/>
      <c r="P187" s="1048"/>
      <c r="Q187" s="1048"/>
      <c r="R187" s="1048"/>
      <c r="S187" s="1048"/>
    </row>
    <row r="188" spans="1:19">
      <c r="A188" s="216" t="s">
        <v>162</v>
      </c>
      <c r="B188" s="1047" t="s">
        <v>153</v>
      </c>
      <c r="C188" s="1047"/>
      <c r="D188" s="186" t="s">
        <v>139</v>
      </c>
      <c r="E188" s="244" t="s">
        <v>150</v>
      </c>
      <c r="F188" s="186" t="s">
        <v>139</v>
      </c>
      <c r="G188" s="248">
        <v>1</v>
      </c>
      <c r="H188" s="1045" t="s">
        <v>168</v>
      </c>
      <c r="I188" s="1046"/>
      <c r="J188" s="1048" t="s">
        <v>930</v>
      </c>
      <c r="K188" s="1048"/>
      <c r="L188" s="1048"/>
      <c r="M188" s="1048"/>
      <c r="N188" s="1048"/>
      <c r="O188" s="1048"/>
      <c r="P188" s="1048"/>
      <c r="Q188" s="1048"/>
      <c r="R188" s="1048"/>
      <c r="S188" s="1048"/>
    </row>
    <row r="189" spans="1:19">
      <c r="A189" s="216" t="s">
        <v>153</v>
      </c>
      <c r="B189" s="1047" t="s">
        <v>165</v>
      </c>
      <c r="C189" s="1047"/>
      <c r="D189" s="186" t="s">
        <v>139</v>
      </c>
      <c r="E189" s="244" t="s">
        <v>150</v>
      </c>
      <c r="F189" s="186" t="s">
        <v>139</v>
      </c>
      <c r="G189" s="248">
        <v>1</v>
      </c>
      <c r="H189" s="1045" t="s">
        <v>163</v>
      </c>
      <c r="I189" s="1046"/>
      <c r="J189" s="1048"/>
      <c r="K189" s="1048"/>
      <c r="L189" s="1048"/>
      <c r="M189" s="1048"/>
      <c r="N189" s="1048"/>
      <c r="O189" s="1048"/>
      <c r="P189" s="1048"/>
      <c r="Q189" s="1048"/>
      <c r="R189" s="1048"/>
      <c r="S189" s="1048"/>
    </row>
    <row r="190" spans="1:19">
      <c r="A190" s="216" t="s">
        <v>153</v>
      </c>
      <c r="B190" s="1047" t="s">
        <v>204</v>
      </c>
      <c r="C190" s="1047"/>
      <c r="D190" s="186" t="s">
        <v>139</v>
      </c>
      <c r="E190" s="244">
        <v>2.7E-4</v>
      </c>
      <c r="F190" s="186" t="s">
        <v>139</v>
      </c>
      <c r="G190" s="248">
        <v>2</v>
      </c>
      <c r="H190" s="1045" t="s">
        <v>163</v>
      </c>
      <c r="I190" s="1046"/>
      <c r="J190" s="1048"/>
      <c r="K190" s="1048"/>
      <c r="L190" s="1048"/>
      <c r="M190" s="1048"/>
      <c r="N190" s="1048"/>
      <c r="O190" s="1048"/>
      <c r="P190" s="1048"/>
      <c r="Q190" s="1048"/>
      <c r="R190" s="1048"/>
      <c r="S190" s="1048"/>
    </row>
    <row r="191" spans="1:19">
      <c r="A191" s="216" t="s">
        <v>153</v>
      </c>
      <c r="B191" s="1047" t="s">
        <v>948</v>
      </c>
      <c r="C191" s="1047"/>
      <c r="D191" s="186" t="s">
        <v>139</v>
      </c>
      <c r="E191" s="244">
        <v>0</v>
      </c>
      <c r="F191" s="186" t="s">
        <v>139</v>
      </c>
      <c r="G191" s="248">
        <v>1</v>
      </c>
      <c r="H191" s="1045" t="s">
        <v>163</v>
      </c>
      <c r="I191" s="1046"/>
      <c r="J191" s="1048"/>
      <c r="K191" s="1048"/>
      <c r="L191" s="1048"/>
      <c r="M191" s="1048"/>
      <c r="N191" s="1048"/>
      <c r="O191" s="1048"/>
      <c r="P191" s="1048"/>
      <c r="Q191" s="1048"/>
      <c r="R191" s="1048"/>
      <c r="S191" s="1048"/>
    </row>
    <row r="192" spans="1:19">
      <c r="A192" s="216" t="s">
        <v>153</v>
      </c>
      <c r="B192" s="1047" t="s">
        <v>949</v>
      </c>
      <c r="C192" s="1047"/>
      <c r="D192" s="186" t="s">
        <v>139</v>
      </c>
      <c r="E192" s="244">
        <v>0</v>
      </c>
      <c r="F192" s="186" t="s">
        <v>139</v>
      </c>
      <c r="G192" s="248">
        <v>1</v>
      </c>
      <c r="H192" s="1045" t="s">
        <v>163</v>
      </c>
      <c r="I192" s="1046"/>
      <c r="J192" s="1048"/>
      <c r="K192" s="1048"/>
      <c r="L192" s="1048"/>
      <c r="M192" s="1048"/>
      <c r="N192" s="1048"/>
      <c r="O192" s="1048"/>
      <c r="P192" s="1048"/>
      <c r="Q192" s="1048"/>
      <c r="R192" s="1048"/>
      <c r="S192" s="1048"/>
    </row>
    <row r="193" spans="1:19">
      <c r="A193" s="216" t="s">
        <v>348</v>
      </c>
      <c r="B193" s="1047" t="s">
        <v>245</v>
      </c>
      <c r="C193" s="1047"/>
      <c r="D193" s="186" t="s">
        <v>139</v>
      </c>
      <c r="E193" s="244">
        <v>0.53527000000000002</v>
      </c>
      <c r="F193" s="186" t="s">
        <v>139</v>
      </c>
      <c r="G193" s="248">
        <v>1</v>
      </c>
      <c r="H193" s="1045" t="s">
        <v>163</v>
      </c>
      <c r="I193" s="1046"/>
      <c r="J193" s="1048"/>
      <c r="K193" s="1048"/>
      <c r="L193" s="1048"/>
      <c r="M193" s="1048"/>
      <c r="N193" s="1048"/>
      <c r="O193" s="1048"/>
      <c r="P193" s="1048"/>
      <c r="Q193" s="1048"/>
      <c r="R193" s="1048"/>
      <c r="S193" s="1048"/>
    </row>
    <row r="194" spans="1:19">
      <c r="A194" s="216" t="s">
        <v>348</v>
      </c>
      <c r="B194" s="1047" t="s">
        <v>178</v>
      </c>
      <c r="C194" s="1047"/>
      <c r="D194" s="186" t="s">
        <v>139</v>
      </c>
      <c r="E194" s="244" t="s">
        <v>150</v>
      </c>
      <c r="F194" s="186" t="s">
        <v>139</v>
      </c>
      <c r="G194" s="248">
        <v>1</v>
      </c>
      <c r="H194" s="1045" t="s">
        <v>163</v>
      </c>
      <c r="I194" s="1046"/>
      <c r="J194" s="1048"/>
      <c r="K194" s="1048"/>
      <c r="L194" s="1048"/>
      <c r="M194" s="1048"/>
      <c r="N194" s="1048"/>
      <c r="O194" s="1048"/>
      <c r="P194" s="1048"/>
      <c r="Q194" s="1048"/>
      <c r="R194" s="1048"/>
      <c r="S194" s="1048"/>
    </row>
    <row r="195" spans="1:19">
      <c r="A195" s="216" t="s">
        <v>187</v>
      </c>
      <c r="B195" s="1047" t="s">
        <v>176</v>
      </c>
      <c r="C195" s="1047"/>
      <c r="D195" s="186" t="s">
        <v>139</v>
      </c>
      <c r="E195" s="244">
        <v>1.2999999999999999E-3</v>
      </c>
      <c r="F195" s="186" t="s">
        <v>139</v>
      </c>
      <c r="G195" s="248">
        <v>1</v>
      </c>
      <c r="H195" s="1045" t="s">
        <v>163</v>
      </c>
      <c r="I195" s="1046"/>
      <c r="J195" s="1048" t="s">
        <v>177</v>
      </c>
      <c r="K195" s="1048"/>
      <c r="L195" s="1048"/>
      <c r="M195" s="1048"/>
      <c r="N195" s="1048"/>
      <c r="O195" s="1048"/>
      <c r="P195" s="1048"/>
      <c r="Q195" s="1048"/>
      <c r="R195" s="1048"/>
      <c r="S195" s="1048"/>
    </row>
    <row r="196" spans="1:19">
      <c r="A196" s="216" t="s">
        <v>187</v>
      </c>
      <c r="B196" s="1047" t="s">
        <v>176</v>
      </c>
      <c r="C196" s="1047"/>
      <c r="D196" s="186" t="s">
        <v>139</v>
      </c>
      <c r="E196" s="244">
        <v>1.47E-2</v>
      </c>
      <c r="F196" s="186" t="s">
        <v>139</v>
      </c>
      <c r="G196" s="248">
        <v>1</v>
      </c>
      <c r="H196" s="1045" t="s">
        <v>163</v>
      </c>
      <c r="I196" s="1046"/>
      <c r="J196" s="1048" t="s">
        <v>177</v>
      </c>
      <c r="K196" s="1048"/>
      <c r="L196" s="1048"/>
      <c r="M196" s="1048"/>
      <c r="N196" s="1048"/>
      <c r="O196" s="1048"/>
      <c r="P196" s="1048"/>
      <c r="Q196" s="1048"/>
      <c r="R196" s="1048"/>
      <c r="S196" s="1048"/>
    </row>
    <row r="197" spans="1:19">
      <c r="A197" s="216" t="s">
        <v>187</v>
      </c>
      <c r="B197" s="1047" t="s">
        <v>188</v>
      </c>
      <c r="C197" s="1047"/>
      <c r="D197" s="186" t="s">
        <v>139</v>
      </c>
      <c r="E197" s="244">
        <v>0</v>
      </c>
      <c r="F197" s="186" t="s">
        <v>139</v>
      </c>
      <c r="G197" s="248">
        <v>1</v>
      </c>
      <c r="H197" s="1045" t="s">
        <v>163</v>
      </c>
      <c r="I197" s="1046"/>
      <c r="J197" s="1048"/>
      <c r="K197" s="1048"/>
      <c r="L197" s="1048"/>
      <c r="M197" s="1048"/>
      <c r="N197" s="1048"/>
      <c r="O197" s="1048"/>
      <c r="P197" s="1048"/>
      <c r="Q197" s="1048"/>
      <c r="R197" s="1048"/>
      <c r="S197" s="1048"/>
    </row>
    <row r="198" spans="1:19">
      <c r="A198" s="216" t="s">
        <v>187</v>
      </c>
      <c r="B198" s="1047" t="s">
        <v>188</v>
      </c>
      <c r="C198" s="1047"/>
      <c r="D198" s="186" t="s">
        <v>139</v>
      </c>
      <c r="E198" s="244">
        <v>1.2E-2</v>
      </c>
      <c r="F198" s="186" t="s">
        <v>139</v>
      </c>
      <c r="G198" s="248">
        <v>1</v>
      </c>
      <c r="H198" s="1045" t="s">
        <v>163</v>
      </c>
      <c r="I198" s="1046"/>
      <c r="J198" s="1048" t="s">
        <v>950</v>
      </c>
      <c r="K198" s="1048"/>
      <c r="L198" s="1048"/>
      <c r="M198" s="1048"/>
      <c r="N198" s="1048"/>
      <c r="O198" s="1048"/>
      <c r="P198" s="1048"/>
      <c r="Q198" s="1048"/>
      <c r="R198" s="1048"/>
      <c r="S198" s="1048"/>
    </row>
    <row r="199" spans="1:19">
      <c r="A199" s="216" t="s">
        <v>187</v>
      </c>
      <c r="B199" s="1047" t="s">
        <v>186</v>
      </c>
      <c r="C199" s="1047"/>
      <c r="D199" s="186" t="s">
        <v>139</v>
      </c>
      <c r="E199" s="244" t="s">
        <v>150</v>
      </c>
      <c r="F199" s="186" t="s">
        <v>139</v>
      </c>
      <c r="G199" s="248">
        <v>1</v>
      </c>
      <c r="H199" s="1045" t="s">
        <v>168</v>
      </c>
      <c r="I199" s="1046"/>
      <c r="J199" s="1048" t="s">
        <v>930</v>
      </c>
      <c r="K199" s="1048"/>
      <c r="L199" s="1048"/>
      <c r="M199" s="1048"/>
      <c r="N199" s="1048"/>
      <c r="O199" s="1048"/>
      <c r="P199" s="1048"/>
      <c r="Q199" s="1048"/>
      <c r="R199" s="1048"/>
      <c r="S199" s="1048"/>
    </row>
    <row r="200" spans="1:19">
      <c r="A200" s="216" t="s">
        <v>186</v>
      </c>
      <c r="B200" s="1047" t="s">
        <v>175</v>
      </c>
      <c r="C200" s="1047"/>
      <c r="D200" s="186" t="s">
        <v>139</v>
      </c>
      <c r="E200" s="244" t="s">
        <v>150</v>
      </c>
      <c r="F200" s="186" t="s">
        <v>139</v>
      </c>
      <c r="G200" s="248">
        <v>1</v>
      </c>
      <c r="H200" s="1045" t="s">
        <v>163</v>
      </c>
      <c r="I200" s="1046"/>
      <c r="J200" s="1048"/>
      <c r="K200" s="1048"/>
      <c r="L200" s="1048"/>
      <c r="M200" s="1048"/>
      <c r="N200" s="1048"/>
      <c r="O200" s="1048"/>
      <c r="P200" s="1048"/>
      <c r="Q200" s="1048"/>
      <c r="R200" s="1048"/>
      <c r="S200" s="1048"/>
    </row>
    <row r="201" spans="1:19">
      <c r="A201" s="216" t="s">
        <v>186</v>
      </c>
      <c r="B201" s="1047" t="s">
        <v>204</v>
      </c>
      <c r="C201" s="1047"/>
      <c r="D201" s="186" t="s">
        <v>139</v>
      </c>
      <c r="E201" s="244">
        <v>2.7E-4</v>
      </c>
      <c r="F201" s="186" t="s">
        <v>139</v>
      </c>
      <c r="G201" s="248">
        <v>2</v>
      </c>
      <c r="H201" s="1045" t="s">
        <v>163</v>
      </c>
      <c r="I201" s="1046"/>
      <c r="J201" s="1048"/>
      <c r="K201" s="1048"/>
      <c r="L201" s="1048"/>
      <c r="M201" s="1048"/>
      <c r="N201" s="1048"/>
      <c r="O201" s="1048"/>
      <c r="P201" s="1048"/>
      <c r="Q201" s="1048"/>
      <c r="R201" s="1048"/>
      <c r="S201" s="1048"/>
    </row>
    <row r="202" spans="1:19">
      <c r="A202" s="216" t="s">
        <v>172</v>
      </c>
      <c r="B202" s="1047" t="s">
        <v>176</v>
      </c>
      <c r="C202" s="1047"/>
      <c r="D202" s="186" t="s">
        <v>139</v>
      </c>
      <c r="E202" s="244">
        <v>1.2999999999999999E-3</v>
      </c>
      <c r="F202" s="186" t="s">
        <v>139</v>
      </c>
      <c r="G202" s="248">
        <v>1</v>
      </c>
      <c r="H202" s="1045" t="s">
        <v>163</v>
      </c>
      <c r="I202" s="1046"/>
      <c r="J202" s="1048" t="s">
        <v>177</v>
      </c>
      <c r="K202" s="1048"/>
      <c r="L202" s="1048"/>
      <c r="M202" s="1048"/>
      <c r="N202" s="1048"/>
      <c r="O202" s="1048"/>
      <c r="P202" s="1048"/>
      <c r="Q202" s="1048"/>
      <c r="R202" s="1048"/>
      <c r="S202" s="1048"/>
    </row>
    <row r="203" spans="1:19">
      <c r="A203" s="216" t="s">
        <v>172</v>
      </c>
      <c r="B203" s="1047" t="s">
        <v>176</v>
      </c>
      <c r="C203" s="1047"/>
      <c r="D203" s="186" t="s">
        <v>139</v>
      </c>
      <c r="E203" s="244">
        <v>1.47E-2</v>
      </c>
      <c r="F203" s="186" t="s">
        <v>139</v>
      </c>
      <c r="G203" s="248">
        <v>1</v>
      </c>
      <c r="H203" s="1045" t="s">
        <v>163</v>
      </c>
      <c r="I203" s="1046"/>
      <c r="J203" s="1048" t="s">
        <v>177</v>
      </c>
      <c r="K203" s="1048"/>
      <c r="L203" s="1048"/>
      <c r="M203" s="1048"/>
      <c r="N203" s="1048"/>
      <c r="O203" s="1048"/>
      <c r="P203" s="1048"/>
      <c r="Q203" s="1048"/>
      <c r="R203" s="1048"/>
      <c r="S203" s="1048"/>
    </row>
    <row r="204" spans="1:19">
      <c r="A204" s="216" t="s">
        <v>172</v>
      </c>
      <c r="B204" s="1047" t="s">
        <v>171</v>
      </c>
      <c r="C204" s="1047"/>
      <c r="D204" s="186" t="s">
        <v>139</v>
      </c>
      <c r="E204" s="244" t="s">
        <v>150</v>
      </c>
      <c r="F204" s="186" t="s">
        <v>139</v>
      </c>
      <c r="G204" s="248">
        <v>1</v>
      </c>
      <c r="H204" s="1045" t="s">
        <v>168</v>
      </c>
      <c r="I204" s="1046"/>
      <c r="J204" s="1048" t="s">
        <v>930</v>
      </c>
      <c r="K204" s="1048"/>
      <c r="L204" s="1048"/>
      <c r="M204" s="1048"/>
      <c r="N204" s="1048"/>
      <c r="O204" s="1048"/>
      <c r="P204" s="1048"/>
      <c r="Q204" s="1048"/>
      <c r="R204" s="1048"/>
      <c r="S204" s="1048"/>
    </row>
    <row r="205" spans="1:19">
      <c r="A205" s="216" t="s">
        <v>171</v>
      </c>
      <c r="B205" s="1047" t="s">
        <v>175</v>
      </c>
      <c r="C205" s="1047"/>
      <c r="D205" s="186" t="s">
        <v>139</v>
      </c>
      <c r="E205" s="244" t="s">
        <v>150</v>
      </c>
      <c r="F205" s="186" t="s">
        <v>139</v>
      </c>
      <c r="G205" s="248">
        <v>1</v>
      </c>
      <c r="H205" s="1045" t="s">
        <v>163</v>
      </c>
      <c r="I205" s="1046"/>
      <c r="J205" s="1048"/>
      <c r="K205" s="1048"/>
      <c r="L205" s="1048"/>
      <c r="M205" s="1048"/>
      <c r="N205" s="1048"/>
      <c r="O205" s="1048"/>
      <c r="P205" s="1048"/>
      <c r="Q205" s="1048"/>
      <c r="R205" s="1048"/>
      <c r="S205" s="1048"/>
    </row>
    <row r="206" spans="1:19">
      <c r="A206" s="216" t="s">
        <v>171</v>
      </c>
      <c r="B206" s="1047" t="s">
        <v>204</v>
      </c>
      <c r="C206" s="1047"/>
      <c r="D206" s="186" t="s">
        <v>139</v>
      </c>
      <c r="E206" s="244">
        <v>2.7E-4</v>
      </c>
      <c r="F206" s="186" t="s">
        <v>139</v>
      </c>
      <c r="G206" s="248">
        <v>2</v>
      </c>
      <c r="H206" s="1045" t="s">
        <v>163</v>
      </c>
      <c r="I206" s="1046"/>
      <c r="J206" s="1048"/>
      <c r="K206" s="1048"/>
      <c r="L206" s="1048"/>
      <c r="M206" s="1048"/>
      <c r="N206" s="1048"/>
      <c r="O206" s="1048"/>
      <c r="P206" s="1048"/>
      <c r="Q206" s="1048"/>
      <c r="R206" s="1048"/>
      <c r="S206" s="1048"/>
    </row>
    <row r="207" spans="1:19">
      <c r="A207" s="216" t="s">
        <v>238</v>
      </c>
      <c r="B207" s="1047" t="s">
        <v>204</v>
      </c>
      <c r="C207" s="1047"/>
      <c r="D207" s="186" t="s">
        <v>139</v>
      </c>
      <c r="E207" s="244">
        <v>2.7E-4</v>
      </c>
      <c r="F207" s="186" t="s">
        <v>139</v>
      </c>
      <c r="G207" s="248">
        <v>2</v>
      </c>
      <c r="H207" s="1045" t="s">
        <v>163</v>
      </c>
      <c r="I207" s="1046"/>
      <c r="J207" s="1048"/>
      <c r="K207" s="1048"/>
      <c r="L207" s="1048"/>
      <c r="M207" s="1048"/>
      <c r="N207" s="1048"/>
      <c r="O207" s="1048"/>
      <c r="P207" s="1048"/>
      <c r="Q207" s="1048"/>
      <c r="R207" s="1048"/>
      <c r="S207" s="1048"/>
    </row>
    <row r="208" spans="1:19">
      <c r="A208" s="216" t="s">
        <v>238</v>
      </c>
      <c r="B208" s="1047" t="s">
        <v>223</v>
      </c>
      <c r="C208" s="1047"/>
      <c r="D208" s="186" t="s">
        <v>139</v>
      </c>
      <c r="E208" s="244" t="s">
        <v>150</v>
      </c>
      <c r="F208" s="186" t="s">
        <v>139</v>
      </c>
      <c r="G208" s="248">
        <v>1</v>
      </c>
      <c r="H208" s="1045" t="s">
        <v>163</v>
      </c>
      <c r="I208" s="1046"/>
      <c r="J208" s="1048"/>
      <c r="K208" s="1048"/>
      <c r="L208" s="1048"/>
      <c r="M208" s="1048"/>
      <c r="N208" s="1048"/>
      <c r="O208" s="1048"/>
      <c r="P208" s="1048"/>
      <c r="Q208" s="1048"/>
      <c r="R208" s="1048"/>
      <c r="S208" s="1048"/>
    </row>
    <row r="209" spans="1:19">
      <c r="A209" s="216" t="s">
        <v>360</v>
      </c>
      <c r="B209" s="1047" t="s">
        <v>231</v>
      </c>
      <c r="C209" s="1047"/>
      <c r="D209" s="186" t="s">
        <v>139</v>
      </c>
      <c r="E209" s="244">
        <v>4.0000000000000002E-4</v>
      </c>
      <c r="F209" s="186" t="s">
        <v>139</v>
      </c>
      <c r="G209" s="248">
        <v>1</v>
      </c>
      <c r="H209" s="1045" t="s">
        <v>163</v>
      </c>
      <c r="I209" s="1046"/>
      <c r="J209" s="1048" t="s">
        <v>951</v>
      </c>
      <c r="K209" s="1048"/>
      <c r="L209" s="1048"/>
      <c r="M209" s="1048"/>
      <c r="N209" s="1048"/>
      <c r="O209" s="1048"/>
      <c r="P209" s="1048"/>
      <c r="Q209" s="1048"/>
      <c r="R209" s="1048"/>
      <c r="S209" s="1048"/>
    </row>
    <row r="210" spans="1:19">
      <c r="A210" s="216" t="s">
        <v>360</v>
      </c>
      <c r="B210" s="1047" t="s">
        <v>231</v>
      </c>
      <c r="C210" s="1047"/>
      <c r="D210" s="186" t="s">
        <v>139</v>
      </c>
      <c r="E210" s="244">
        <v>8.6E-3</v>
      </c>
      <c r="F210" s="186" t="s">
        <v>139</v>
      </c>
      <c r="G210" s="248">
        <v>1</v>
      </c>
      <c r="H210" s="1045" t="s">
        <v>163</v>
      </c>
      <c r="I210" s="1046"/>
      <c r="J210" s="1048" t="s">
        <v>952</v>
      </c>
      <c r="K210" s="1048"/>
      <c r="L210" s="1048"/>
      <c r="M210" s="1048"/>
      <c r="N210" s="1048"/>
      <c r="O210" s="1048"/>
      <c r="P210" s="1048"/>
      <c r="Q210" s="1048"/>
      <c r="R210" s="1048"/>
      <c r="S210" s="1048"/>
    </row>
    <row r="211" spans="1:19">
      <c r="A211" s="216" t="s">
        <v>360</v>
      </c>
      <c r="B211" s="1049" t="s">
        <v>251</v>
      </c>
      <c r="C211" s="1050"/>
      <c r="D211" s="186" t="s">
        <v>139</v>
      </c>
      <c r="E211" s="244">
        <v>2.5000000000000001E-3</v>
      </c>
      <c r="F211" s="186" t="s">
        <v>139</v>
      </c>
      <c r="G211" s="248">
        <v>2</v>
      </c>
      <c r="H211" s="1045" t="s">
        <v>163</v>
      </c>
      <c r="I211" s="1046"/>
      <c r="J211" s="1048" t="s">
        <v>953</v>
      </c>
      <c r="K211" s="1048"/>
      <c r="L211" s="1048"/>
      <c r="M211" s="1048"/>
      <c r="N211" s="1048"/>
      <c r="O211" s="1048"/>
      <c r="P211" s="1048"/>
      <c r="Q211" s="1048"/>
      <c r="R211" s="1048"/>
      <c r="S211" s="1048"/>
    </row>
    <row r="212" spans="1:19">
      <c r="A212" s="216" t="s">
        <v>360</v>
      </c>
      <c r="B212" s="1049" t="s">
        <v>361</v>
      </c>
      <c r="C212" s="1050"/>
      <c r="D212" s="186" t="s">
        <v>139</v>
      </c>
      <c r="E212" s="244">
        <v>2.5000000000000001E-3</v>
      </c>
      <c r="F212" s="186" t="s">
        <v>139</v>
      </c>
      <c r="G212" s="248">
        <v>2</v>
      </c>
      <c r="H212" s="1045" t="s">
        <v>163</v>
      </c>
      <c r="I212" s="1046"/>
      <c r="J212" s="1048" t="s">
        <v>953</v>
      </c>
      <c r="K212" s="1048"/>
      <c r="L212" s="1048"/>
      <c r="M212" s="1048"/>
      <c r="N212" s="1048"/>
      <c r="O212" s="1048"/>
      <c r="P212" s="1048"/>
      <c r="Q212" s="1048"/>
      <c r="R212" s="1048"/>
      <c r="S212" s="1048"/>
    </row>
    <row r="213" spans="1:19">
      <c r="A213" s="216" t="s">
        <v>360</v>
      </c>
      <c r="B213" s="1049" t="s">
        <v>232</v>
      </c>
      <c r="C213" s="1050"/>
      <c r="D213" s="186" t="s">
        <v>139</v>
      </c>
      <c r="E213" s="244">
        <v>2.5000000000000001E-3</v>
      </c>
      <c r="F213" s="186" t="s">
        <v>139</v>
      </c>
      <c r="G213" s="248">
        <v>2</v>
      </c>
      <c r="H213" s="1045" t="s">
        <v>163</v>
      </c>
      <c r="I213" s="1046"/>
      <c r="J213" s="1048" t="s">
        <v>953</v>
      </c>
      <c r="K213" s="1048"/>
      <c r="L213" s="1048"/>
      <c r="M213" s="1048"/>
      <c r="N213" s="1048"/>
      <c r="O213" s="1048"/>
      <c r="P213" s="1048"/>
      <c r="Q213" s="1048"/>
      <c r="R213" s="1048"/>
      <c r="S213" s="1048"/>
    </row>
    <row r="214" spans="1:19">
      <c r="A214" s="216" t="s">
        <v>360</v>
      </c>
      <c r="B214" s="1049" t="s">
        <v>266</v>
      </c>
      <c r="C214" s="1050"/>
      <c r="D214" s="186" t="s">
        <v>139</v>
      </c>
      <c r="E214" s="244">
        <v>2.5000000000000001E-3</v>
      </c>
      <c r="F214" s="186" t="s">
        <v>139</v>
      </c>
      <c r="G214" s="248">
        <v>2</v>
      </c>
      <c r="H214" s="1045" t="s">
        <v>163</v>
      </c>
      <c r="I214" s="1046"/>
      <c r="J214" s="1048" t="s">
        <v>953</v>
      </c>
      <c r="K214" s="1048"/>
      <c r="L214" s="1048"/>
      <c r="M214" s="1048"/>
      <c r="N214" s="1048"/>
      <c r="O214" s="1048"/>
      <c r="P214" s="1048"/>
      <c r="Q214" s="1048"/>
      <c r="R214" s="1048"/>
      <c r="S214" s="1048"/>
    </row>
    <row r="215" spans="1:19">
      <c r="A215" s="216" t="s">
        <v>360</v>
      </c>
      <c r="B215" s="1049" t="s">
        <v>350</v>
      </c>
      <c r="C215" s="1050"/>
      <c r="D215" s="186" t="s">
        <v>139</v>
      </c>
      <c r="E215" s="244" t="s">
        <v>150</v>
      </c>
      <c r="F215" s="186" t="s">
        <v>139</v>
      </c>
      <c r="G215" s="248">
        <v>1</v>
      </c>
      <c r="H215" s="1045" t="s">
        <v>168</v>
      </c>
      <c r="I215" s="1046"/>
      <c r="J215" s="1048" t="s">
        <v>930</v>
      </c>
      <c r="K215" s="1048"/>
      <c r="L215" s="1048"/>
      <c r="M215" s="1048"/>
      <c r="N215" s="1048"/>
      <c r="O215" s="1048"/>
      <c r="P215" s="1048"/>
      <c r="Q215" s="1048"/>
      <c r="R215" s="1048"/>
      <c r="S215" s="1048"/>
    </row>
    <row r="216" spans="1:19">
      <c r="A216" s="216" t="s">
        <v>350</v>
      </c>
      <c r="B216" s="1049" t="s">
        <v>204</v>
      </c>
      <c r="C216" s="1050"/>
      <c r="D216" s="186" t="s">
        <v>139</v>
      </c>
      <c r="E216" s="244">
        <v>2.7E-4</v>
      </c>
      <c r="F216" s="186" t="s">
        <v>139</v>
      </c>
      <c r="G216" s="248">
        <v>2</v>
      </c>
      <c r="H216" s="1045" t="s">
        <v>163</v>
      </c>
      <c r="I216" s="1046"/>
      <c r="J216" s="1048"/>
      <c r="K216" s="1048"/>
      <c r="L216" s="1048"/>
      <c r="M216" s="1048"/>
      <c r="N216" s="1048"/>
      <c r="O216" s="1048"/>
      <c r="P216" s="1048"/>
      <c r="Q216" s="1048"/>
      <c r="R216" s="1048"/>
      <c r="S216" s="1048"/>
    </row>
    <row r="217" spans="1:19">
      <c r="A217" s="216" t="s">
        <v>350</v>
      </c>
      <c r="B217" s="1049" t="s">
        <v>223</v>
      </c>
      <c r="C217" s="1050"/>
      <c r="D217" s="186" t="s">
        <v>139</v>
      </c>
      <c r="E217" s="244" t="s">
        <v>150</v>
      </c>
      <c r="F217" s="186" t="s">
        <v>139</v>
      </c>
      <c r="G217" s="248">
        <v>1</v>
      </c>
      <c r="H217" s="1045" t="s">
        <v>163</v>
      </c>
      <c r="I217" s="1046"/>
      <c r="J217" s="1048"/>
      <c r="K217" s="1048"/>
      <c r="L217" s="1048"/>
      <c r="M217" s="1048"/>
      <c r="N217" s="1048"/>
      <c r="O217" s="1048"/>
      <c r="P217" s="1048"/>
      <c r="Q217" s="1048"/>
      <c r="R217" s="1048"/>
      <c r="S217" s="1048"/>
    </row>
    <row r="218" spans="1:19">
      <c r="A218" s="216" t="s">
        <v>350</v>
      </c>
      <c r="B218" s="1049" t="s">
        <v>225</v>
      </c>
      <c r="C218" s="1050"/>
      <c r="D218" s="186" t="s">
        <v>139</v>
      </c>
      <c r="E218" s="244">
        <v>0.33810000000000001</v>
      </c>
      <c r="F218" s="186" t="s">
        <v>139</v>
      </c>
      <c r="G218" s="248">
        <v>1</v>
      </c>
      <c r="H218" s="1045" t="s">
        <v>163</v>
      </c>
      <c r="I218" s="1046"/>
      <c r="J218" s="1048" t="s">
        <v>426</v>
      </c>
      <c r="K218" s="1048"/>
      <c r="L218" s="1048"/>
      <c r="M218" s="1048"/>
      <c r="N218" s="1048"/>
      <c r="O218" s="1048"/>
      <c r="P218" s="1048"/>
      <c r="Q218" s="1048"/>
      <c r="R218" s="1048"/>
      <c r="S218" s="1048"/>
    </row>
    <row r="219" spans="1:19">
      <c r="A219" s="216" t="s">
        <v>225</v>
      </c>
      <c r="B219" s="1047" t="s">
        <v>248</v>
      </c>
      <c r="C219" s="1047"/>
      <c r="D219" s="186" t="s">
        <v>139</v>
      </c>
      <c r="E219" s="244">
        <v>1.44E-2</v>
      </c>
      <c r="F219" s="186" t="s">
        <v>139</v>
      </c>
      <c r="G219" s="248">
        <v>1</v>
      </c>
      <c r="H219" s="1045" t="s">
        <v>224</v>
      </c>
      <c r="I219" s="1046"/>
      <c r="J219" s="1048"/>
      <c r="K219" s="1048"/>
      <c r="L219" s="1048"/>
      <c r="M219" s="1048"/>
      <c r="N219" s="1048"/>
      <c r="O219" s="1048"/>
      <c r="P219" s="1048"/>
      <c r="Q219" s="1048"/>
      <c r="R219" s="1048"/>
      <c r="S219" s="1048"/>
    </row>
    <row r="220" spans="1:19">
      <c r="A220" s="216" t="s">
        <v>225</v>
      </c>
      <c r="B220" s="1047" t="s">
        <v>245</v>
      </c>
      <c r="C220" s="1047"/>
      <c r="D220" s="186" t="s">
        <v>139</v>
      </c>
      <c r="E220" s="244">
        <v>0.84</v>
      </c>
      <c r="F220" s="186" t="s">
        <v>139</v>
      </c>
      <c r="G220" s="248">
        <v>1</v>
      </c>
      <c r="H220" s="1045" t="s">
        <v>224</v>
      </c>
      <c r="I220" s="1046"/>
      <c r="J220" s="1048"/>
      <c r="K220" s="1048"/>
      <c r="L220" s="1048"/>
      <c r="M220" s="1048"/>
      <c r="N220" s="1048"/>
      <c r="O220" s="1048"/>
      <c r="P220" s="1048"/>
      <c r="Q220" s="1048"/>
      <c r="R220" s="1048"/>
      <c r="S220" s="1048"/>
    </row>
    <row r="221" spans="1:19">
      <c r="A221" s="216" t="s">
        <v>225</v>
      </c>
      <c r="B221" s="1047" t="s">
        <v>425</v>
      </c>
      <c r="C221" s="1047"/>
      <c r="D221" s="186" t="s">
        <v>139</v>
      </c>
      <c r="E221" s="244">
        <v>4.48E-2</v>
      </c>
      <c r="F221" s="186" t="s">
        <v>139</v>
      </c>
      <c r="G221" s="248">
        <v>1</v>
      </c>
      <c r="H221" s="1045" t="s">
        <v>224</v>
      </c>
      <c r="I221" s="1046"/>
      <c r="J221" s="1048"/>
      <c r="K221" s="1048"/>
      <c r="L221" s="1048"/>
      <c r="M221" s="1048"/>
      <c r="N221" s="1048"/>
      <c r="O221" s="1048"/>
      <c r="P221" s="1048"/>
      <c r="Q221" s="1048"/>
      <c r="R221" s="1048"/>
      <c r="S221" s="1048"/>
    </row>
    <row r="222" spans="1:19">
      <c r="A222" s="216" t="s">
        <v>225</v>
      </c>
      <c r="B222" s="1047" t="s">
        <v>184</v>
      </c>
      <c r="C222" s="1047"/>
      <c r="D222" s="186" t="s">
        <v>139</v>
      </c>
      <c r="E222" s="244">
        <v>3.0000000000000001E-3</v>
      </c>
      <c r="F222" s="186" t="s">
        <v>139</v>
      </c>
      <c r="G222" s="248">
        <v>1</v>
      </c>
      <c r="H222" s="1045" t="s">
        <v>224</v>
      </c>
      <c r="I222" s="1046"/>
      <c r="J222" s="1048"/>
      <c r="K222" s="1048"/>
      <c r="L222" s="1048"/>
      <c r="M222" s="1048"/>
      <c r="N222" s="1048"/>
      <c r="O222" s="1048"/>
      <c r="P222" s="1048"/>
      <c r="Q222" s="1048"/>
      <c r="R222" s="1048"/>
      <c r="S222" s="1048"/>
    </row>
    <row r="223" spans="1:19">
      <c r="A223" s="216" t="s">
        <v>225</v>
      </c>
      <c r="B223" s="1047" t="s">
        <v>179</v>
      </c>
      <c r="C223" s="1047"/>
      <c r="D223" s="186" t="s">
        <v>139</v>
      </c>
      <c r="E223" s="244">
        <v>9.6000000000000002E-2</v>
      </c>
      <c r="F223" s="186" t="s">
        <v>139</v>
      </c>
      <c r="G223" s="248">
        <v>1</v>
      </c>
      <c r="H223" s="1045" t="s">
        <v>224</v>
      </c>
      <c r="I223" s="1046"/>
      <c r="J223" s="1048"/>
      <c r="K223" s="1048"/>
      <c r="L223" s="1048"/>
      <c r="M223" s="1048"/>
      <c r="N223" s="1048"/>
      <c r="O223" s="1048"/>
      <c r="P223" s="1048"/>
      <c r="Q223" s="1048"/>
      <c r="R223" s="1048"/>
      <c r="S223" s="1048"/>
    </row>
    <row r="224" spans="1:19">
      <c r="A224" s="216" t="s">
        <v>225</v>
      </c>
      <c r="B224" s="1047" t="s">
        <v>176</v>
      </c>
      <c r="C224" s="1047"/>
      <c r="D224" s="186" t="s">
        <v>139</v>
      </c>
      <c r="E224" s="244" t="s">
        <v>150</v>
      </c>
      <c r="F224" s="186" t="s">
        <v>139</v>
      </c>
      <c r="G224" s="248">
        <v>1</v>
      </c>
      <c r="H224" s="1045" t="s">
        <v>168</v>
      </c>
      <c r="I224" s="1046"/>
      <c r="J224" s="1048"/>
      <c r="K224" s="1048"/>
      <c r="L224" s="1048"/>
      <c r="M224" s="1048"/>
      <c r="N224" s="1048"/>
      <c r="O224" s="1048"/>
      <c r="P224" s="1048"/>
      <c r="Q224" s="1048"/>
      <c r="R224" s="1048"/>
      <c r="S224" s="1048"/>
    </row>
    <row r="225" spans="1:16">
      <c r="A225" s="64"/>
      <c r="B225" s="64"/>
      <c r="C225" s="64"/>
      <c r="D225" s="64"/>
      <c r="E225" s="64"/>
      <c r="F225" s="64"/>
      <c r="G225" s="64"/>
      <c r="H225" s="64"/>
      <c r="I225" s="64"/>
      <c r="J225" s="64"/>
      <c r="K225" s="64"/>
      <c r="L225" s="64"/>
      <c r="M225" s="64"/>
      <c r="N225" s="106"/>
    </row>
    <row r="226" spans="1:16">
      <c r="A226" s="64"/>
      <c r="B226" s="64"/>
      <c r="C226" s="64"/>
      <c r="D226" s="64"/>
      <c r="E226" s="64"/>
      <c r="F226" s="64"/>
      <c r="G226" s="64"/>
      <c r="H226" s="64"/>
      <c r="I226" s="64"/>
      <c r="J226" s="64"/>
      <c r="K226" s="64"/>
      <c r="L226" s="64"/>
      <c r="M226" s="64"/>
      <c r="N226" s="106"/>
    </row>
    <row r="229" spans="1:16" ht="15.75" thickBot="1"/>
    <row r="230" spans="1:16" ht="15.75" thickBot="1">
      <c r="A230" s="65" t="s">
        <v>129</v>
      </c>
      <c r="B230" s="107" t="s">
        <v>130</v>
      </c>
      <c r="C230" s="108" t="s">
        <v>131</v>
      </c>
      <c r="D230" s="109" t="s">
        <v>102</v>
      </c>
      <c r="E230" s="229" t="s">
        <v>132</v>
      </c>
      <c r="F230" s="108" t="s">
        <v>133</v>
      </c>
      <c r="G230" s="110" t="s">
        <v>104</v>
      </c>
      <c r="H230" s="111" t="s">
        <v>134</v>
      </c>
      <c r="I230" s="112" t="s">
        <v>135</v>
      </c>
      <c r="J230" s="112" t="s">
        <v>65</v>
      </c>
      <c r="K230" s="112" t="s">
        <v>67</v>
      </c>
      <c r="L230" s="112" t="s">
        <v>73</v>
      </c>
      <c r="M230" s="113" t="s">
        <v>79</v>
      </c>
      <c r="N230" s="114" t="s">
        <v>136</v>
      </c>
      <c r="O230" s="114" t="s">
        <v>137</v>
      </c>
      <c r="P230" s="115" t="s">
        <v>123</v>
      </c>
    </row>
    <row r="231" spans="1:16">
      <c r="A231" s="294" t="s">
        <v>225</v>
      </c>
      <c r="B231" s="582" t="s">
        <v>425</v>
      </c>
      <c r="C231" s="264" t="s">
        <v>139</v>
      </c>
      <c r="D231" s="54" t="s">
        <v>139</v>
      </c>
      <c r="E231" s="259">
        <v>4.48E-2</v>
      </c>
      <c r="F231" s="234">
        <v>2</v>
      </c>
      <c r="G231" s="583" t="s">
        <v>224</v>
      </c>
      <c r="H231" s="253">
        <v>1</v>
      </c>
      <c r="I231" s="13">
        <v>2</v>
      </c>
      <c r="J231" s="13">
        <v>2</v>
      </c>
      <c r="K231" s="13">
        <v>1</v>
      </c>
      <c r="L231" s="13">
        <v>2</v>
      </c>
      <c r="M231" s="322">
        <v>2</v>
      </c>
      <c r="N231" s="436">
        <v>0.37356464144298934</v>
      </c>
      <c r="O231" s="504">
        <v>0.38795788889711302</v>
      </c>
      <c r="P231" s="33"/>
    </row>
    <row r="232" spans="1:16">
      <c r="A232" s="292" t="s">
        <v>225</v>
      </c>
      <c r="B232" s="584" t="s">
        <v>417</v>
      </c>
      <c r="C232" s="265" t="s">
        <v>139</v>
      </c>
      <c r="D232" s="55" t="s">
        <v>139</v>
      </c>
      <c r="E232" s="260">
        <v>1.44E-2</v>
      </c>
      <c r="F232" s="235">
        <v>2</v>
      </c>
      <c r="G232" s="585" t="s">
        <v>224</v>
      </c>
      <c r="H232" s="252">
        <v>1</v>
      </c>
      <c r="I232" s="10">
        <v>2</v>
      </c>
      <c r="J232" s="10">
        <v>2</v>
      </c>
      <c r="K232" s="10">
        <v>1</v>
      </c>
      <c r="L232" s="10">
        <v>2</v>
      </c>
      <c r="M232" s="323">
        <v>2</v>
      </c>
      <c r="N232" s="453">
        <v>0.37356464144298934</v>
      </c>
      <c r="O232" s="580">
        <v>0.38795788889711302</v>
      </c>
      <c r="P232" s="34"/>
    </row>
    <row r="233" spans="1:16">
      <c r="A233" s="292" t="s">
        <v>225</v>
      </c>
      <c r="B233" s="584" t="s">
        <v>176</v>
      </c>
      <c r="C233" s="265" t="s">
        <v>139</v>
      </c>
      <c r="D233" s="55" t="s">
        <v>139</v>
      </c>
      <c r="E233" s="260">
        <v>1E-4</v>
      </c>
      <c r="F233" s="235">
        <v>1</v>
      </c>
      <c r="G233" s="585" t="s">
        <v>399</v>
      </c>
      <c r="H233" s="252"/>
      <c r="I233" s="10"/>
      <c r="J233" s="10"/>
      <c r="K233" s="10"/>
      <c r="L233" s="10"/>
      <c r="M233" s="323"/>
      <c r="N233" s="453" t="s">
        <v>249</v>
      </c>
      <c r="O233" s="580" t="s">
        <v>249</v>
      </c>
      <c r="P233" s="34"/>
    </row>
    <row r="234" spans="1:16">
      <c r="A234" s="292" t="s">
        <v>225</v>
      </c>
      <c r="B234" s="584" t="s">
        <v>184</v>
      </c>
      <c r="C234" s="265" t="s">
        <v>139</v>
      </c>
      <c r="D234" s="55" t="s">
        <v>139</v>
      </c>
      <c r="E234" s="260">
        <v>3.0000000000000001E-3</v>
      </c>
      <c r="F234" s="235">
        <v>2</v>
      </c>
      <c r="G234" s="585" t="s">
        <v>224</v>
      </c>
      <c r="H234" s="252">
        <v>1</v>
      </c>
      <c r="I234" s="10">
        <v>2</v>
      </c>
      <c r="J234" s="10">
        <v>2</v>
      </c>
      <c r="K234" s="10">
        <v>1</v>
      </c>
      <c r="L234" s="10">
        <v>2</v>
      </c>
      <c r="M234" s="323">
        <v>2</v>
      </c>
      <c r="N234" s="453">
        <v>0.37356464144298934</v>
      </c>
      <c r="O234" s="580">
        <v>0.38795788889711302</v>
      </c>
      <c r="P234" s="34"/>
    </row>
    <row r="235" spans="1:16">
      <c r="A235" s="292" t="s">
        <v>225</v>
      </c>
      <c r="B235" s="584" t="s">
        <v>179</v>
      </c>
      <c r="C235" s="265" t="s">
        <v>139</v>
      </c>
      <c r="D235" s="55" t="s">
        <v>139</v>
      </c>
      <c r="E235" s="260">
        <v>9.6000000000000002E-2</v>
      </c>
      <c r="F235" s="235">
        <v>2</v>
      </c>
      <c r="G235" s="585" t="s">
        <v>224</v>
      </c>
      <c r="H235" s="252">
        <v>1</v>
      </c>
      <c r="I235" s="10">
        <v>2</v>
      </c>
      <c r="J235" s="10">
        <v>2</v>
      </c>
      <c r="K235" s="10">
        <v>1</v>
      </c>
      <c r="L235" s="10">
        <v>2</v>
      </c>
      <c r="M235" s="323">
        <v>2</v>
      </c>
      <c r="N235" s="453">
        <v>0.37356464144298934</v>
      </c>
      <c r="O235" s="580">
        <v>0.38795788889711302</v>
      </c>
      <c r="P235" s="34"/>
    </row>
    <row r="236" spans="1:16" ht="15.75" thickBot="1">
      <c r="A236" s="295" t="s">
        <v>225</v>
      </c>
      <c r="B236" s="586" t="s">
        <v>245</v>
      </c>
      <c r="C236" s="293" t="s">
        <v>139</v>
      </c>
      <c r="D236" s="157" t="s">
        <v>139</v>
      </c>
      <c r="E236" s="656" t="s">
        <v>150</v>
      </c>
      <c r="F236" s="238">
        <v>2</v>
      </c>
      <c r="G236" s="587" t="s">
        <v>224</v>
      </c>
      <c r="H236" s="251">
        <v>1</v>
      </c>
      <c r="I236" s="15">
        <v>2</v>
      </c>
      <c r="J236" s="15">
        <v>2</v>
      </c>
      <c r="K236" s="15">
        <v>1</v>
      </c>
      <c r="L236" s="15">
        <v>2</v>
      </c>
      <c r="M236" s="357">
        <v>2</v>
      </c>
      <c r="N236" s="454">
        <v>0.37356464144298934</v>
      </c>
      <c r="O236" s="581">
        <v>0.38795788889711302</v>
      </c>
      <c r="P236" s="35"/>
    </row>
    <row r="238" spans="1:16" ht="15.75" thickBot="1"/>
    <row r="239" spans="1:16" ht="15.75" thickBot="1">
      <c r="H239" s="111" t="s">
        <v>134</v>
      </c>
      <c r="I239" s="112" t="s">
        <v>135</v>
      </c>
      <c r="J239" s="112" t="s">
        <v>65</v>
      </c>
      <c r="K239" s="112" t="s">
        <v>67</v>
      </c>
      <c r="L239" s="112" t="s">
        <v>73</v>
      </c>
      <c r="M239" s="113" t="s">
        <v>79</v>
      </c>
      <c r="N239" s="114" t="s">
        <v>136</v>
      </c>
      <c r="O239" s="114" t="s">
        <v>137</v>
      </c>
      <c r="P239" s="115" t="s">
        <v>123</v>
      </c>
    </row>
    <row r="240" spans="1:16">
      <c r="A240" s="584" t="s">
        <v>417</v>
      </c>
      <c r="B240" s="6" t="s">
        <v>248</v>
      </c>
      <c r="C240" s="293" t="s">
        <v>139</v>
      </c>
      <c r="D240" s="157" t="s">
        <v>139</v>
      </c>
      <c r="E240" s="262" t="s">
        <v>150</v>
      </c>
      <c r="F240" s="238">
        <v>2</v>
      </c>
      <c r="G240" s="587"/>
      <c r="H240" s="253">
        <v>1</v>
      </c>
      <c r="I240" s="13">
        <v>2</v>
      </c>
      <c r="J240" s="13">
        <v>2</v>
      </c>
      <c r="K240" s="13">
        <v>1</v>
      </c>
      <c r="L240" s="13">
        <v>2</v>
      </c>
      <c r="M240" s="322">
        <v>2</v>
      </c>
      <c r="N240" s="436">
        <v>0.37356464144298934</v>
      </c>
      <c r="O240" s="504">
        <v>0.38795788889711302</v>
      </c>
      <c r="P240" s="33"/>
    </row>
    <row r="241" spans="1:15">
      <c r="A241" t="s">
        <v>417</v>
      </c>
      <c r="B241" s="40" t="s">
        <v>232</v>
      </c>
      <c r="C241" s="34" t="s">
        <v>139</v>
      </c>
      <c r="D241" s="40" t="s">
        <v>139</v>
      </c>
      <c r="E241" s="219">
        <v>1E-4</v>
      </c>
      <c r="F241" s="169">
        <v>2</v>
      </c>
      <c r="G241" s="34" t="s">
        <v>157</v>
      </c>
      <c r="H241" s="173">
        <v>3</v>
      </c>
      <c r="I241" s="10">
        <v>2</v>
      </c>
      <c r="J241" s="10">
        <v>3</v>
      </c>
      <c r="K241" s="10">
        <v>3</v>
      </c>
      <c r="L241" s="10">
        <v>3</v>
      </c>
      <c r="M241" s="10">
        <v>3</v>
      </c>
      <c r="N241" s="178">
        <f t="shared" ref="N241:N243" si="47">IF( OR( ISBLANK(H241),ISBLANK(J241), ISBLANK(K241), ISBLANK(L241), ISBLANK(M241) ), "", 1.5*SQRT(   EXP(2.21*(H241-1)) + EXP(2.21*(J241-1)) + EXP(2.21*(K241-1)) + EXP(2.21*(L241-1)) + EXP(2.21*M241)   )/100*2.45 )</f>
        <v>1.2132328390150593</v>
      </c>
      <c r="O241" s="34"/>
    </row>
    <row r="242" spans="1:15">
      <c r="A242" t="s">
        <v>417</v>
      </c>
      <c r="B242" s="40" t="s">
        <v>251</v>
      </c>
      <c r="C242" s="34" t="s">
        <v>139</v>
      </c>
      <c r="D242" s="40" t="s">
        <v>139</v>
      </c>
      <c r="E242" s="219">
        <v>1E-4</v>
      </c>
      <c r="F242" s="169">
        <v>2</v>
      </c>
      <c r="G242" s="34" t="s">
        <v>157</v>
      </c>
      <c r="H242" s="173">
        <v>3</v>
      </c>
      <c r="I242" s="10">
        <v>2</v>
      </c>
      <c r="J242" s="10">
        <v>3</v>
      </c>
      <c r="K242" s="10">
        <v>3</v>
      </c>
      <c r="L242" s="10">
        <v>3</v>
      </c>
      <c r="M242" s="10">
        <v>3</v>
      </c>
      <c r="N242" s="178">
        <f t="shared" si="47"/>
        <v>1.2132328390150593</v>
      </c>
      <c r="O242" s="34"/>
    </row>
    <row r="243" spans="1:15" ht="15.75" thickBot="1">
      <c r="A243" t="s">
        <v>417</v>
      </c>
      <c r="B243" s="154" t="s">
        <v>231</v>
      </c>
      <c r="C243" s="150" t="s">
        <v>139</v>
      </c>
      <c r="D243" s="154" t="s">
        <v>139</v>
      </c>
      <c r="E243" s="220">
        <v>1E-4</v>
      </c>
      <c r="F243" s="171">
        <v>2</v>
      </c>
      <c r="G243" s="150" t="s">
        <v>157</v>
      </c>
      <c r="H243" s="176">
        <v>3</v>
      </c>
      <c r="I243" s="15">
        <v>2</v>
      </c>
      <c r="J243" s="15">
        <v>3</v>
      </c>
      <c r="K243" s="15">
        <v>3</v>
      </c>
      <c r="L243" s="15">
        <v>3</v>
      </c>
      <c r="M243" s="15">
        <v>3</v>
      </c>
      <c r="N243" s="181">
        <f t="shared" si="47"/>
        <v>1.2132328390150593</v>
      </c>
      <c r="O243" s="150"/>
    </row>
  </sheetData>
  <mergeCells count="708">
    <mergeCell ref="H137:I137"/>
    <mergeCell ref="M62:S62"/>
    <mergeCell ref="M63:S63"/>
    <mergeCell ref="M64:S64"/>
    <mergeCell ref="A1:S1"/>
    <mergeCell ref="M2:S2"/>
    <mergeCell ref="M3:S3"/>
    <mergeCell ref="M55:S55"/>
    <mergeCell ref="M56:S56"/>
    <mergeCell ref="M57:S57"/>
    <mergeCell ref="M58:S58"/>
    <mergeCell ref="M59:S59"/>
    <mergeCell ref="M60:S60"/>
    <mergeCell ref="M9:S9"/>
    <mergeCell ref="M10:S10"/>
    <mergeCell ref="M11:S11"/>
    <mergeCell ref="M12:S12"/>
    <mergeCell ref="M13:S13"/>
    <mergeCell ref="M4:S4"/>
    <mergeCell ref="M5:S5"/>
    <mergeCell ref="M6:S6"/>
    <mergeCell ref="M7:S7"/>
    <mergeCell ref="M8:S8"/>
    <mergeCell ref="E20:F20"/>
    <mergeCell ref="E21:F21"/>
    <mergeCell ref="G20:H20"/>
    <mergeCell ref="G21:H21"/>
    <mergeCell ref="I20:J20"/>
    <mergeCell ref="I21:J21"/>
    <mergeCell ref="M14:S14"/>
    <mergeCell ref="M15:S15"/>
    <mergeCell ref="M16:S16"/>
    <mergeCell ref="M17:S17"/>
    <mergeCell ref="A19:S19"/>
    <mergeCell ref="K20:S20"/>
    <mergeCell ref="K21:S21"/>
    <mergeCell ref="E32:F32"/>
    <mergeCell ref="E33:F33"/>
    <mergeCell ref="E34:F34"/>
    <mergeCell ref="E35:F35"/>
    <mergeCell ref="E36:F36"/>
    <mergeCell ref="E27:F27"/>
    <mergeCell ref="E28:F28"/>
    <mergeCell ref="E29:F29"/>
    <mergeCell ref="E30:F30"/>
    <mergeCell ref="E31:F31"/>
    <mergeCell ref="G32:H32"/>
    <mergeCell ref="G33:H33"/>
    <mergeCell ref="G34:H34"/>
    <mergeCell ref="G35:H35"/>
    <mergeCell ref="G36:H36"/>
    <mergeCell ref="G27:H27"/>
    <mergeCell ref="G28:H28"/>
    <mergeCell ref="G29:H29"/>
    <mergeCell ref="G30:H30"/>
    <mergeCell ref="G31:H31"/>
    <mergeCell ref="I32:J32"/>
    <mergeCell ref="I33:J33"/>
    <mergeCell ref="I34:J34"/>
    <mergeCell ref="I35:J35"/>
    <mergeCell ref="I36:J36"/>
    <mergeCell ref="I27:J27"/>
    <mergeCell ref="I28:J28"/>
    <mergeCell ref="I29:J29"/>
    <mergeCell ref="I30:J30"/>
    <mergeCell ref="I31:J31"/>
    <mergeCell ref="K32:S32"/>
    <mergeCell ref="K33:S33"/>
    <mergeCell ref="K34:S34"/>
    <mergeCell ref="K35:S35"/>
    <mergeCell ref="K36:S36"/>
    <mergeCell ref="K28:S28"/>
    <mergeCell ref="K29:S29"/>
    <mergeCell ref="K30:S30"/>
    <mergeCell ref="K31:S31"/>
    <mergeCell ref="K22:S22"/>
    <mergeCell ref="K23:S23"/>
    <mergeCell ref="K24:S24"/>
    <mergeCell ref="K25:S25"/>
    <mergeCell ref="K26:S26"/>
    <mergeCell ref="K27:S27"/>
    <mergeCell ref="I22:J22"/>
    <mergeCell ref="I23:J23"/>
    <mergeCell ref="I24:J24"/>
    <mergeCell ref="I25:J25"/>
    <mergeCell ref="I26:J26"/>
    <mergeCell ref="G22:H22"/>
    <mergeCell ref="G23:H23"/>
    <mergeCell ref="G24:H24"/>
    <mergeCell ref="G25:H25"/>
    <mergeCell ref="G26:H26"/>
    <mergeCell ref="E22:F22"/>
    <mergeCell ref="E23:F23"/>
    <mergeCell ref="E24:F24"/>
    <mergeCell ref="E25:F25"/>
    <mergeCell ref="E26:F26"/>
    <mergeCell ref="I86:J86"/>
    <mergeCell ref="I87:J87"/>
    <mergeCell ref="E87:H87"/>
    <mergeCell ref="A71:S71"/>
    <mergeCell ref="K72:S72"/>
    <mergeCell ref="K73:S73"/>
    <mergeCell ref="K74:S74"/>
    <mergeCell ref="K75:S75"/>
    <mergeCell ref="K76:S76"/>
    <mergeCell ref="K77:S77"/>
    <mergeCell ref="K78:S78"/>
    <mergeCell ref="K79:S79"/>
    <mergeCell ref="K80:S80"/>
    <mergeCell ref="I72:J72"/>
    <mergeCell ref="K83:S83"/>
    <mergeCell ref="K84:S84"/>
    <mergeCell ref="K85:S85"/>
    <mergeCell ref="I83:J83"/>
    <mergeCell ref="I84:J84"/>
    <mergeCell ref="I85:J85"/>
    <mergeCell ref="A42:S42"/>
    <mergeCell ref="E88:H88"/>
    <mergeCell ref="M40:S40"/>
    <mergeCell ref="M39:S39"/>
    <mergeCell ref="M41:S41"/>
    <mergeCell ref="M38:S38"/>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I88:J88"/>
    <mergeCell ref="I73:J73"/>
    <mergeCell ref="I74:J74"/>
    <mergeCell ref="D43:F43"/>
    <mergeCell ref="G43:I43"/>
    <mergeCell ref="J43:L43"/>
    <mergeCell ref="D44:F44"/>
    <mergeCell ref="J52:L52"/>
    <mergeCell ref="J44:L44"/>
    <mergeCell ref="J45:L45"/>
    <mergeCell ref="J46:L46"/>
    <mergeCell ref="J47:L47"/>
    <mergeCell ref="J48:L48"/>
    <mergeCell ref="J49:L49"/>
    <mergeCell ref="J50:L50"/>
    <mergeCell ref="J51:L51"/>
    <mergeCell ref="G44:I44"/>
    <mergeCell ref="G45:I45"/>
    <mergeCell ref="G46:I46"/>
    <mergeCell ref="G47:I47"/>
    <mergeCell ref="G48:I48"/>
    <mergeCell ref="G49:I49"/>
    <mergeCell ref="G50:I50"/>
    <mergeCell ref="G51:I51"/>
    <mergeCell ref="G52:I52"/>
    <mergeCell ref="D45:F45"/>
    <mergeCell ref="D46:F46"/>
    <mergeCell ref="D47:F47"/>
    <mergeCell ref="D48:F48"/>
    <mergeCell ref="D49:F49"/>
    <mergeCell ref="D50:F50"/>
    <mergeCell ref="D51:F51"/>
    <mergeCell ref="D52:F52"/>
    <mergeCell ref="M52:S52"/>
    <mergeCell ref="K81:S81"/>
    <mergeCell ref="K82:S82"/>
    <mergeCell ref="M54:S54"/>
    <mergeCell ref="I75:J75"/>
    <mergeCell ref="M65:S65"/>
    <mergeCell ref="M66:S66"/>
    <mergeCell ref="M67:S67"/>
    <mergeCell ref="M68:S68"/>
    <mergeCell ref="M69:S69"/>
    <mergeCell ref="I76:J76"/>
    <mergeCell ref="I77:J77"/>
    <mergeCell ref="I78:J78"/>
    <mergeCell ref="I79:J79"/>
    <mergeCell ref="I80:J80"/>
    <mergeCell ref="I81:J81"/>
    <mergeCell ref="I82:J82"/>
    <mergeCell ref="M61:S61"/>
    <mergeCell ref="D97:F97"/>
    <mergeCell ref="G97:I97"/>
    <mergeCell ref="J97:L97"/>
    <mergeCell ref="D103:F103"/>
    <mergeCell ref="G103:I103"/>
    <mergeCell ref="J103:L103"/>
    <mergeCell ref="D101:F101"/>
    <mergeCell ref="G101:I101"/>
    <mergeCell ref="J101:L101"/>
    <mergeCell ref="D102:F102"/>
    <mergeCell ref="G102:I102"/>
    <mergeCell ref="J102:L102"/>
    <mergeCell ref="M43:S43"/>
    <mergeCell ref="M44:S44"/>
    <mergeCell ref="M45:S45"/>
    <mergeCell ref="M46:S46"/>
    <mergeCell ref="M47:S47"/>
    <mergeCell ref="M48:S48"/>
    <mergeCell ref="M49:S49"/>
    <mergeCell ref="M50:S50"/>
    <mergeCell ref="M51:S51"/>
    <mergeCell ref="M97:S97"/>
    <mergeCell ref="M98:S98"/>
    <mergeCell ref="M99:S99"/>
    <mergeCell ref="M100:S100"/>
    <mergeCell ref="M101:S101"/>
    <mergeCell ref="K86:S86"/>
    <mergeCell ref="K87:S87"/>
    <mergeCell ref="K88:S88"/>
    <mergeCell ref="J98:L98"/>
    <mergeCell ref="A94:S94"/>
    <mergeCell ref="D95:F95"/>
    <mergeCell ref="G95:I95"/>
    <mergeCell ref="J95:L95"/>
    <mergeCell ref="D96:F96"/>
    <mergeCell ref="G96:I96"/>
    <mergeCell ref="J96:L96"/>
    <mergeCell ref="M95:S95"/>
    <mergeCell ref="M96:S96"/>
    <mergeCell ref="M90:S90"/>
    <mergeCell ref="M91:S91"/>
    <mergeCell ref="M92:S92"/>
    <mergeCell ref="M93:S93"/>
    <mergeCell ref="D99:F99"/>
    <mergeCell ref="G99:I99"/>
    <mergeCell ref="M102:S102"/>
    <mergeCell ref="M103:S103"/>
    <mergeCell ref="M104:S104"/>
    <mergeCell ref="A106:S106"/>
    <mergeCell ref="D104:F104"/>
    <mergeCell ref="G104:I104"/>
    <mergeCell ref="J104:L104"/>
    <mergeCell ref="D98:F98"/>
    <mergeCell ref="G98:I98"/>
    <mergeCell ref="J99:L99"/>
    <mergeCell ref="D100:F100"/>
    <mergeCell ref="G100:I100"/>
    <mergeCell ref="J100:L100"/>
    <mergeCell ref="B110:C110"/>
    <mergeCell ref="B111:C111"/>
    <mergeCell ref="B116:C116"/>
    <mergeCell ref="B112:C112"/>
    <mergeCell ref="B113:C113"/>
    <mergeCell ref="B114:C114"/>
    <mergeCell ref="B115:C115"/>
    <mergeCell ref="A107:S107"/>
    <mergeCell ref="B108:C108"/>
    <mergeCell ref="B109:C109"/>
    <mergeCell ref="B128:C128"/>
    <mergeCell ref="B129:C129"/>
    <mergeCell ref="B121:C121"/>
    <mergeCell ref="B122:C122"/>
    <mergeCell ref="B123:C123"/>
    <mergeCell ref="A124:S124"/>
    <mergeCell ref="N123:S123"/>
    <mergeCell ref="B117:C117"/>
    <mergeCell ref="B118:C118"/>
    <mergeCell ref="B119:C119"/>
    <mergeCell ref="B120:C120"/>
    <mergeCell ref="L125:M125"/>
    <mergeCell ref="N125:O125"/>
    <mergeCell ref="P125:Q125"/>
    <mergeCell ref="R125:S125"/>
    <mergeCell ref="D126:E126"/>
    <mergeCell ref="F126:G126"/>
    <mergeCell ref="H126:I126"/>
    <mergeCell ref="J126:K126"/>
    <mergeCell ref="L126:M126"/>
    <mergeCell ref="N126:O126"/>
    <mergeCell ref="P126:Q126"/>
    <mergeCell ref="R126:S126"/>
    <mergeCell ref="B135:C135"/>
    <mergeCell ref="D125:E125"/>
    <mergeCell ref="F125:G125"/>
    <mergeCell ref="H125:I125"/>
    <mergeCell ref="J125:K125"/>
    <mergeCell ref="D127:E127"/>
    <mergeCell ref="F127:G127"/>
    <mergeCell ref="H127:I127"/>
    <mergeCell ref="J127:K127"/>
    <mergeCell ref="D129:E129"/>
    <mergeCell ref="F129:G129"/>
    <mergeCell ref="H129:I129"/>
    <mergeCell ref="J129:K129"/>
    <mergeCell ref="D131:E131"/>
    <mergeCell ref="F131:G131"/>
    <mergeCell ref="H131:I131"/>
    <mergeCell ref="B130:C130"/>
    <mergeCell ref="B131:C131"/>
    <mergeCell ref="B132:C132"/>
    <mergeCell ref="B133:C133"/>
    <mergeCell ref="B134:C134"/>
    <mergeCell ref="B125:C125"/>
    <mergeCell ref="B126:C126"/>
    <mergeCell ref="B127:C127"/>
    <mergeCell ref="D130:E130"/>
    <mergeCell ref="F130:G130"/>
    <mergeCell ref="H130:I130"/>
    <mergeCell ref="J130:K130"/>
    <mergeCell ref="L130:M130"/>
    <mergeCell ref="N130:O130"/>
    <mergeCell ref="P130:Q130"/>
    <mergeCell ref="R130:S130"/>
    <mergeCell ref="L127:M127"/>
    <mergeCell ref="N127:O127"/>
    <mergeCell ref="P127:Q127"/>
    <mergeCell ref="R127:S127"/>
    <mergeCell ref="D128:E128"/>
    <mergeCell ref="F128:G128"/>
    <mergeCell ref="H128:I128"/>
    <mergeCell ref="J128:K128"/>
    <mergeCell ref="L128:M128"/>
    <mergeCell ref="N128:O128"/>
    <mergeCell ref="P128:Q128"/>
    <mergeCell ref="R128:S128"/>
    <mergeCell ref="J131:K131"/>
    <mergeCell ref="L131:M131"/>
    <mergeCell ref="N131:O131"/>
    <mergeCell ref="P131:Q131"/>
    <mergeCell ref="R131:S131"/>
    <mergeCell ref="L129:M129"/>
    <mergeCell ref="N129:O129"/>
    <mergeCell ref="P129:Q129"/>
    <mergeCell ref="R129:S129"/>
    <mergeCell ref="N132:O132"/>
    <mergeCell ref="P132:Q132"/>
    <mergeCell ref="R132:S132"/>
    <mergeCell ref="D133:E133"/>
    <mergeCell ref="F133:G133"/>
    <mergeCell ref="H133:I133"/>
    <mergeCell ref="J133:K133"/>
    <mergeCell ref="L133:M133"/>
    <mergeCell ref="N133:O133"/>
    <mergeCell ref="P133:Q133"/>
    <mergeCell ref="R133:S133"/>
    <mergeCell ref="D132:E132"/>
    <mergeCell ref="F132:G132"/>
    <mergeCell ref="H132:I132"/>
    <mergeCell ref="J132:K132"/>
    <mergeCell ref="L132:M132"/>
    <mergeCell ref="N134:O134"/>
    <mergeCell ref="P134:Q134"/>
    <mergeCell ref="R134:S134"/>
    <mergeCell ref="D135:E135"/>
    <mergeCell ref="F135:G135"/>
    <mergeCell ref="H135:I135"/>
    <mergeCell ref="J135:K135"/>
    <mergeCell ref="L135:M135"/>
    <mergeCell ref="N135:O135"/>
    <mergeCell ref="P135:Q135"/>
    <mergeCell ref="R135:S135"/>
    <mergeCell ref="D134:E134"/>
    <mergeCell ref="F134:G134"/>
    <mergeCell ref="H134:I134"/>
    <mergeCell ref="J134:K134"/>
    <mergeCell ref="L134:M134"/>
    <mergeCell ref="T126:U126"/>
    <mergeCell ref="V126:W126"/>
    <mergeCell ref="X126:Y126"/>
    <mergeCell ref="Z126:AA126"/>
    <mergeCell ref="AB126:AC126"/>
    <mergeCell ref="T125:U125"/>
    <mergeCell ref="V125:W125"/>
    <mergeCell ref="X125:Y125"/>
    <mergeCell ref="Z125:AA125"/>
    <mergeCell ref="AB125:AC125"/>
    <mergeCell ref="T128:U128"/>
    <mergeCell ref="V128:W128"/>
    <mergeCell ref="X128:Y128"/>
    <mergeCell ref="Z128:AA128"/>
    <mergeCell ref="AB128:AC128"/>
    <mergeCell ref="T127:U127"/>
    <mergeCell ref="V127:W127"/>
    <mergeCell ref="X127:Y127"/>
    <mergeCell ref="Z127:AA127"/>
    <mergeCell ref="AB127:AC127"/>
    <mergeCell ref="X131:Y131"/>
    <mergeCell ref="Z131:AA131"/>
    <mergeCell ref="AB131:AC131"/>
    <mergeCell ref="T130:U130"/>
    <mergeCell ref="V130:W130"/>
    <mergeCell ref="X130:Y130"/>
    <mergeCell ref="Z130:AA130"/>
    <mergeCell ref="AB130:AC130"/>
    <mergeCell ref="T129:U129"/>
    <mergeCell ref="V129:W129"/>
    <mergeCell ref="X129:Y129"/>
    <mergeCell ref="Z129:AA129"/>
    <mergeCell ref="AB129:AC129"/>
    <mergeCell ref="AD128:AE128"/>
    <mergeCell ref="AD129:AE129"/>
    <mergeCell ref="T135:U135"/>
    <mergeCell ref="V135:W135"/>
    <mergeCell ref="X135:Y135"/>
    <mergeCell ref="Z135:AA135"/>
    <mergeCell ref="AB135:AC135"/>
    <mergeCell ref="T134:U134"/>
    <mergeCell ref="V134:W134"/>
    <mergeCell ref="X134:Y134"/>
    <mergeCell ref="Z134:AA134"/>
    <mergeCell ref="AB134:AC134"/>
    <mergeCell ref="T133:U133"/>
    <mergeCell ref="V133:W133"/>
    <mergeCell ref="X133:Y133"/>
    <mergeCell ref="Z133:AA133"/>
    <mergeCell ref="AB133:AC133"/>
    <mergeCell ref="T132:U132"/>
    <mergeCell ref="V132:W132"/>
    <mergeCell ref="X132:Y132"/>
    <mergeCell ref="Z132:AA132"/>
    <mergeCell ref="AB132:AC132"/>
    <mergeCell ref="T131:U131"/>
    <mergeCell ref="V131:W131"/>
    <mergeCell ref="AD135:AE135"/>
    <mergeCell ref="N108:S108"/>
    <mergeCell ref="N109:S109"/>
    <mergeCell ref="N110:S110"/>
    <mergeCell ref="N111:S111"/>
    <mergeCell ref="N112:S112"/>
    <mergeCell ref="N113:S113"/>
    <mergeCell ref="N114:S114"/>
    <mergeCell ref="N115:S115"/>
    <mergeCell ref="N116:S116"/>
    <mergeCell ref="N117:S117"/>
    <mergeCell ref="N118:S118"/>
    <mergeCell ref="N119:S119"/>
    <mergeCell ref="N120:S120"/>
    <mergeCell ref="N121:S121"/>
    <mergeCell ref="N122:S122"/>
    <mergeCell ref="AD130:AE130"/>
    <mergeCell ref="AD131:AE131"/>
    <mergeCell ref="AD132:AE132"/>
    <mergeCell ref="AD133:AE133"/>
    <mergeCell ref="AD134:AE134"/>
    <mergeCell ref="AD125:AE125"/>
    <mergeCell ref="AD126:AE126"/>
    <mergeCell ref="AD127:AE12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98:C198"/>
    <mergeCell ref="B199:C199"/>
    <mergeCell ref="B182:C182"/>
    <mergeCell ref="B183:C183"/>
    <mergeCell ref="B184:C184"/>
    <mergeCell ref="B185:C185"/>
    <mergeCell ref="B186:C186"/>
    <mergeCell ref="B187:C187"/>
    <mergeCell ref="B188:C188"/>
    <mergeCell ref="B189:C189"/>
    <mergeCell ref="B190:C190"/>
    <mergeCell ref="J154:S154"/>
    <mergeCell ref="J155:S155"/>
    <mergeCell ref="J156:S156"/>
    <mergeCell ref="B137:C137"/>
    <mergeCell ref="B208:C208"/>
    <mergeCell ref="B217:C217"/>
    <mergeCell ref="B209:C209"/>
    <mergeCell ref="B219:C219"/>
    <mergeCell ref="B220:C220"/>
    <mergeCell ref="B200:C200"/>
    <mergeCell ref="B201:C201"/>
    <mergeCell ref="B202:C202"/>
    <mergeCell ref="B203:C203"/>
    <mergeCell ref="B204:C204"/>
    <mergeCell ref="B205:C205"/>
    <mergeCell ref="B206:C206"/>
    <mergeCell ref="B207:C207"/>
    <mergeCell ref="B191:C191"/>
    <mergeCell ref="B192:C192"/>
    <mergeCell ref="B193:C193"/>
    <mergeCell ref="B194:C194"/>
    <mergeCell ref="B195:C195"/>
    <mergeCell ref="B196:C196"/>
    <mergeCell ref="B197:C197"/>
    <mergeCell ref="J146:S146"/>
    <mergeCell ref="J147:S147"/>
    <mergeCell ref="J148:S148"/>
    <mergeCell ref="J149:S149"/>
    <mergeCell ref="J150:S150"/>
    <mergeCell ref="J151:S151"/>
    <mergeCell ref="J152:S152"/>
    <mergeCell ref="J153:S153"/>
    <mergeCell ref="J137:S137"/>
    <mergeCell ref="J138:S138"/>
    <mergeCell ref="J139:S139"/>
    <mergeCell ref="J140:S140"/>
    <mergeCell ref="J141:S141"/>
    <mergeCell ref="J142:S142"/>
    <mergeCell ref="J143:S143"/>
    <mergeCell ref="J144:S144"/>
    <mergeCell ref="J145:S145"/>
    <mergeCell ref="J157:S157"/>
    <mergeCell ref="J158:S158"/>
    <mergeCell ref="J159:S159"/>
    <mergeCell ref="J160:S160"/>
    <mergeCell ref="J161:S161"/>
    <mergeCell ref="J162:S162"/>
    <mergeCell ref="J163:S163"/>
    <mergeCell ref="J164:S164"/>
    <mergeCell ref="J165:S165"/>
    <mergeCell ref="J166:S166"/>
    <mergeCell ref="J167:S167"/>
    <mergeCell ref="J168:S168"/>
    <mergeCell ref="J169:S169"/>
    <mergeCell ref="J170:S170"/>
    <mergeCell ref="J171:S171"/>
    <mergeCell ref="J172:S172"/>
    <mergeCell ref="J173:S173"/>
    <mergeCell ref="J174:S174"/>
    <mergeCell ref="J175:S175"/>
    <mergeCell ref="J176:S176"/>
    <mergeCell ref="J177:S177"/>
    <mergeCell ref="J178:S178"/>
    <mergeCell ref="J179:S179"/>
    <mergeCell ref="J180:S180"/>
    <mergeCell ref="J181:S181"/>
    <mergeCell ref="J182:S182"/>
    <mergeCell ref="J183:S183"/>
    <mergeCell ref="J184:S184"/>
    <mergeCell ref="J185:S185"/>
    <mergeCell ref="J186:S186"/>
    <mergeCell ref="J187:S187"/>
    <mergeCell ref="J188:S188"/>
    <mergeCell ref="J189:S189"/>
    <mergeCell ref="J190:S190"/>
    <mergeCell ref="J191:S191"/>
    <mergeCell ref="J192:S192"/>
    <mergeCell ref="J193:S193"/>
    <mergeCell ref="J194:S194"/>
    <mergeCell ref="J195:S195"/>
    <mergeCell ref="J196:S196"/>
    <mergeCell ref="J197:S197"/>
    <mergeCell ref="J198:S198"/>
    <mergeCell ref="J199:S199"/>
    <mergeCell ref="J200:S200"/>
    <mergeCell ref="J201:S201"/>
    <mergeCell ref="J202:S202"/>
    <mergeCell ref="J203:S203"/>
    <mergeCell ref="J204:S204"/>
    <mergeCell ref="J205:S205"/>
    <mergeCell ref="J206:S206"/>
    <mergeCell ref="J207:S207"/>
    <mergeCell ref="J208:S208"/>
    <mergeCell ref="J217:S217"/>
    <mergeCell ref="J216:S216"/>
    <mergeCell ref="J224:S224"/>
    <mergeCell ref="B218:C218"/>
    <mergeCell ref="B211:C211"/>
    <mergeCell ref="B212:C212"/>
    <mergeCell ref="B213:C213"/>
    <mergeCell ref="B215:C215"/>
    <mergeCell ref="B216:C216"/>
    <mergeCell ref="B214:C214"/>
    <mergeCell ref="J211:S211"/>
    <mergeCell ref="J212:S212"/>
    <mergeCell ref="J213:S213"/>
    <mergeCell ref="J214:S214"/>
    <mergeCell ref="J215:S215"/>
    <mergeCell ref="B221:C221"/>
    <mergeCell ref="B222:C222"/>
    <mergeCell ref="B223:C223"/>
    <mergeCell ref="B224:C224"/>
    <mergeCell ref="J218:S218"/>
    <mergeCell ref="H216:I216"/>
    <mergeCell ref="H217:I217"/>
    <mergeCell ref="H218:I218"/>
    <mergeCell ref="H219:I219"/>
    <mergeCell ref="H220:I220"/>
    <mergeCell ref="H221:I221"/>
    <mergeCell ref="B210:C210"/>
    <mergeCell ref="J210:S210"/>
    <mergeCell ref="J209:S209"/>
    <mergeCell ref="J219:S219"/>
    <mergeCell ref="J220:S220"/>
    <mergeCell ref="J221:S221"/>
    <mergeCell ref="J222:S222"/>
    <mergeCell ref="J223:S223"/>
    <mergeCell ref="H188:I188"/>
    <mergeCell ref="H192:I192"/>
    <mergeCell ref="H193:I193"/>
    <mergeCell ref="H194:I194"/>
    <mergeCell ref="H195:I195"/>
    <mergeCell ref="H196:I196"/>
    <mergeCell ref="H197:I197"/>
    <mergeCell ref="H198:I198"/>
    <mergeCell ref="H199:I199"/>
    <mergeCell ref="H200:I200"/>
    <mergeCell ref="H201:I201"/>
    <mergeCell ref="H202:I202"/>
    <mergeCell ref="H203:I203"/>
    <mergeCell ref="H204:I204"/>
    <mergeCell ref="H205:I205"/>
    <mergeCell ref="H206:I206"/>
    <mergeCell ref="H138:I138"/>
    <mergeCell ref="H139:I139"/>
    <mergeCell ref="H140:I140"/>
    <mergeCell ref="H141:I141"/>
    <mergeCell ref="H142:I142"/>
    <mergeCell ref="H143:I143"/>
    <mergeCell ref="H144:I144"/>
    <mergeCell ref="H145:I145"/>
    <mergeCell ref="H146:I146"/>
    <mergeCell ref="H147:I147"/>
    <mergeCell ref="H148:I148"/>
    <mergeCell ref="H149:I149"/>
    <mergeCell ref="H150:I150"/>
    <mergeCell ref="H151:I151"/>
    <mergeCell ref="H152:I152"/>
    <mergeCell ref="H153:I153"/>
    <mergeCell ref="H154:I154"/>
    <mergeCell ref="H155:I155"/>
    <mergeCell ref="H156:I156"/>
    <mergeCell ref="H157:I157"/>
    <mergeCell ref="H158:I158"/>
    <mergeCell ref="H159:I159"/>
    <mergeCell ref="H160:I160"/>
    <mergeCell ref="H161:I161"/>
    <mergeCell ref="H162:I162"/>
    <mergeCell ref="H163:I163"/>
    <mergeCell ref="H164:I164"/>
    <mergeCell ref="H165:I165"/>
    <mergeCell ref="H166:I166"/>
    <mergeCell ref="H167:I167"/>
    <mergeCell ref="H168:I168"/>
    <mergeCell ref="H169:I169"/>
    <mergeCell ref="H170:I170"/>
    <mergeCell ref="H171:I171"/>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9:I189"/>
    <mergeCell ref="H190:I190"/>
    <mergeCell ref="H191:I191"/>
    <mergeCell ref="H222:I222"/>
    <mergeCell ref="H223:I223"/>
    <mergeCell ref="H224:I224"/>
    <mergeCell ref="H207:I207"/>
    <mergeCell ref="H208:I208"/>
    <mergeCell ref="H209:I209"/>
    <mergeCell ref="H210:I210"/>
    <mergeCell ref="H211:I211"/>
    <mergeCell ref="H212:I212"/>
    <mergeCell ref="H213:I213"/>
    <mergeCell ref="H214:I214"/>
    <mergeCell ref="H215:I215"/>
  </mergeCells>
  <phoneticPr fontId="22" type="noConversion"/>
  <conditionalFormatting sqref="H231:M236">
    <cfRule type="cellIs" dxfId="80" priority="11" stopIfTrue="1" operator="notBetween">
      <formula>1</formula>
      <formula>4</formula>
    </cfRule>
    <cfRule type="dataBar" priority="12">
      <dataBar>
        <cfvo type="min"/>
        <cfvo type="num" val="4"/>
        <color rgb="FFFFC000"/>
      </dataBar>
      <extLst>
        <ext xmlns:x14="http://schemas.microsoft.com/office/spreadsheetml/2009/9/main" uri="{B025F937-C7B1-47D3-B67F-A62EFF666E3E}">
          <x14:id>{52D30522-04B5-4A14-A26F-867A77599C02}</x14:id>
        </ext>
      </extLst>
    </cfRule>
  </conditionalFormatting>
  <conditionalFormatting sqref="H240:M240">
    <cfRule type="cellIs" dxfId="79" priority="2" stopIfTrue="1" operator="notBetween">
      <formula>1</formula>
      <formula>4</formula>
    </cfRule>
    <cfRule type="dataBar" priority="3">
      <dataBar>
        <cfvo type="min"/>
        <cfvo type="num" val="4"/>
        <color rgb="FFFFC000"/>
      </dataBar>
      <extLst>
        <ext xmlns:x14="http://schemas.microsoft.com/office/spreadsheetml/2009/9/main" uri="{B025F937-C7B1-47D3-B67F-A62EFF666E3E}">
          <x14:id>{0E248CE5-5955-4706-9D11-F52F17F9A0F6}</x14:id>
        </ext>
      </extLst>
    </cfRule>
  </conditionalFormatting>
  <conditionalFormatting sqref="H241:M243">
    <cfRule type="cellIs" dxfId="78" priority="7" stopIfTrue="1" operator="notBetween">
      <formula>1</formula>
      <formula>4</formula>
    </cfRule>
    <cfRule type="dataBar" priority="9">
      <dataBar>
        <cfvo type="min"/>
        <cfvo type="num" val="4"/>
        <color rgb="FFFFC000"/>
      </dataBar>
      <extLst>
        <ext xmlns:x14="http://schemas.microsoft.com/office/spreadsheetml/2009/9/main" uri="{B025F937-C7B1-47D3-B67F-A62EFF666E3E}">
          <x14:id>{ADB0E609-8EED-4E8E-940E-91D447DF706D}</x14:id>
        </ext>
      </extLst>
    </cfRule>
  </conditionalFormatting>
  <conditionalFormatting sqref="H241:N243">
    <cfRule type="containsBlanks" dxfId="77" priority="6">
      <formula>LEN(TRIM(H241))=0</formula>
    </cfRule>
  </conditionalFormatting>
  <conditionalFormatting sqref="H231:O236">
    <cfRule type="containsBlanks" dxfId="76" priority="10" stopIfTrue="1">
      <formula>LEN(TRIM(H231))=0</formula>
    </cfRule>
  </conditionalFormatting>
  <conditionalFormatting sqref="H240:O240">
    <cfRule type="containsBlanks" dxfId="75" priority="1" stopIfTrue="1">
      <formula>LEN(TRIM(H240))=0</formula>
    </cfRule>
  </conditionalFormatting>
  <conditionalFormatting sqref="N241:N243">
    <cfRule type="dataBar" priority="8">
      <dataBar>
        <cfvo type="min"/>
        <cfvo type="max"/>
        <color rgb="FF3FCDFF"/>
      </dataBar>
      <extLst>
        <ext xmlns:x14="http://schemas.microsoft.com/office/spreadsheetml/2009/9/main" uri="{B025F937-C7B1-47D3-B67F-A62EFF666E3E}">
          <x14:id>{56ADEB90-7F84-40E6-8A25-6FB6CFE5B13E}</x14:id>
        </ext>
      </extLst>
    </cfRule>
  </conditionalFormatting>
  <conditionalFormatting sqref="N231:O236">
    <cfRule type="dataBar" priority="13">
      <dataBar>
        <cfvo type="min"/>
        <cfvo type="max"/>
        <color rgb="FF3FCDFF"/>
      </dataBar>
      <extLst>
        <ext xmlns:x14="http://schemas.microsoft.com/office/spreadsheetml/2009/9/main" uri="{B025F937-C7B1-47D3-B67F-A62EFF666E3E}">
          <x14:id>{A264C664-B8C6-421C-8411-0C4F6AB227F8}</x14:id>
        </ext>
      </extLst>
    </cfRule>
  </conditionalFormatting>
  <conditionalFormatting sqref="N240:O240">
    <cfRule type="dataBar" priority="4">
      <dataBar>
        <cfvo type="min"/>
        <cfvo type="max"/>
        <color rgb="FF3FCDFF"/>
      </dataBar>
      <extLst>
        <ext xmlns:x14="http://schemas.microsoft.com/office/spreadsheetml/2009/9/main" uri="{B025F937-C7B1-47D3-B67F-A62EFF666E3E}">
          <x14:id>{AFB119B0-BF6D-4F68-80DF-05A62D605C38}</x14:id>
        </ext>
      </extLst>
    </cfRule>
  </conditionalFormatting>
  <conditionalFormatting sqref="P231:P236">
    <cfRule type="containsText" dxfId="74" priority="14" operator="containsText" text="Actual TC">
      <formula>NOT(ISERROR(SEARCH("Actual TC",P231)))</formula>
    </cfRule>
  </conditionalFormatting>
  <conditionalFormatting sqref="P240">
    <cfRule type="containsText" dxfId="73" priority="5" operator="containsText" text="Actual TC">
      <formula>NOT(ISERROR(SEARCH("Actual TC",P240)))</formula>
    </cfRule>
  </conditionalFormatting>
  <hyperlinks>
    <hyperlink ref="M3" r:id="rId1" xr:uid="{C17EA12C-9368-4E35-81AD-C8EAA5BD5DFA}"/>
    <hyperlink ref="M9" r:id="rId2" xr:uid="{A9070DCC-82A5-4CC3-95E6-8BB7D7651415}"/>
    <hyperlink ref="M10" r:id="rId3" xr:uid="{9CEB3E6F-36D1-4526-8DC9-6129A314EEC4}"/>
  </hyperlinks>
  <pageMargins left="0.7" right="0.7" top="0.75" bottom="0.75" header="0.3" footer="0.3"/>
  <pageSetup paperSize="9" orientation="portrait" horizontalDpi="4294967293" verticalDpi="0" r:id="rId4"/>
  <extLst>
    <ext xmlns:x14="http://schemas.microsoft.com/office/spreadsheetml/2009/9/main" uri="{78C0D931-6437-407d-A8EE-F0AAD7539E65}">
      <x14:conditionalFormattings>
        <x14:conditionalFormatting xmlns:xm="http://schemas.microsoft.com/office/excel/2006/main">
          <x14:cfRule type="dataBar" id="{52D30522-04B5-4A14-A26F-867A77599C02}">
            <x14:dataBar minLength="0" maxLength="100" gradient="0">
              <x14:cfvo type="autoMin"/>
              <x14:cfvo type="num">
                <xm:f>4</xm:f>
              </x14:cfvo>
              <x14:negativeFillColor rgb="FFFF0000"/>
              <x14:axisColor rgb="FF000000"/>
            </x14:dataBar>
          </x14:cfRule>
          <xm:sqref>H231:M236</xm:sqref>
        </x14:conditionalFormatting>
        <x14:conditionalFormatting xmlns:xm="http://schemas.microsoft.com/office/excel/2006/main">
          <x14:cfRule type="dataBar" id="{0E248CE5-5955-4706-9D11-F52F17F9A0F6}">
            <x14:dataBar minLength="0" maxLength="100" gradient="0">
              <x14:cfvo type="autoMin"/>
              <x14:cfvo type="num">
                <xm:f>4</xm:f>
              </x14:cfvo>
              <x14:negativeFillColor rgb="FFFF0000"/>
              <x14:axisColor rgb="FF000000"/>
            </x14:dataBar>
          </x14:cfRule>
          <xm:sqref>H240:M240</xm:sqref>
        </x14:conditionalFormatting>
        <x14:conditionalFormatting xmlns:xm="http://schemas.microsoft.com/office/excel/2006/main">
          <x14:cfRule type="dataBar" id="{ADB0E609-8EED-4E8E-940E-91D447DF706D}">
            <x14:dataBar minLength="0" maxLength="100" gradient="0">
              <x14:cfvo type="autoMin"/>
              <x14:cfvo type="num">
                <xm:f>4</xm:f>
              </x14:cfvo>
              <x14:negativeFillColor rgb="FFFF0000"/>
              <x14:axisColor rgb="FF000000"/>
            </x14:dataBar>
          </x14:cfRule>
          <xm:sqref>H241:M243</xm:sqref>
        </x14:conditionalFormatting>
        <x14:conditionalFormatting xmlns:xm="http://schemas.microsoft.com/office/excel/2006/main">
          <x14:cfRule type="dataBar" id="{56ADEB90-7F84-40E6-8A25-6FB6CFE5B13E}">
            <x14:dataBar minLength="0" maxLength="100" gradient="0">
              <x14:cfvo type="autoMin"/>
              <x14:cfvo type="autoMax"/>
              <x14:negativeFillColor rgb="FFFF0000"/>
              <x14:axisColor rgb="FF000000"/>
            </x14:dataBar>
          </x14:cfRule>
          <xm:sqref>N241:N243</xm:sqref>
        </x14:conditionalFormatting>
        <x14:conditionalFormatting xmlns:xm="http://schemas.microsoft.com/office/excel/2006/main">
          <x14:cfRule type="dataBar" id="{A264C664-B8C6-421C-8411-0C4F6AB227F8}">
            <x14:dataBar minLength="0" maxLength="100" gradient="0">
              <x14:cfvo type="autoMin"/>
              <x14:cfvo type="autoMax"/>
              <x14:negativeFillColor rgb="FFFF0000"/>
              <x14:axisColor rgb="FF000000"/>
            </x14:dataBar>
          </x14:cfRule>
          <xm:sqref>N231:O236</xm:sqref>
        </x14:conditionalFormatting>
        <x14:conditionalFormatting xmlns:xm="http://schemas.microsoft.com/office/excel/2006/main">
          <x14:cfRule type="dataBar" id="{AFB119B0-BF6D-4F68-80DF-05A62D605C38}">
            <x14:dataBar minLength="0" maxLength="100" gradient="0">
              <x14:cfvo type="autoMin"/>
              <x14:cfvo type="autoMax"/>
              <x14:negativeFillColor rgb="FFFF0000"/>
              <x14:axisColor rgb="FF000000"/>
            </x14:dataBar>
          </x14:cfRule>
          <xm:sqref>N240:O240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341A-5EA0-4D17-A641-6A977AEA044B}">
  <sheetPr>
    <tabColor theme="8"/>
  </sheetPr>
  <dimension ref="A2:AI408"/>
  <sheetViews>
    <sheetView topLeftCell="A231" zoomScale="70" zoomScaleNormal="70" workbookViewId="0">
      <selection activeCell="B253" sqref="B253"/>
    </sheetView>
  </sheetViews>
  <sheetFormatPr defaultRowHeight="15"/>
  <cols>
    <col min="1" max="1" width="40.5703125" customWidth="1"/>
    <col min="2" max="2" width="29.85546875" customWidth="1"/>
    <col min="3" max="3" width="19.28515625" customWidth="1"/>
    <col min="4" max="4" width="26" customWidth="1"/>
    <col min="5" max="5" width="32" bestFit="1" customWidth="1"/>
    <col min="6" max="6" width="11.7109375" customWidth="1"/>
    <col min="7" max="7" width="14.28515625" customWidth="1"/>
    <col min="8" max="8" width="12.28515625" customWidth="1"/>
    <col min="9" max="9" width="14.42578125" customWidth="1"/>
    <col min="10" max="10" width="14.28515625" customWidth="1"/>
    <col min="11" max="11" width="13" customWidth="1"/>
    <col min="12" max="12" width="13.7109375" customWidth="1"/>
    <col min="13" max="13" width="16.5703125" customWidth="1"/>
    <col min="14" max="14" width="14.7109375" customWidth="1"/>
    <col min="15" max="15" width="15.42578125" customWidth="1"/>
    <col min="16" max="16" width="30.85546875" customWidth="1"/>
    <col min="17" max="17" width="18.5703125" bestFit="1" customWidth="1"/>
    <col min="18" max="18" width="25.140625" bestFit="1" customWidth="1"/>
    <col min="19" max="19" width="16.28515625" bestFit="1" customWidth="1"/>
    <col min="20" max="20" width="13.140625" bestFit="1" customWidth="1"/>
    <col min="21" max="21" width="13.85546875" bestFit="1" customWidth="1"/>
    <col min="22" max="22" width="16.85546875" customWidth="1"/>
    <col min="23" max="23" width="23.5703125" customWidth="1"/>
    <col min="24" max="24" width="11.5703125" bestFit="1" customWidth="1"/>
    <col min="25" max="25" width="12" bestFit="1" customWidth="1"/>
    <col min="27" max="27" width="13.140625" bestFit="1" customWidth="1"/>
    <col min="29" max="29" width="12.85546875" customWidth="1"/>
    <col min="30" max="30" width="11.140625" customWidth="1"/>
    <col min="31" max="31" width="12" customWidth="1"/>
    <col min="32" max="32" width="12.140625" customWidth="1"/>
    <col min="33" max="33" width="11.5703125" customWidth="1"/>
    <col min="34" max="34" width="12.5703125" customWidth="1"/>
    <col min="35" max="38" width="14.85546875" bestFit="1" customWidth="1"/>
    <col min="40" max="40" width="16.5703125" bestFit="1" customWidth="1"/>
    <col min="41" max="42" width="14.28515625" bestFit="1" customWidth="1"/>
    <col min="43" max="43" width="18.28515625" customWidth="1"/>
    <col min="44" max="44" width="24.42578125" customWidth="1"/>
  </cols>
  <sheetData>
    <row r="2" spans="1:19" s="131" customFormat="1" ht="30" customHeight="1">
      <c r="A2" s="476" t="s">
        <v>845</v>
      </c>
      <c r="B2" s="415"/>
      <c r="C2" s="415"/>
      <c r="D2" s="415"/>
      <c r="E2" s="415"/>
      <c r="F2" s="415"/>
      <c r="G2" s="415"/>
      <c r="H2" s="415"/>
      <c r="I2" s="415"/>
      <c r="J2" s="415"/>
      <c r="K2" s="415"/>
      <c r="L2" s="415"/>
      <c r="M2" s="415"/>
      <c r="N2" s="415"/>
      <c r="O2"/>
      <c r="P2"/>
      <c r="Q2"/>
    </row>
    <row r="3" spans="1:19" s="6" customFormat="1" ht="30" customHeight="1">
      <c r="A3" s="140" t="s">
        <v>100</v>
      </c>
      <c r="B3" s="140" t="s">
        <v>131</v>
      </c>
      <c r="C3" s="140" t="s">
        <v>101</v>
      </c>
      <c r="D3" s="140" t="s">
        <v>102</v>
      </c>
      <c r="E3" s="140" t="s">
        <v>894</v>
      </c>
      <c r="F3" s="367" t="s">
        <v>104</v>
      </c>
      <c r="G3" s="228"/>
      <c r="H3" s="228"/>
      <c r="I3" s="228"/>
      <c r="J3" s="228"/>
      <c r="K3" s="228"/>
      <c r="L3" s="228"/>
      <c r="O3"/>
      <c r="P3"/>
      <c r="Q3"/>
      <c r="R3"/>
      <c r="S3"/>
    </row>
    <row r="4" spans="1:19" s="6" customFormat="1">
      <c r="A4" s="417" t="s">
        <v>954</v>
      </c>
      <c r="B4" s="417" t="s">
        <v>182</v>
      </c>
      <c r="C4" s="223">
        <v>2018</v>
      </c>
      <c r="D4" s="117" t="s">
        <v>955</v>
      </c>
      <c r="E4" s="497">
        <f>((D200)/1000)-B232</f>
        <v>692.81</v>
      </c>
      <c r="F4" t="s">
        <v>956</v>
      </c>
      <c r="G4"/>
      <c r="H4"/>
      <c r="I4"/>
      <c r="O4"/>
      <c r="P4"/>
      <c r="Q4"/>
      <c r="R4"/>
      <c r="S4"/>
    </row>
    <row r="5" spans="1:19" s="6" customFormat="1">
      <c r="A5" s="418" t="s">
        <v>954</v>
      </c>
      <c r="B5" s="418" t="s">
        <v>182</v>
      </c>
      <c r="C5" s="416">
        <v>2019</v>
      </c>
      <c r="D5" s="117" t="s">
        <v>955</v>
      </c>
      <c r="E5" s="419">
        <f>((D203/1000)-B232)</f>
        <v>695.5</v>
      </c>
      <c r="F5" t="s">
        <v>956</v>
      </c>
      <c r="G5"/>
      <c r="H5"/>
      <c r="I5"/>
      <c r="O5"/>
      <c r="P5"/>
      <c r="Q5"/>
      <c r="R5"/>
      <c r="S5"/>
    </row>
    <row r="6" spans="1:19" s="6" customFormat="1">
      <c r="A6"/>
      <c r="B6"/>
      <c r="C6"/>
      <c r="D6"/>
      <c r="E6"/>
      <c r="F6"/>
      <c r="G6"/>
      <c r="H6"/>
      <c r="I6"/>
      <c r="J6"/>
      <c r="K6"/>
      <c r="L6"/>
      <c r="M6"/>
      <c r="O6"/>
      <c r="P6"/>
      <c r="Q6"/>
      <c r="R6"/>
      <c r="S6"/>
    </row>
    <row r="7" spans="1:19" s="6" customFormat="1" ht="15.75" thickBot="1">
      <c r="A7" s="6" t="s">
        <v>957</v>
      </c>
      <c r="E7"/>
      <c r="O7"/>
      <c r="P7"/>
      <c r="Q7"/>
      <c r="R7"/>
      <c r="S7"/>
    </row>
    <row r="8" spans="1:19" s="6" customFormat="1">
      <c r="A8" s="140" t="s">
        <v>100</v>
      </c>
      <c r="B8" s="140" t="s">
        <v>131</v>
      </c>
      <c r="C8" s="140" t="s">
        <v>101</v>
      </c>
      <c r="D8" s="140" t="s">
        <v>102</v>
      </c>
      <c r="E8" s="140" t="s">
        <v>894</v>
      </c>
      <c r="F8" s="367" t="s">
        <v>104</v>
      </c>
      <c r="G8" s="111" t="s">
        <v>135</v>
      </c>
      <c r="H8" s="112" t="s">
        <v>65</v>
      </c>
      <c r="I8" s="112" t="s">
        <v>67</v>
      </c>
      <c r="J8" s="112" t="s">
        <v>73</v>
      </c>
      <c r="K8" s="113" t="s">
        <v>79</v>
      </c>
      <c r="L8" s="114" t="s">
        <v>106</v>
      </c>
      <c r="M8" s="115" t="s">
        <v>123</v>
      </c>
      <c r="O8"/>
      <c r="P8"/>
      <c r="Q8"/>
      <c r="R8"/>
      <c r="S8"/>
    </row>
    <row r="9" spans="1:19" s="6" customFormat="1">
      <c r="A9" s="143" t="s">
        <v>954</v>
      </c>
      <c r="B9" s="143" t="s">
        <v>182</v>
      </c>
      <c r="C9" s="223">
        <v>2018</v>
      </c>
      <c r="D9" s="9" t="s">
        <v>90</v>
      </c>
      <c r="E9" s="414">
        <f>E4*H165</f>
        <v>56.385014842085823</v>
      </c>
      <c r="F9" t="s">
        <v>958</v>
      </c>
      <c r="G9" s="175">
        <v>1</v>
      </c>
      <c r="H9" s="66">
        <v>1</v>
      </c>
      <c r="I9" s="66">
        <v>2</v>
      </c>
      <c r="J9" s="66">
        <v>1</v>
      </c>
      <c r="K9" s="66">
        <v>2</v>
      </c>
      <c r="L9" s="180">
        <f t="shared" ref="L9:L18" si="0">IF( OR( ISBLANK(G9),ISBLANK(H9), ISBLANK(I9), ISBLANK(J9), ISBLANK(K9) ), "", 1.5*SQRT(   EXP(2.21*(G9-1)) + EXP(2.21*(H9-1)) + EXP(2.21*(I9-1)) + EXP(2.21*(J9-1)) + EXP(2.21*K9)   )/100*2.45 )</f>
        <v>0.35859414261160716</v>
      </c>
      <c r="M9" s="60"/>
      <c r="O9"/>
      <c r="P9"/>
      <c r="Q9"/>
      <c r="R9"/>
      <c r="S9"/>
    </row>
    <row r="10" spans="1:19" s="6" customFormat="1">
      <c r="A10" s="143" t="s">
        <v>954</v>
      </c>
      <c r="B10" s="143" t="s">
        <v>182</v>
      </c>
      <c r="C10" s="223">
        <v>2018</v>
      </c>
      <c r="D10" s="9" t="s">
        <v>88</v>
      </c>
      <c r="E10" s="414">
        <f>E4*H166</f>
        <v>3.9507478925049049</v>
      </c>
      <c r="F10" t="s">
        <v>958</v>
      </c>
      <c r="G10" s="173">
        <v>1</v>
      </c>
      <c r="H10" s="10">
        <v>1</v>
      </c>
      <c r="I10" s="66">
        <v>2</v>
      </c>
      <c r="J10" s="10">
        <v>1</v>
      </c>
      <c r="K10" s="10">
        <v>2</v>
      </c>
      <c r="L10" s="180">
        <f t="shared" si="0"/>
        <v>0.35859414261160716</v>
      </c>
      <c r="M10" s="34"/>
      <c r="O10"/>
      <c r="P10"/>
      <c r="Q10"/>
      <c r="R10"/>
      <c r="S10"/>
    </row>
    <row r="11" spans="1:19" s="6" customFormat="1">
      <c r="A11" s="143" t="s">
        <v>954</v>
      </c>
      <c r="B11" s="143" t="s">
        <v>182</v>
      </c>
      <c r="C11" s="223">
        <v>2018</v>
      </c>
      <c r="D11" s="9" t="s">
        <v>87</v>
      </c>
      <c r="E11" s="414">
        <f>E5*H167</f>
        <v>3.9660876131077227</v>
      </c>
      <c r="F11" t="s">
        <v>958</v>
      </c>
      <c r="G11" s="173">
        <v>1</v>
      </c>
      <c r="H11" s="10">
        <v>1</v>
      </c>
      <c r="I11" s="66">
        <v>2</v>
      </c>
      <c r="J11" s="10">
        <v>1</v>
      </c>
      <c r="K11" s="10">
        <v>2</v>
      </c>
      <c r="L11" s="180">
        <f t="shared" si="0"/>
        <v>0.35859414261160716</v>
      </c>
      <c r="M11" s="34"/>
      <c r="O11"/>
      <c r="P11"/>
      <c r="Q11"/>
      <c r="R11"/>
      <c r="S11"/>
    </row>
    <row r="12" spans="1:19" s="6" customFormat="1">
      <c r="A12" s="143" t="s">
        <v>954</v>
      </c>
      <c r="B12" s="143" t="s">
        <v>182</v>
      </c>
      <c r="C12" s="223">
        <v>2018</v>
      </c>
      <c r="D12" s="9" t="s">
        <v>85</v>
      </c>
      <c r="E12" s="414">
        <f>E4*H168</f>
        <v>622.8710048492452</v>
      </c>
      <c r="F12" t="s">
        <v>958</v>
      </c>
      <c r="G12" s="173">
        <v>1</v>
      </c>
      <c r="H12" s="10">
        <v>1</v>
      </c>
      <c r="I12" s="66">
        <v>2</v>
      </c>
      <c r="J12" s="10">
        <v>1</v>
      </c>
      <c r="K12" s="10">
        <v>2</v>
      </c>
      <c r="L12" s="180">
        <f t="shared" si="0"/>
        <v>0.35859414261160716</v>
      </c>
      <c r="M12" s="34"/>
      <c r="O12"/>
      <c r="P12"/>
      <c r="Q12"/>
      <c r="R12"/>
      <c r="S12"/>
    </row>
    <row r="13" spans="1:19">
      <c r="A13" s="143" t="s">
        <v>954</v>
      </c>
      <c r="B13" s="143" t="s">
        <v>182</v>
      </c>
      <c r="C13" s="223">
        <v>2018</v>
      </c>
      <c r="D13" s="9" t="s">
        <v>86</v>
      </c>
      <c r="E13" s="414">
        <f>E4*H169</f>
        <v>5.6494845366498607</v>
      </c>
      <c r="F13" t="s">
        <v>958</v>
      </c>
      <c r="G13" s="173">
        <v>1</v>
      </c>
      <c r="H13" s="10">
        <v>1</v>
      </c>
      <c r="I13" s="66">
        <v>2</v>
      </c>
      <c r="J13" s="10">
        <v>1</v>
      </c>
      <c r="K13" s="10">
        <v>2</v>
      </c>
      <c r="L13" s="180">
        <f t="shared" si="0"/>
        <v>0.35859414261160716</v>
      </c>
      <c r="M13" s="34"/>
    </row>
    <row r="14" spans="1:19" s="131" customFormat="1" ht="18.75">
      <c r="A14" s="143" t="s">
        <v>954</v>
      </c>
      <c r="B14" s="143" t="s">
        <v>182</v>
      </c>
      <c r="C14" s="223">
        <v>2019</v>
      </c>
      <c r="D14" s="9" t="s">
        <v>90</v>
      </c>
      <c r="E14" s="414">
        <f>E5*H165</f>
        <v>56.60394310513805</v>
      </c>
      <c r="F14" t="s">
        <v>958</v>
      </c>
      <c r="G14" s="175">
        <v>1</v>
      </c>
      <c r="H14" s="66">
        <v>1</v>
      </c>
      <c r="I14" s="66">
        <v>2</v>
      </c>
      <c r="J14" s="66">
        <v>1</v>
      </c>
      <c r="K14" s="66">
        <v>2</v>
      </c>
      <c r="L14" s="180">
        <f t="shared" si="0"/>
        <v>0.35859414261160716</v>
      </c>
      <c r="M14" s="60"/>
      <c r="O14"/>
      <c r="P14"/>
      <c r="Q14"/>
      <c r="R14"/>
      <c r="S14"/>
    </row>
    <row r="15" spans="1:19" s="6" customFormat="1">
      <c r="A15" s="143" t="s">
        <v>954</v>
      </c>
      <c r="B15" s="143" t="s">
        <v>182</v>
      </c>
      <c r="C15" s="223">
        <v>2019</v>
      </c>
      <c r="D15" s="9" t="s">
        <v>88</v>
      </c>
      <c r="E15" s="414">
        <f>E5*H166</f>
        <v>3.9660876131077227</v>
      </c>
      <c r="F15" t="s">
        <v>958</v>
      </c>
      <c r="G15" s="173">
        <v>1</v>
      </c>
      <c r="H15" s="10">
        <v>1</v>
      </c>
      <c r="I15" s="66">
        <v>2</v>
      </c>
      <c r="J15" s="10">
        <v>1</v>
      </c>
      <c r="K15" s="10">
        <v>2</v>
      </c>
      <c r="L15" s="180">
        <f t="shared" si="0"/>
        <v>0.35859414261160716</v>
      </c>
      <c r="M15" s="34"/>
      <c r="O15"/>
      <c r="P15"/>
      <c r="Q15"/>
      <c r="R15"/>
      <c r="S15"/>
    </row>
    <row r="16" spans="1:19" s="6" customFormat="1">
      <c r="A16" s="143" t="s">
        <v>954</v>
      </c>
      <c r="B16" s="143" t="s">
        <v>182</v>
      </c>
      <c r="C16" s="223">
        <v>2019</v>
      </c>
      <c r="D16" s="9" t="s">
        <v>87</v>
      </c>
      <c r="E16" s="414">
        <f>E5*H167</f>
        <v>3.9660876131077227</v>
      </c>
      <c r="F16" t="s">
        <v>958</v>
      </c>
      <c r="G16" s="173">
        <v>1</v>
      </c>
      <c r="H16" s="10">
        <v>1</v>
      </c>
      <c r="I16" s="66">
        <v>2</v>
      </c>
      <c r="J16" s="10">
        <v>1</v>
      </c>
      <c r="K16" s="10">
        <v>2</v>
      </c>
      <c r="L16" s="180">
        <f t="shared" si="0"/>
        <v>0.35859414261160716</v>
      </c>
      <c r="M16" s="34"/>
      <c r="O16"/>
      <c r="P16"/>
      <c r="Q16"/>
      <c r="R16"/>
      <c r="S16"/>
    </row>
    <row r="17" spans="1:19" s="6" customFormat="1">
      <c r="A17" s="143" t="s">
        <v>954</v>
      </c>
      <c r="B17" s="143" t="s">
        <v>182</v>
      </c>
      <c r="C17" s="223">
        <v>2019</v>
      </c>
      <c r="D17" s="9" t="s">
        <v>85</v>
      </c>
      <c r="E17" s="414">
        <f>E5*H168</f>
        <v>625.28945002619776</v>
      </c>
      <c r="F17" t="s">
        <v>958</v>
      </c>
      <c r="G17" s="173">
        <v>1</v>
      </c>
      <c r="H17" s="10">
        <v>1</v>
      </c>
      <c r="I17" s="66">
        <v>2</v>
      </c>
      <c r="J17" s="10">
        <v>1</v>
      </c>
      <c r="K17" s="10">
        <v>2</v>
      </c>
      <c r="L17" s="180">
        <f t="shared" si="0"/>
        <v>0.35859414261160716</v>
      </c>
      <c r="M17" s="34"/>
      <c r="O17"/>
      <c r="P17"/>
      <c r="Q17"/>
      <c r="R17"/>
      <c r="S17"/>
    </row>
    <row r="18" spans="1:19" s="6" customFormat="1">
      <c r="A18" s="143" t="s">
        <v>954</v>
      </c>
      <c r="B18" s="143" t="s">
        <v>182</v>
      </c>
      <c r="C18" s="223">
        <v>2019</v>
      </c>
      <c r="D18" s="9" t="s">
        <v>86</v>
      </c>
      <c r="E18" s="414">
        <f>E5*H169</f>
        <v>5.6714200072746905</v>
      </c>
      <c r="F18" t="s">
        <v>958</v>
      </c>
      <c r="G18" s="173">
        <v>1</v>
      </c>
      <c r="H18" s="10">
        <v>1</v>
      </c>
      <c r="I18" s="66">
        <v>2</v>
      </c>
      <c r="J18" s="10">
        <v>1</v>
      </c>
      <c r="K18" s="10">
        <v>2</v>
      </c>
      <c r="L18" s="180">
        <f t="shared" si="0"/>
        <v>0.35859414261160716</v>
      </c>
      <c r="M18" s="34"/>
      <c r="O18"/>
      <c r="P18"/>
      <c r="Q18"/>
      <c r="R18"/>
      <c r="S18"/>
    </row>
    <row r="19" spans="1:19" s="6" customFormat="1">
      <c r="B19"/>
      <c r="C19"/>
      <c r="D19"/>
      <c r="E19"/>
      <c r="F19" s="413"/>
      <c r="G19"/>
      <c r="H19"/>
      <c r="I19"/>
      <c r="J19"/>
      <c r="K19"/>
      <c r="L19"/>
      <c r="M19"/>
      <c r="N19"/>
      <c r="O19"/>
      <c r="P19"/>
      <c r="Q19"/>
      <c r="R19"/>
      <c r="S19"/>
    </row>
    <row r="20" spans="1:19" s="6" customFormat="1" ht="27" customHeight="1">
      <c r="A20" s="476" t="s">
        <v>844</v>
      </c>
      <c r="B20" s="476"/>
      <c r="C20" s="476"/>
      <c r="D20" s="415"/>
      <c r="E20" s="415"/>
      <c r="F20" s="415"/>
      <c r="G20" s="415"/>
      <c r="H20" s="415"/>
      <c r="I20" s="415"/>
      <c r="J20" s="415"/>
      <c r="K20" s="415"/>
      <c r="L20" s="415"/>
      <c r="M20" s="415"/>
      <c r="N20" s="415"/>
      <c r="O20"/>
      <c r="P20"/>
      <c r="Q20"/>
      <c r="R20"/>
      <c r="S20"/>
    </row>
    <row r="21" spans="1:19" s="6" customFormat="1">
      <c r="A21" s="140" t="s">
        <v>100</v>
      </c>
      <c r="B21" s="140" t="s">
        <v>131</v>
      </c>
      <c r="C21" s="140" t="s">
        <v>101</v>
      </c>
      <c r="D21" s="140" t="s">
        <v>102</v>
      </c>
      <c r="E21" s="140" t="s">
        <v>894</v>
      </c>
      <c r="F21" s="367" t="s">
        <v>104</v>
      </c>
      <c r="G21" s="810" t="s">
        <v>123</v>
      </c>
      <c r="H21" s="810"/>
      <c r="I21" s="810"/>
      <c r="O21"/>
      <c r="P21"/>
      <c r="Q21"/>
      <c r="R21"/>
      <c r="S21"/>
    </row>
    <row r="22" spans="1:19" s="6" customFormat="1">
      <c r="A22" s="143" t="s">
        <v>954</v>
      </c>
      <c r="B22" s="143" t="s">
        <v>180</v>
      </c>
      <c r="C22" s="223">
        <v>2018</v>
      </c>
      <c r="D22" s="117" t="s">
        <v>955</v>
      </c>
      <c r="E22" s="419">
        <f>(((D200)/1000))*$C$222-Intentional_Agr_NL_2020*'Input projections'!$C$42</f>
        <v>22.798165427830579</v>
      </c>
      <c r="F22" s="227" t="s">
        <v>959</v>
      </c>
      <c r="G22" s="60" t="s">
        <v>960</v>
      </c>
      <c r="H22"/>
      <c r="I22"/>
      <c r="O22"/>
      <c r="P22"/>
      <c r="Q22"/>
      <c r="R22"/>
      <c r="S22"/>
    </row>
    <row r="23" spans="1:19" s="6" customFormat="1">
      <c r="A23" s="418" t="s">
        <v>954</v>
      </c>
      <c r="B23" s="143" t="s">
        <v>180</v>
      </c>
      <c r="C23" s="223">
        <v>2018</v>
      </c>
      <c r="D23" s="117" t="s">
        <v>955</v>
      </c>
      <c r="E23" s="419">
        <f>(((D200)/1000))*$C$224-Intentional_Agr_NL_2020*'Input projections'!$C$42</f>
        <v>46.525919248910952</v>
      </c>
      <c r="F23" s="227" t="s">
        <v>959</v>
      </c>
      <c r="G23" s="60" t="s">
        <v>961</v>
      </c>
      <c r="H23"/>
      <c r="I23"/>
      <c r="O23"/>
      <c r="P23"/>
      <c r="Q23"/>
      <c r="R23"/>
      <c r="S23"/>
    </row>
    <row r="24" spans="1:19">
      <c r="A24" s="143" t="s">
        <v>954</v>
      </c>
      <c r="B24" s="143" t="s">
        <v>180</v>
      </c>
      <c r="C24" s="223">
        <v>2019</v>
      </c>
      <c r="D24" s="117" t="s">
        <v>955</v>
      </c>
      <c r="E24" s="419">
        <f>(((D203)/1000))*$C$222-Intentional_Agr_NL_2020*'Input projections'!$C$42</f>
        <v>22.888549427830579</v>
      </c>
      <c r="F24" s="227" t="s">
        <v>959</v>
      </c>
      <c r="G24" s="60" t="s">
        <v>960</v>
      </c>
    </row>
    <row r="25" spans="1:19">
      <c r="A25" s="418" t="s">
        <v>954</v>
      </c>
      <c r="B25" s="143" t="s">
        <v>180</v>
      </c>
      <c r="C25" s="223">
        <v>2019</v>
      </c>
      <c r="D25" s="117" t="s">
        <v>955</v>
      </c>
      <c r="E25" s="419">
        <f>(((D203)/1000))*$C$224-Intentional_Agr_NL_2020*'Input projections'!$C$42</f>
        <v>46.706479507763902</v>
      </c>
      <c r="F25" s="227" t="s">
        <v>959</v>
      </c>
      <c r="G25" s="60" t="s">
        <v>961</v>
      </c>
    </row>
    <row r="26" spans="1:19" s="6" customFormat="1">
      <c r="A26"/>
      <c r="B26"/>
      <c r="C26"/>
      <c r="D26"/>
      <c r="E26"/>
      <c r="F26"/>
      <c r="G26"/>
      <c r="H26"/>
      <c r="I26"/>
      <c r="J26"/>
      <c r="K26"/>
      <c r="L26"/>
      <c r="M26"/>
    </row>
    <row r="27" spans="1:19" s="6" customFormat="1" ht="15.75" thickBot="1">
      <c r="A27" s="6" t="s">
        <v>957</v>
      </c>
      <c r="E27"/>
    </row>
    <row r="28" spans="1:19" s="2" customFormat="1">
      <c r="A28" s="140" t="s">
        <v>100</v>
      </c>
      <c r="B28" s="140" t="s">
        <v>131</v>
      </c>
      <c r="C28" s="140" t="s">
        <v>101</v>
      </c>
      <c r="D28" s="140" t="s">
        <v>102</v>
      </c>
      <c r="E28" s="140" t="s">
        <v>894</v>
      </c>
      <c r="F28" s="228" t="s">
        <v>104</v>
      </c>
      <c r="G28" s="111" t="s">
        <v>134</v>
      </c>
      <c r="H28" s="112" t="s">
        <v>65</v>
      </c>
      <c r="I28" s="112" t="s">
        <v>67</v>
      </c>
      <c r="J28" s="112" t="s">
        <v>73</v>
      </c>
      <c r="K28" s="113" t="s">
        <v>79</v>
      </c>
      <c r="L28" s="114" t="s">
        <v>106</v>
      </c>
      <c r="M28" s="115" t="s">
        <v>123</v>
      </c>
    </row>
    <row r="29" spans="1:19" s="2" customFormat="1">
      <c r="A29" s="143" t="s">
        <v>954</v>
      </c>
      <c r="B29" s="143" t="s">
        <v>180</v>
      </c>
      <c r="C29" s="223">
        <v>2018</v>
      </c>
      <c r="D29" s="472" t="s">
        <v>90</v>
      </c>
      <c r="E29" s="136">
        <f>$E$22*H183</f>
        <v>2.3385327534831104</v>
      </c>
      <c r="F29" t="s">
        <v>962</v>
      </c>
      <c r="G29" s="175">
        <v>2</v>
      </c>
      <c r="H29" s="66">
        <v>1</v>
      </c>
      <c r="I29" s="66">
        <v>2</v>
      </c>
      <c r="J29" s="66">
        <v>1</v>
      </c>
      <c r="K29" s="66">
        <v>2</v>
      </c>
      <c r="L29" s="180">
        <f t="shared" ref="L29:L48" si="1">IF( OR( ISBLANK(G29),ISBLANK(H29), ISBLANK(I29), ISBLANK(J29), ISBLANK(K29) ), "", 1.5*SQRT(   EXP(2.21*(G29-1)) + EXP(2.21*(H29-1)) + EXP(2.21*(I29-1)) + EXP(2.21*(J29-1)) + EXP(2.21*K29)   )/100*2.45 )</f>
        <v>0.37356464144298934</v>
      </c>
      <c r="M29" s="60" t="s">
        <v>960</v>
      </c>
    </row>
    <row r="30" spans="1:19" s="2" customFormat="1">
      <c r="A30" s="143" t="s">
        <v>954</v>
      </c>
      <c r="B30" s="143" t="s">
        <v>180</v>
      </c>
      <c r="C30" s="223">
        <v>2018</v>
      </c>
      <c r="D30" s="472" t="s">
        <v>88</v>
      </c>
      <c r="E30" s="136">
        <f>$E$22*H184</f>
        <v>0.11106595848154695</v>
      </c>
      <c r="F30" t="s">
        <v>962</v>
      </c>
      <c r="G30" s="173">
        <v>2</v>
      </c>
      <c r="H30" s="10">
        <v>1</v>
      </c>
      <c r="I30" s="66">
        <v>2</v>
      </c>
      <c r="J30" s="10">
        <v>1</v>
      </c>
      <c r="K30" s="10">
        <v>2</v>
      </c>
      <c r="L30" s="180">
        <f t="shared" si="1"/>
        <v>0.37356464144298934</v>
      </c>
      <c r="M30" s="60" t="s">
        <v>960</v>
      </c>
    </row>
    <row r="31" spans="1:19" s="2" customFormat="1">
      <c r="A31" s="143" t="s">
        <v>954</v>
      </c>
      <c r="B31" s="143" t="s">
        <v>180</v>
      </c>
      <c r="C31" s="223">
        <v>2018</v>
      </c>
      <c r="D31" s="472" t="s">
        <v>87</v>
      </c>
      <c r="E31" s="136">
        <f>$E$22*H185</f>
        <v>0.11106595848154695</v>
      </c>
      <c r="F31" t="s">
        <v>962</v>
      </c>
      <c r="G31" s="173">
        <v>2</v>
      </c>
      <c r="H31" s="10">
        <v>1</v>
      </c>
      <c r="I31" s="66">
        <v>2</v>
      </c>
      <c r="J31" s="10">
        <v>1</v>
      </c>
      <c r="K31" s="10">
        <v>2</v>
      </c>
      <c r="L31" s="180">
        <f t="shared" si="1"/>
        <v>0.37356464144298934</v>
      </c>
      <c r="M31" s="60" t="s">
        <v>960</v>
      </c>
    </row>
    <row r="32" spans="1:19" s="2" customFormat="1">
      <c r="A32" s="143" t="s">
        <v>954</v>
      </c>
      <c r="B32" s="143" t="s">
        <v>180</v>
      </c>
      <c r="C32" s="223">
        <v>2018</v>
      </c>
      <c r="D32" s="472" t="s">
        <v>85</v>
      </c>
      <c r="E32" s="136">
        <f>$E$22*H186</f>
        <v>19.95503155784176</v>
      </c>
      <c r="F32" t="s">
        <v>962</v>
      </c>
      <c r="G32" s="173">
        <v>2</v>
      </c>
      <c r="H32" s="10">
        <v>1</v>
      </c>
      <c r="I32" s="66">
        <v>2</v>
      </c>
      <c r="J32" s="10">
        <v>1</v>
      </c>
      <c r="K32" s="10">
        <v>2</v>
      </c>
      <c r="L32" s="180">
        <f t="shared" si="1"/>
        <v>0.37356464144298934</v>
      </c>
      <c r="M32" s="60" t="s">
        <v>960</v>
      </c>
    </row>
    <row r="33" spans="1:13" s="2" customFormat="1">
      <c r="A33" s="143" t="s">
        <v>954</v>
      </c>
      <c r="B33" s="143" t="s">
        <v>180</v>
      </c>
      <c r="C33" s="223">
        <v>2018</v>
      </c>
      <c r="D33" s="472" t="s">
        <v>86</v>
      </c>
      <c r="E33" s="136">
        <f>$E$22*H187</f>
        <v>0.2824691995426149</v>
      </c>
      <c r="F33" t="s">
        <v>962</v>
      </c>
      <c r="G33" s="173">
        <v>2</v>
      </c>
      <c r="H33" s="10">
        <v>1</v>
      </c>
      <c r="I33" s="66">
        <v>2</v>
      </c>
      <c r="J33" s="10">
        <v>1</v>
      </c>
      <c r="K33" s="10">
        <v>2</v>
      </c>
      <c r="L33" s="180">
        <f t="shared" si="1"/>
        <v>0.37356464144298934</v>
      </c>
      <c r="M33" s="60" t="s">
        <v>960</v>
      </c>
    </row>
    <row r="34" spans="1:13" s="2" customFormat="1">
      <c r="A34" s="143" t="s">
        <v>954</v>
      </c>
      <c r="B34" s="143" t="s">
        <v>180</v>
      </c>
      <c r="C34" s="223">
        <v>2018</v>
      </c>
      <c r="D34" s="9" t="s">
        <v>90</v>
      </c>
      <c r="E34" s="136">
        <f>$E$23*H183</f>
        <v>4.7724184822639018</v>
      </c>
      <c r="F34" t="s">
        <v>963</v>
      </c>
      <c r="G34" s="175">
        <v>2</v>
      </c>
      <c r="H34" s="66">
        <v>1</v>
      </c>
      <c r="I34" s="66">
        <v>2</v>
      </c>
      <c r="J34" s="66">
        <v>1</v>
      </c>
      <c r="K34" s="66">
        <v>2</v>
      </c>
      <c r="L34" s="180">
        <f t="shared" si="1"/>
        <v>0.37356464144298934</v>
      </c>
      <c r="M34" s="60" t="s">
        <v>961</v>
      </c>
    </row>
    <row r="35" spans="1:13" s="2" customFormat="1">
      <c r="A35" s="143" t="s">
        <v>954</v>
      </c>
      <c r="B35" s="143" t="s">
        <v>180</v>
      </c>
      <c r="C35" s="223">
        <v>2018</v>
      </c>
      <c r="D35" s="9" t="s">
        <v>88</v>
      </c>
      <c r="E35" s="136">
        <f>$E$23*H184</f>
        <v>0.22666059828249402</v>
      </c>
      <c r="F35" t="s">
        <v>963</v>
      </c>
      <c r="G35" s="173">
        <v>2</v>
      </c>
      <c r="H35" s="10">
        <v>1</v>
      </c>
      <c r="I35" s="66">
        <v>2</v>
      </c>
      <c r="J35" s="10">
        <v>1</v>
      </c>
      <c r="K35" s="10">
        <v>2</v>
      </c>
      <c r="L35" s="180">
        <f t="shared" si="1"/>
        <v>0.37356464144298934</v>
      </c>
      <c r="M35" s="60" t="s">
        <v>961</v>
      </c>
    </row>
    <row r="36" spans="1:13" s="2" customFormat="1">
      <c r="A36" s="143" t="s">
        <v>954</v>
      </c>
      <c r="B36" s="143" t="s">
        <v>180</v>
      </c>
      <c r="C36" s="223">
        <v>2018</v>
      </c>
      <c r="D36" s="9" t="s">
        <v>87</v>
      </c>
      <c r="E36" s="136">
        <f>$E$23*H185</f>
        <v>0.22666059828249402</v>
      </c>
      <c r="F36" t="s">
        <v>963</v>
      </c>
      <c r="G36" s="173">
        <v>2</v>
      </c>
      <c r="H36" s="10">
        <v>1</v>
      </c>
      <c r="I36" s="66">
        <v>2</v>
      </c>
      <c r="J36" s="10">
        <v>1</v>
      </c>
      <c r="K36" s="10">
        <v>2</v>
      </c>
      <c r="L36" s="180">
        <f t="shared" si="1"/>
        <v>0.37356464144298934</v>
      </c>
      <c r="M36" s="60" t="s">
        <v>961</v>
      </c>
    </row>
    <row r="37" spans="1:13" s="2" customFormat="1">
      <c r="A37" s="143" t="s">
        <v>954</v>
      </c>
      <c r="B37" s="143" t="s">
        <v>180</v>
      </c>
      <c r="C37" s="223">
        <v>2018</v>
      </c>
      <c r="D37" s="9" t="s">
        <v>85</v>
      </c>
      <c r="E37" s="136">
        <f>$E$23*H186</f>
        <v>40.723723573663108</v>
      </c>
      <c r="F37" t="s">
        <v>963</v>
      </c>
      <c r="G37" s="173">
        <v>2</v>
      </c>
      <c r="H37" s="10">
        <v>1</v>
      </c>
      <c r="I37" s="66">
        <v>2</v>
      </c>
      <c r="J37" s="10">
        <v>1</v>
      </c>
      <c r="K37" s="10">
        <v>2</v>
      </c>
      <c r="L37" s="180">
        <f t="shared" si="1"/>
        <v>0.37356464144298934</v>
      </c>
      <c r="M37" s="60" t="s">
        <v>961</v>
      </c>
    </row>
    <row r="38" spans="1:13" s="2" customFormat="1">
      <c r="A38" s="143" t="s">
        <v>954</v>
      </c>
      <c r="B38" s="143" t="s">
        <v>180</v>
      </c>
      <c r="C38" s="223">
        <v>2018</v>
      </c>
      <c r="D38" s="9" t="s">
        <v>86</v>
      </c>
      <c r="E38" s="136">
        <f>$E$23*H187</f>
        <v>0.57645599641895362</v>
      </c>
      <c r="F38" t="s">
        <v>963</v>
      </c>
      <c r="G38" s="173">
        <v>2</v>
      </c>
      <c r="H38" s="10">
        <v>1</v>
      </c>
      <c r="I38" s="66">
        <v>2</v>
      </c>
      <c r="J38" s="10">
        <v>1</v>
      </c>
      <c r="K38" s="10">
        <v>2</v>
      </c>
      <c r="L38" s="180">
        <f t="shared" si="1"/>
        <v>0.37356464144298934</v>
      </c>
      <c r="M38" s="60" t="s">
        <v>961</v>
      </c>
    </row>
    <row r="39" spans="1:13" s="2" customFormat="1">
      <c r="A39" s="143" t="s">
        <v>954</v>
      </c>
      <c r="B39" s="143" t="s">
        <v>180</v>
      </c>
      <c r="C39" s="223">
        <v>2019</v>
      </c>
      <c r="D39" s="472" t="s">
        <v>90</v>
      </c>
      <c r="E39" s="136">
        <f>$E$24*H183</f>
        <v>2.3478039356341438</v>
      </c>
      <c r="F39" t="s">
        <v>962</v>
      </c>
      <c r="G39" s="175">
        <v>2</v>
      </c>
      <c r="H39" s="66">
        <v>1</v>
      </c>
      <c r="I39" s="66">
        <v>2</v>
      </c>
      <c r="J39" s="66">
        <v>1</v>
      </c>
      <c r="K39" s="66">
        <v>2</v>
      </c>
      <c r="L39" s="180">
        <f t="shared" si="1"/>
        <v>0.37356464144298934</v>
      </c>
      <c r="M39" s="60" t="s">
        <v>960</v>
      </c>
    </row>
    <row r="40" spans="1:13" s="2" customFormat="1">
      <c r="A40" s="143" t="s">
        <v>954</v>
      </c>
      <c r="B40" s="143" t="s">
        <v>180</v>
      </c>
      <c r="C40" s="223">
        <v>2019</v>
      </c>
      <c r="D40" s="472" t="s">
        <v>88</v>
      </c>
      <c r="E40" s="136">
        <f>$E$24*H184</f>
        <v>0.11150628275339129</v>
      </c>
      <c r="F40" t="s">
        <v>962</v>
      </c>
      <c r="G40" s="173">
        <v>2</v>
      </c>
      <c r="H40" s="10">
        <v>1</v>
      </c>
      <c r="I40" s="66">
        <v>2</v>
      </c>
      <c r="J40" s="10">
        <v>1</v>
      </c>
      <c r="K40" s="10">
        <v>2</v>
      </c>
      <c r="L40" s="180">
        <f t="shared" si="1"/>
        <v>0.37356464144298934</v>
      </c>
      <c r="M40" s="60" t="s">
        <v>960</v>
      </c>
    </row>
    <row r="41" spans="1:13" s="2" customFormat="1">
      <c r="A41" s="143" t="s">
        <v>954</v>
      </c>
      <c r="B41" s="143" t="s">
        <v>180</v>
      </c>
      <c r="C41" s="223">
        <v>2019</v>
      </c>
      <c r="D41" s="472" t="s">
        <v>87</v>
      </c>
      <c r="E41" s="136">
        <f>$E$24*H185</f>
        <v>0.11150628275339129</v>
      </c>
      <c r="F41" t="s">
        <v>962</v>
      </c>
      <c r="G41" s="173">
        <v>2</v>
      </c>
      <c r="H41" s="10">
        <v>1</v>
      </c>
      <c r="I41" s="66">
        <v>2</v>
      </c>
      <c r="J41" s="10">
        <v>1</v>
      </c>
      <c r="K41" s="10">
        <v>2</v>
      </c>
      <c r="L41" s="180">
        <f t="shared" si="1"/>
        <v>0.37356464144298934</v>
      </c>
      <c r="M41" s="60" t="s">
        <v>960</v>
      </c>
    </row>
    <row r="42" spans="1:13" s="2" customFormat="1">
      <c r="A42" s="143" t="s">
        <v>954</v>
      </c>
      <c r="B42" s="143" t="s">
        <v>180</v>
      </c>
      <c r="C42" s="223">
        <v>2019</v>
      </c>
      <c r="D42" s="472" t="s">
        <v>85</v>
      </c>
      <c r="E42" s="136">
        <f>$E$24*H186</f>
        <v>20.034143869664984</v>
      </c>
      <c r="F42" t="s">
        <v>962</v>
      </c>
      <c r="G42" s="173">
        <v>2</v>
      </c>
      <c r="H42" s="10">
        <v>1</v>
      </c>
      <c r="I42" s="66">
        <v>2</v>
      </c>
      <c r="J42" s="10">
        <v>1</v>
      </c>
      <c r="K42" s="10">
        <v>2</v>
      </c>
      <c r="L42" s="180">
        <f t="shared" si="1"/>
        <v>0.37356464144298934</v>
      </c>
      <c r="M42" s="60" t="s">
        <v>960</v>
      </c>
    </row>
    <row r="43" spans="1:13" s="2" customFormat="1">
      <c r="A43" s="143" t="s">
        <v>954</v>
      </c>
      <c r="B43" s="143" t="s">
        <v>180</v>
      </c>
      <c r="C43" s="223">
        <v>2019</v>
      </c>
      <c r="D43" s="472" t="s">
        <v>86</v>
      </c>
      <c r="E43" s="136">
        <f>$E$24*H187</f>
        <v>0.28358905702466886</v>
      </c>
      <c r="F43" t="s">
        <v>962</v>
      </c>
      <c r="G43" s="173">
        <v>2</v>
      </c>
      <c r="H43" s="10">
        <v>1</v>
      </c>
      <c r="I43" s="66">
        <v>2</v>
      </c>
      <c r="J43" s="10">
        <v>1</v>
      </c>
      <c r="K43" s="10">
        <v>2</v>
      </c>
      <c r="L43" s="180">
        <f t="shared" si="1"/>
        <v>0.37356464144298934</v>
      </c>
      <c r="M43" s="60" t="s">
        <v>960</v>
      </c>
    </row>
    <row r="44" spans="1:13" s="2" customFormat="1">
      <c r="A44" s="143" t="s">
        <v>954</v>
      </c>
      <c r="B44" s="143" t="s">
        <v>180</v>
      </c>
      <c r="C44" s="223">
        <v>2019</v>
      </c>
      <c r="D44" s="9" t="s">
        <v>90</v>
      </c>
      <c r="E44" s="136">
        <f>$E$25*H183</f>
        <v>4.7909395374181711</v>
      </c>
      <c r="F44" t="s">
        <v>963</v>
      </c>
      <c r="G44" s="175">
        <v>2</v>
      </c>
      <c r="H44" s="66">
        <v>1</v>
      </c>
      <c r="I44" s="66">
        <v>2</v>
      </c>
      <c r="J44" s="66">
        <v>1</v>
      </c>
      <c r="K44" s="66">
        <v>2</v>
      </c>
      <c r="L44" s="180">
        <f t="shared" si="1"/>
        <v>0.37356464144298934</v>
      </c>
      <c r="M44" s="60" t="s">
        <v>961</v>
      </c>
    </row>
    <row r="45" spans="1:13" s="2" customFormat="1">
      <c r="A45" s="143" t="s">
        <v>954</v>
      </c>
      <c r="B45" s="143" t="s">
        <v>180</v>
      </c>
      <c r="C45" s="223">
        <v>2019</v>
      </c>
      <c r="D45" s="9" t="s">
        <v>88</v>
      </c>
      <c r="E45" s="136">
        <f>$E$25*H184</f>
        <v>0.22754023477239763</v>
      </c>
      <c r="F45" t="s">
        <v>963</v>
      </c>
      <c r="G45" s="173">
        <v>2</v>
      </c>
      <c r="H45" s="10">
        <v>1</v>
      </c>
      <c r="I45" s="66">
        <v>2</v>
      </c>
      <c r="J45" s="10">
        <v>1</v>
      </c>
      <c r="K45" s="10">
        <v>2</v>
      </c>
      <c r="L45" s="180">
        <f t="shared" si="1"/>
        <v>0.37356464144298934</v>
      </c>
      <c r="M45" s="60" t="s">
        <v>961</v>
      </c>
    </row>
    <row r="46" spans="1:13" s="2" customFormat="1">
      <c r="A46" s="143" t="s">
        <v>954</v>
      </c>
      <c r="B46" s="143" t="s">
        <v>180</v>
      </c>
      <c r="C46" s="223">
        <v>2019</v>
      </c>
      <c r="D46" s="9" t="s">
        <v>87</v>
      </c>
      <c r="E46" s="136">
        <f>$E$25*H185</f>
        <v>0.22754023477239763</v>
      </c>
      <c r="F46" t="s">
        <v>963</v>
      </c>
      <c r="G46" s="173">
        <v>2</v>
      </c>
      <c r="H46" s="10">
        <v>1</v>
      </c>
      <c r="I46" s="66">
        <v>2</v>
      </c>
      <c r="J46" s="10">
        <v>1</v>
      </c>
      <c r="K46" s="10">
        <v>2</v>
      </c>
      <c r="L46" s="180">
        <f t="shared" si="1"/>
        <v>0.37356464144298934</v>
      </c>
      <c r="M46" s="60" t="s">
        <v>961</v>
      </c>
    </row>
    <row r="47" spans="1:13" s="2" customFormat="1">
      <c r="A47" s="143" t="s">
        <v>954</v>
      </c>
      <c r="B47" s="143" t="s">
        <v>180</v>
      </c>
      <c r="C47" s="223">
        <v>2019</v>
      </c>
      <c r="D47" s="9" t="s">
        <v>85</v>
      </c>
      <c r="E47" s="136">
        <f>$E$25*H186</f>
        <v>40.881766363330044</v>
      </c>
      <c r="F47" t="s">
        <v>963</v>
      </c>
      <c r="G47" s="173">
        <v>2</v>
      </c>
      <c r="H47" s="10">
        <v>1</v>
      </c>
      <c r="I47" s="66">
        <v>2</v>
      </c>
      <c r="J47" s="10">
        <v>1</v>
      </c>
      <c r="K47" s="10">
        <v>2</v>
      </c>
      <c r="L47" s="180">
        <f t="shared" si="1"/>
        <v>0.37356464144298934</v>
      </c>
      <c r="M47" s="60" t="s">
        <v>961</v>
      </c>
    </row>
    <row r="48" spans="1:13" s="2" customFormat="1">
      <c r="A48" s="143" t="s">
        <v>954</v>
      </c>
      <c r="B48" s="143" t="s">
        <v>180</v>
      </c>
      <c r="C48" s="223">
        <v>2019</v>
      </c>
      <c r="D48" s="9" t="s">
        <v>86</v>
      </c>
      <c r="E48" s="136">
        <f>$E$25*H187</f>
        <v>0.57869313747088835</v>
      </c>
      <c r="F48" t="s">
        <v>963</v>
      </c>
      <c r="G48" s="173">
        <v>2</v>
      </c>
      <c r="H48" s="10">
        <v>1</v>
      </c>
      <c r="I48" s="66">
        <v>2</v>
      </c>
      <c r="J48" s="10">
        <v>1</v>
      </c>
      <c r="K48" s="10">
        <v>2</v>
      </c>
      <c r="L48" s="180">
        <f t="shared" si="1"/>
        <v>0.37356464144298934</v>
      </c>
      <c r="M48" s="60" t="s">
        <v>961</v>
      </c>
    </row>
    <row r="49" spans="1:35" s="2" customFormat="1"/>
    <row r="50" spans="1:35" s="477" customFormat="1" ht="27" thickBot="1">
      <c r="A50" s="476" t="s">
        <v>15</v>
      </c>
    </row>
    <row r="51" spans="1:35" s="2" customFormat="1">
      <c r="A51" s="65" t="s">
        <v>129</v>
      </c>
      <c r="B51" s="107" t="s">
        <v>130</v>
      </c>
      <c r="C51" s="108" t="s">
        <v>131</v>
      </c>
      <c r="D51" s="109" t="s">
        <v>102</v>
      </c>
      <c r="E51" s="229" t="s">
        <v>132</v>
      </c>
      <c r="F51" s="109" t="s">
        <v>133</v>
      </c>
      <c r="G51" s="108" t="s">
        <v>104</v>
      </c>
      <c r="H51" s="111" t="s">
        <v>134</v>
      </c>
      <c r="I51" s="112" t="s">
        <v>135</v>
      </c>
      <c r="J51" s="112" t="s">
        <v>65</v>
      </c>
      <c r="K51" s="112" t="s">
        <v>67</v>
      </c>
      <c r="L51" s="112" t="s">
        <v>73</v>
      </c>
      <c r="M51" s="113" t="s">
        <v>79</v>
      </c>
      <c r="N51" s="462" t="s">
        <v>136</v>
      </c>
      <c r="O51" s="452" t="s">
        <v>137</v>
      </c>
      <c r="P51" s="455" t="s">
        <v>123</v>
      </c>
    </row>
    <row r="52" spans="1:35" s="2" customFormat="1">
      <c r="A52" s="60" t="s">
        <v>954</v>
      </c>
      <c r="B52" s="162" t="s">
        <v>964</v>
      </c>
      <c r="C52" s="60" t="s">
        <v>180</v>
      </c>
      <c r="D52" s="162" t="s">
        <v>90</v>
      </c>
      <c r="E52" s="498">
        <f>E183*$E$249</f>
        <v>0.40710942904980374</v>
      </c>
      <c r="F52" s="424">
        <v>2</v>
      </c>
      <c r="G52" s="60" t="s">
        <v>965</v>
      </c>
      <c r="H52" s="254">
        <v>1</v>
      </c>
      <c r="I52" s="66"/>
      <c r="J52" s="66">
        <v>2</v>
      </c>
      <c r="K52" s="66">
        <v>1</v>
      </c>
      <c r="L52" s="66">
        <v>1</v>
      </c>
      <c r="M52" s="300">
        <v>2</v>
      </c>
      <c r="N52" s="303">
        <f t="shared" ref="N52:N81" si="2">IF( OR( ISBLANK(H52),ISBLANK(J52), ISBLANK(K52), ISBLANK(L52), ISBLANK(M52) ), "", 1.5*SQRT(   EXP(2.21*(H52-1)) + EXP(2.21*(J52-1)) + EXP(2.21*(K52-1)) + EXP(2.21*(L52-1)) + EXP(2.21*M52)   )/100*2.45 )</f>
        <v>0.35859414261160716</v>
      </c>
      <c r="O52" s="453" t="str">
        <f t="shared" ref="O52:O81" si="3">IF( OR( ISBLANK(I52),ISBLANK(J52), ISBLANK(K52), ISBLANK(L52), ISBLANK(M52) ), "", 1.5*SQRT( EXP(2.21*(I52-1)) + EXP(2.21*(J52-1)) + EXP(2.21*(K52-1)) + EXP(2.21*(L52-1)) + EXP(2.21*M52)   )/100*2.45 )</f>
        <v/>
      </c>
      <c r="P52" s="68"/>
    </row>
    <row r="53" spans="1:35" s="2" customFormat="1">
      <c r="A53" s="34" t="s">
        <v>954</v>
      </c>
      <c r="B53" s="162" t="s">
        <v>964</v>
      </c>
      <c r="C53" s="34" t="s">
        <v>180</v>
      </c>
      <c r="D53" s="40" t="s">
        <v>88</v>
      </c>
      <c r="E53" s="498">
        <f t="shared" ref="E53:E56" si="4">E184*$E$249</f>
        <v>0</v>
      </c>
      <c r="F53" s="424">
        <v>2</v>
      </c>
      <c r="G53" s="34" t="s">
        <v>965</v>
      </c>
      <c r="H53" s="252">
        <v>1</v>
      </c>
      <c r="I53" s="10"/>
      <c r="J53" s="66">
        <v>2</v>
      </c>
      <c r="K53" s="66">
        <v>1</v>
      </c>
      <c r="L53" s="66">
        <v>1</v>
      </c>
      <c r="M53" s="300">
        <v>2</v>
      </c>
      <c r="N53" s="303">
        <f t="shared" si="2"/>
        <v>0.35859414261160716</v>
      </c>
      <c r="O53" s="453" t="str">
        <f t="shared" si="3"/>
        <v/>
      </c>
      <c r="P53" s="68"/>
    </row>
    <row r="54" spans="1:35" s="2" customFormat="1">
      <c r="A54" s="34" t="s">
        <v>954</v>
      </c>
      <c r="B54" s="162" t="s">
        <v>964</v>
      </c>
      <c r="C54" s="34" t="s">
        <v>180</v>
      </c>
      <c r="D54" s="40" t="s">
        <v>87</v>
      </c>
      <c r="E54" s="498">
        <f t="shared" si="4"/>
        <v>0</v>
      </c>
      <c r="F54" s="424">
        <v>2</v>
      </c>
      <c r="G54" s="34" t="s">
        <v>965</v>
      </c>
      <c r="H54" s="252">
        <v>1</v>
      </c>
      <c r="I54" s="10"/>
      <c r="J54" s="66">
        <v>2</v>
      </c>
      <c r="K54" s="66">
        <v>1</v>
      </c>
      <c r="L54" s="66">
        <v>1</v>
      </c>
      <c r="M54" s="300">
        <v>2</v>
      </c>
      <c r="N54" s="303">
        <f t="shared" si="2"/>
        <v>0.35859414261160716</v>
      </c>
      <c r="O54" s="453" t="str">
        <f t="shared" si="3"/>
        <v/>
      </c>
      <c r="P54" s="68"/>
    </row>
    <row r="55" spans="1:35" s="2" customFormat="1">
      <c r="A55" s="34" t="s">
        <v>954</v>
      </c>
      <c r="B55" s="162" t="s">
        <v>964</v>
      </c>
      <c r="C55" s="34" t="s">
        <v>180</v>
      </c>
      <c r="D55" s="40" t="s">
        <v>85</v>
      </c>
      <c r="E55" s="498">
        <f t="shared" si="4"/>
        <v>0.14312762142097193</v>
      </c>
      <c r="F55" s="424">
        <v>2</v>
      </c>
      <c r="G55" s="34" t="s">
        <v>965</v>
      </c>
      <c r="H55" s="252">
        <v>1</v>
      </c>
      <c r="I55" s="10"/>
      <c r="J55" s="10">
        <v>2</v>
      </c>
      <c r="K55" s="10">
        <v>1</v>
      </c>
      <c r="L55" s="10">
        <v>1</v>
      </c>
      <c r="M55" s="298">
        <v>2</v>
      </c>
      <c r="N55" s="303">
        <f t="shared" si="2"/>
        <v>0.35859414261160716</v>
      </c>
      <c r="O55" s="453" t="str">
        <f t="shared" si="3"/>
        <v/>
      </c>
      <c r="P55" s="68"/>
    </row>
    <row r="56" spans="1:35" s="2" customFormat="1">
      <c r="A56" s="34" t="s">
        <v>954</v>
      </c>
      <c r="B56" s="162" t="s">
        <v>964</v>
      </c>
      <c r="C56" s="34" t="s">
        <v>180</v>
      </c>
      <c r="D56" s="40" t="s">
        <v>86</v>
      </c>
      <c r="E56" s="498">
        <f t="shared" si="4"/>
        <v>0.56173601441995114</v>
      </c>
      <c r="F56" s="424">
        <v>2</v>
      </c>
      <c r="G56" s="34" t="s">
        <v>965</v>
      </c>
      <c r="H56" s="252">
        <v>1</v>
      </c>
      <c r="I56" s="10"/>
      <c r="J56" s="10">
        <v>2</v>
      </c>
      <c r="K56" s="10">
        <v>1</v>
      </c>
      <c r="L56" s="10">
        <v>1</v>
      </c>
      <c r="M56" s="298">
        <v>2</v>
      </c>
      <c r="N56" s="303">
        <f t="shared" si="2"/>
        <v>0.35859414261160716</v>
      </c>
      <c r="O56" s="453" t="str">
        <f t="shared" si="3"/>
        <v/>
      </c>
      <c r="P56" s="68"/>
    </row>
    <row r="57" spans="1:35" s="2" customFormat="1">
      <c r="A57" s="34" t="s">
        <v>954</v>
      </c>
      <c r="B57" s="162" t="s">
        <v>964</v>
      </c>
      <c r="C57" s="34" t="s">
        <v>182</v>
      </c>
      <c r="D57" s="40" t="s">
        <v>90</v>
      </c>
      <c r="E57" s="498">
        <f>E165*$E$249</f>
        <v>0.16733929871138836</v>
      </c>
      <c r="F57" s="424">
        <v>2</v>
      </c>
      <c r="G57" s="34" t="s">
        <v>966</v>
      </c>
      <c r="H57" s="252"/>
      <c r="I57" s="10">
        <v>1</v>
      </c>
      <c r="J57" s="66">
        <v>2</v>
      </c>
      <c r="K57" s="10">
        <v>1</v>
      </c>
      <c r="L57" s="10">
        <v>1</v>
      </c>
      <c r="M57" s="298">
        <v>2</v>
      </c>
      <c r="N57" s="303" t="str">
        <f>IF( OR( ISBLANK(H57),ISBLANK(J57), ISBLANK(K57), ISBLANK(L57), ISBLANK(M57) ), "", 1.5*SQRT(   EXP(2.21*(H57-1)) + EXP(2.21*(J57-1)) + EXP(2.21*(K57-1)) + EXP(2.21*(L57-1)) + EXP(2.21*M57)   )/100*2.45 )</f>
        <v/>
      </c>
      <c r="O57" s="453">
        <f>IF( OR( ISBLANK(I57),ISBLANK(J57), ISBLANK(K57), ISBLANK(L57), ISBLANK(M57) ), "", 1.5*SQRT( EXP(2.21*(I57-1)) + EXP(2.21*(J57-1)) + EXP(2.21*(K57-1)) + EXP(2.21*(L57-1)) + EXP(2.21*M57)   )/100*2.45 )</f>
        <v>0.35859414261160716</v>
      </c>
      <c r="P57" s="68"/>
    </row>
    <row r="58" spans="1:35" s="2" customFormat="1">
      <c r="A58" s="34" t="s">
        <v>954</v>
      </c>
      <c r="B58" s="162" t="s">
        <v>964</v>
      </c>
      <c r="C58" s="34" t="s">
        <v>182</v>
      </c>
      <c r="D58" s="40" t="s">
        <v>88</v>
      </c>
      <c r="E58" s="498">
        <f>E166*$E$249</f>
        <v>0</v>
      </c>
      <c r="F58" s="424">
        <v>2</v>
      </c>
      <c r="G58" s="34" t="s">
        <v>966</v>
      </c>
      <c r="H58" s="252"/>
      <c r="I58" s="10">
        <v>1</v>
      </c>
      <c r="J58" s="66">
        <v>2</v>
      </c>
      <c r="K58" s="10">
        <v>1</v>
      </c>
      <c r="L58" s="10">
        <v>1</v>
      </c>
      <c r="M58" s="298">
        <v>2</v>
      </c>
      <c r="N58" s="303" t="str">
        <f>IF( OR( ISBLANK(H58),ISBLANK(J58), ISBLANK(K58), ISBLANK(L58), ISBLANK(M58) ), "", 1.5*SQRT(   EXP(2.21*(H58-1)) + EXP(2.21*(J58-1)) + EXP(2.21*(K58-1)) + EXP(2.21*(L58-1)) + EXP(2.21*M58)   )/100*2.45 )</f>
        <v/>
      </c>
      <c r="O58" s="453">
        <f>IF( OR( ISBLANK(I58),ISBLANK(J58), ISBLANK(K58), ISBLANK(L58), ISBLANK(M58) ), "", 1.5*SQRT( EXP(2.21*(I58-1)) + EXP(2.21*(J58-1)) + EXP(2.21*(K58-1)) + EXP(2.21*(L58-1)) + EXP(2.21*M58)   )/100*2.45 )</f>
        <v>0.35859414261160716</v>
      </c>
      <c r="P58" s="68"/>
    </row>
    <row r="59" spans="1:35">
      <c r="A59" s="34" t="s">
        <v>954</v>
      </c>
      <c r="B59" s="162" t="s">
        <v>964</v>
      </c>
      <c r="C59" s="34" t="s">
        <v>182</v>
      </c>
      <c r="D59" s="40" t="s">
        <v>87</v>
      </c>
      <c r="E59" s="498">
        <f>E167*$E$249</f>
        <v>0</v>
      </c>
      <c r="F59" s="424">
        <v>2</v>
      </c>
      <c r="G59" s="34" t="s">
        <v>966</v>
      </c>
      <c r="H59" s="252"/>
      <c r="I59" s="10">
        <v>1</v>
      </c>
      <c r="J59" s="66">
        <v>2</v>
      </c>
      <c r="K59" s="10">
        <v>1</v>
      </c>
      <c r="L59" s="10">
        <v>1</v>
      </c>
      <c r="M59" s="298">
        <v>2</v>
      </c>
      <c r="N59" s="303" t="str">
        <f>IF( OR( ISBLANK(H59),ISBLANK(J59), ISBLANK(K59), ISBLANK(L59), ISBLANK(M59) ), "", 1.5*SQRT(   EXP(2.21*(H59-1)) + EXP(2.21*(J59-1)) + EXP(2.21*(K59-1)) + EXP(2.21*(L59-1)) + EXP(2.21*M59)   )/100*2.45 )</f>
        <v/>
      </c>
      <c r="O59" s="453">
        <f>IF( OR( ISBLANK(I59),ISBLANK(J59), ISBLANK(K59), ISBLANK(L59), ISBLANK(M59) ), "", 1.5*SQRT( EXP(2.21*(I59-1)) + EXP(2.21*(J59-1)) + EXP(2.21*(K59-1)) + EXP(2.21*(L59-1)) + EXP(2.21*M59)   )/100*2.45 )</f>
        <v>0.35859414261160716</v>
      </c>
      <c r="P59" s="68"/>
    </row>
    <row r="60" spans="1:35" s="224" customFormat="1">
      <c r="A60" s="34" t="s">
        <v>954</v>
      </c>
      <c r="B60" s="162" t="s">
        <v>964</v>
      </c>
      <c r="C60" s="34" t="s">
        <v>182</v>
      </c>
      <c r="D60" s="40" t="s">
        <v>85</v>
      </c>
      <c r="E60" s="498">
        <f>E168*$E$249</f>
        <v>4.5444861462717513E-2</v>
      </c>
      <c r="F60" s="424">
        <v>2</v>
      </c>
      <c r="G60" s="34" t="s">
        <v>966</v>
      </c>
      <c r="H60" s="252"/>
      <c r="I60" s="10">
        <v>1</v>
      </c>
      <c r="J60" s="10">
        <v>2</v>
      </c>
      <c r="K60" s="10">
        <v>1</v>
      </c>
      <c r="L60" s="10">
        <v>1</v>
      </c>
      <c r="M60" s="298">
        <v>2</v>
      </c>
      <c r="N60" s="303" t="str">
        <f>IF( OR( ISBLANK(H60),ISBLANK(J60), ISBLANK(K60), ISBLANK(L60), ISBLANK(M60) ), "", 1.5*SQRT(   EXP(2.21*(H60-1)) + EXP(2.21*(J60-1)) + EXP(2.21*(K60-1)) + EXP(2.21*(L60-1)) + EXP(2.21*M60)   )/100*2.45 )</f>
        <v/>
      </c>
      <c r="O60" s="453">
        <f>IF( OR( ISBLANK(I60),ISBLANK(J60), ISBLANK(K60), ISBLANK(L60), ISBLANK(M60) ), "", 1.5*SQRT( EXP(2.21*(I60-1)) + EXP(2.21*(J60-1)) + EXP(2.21*(K60-1)) + EXP(2.21*(L60-1)) + EXP(2.21*M60)   )/100*2.45 )</f>
        <v>0.35859414261160716</v>
      </c>
      <c r="P60" s="68"/>
      <c r="Q60"/>
      <c r="R60"/>
      <c r="S60"/>
      <c r="T60"/>
      <c r="U60"/>
      <c r="V60"/>
      <c r="W60"/>
      <c r="X60"/>
      <c r="Y60"/>
      <c r="Z60"/>
      <c r="AA60"/>
      <c r="AB60"/>
      <c r="AC60"/>
      <c r="AD60"/>
      <c r="AE60"/>
      <c r="AF60"/>
      <c r="AG60"/>
      <c r="AH60"/>
      <c r="AI60"/>
    </row>
    <row r="61" spans="1:35">
      <c r="A61" s="34" t="s">
        <v>954</v>
      </c>
      <c r="B61" s="162" t="s">
        <v>964</v>
      </c>
      <c r="C61" s="34" t="s">
        <v>182</v>
      </c>
      <c r="D61" s="40" t="s">
        <v>86</v>
      </c>
      <c r="E61" s="498">
        <f>E169*$E$249</f>
        <v>0.27835662942036199</v>
      </c>
      <c r="F61" s="424">
        <v>2</v>
      </c>
      <c r="G61" s="34" t="s">
        <v>966</v>
      </c>
      <c r="H61" s="252"/>
      <c r="I61" s="10">
        <v>1</v>
      </c>
      <c r="J61" s="10">
        <v>2</v>
      </c>
      <c r="K61" s="10">
        <v>1</v>
      </c>
      <c r="L61" s="10">
        <v>1</v>
      </c>
      <c r="M61" s="298">
        <v>2</v>
      </c>
      <c r="N61" s="303" t="str">
        <f>IF( OR( ISBLANK(H61),ISBLANK(J61), ISBLANK(K61), ISBLANK(L61), ISBLANK(M61) ), "", 1.5*SQRT(   EXP(2.21*(H61-1)) + EXP(2.21*(J61-1)) + EXP(2.21*(K61-1)) + EXP(2.21*(L61-1)) + EXP(2.21*M61)   )/100*2.45 )</f>
        <v/>
      </c>
      <c r="O61" s="453">
        <f>IF( OR( ISBLANK(I61),ISBLANK(J61), ISBLANK(K61), ISBLANK(L61), ISBLANK(M61) ), "", 1.5*SQRT( EXP(2.21*(I61-1)) + EXP(2.21*(J61-1)) + EXP(2.21*(K61-1)) + EXP(2.21*(L61-1)) + EXP(2.21*M61)   )/100*2.45 )</f>
        <v>0.35859414261160716</v>
      </c>
      <c r="P61" s="68"/>
    </row>
    <row r="62" spans="1:35">
      <c r="A62" s="60" t="s">
        <v>954</v>
      </c>
      <c r="B62" s="162" t="s">
        <v>967</v>
      </c>
      <c r="C62" s="60" t="s">
        <v>180</v>
      </c>
      <c r="D62" s="162" t="s">
        <v>90</v>
      </c>
      <c r="E62" s="498">
        <f>F183</f>
        <v>0.2192024530360637</v>
      </c>
      <c r="F62" s="424">
        <v>2</v>
      </c>
      <c r="G62" s="60" t="s">
        <v>965</v>
      </c>
      <c r="H62" s="254">
        <v>1</v>
      </c>
      <c r="I62" s="66"/>
      <c r="J62" s="66">
        <v>2</v>
      </c>
      <c r="K62" s="66">
        <v>1</v>
      </c>
      <c r="L62" s="66">
        <v>1</v>
      </c>
      <c r="M62" s="300">
        <v>2</v>
      </c>
      <c r="N62" s="303">
        <f t="shared" si="2"/>
        <v>0.35859414261160716</v>
      </c>
      <c r="O62" s="453" t="str">
        <f t="shared" si="3"/>
        <v/>
      </c>
      <c r="P62" s="68"/>
    </row>
    <row r="63" spans="1:35">
      <c r="A63" s="34" t="s">
        <v>954</v>
      </c>
      <c r="B63" s="40" t="s">
        <v>967</v>
      </c>
      <c r="C63" s="34" t="s">
        <v>180</v>
      </c>
      <c r="D63" s="40" t="s">
        <v>88</v>
      </c>
      <c r="E63" s="498">
        <f>F184</f>
        <v>1</v>
      </c>
      <c r="F63" s="424">
        <v>2</v>
      </c>
      <c r="G63" s="34" t="s">
        <v>965</v>
      </c>
      <c r="H63" s="252">
        <v>1</v>
      </c>
      <c r="I63" s="10"/>
      <c r="J63" s="66">
        <v>2</v>
      </c>
      <c r="K63" s="66">
        <v>1</v>
      </c>
      <c r="L63" s="66">
        <v>1</v>
      </c>
      <c r="M63" s="300">
        <v>2</v>
      </c>
      <c r="N63" s="303">
        <f t="shared" si="2"/>
        <v>0.35859414261160716</v>
      </c>
      <c r="O63" s="453" t="str">
        <f t="shared" si="3"/>
        <v/>
      </c>
      <c r="P63" s="68"/>
    </row>
    <row r="64" spans="1:35">
      <c r="A64" s="34" t="s">
        <v>954</v>
      </c>
      <c r="B64" s="40" t="s">
        <v>967</v>
      </c>
      <c r="C64" s="34" t="s">
        <v>180</v>
      </c>
      <c r="D64" s="40" t="s">
        <v>87</v>
      </c>
      <c r="E64" s="498">
        <f>F185</f>
        <v>1</v>
      </c>
      <c r="F64" s="424">
        <v>2</v>
      </c>
      <c r="G64" s="34" t="s">
        <v>965</v>
      </c>
      <c r="H64" s="252">
        <v>1</v>
      </c>
      <c r="I64" s="10"/>
      <c r="J64" s="66">
        <v>2</v>
      </c>
      <c r="K64" s="66">
        <v>1</v>
      </c>
      <c r="L64" s="66">
        <v>1</v>
      </c>
      <c r="M64" s="300">
        <v>2</v>
      </c>
      <c r="N64" s="303">
        <f t="shared" si="2"/>
        <v>0.35859414261160716</v>
      </c>
      <c r="O64" s="453" t="str">
        <f t="shared" si="3"/>
        <v/>
      </c>
      <c r="P64" s="68"/>
    </row>
    <row r="65" spans="1:16">
      <c r="A65" s="34" t="s">
        <v>954</v>
      </c>
      <c r="B65" s="40" t="s">
        <v>967</v>
      </c>
      <c r="C65" s="34" t="s">
        <v>180</v>
      </c>
      <c r="D65" s="40" t="s">
        <v>85</v>
      </c>
      <c r="E65" s="498">
        <f>F186</f>
        <v>8.6056019698713113E-2</v>
      </c>
      <c r="F65" s="424">
        <v>2</v>
      </c>
      <c r="G65" s="34" t="s">
        <v>965</v>
      </c>
      <c r="H65" s="252">
        <v>1</v>
      </c>
      <c r="I65" s="10"/>
      <c r="J65" s="10">
        <v>2</v>
      </c>
      <c r="K65" s="10">
        <v>1</v>
      </c>
      <c r="L65" s="10">
        <v>1</v>
      </c>
      <c r="M65" s="298">
        <v>2</v>
      </c>
      <c r="N65" s="303">
        <f t="shared" si="2"/>
        <v>0.35859414261160716</v>
      </c>
      <c r="O65" s="453" t="str">
        <f t="shared" si="3"/>
        <v/>
      </c>
      <c r="P65" s="68"/>
    </row>
    <row r="66" spans="1:16">
      <c r="A66" s="34" t="s">
        <v>954</v>
      </c>
      <c r="B66" s="40" t="s">
        <v>967</v>
      </c>
      <c r="C66" s="34" t="s">
        <v>180</v>
      </c>
      <c r="D66" s="40" t="s">
        <v>86</v>
      </c>
      <c r="E66" s="498">
        <f>F187</f>
        <v>0.39319670484919866</v>
      </c>
      <c r="F66" s="424">
        <v>2</v>
      </c>
      <c r="G66" s="34" t="s">
        <v>965</v>
      </c>
      <c r="H66" s="252">
        <v>1</v>
      </c>
      <c r="I66" s="10"/>
      <c r="J66" s="10">
        <v>2</v>
      </c>
      <c r="K66" s="10">
        <v>1</v>
      </c>
      <c r="L66" s="10">
        <v>1</v>
      </c>
      <c r="M66" s="298">
        <v>2</v>
      </c>
      <c r="N66" s="303">
        <f t="shared" si="2"/>
        <v>0.35859414261160716</v>
      </c>
      <c r="O66" s="453" t="str">
        <f t="shared" si="3"/>
        <v/>
      </c>
      <c r="P66" s="68"/>
    </row>
    <row r="67" spans="1:16">
      <c r="A67" s="34" t="s">
        <v>954</v>
      </c>
      <c r="B67" s="40" t="s">
        <v>967</v>
      </c>
      <c r="C67" s="34" t="s">
        <v>182</v>
      </c>
      <c r="D67" s="40" t="s">
        <v>90</v>
      </c>
      <c r="E67" s="217">
        <f>F165</f>
        <v>0.32338771379945241</v>
      </c>
      <c r="F67" s="424">
        <v>2</v>
      </c>
      <c r="G67" s="34" t="s">
        <v>966</v>
      </c>
      <c r="H67" s="252"/>
      <c r="I67" s="10">
        <v>1</v>
      </c>
      <c r="J67" s="66">
        <v>2</v>
      </c>
      <c r="K67" s="10">
        <v>1</v>
      </c>
      <c r="L67" s="10">
        <v>1</v>
      </c>
      <c r="M67" s="298">
        <v>2</v>
      </c>
      <c r="N67" s="303" t="str">
        <f t="shared" si="2"/>
        <v/>
      </c>
      <c r="O67" s="453">
        <f t="shared" si="3"/>
        <v>0.35859414261160716</v>
      </c>
      <c r="P67" s="68"/>
    </row>
    <row r="68" spans="1:16">
      <c r="A68" s="34" t="s">
        <v>954</v>
      </c>
      <c r="B68" s="40" t="s">
        <v>967</v>
      </c>
      <c r="C68" s="34" t="s">
        <v>182</v>
      </c>
      <c r="D68" s="40" t="s">
        <v>88</v>
      </c>
      <c r="E68" s="217">
        <f t="shared" ref="E68:E71" si="5">F166</f>
        <v>1</v>
      </c>
      <c r="F68" s="424">
        <v>2</v>
      </c>
      <c r="G68" s="34" t="s">
        <v>966</v>
      </c>
      <c r="H68" s="252"/>
      <c r="I68" s="10">
        <v>1</v>
      </c>
      <c r="J68" s="66">
        <v>2</v>
      </c>
      <c r="K68" s="10">
        <v>1</v>
      </c>
      <c r="L68" s="10">
        <v>1</v>
      </c>
      <c r="M68" s="298">
        <v>2</v>
      </c>
      <c r="N68" s="303" t="str">
        <f t="shared" si="2"/>
        <v/>
      </c>
      <c r="O68" s="453">
        <f t="shared" si="3"/>
        <v>0.35859414261160716</v>
      </c>
      <c r="P68" s="68"/>
    </row>
    <row r="69" spans="1:16">
      <c r="A69" s="34" t="s">
        <v>954</v>
      </c>
      <c r="B69" s="40" t="s">
        <v>967</v>
      </c>
      <c r="C69" s="34" t="s">
        <v>182</v>
      </c>
      <c r="D69" s="40" t="s">
        <v>87</v>
      </c>
      <c r="E69" s="217">
        <f t="shared" si="5"/>
        <v>1</v>
      </c>
      <c r="F69" s="424">
        <v>2</v>
      </c>
      <c r="G69" s="34" t="s">
        <v>966</v>
      </c>
      <c r="H69" s="252"/>
      <c r="I69" s="10">
        <v>1</v>
      </c>
      <c r="J69" s="66">
        <v>2</v>
      </c>
      <c r="K69" s="10">
        <v>1</v>
      </c>
      <c r="L69" s="10">
        <v>1</v>
      </c>
      <c r="M69" s="298">
        <v>2</v>
      </c>
      <c r="N69" s="303" t="str">
        <f t="shared" si="2"/>
        <v/>
      </c>
      <c r="O69" s="453">
        <f t="shared" si="3"/>
        <v>0.35859414261160716</v>
      </c>
      <c r="P69" s="68"/>
    </row>
    <row r="70" spans="1:16">
      <c r="A70" s="34" t="s">
        <v>954</v>
      </c>
      <c r="B70" s="40" t="s">
        <v>967</v>
      </c>
      <c r="C70" s="34" t="s">
        <v>182</v>
      </c>
      <c r="D70" s="40" t="s">
        <v>85</v>
      </c>
      <c r="E70" s="217">
        <f t="shared" si="5"/>
        <v>9.8069487929673418E-2</v>
      </c>
      <c r="F70" s="424">
        <v>2</v>
      </c>
      <c r="G70" s="34" t="s">
        <v>966</v>
      </c>
      <c r="H70" s="252"/>
      <c r="I70" s="10">
        <v>1</v>
      </c>
      <c r="J70" s="10">
        <v>2</v>
      </c>
      <c r="K70" s="10">
        <v>1</v>
      </c>
      <c r="L70" s="10">
        <v>1</v>
      </c>
      <c r="M70" s="298">
        <v>2</v>
      </c>
      <c r="N70" s="303" t="str">
        <f t="shared" si="2"/>
        <v/>
      </c>
      <c r="O70" s="453">
        <f t="shared" si="3"/>
        <v>0.35859414261160716</v>
      </c>
      <c r="P70" s="68"/>
    </row>
    <row r="71" spans="1:16">
      <c r="A71" s="34" t="s">
        <v>954</v>
      </c>
      <c r="B71" s="40" t="s">
        <v>967</v>
      </c>
      <c r="C71" s="34" t="s">
        <v>182</v>
      </c>
      <c r="D71" s="40" t="s">
        <v>86</v>
      </c>
      <c r="E71" s="217">
        <f t="shared" si="5"/>
        <v>0.6993112144789928</v>
      </c>
      <c r="F71" s="424">
        <v>2</v>
      </c>
      <c r="G71" s="34" t="s">
        <v>966</v>
      </c>
      <c r="H71" s="252"/>
      <c r="I71" s="10">
        <v>1</v>
      </c>
      <c r="J71" s="10">
        <v>2</v>
      </c>
      <c r="K71" s="10">
        <v>1</v>
      </c>
      <c r="L71" s="10">
        <v>1</v>
      </c>
      <c r="M71" s="298">
        <v>2</v>
      </c>
      <c r="N71" s="303" t="str">
        <f t="shared" si="2"/>
        <v/>
      </c>
      <c r="O71" s="453">
        <f t="shared" si="3"/>
        <v>0.35859414261160716</v>
      </c>
      <c r="P71" s="68"/>
    </row>
    <row r="72" spans="1:16">
      <c r="A72" s="60" t="s">
        <v>954</v>
      </c>
      <c r="B72" s="162" t="s">
        <v>968</v>
      </c>
      <c r="C72" s="60" t="s">
        <v>180</v>
      </c>
      <c r="D72" s="162" t="s">
        <v>90</v>
      </c>
      <c r="E72" s="498">
        <f>G183*SUM($E$238:$E$241, $E$236)</f>
        <v>6.3729615065902419E-3</v>
      </c>
      <c r="F72" s="424">
        <v>2</v>
      </c>
      <c r="G72" s="233" t="s">
        <v>965</v>
      </c>
      <c r="H72" s="227">
        <v>1</v>
      </c>
      <c r="I72" s="227"/>
      <c r="J72" s="66">
        <v>2</v>
      </c>
      <c r="K72" s="227">
        <v>1</v>
      </c>
      <c r="L72" s="227">
        <v>1</v>
      </c>
      <c r="M72" s="300">
        <v>2</v>
      </c>
      <c r="N72" s="303">
        <f t="shared" si="2"/>
        <v>0.35859414261160716</v>
      </c>
      <c r="O72" s="453" t="str">
        <f t="shared" si="3"/>
        <v/>
      </c>
      <c r="P72" s="68"/>
    </row>
    <row r="73" spans="1:16">
      <c r="A73" s="34" t="s">
        <v>954</v>
      </c>
      <c r="B73" s="162" t="s">
        <v>968</v>
      </c>
      <c r="C73" s="34" t="s">
        <v>180</v>
      </c>
      <c r="D73" s="40" t="s">
        <v>88</v>
      </c>
      <c r="E73" s="498">
        <f t="shared" ref="E73:E76" si="6">G184*SUM($E$238:$E$241, $E$236)</f>
        <v>0</v>
      </c>
      <c r="F73" s="169">
        <v>2</v>
      </c>
      <c r="G73" s="152" t="s">
        <v>965</v>
      </c>
      <c r="H73" s="227">
        <v>1</v>
      </c>
      <c r="I73" s="227"/>
      <c r="J73" s="66">
        <v>2</v>
      </c>
      <c r="K73" s="227">
        <v>1</v>
      </c>
      <c r="L73" s="227">
        <v>1</v>
      </c>
      <c r="M73" s="300">
        <v>2</v>
      </c>
      <c r="N73" s="303">
        <f t="shared" si="2"/>
        <v>0.35859414261160716</v>
      </c>
      <c r="O73" s="453" t="str">
        <f t="shared" si="3"/>
        <v/>
      </c>
      <c r="P73" s="68"/>
    </row>
    <row r="74" spans="1:16">
      <c r="A74" s="34" t="s">
        <v>954</v>
      </c>
      <c r="B74" s="162" t="s">
        <v>968</v>
      </c>
      <c r="C74" s="34" t="s">
        <v>180</v>
      </c>
      <c r="D74" s="40" t="s">
        <v>87</v>
      </c>
      <c r="E74" s="498">
        <f t="shared" si="6"/>
        <v>0</v>
      </c>
      <c r="F74" s="169">
        <v>2</v>
      </c>
      <c r="G74" s="152" t="s">
        <v>965</v>
      </c>
      <c r="H74" s="227">
        <v>1</v>
      </c>
      <c r="I74" s="227"/>
      <c r="J74" s="66">
        <v>2</v>
      </c>
      <c r="K74" s="227">
        <v>1</v>
      </c>
      <c r="L74" s="227">
        <v>1</v>
      </c>
      <c r="M74" s="300">
        <v>2</v>
      </c>
      <c r="N74" s="303">
        <f t="shared" si="2"/>
        <v>0.35859414261160716</v>
      </c>
      <c r="O74" s="453" t="str">
        <f t="shared" si="3"/>
        <v/>
      </c>
      <c r="P74" s="68"/>
    </row>
    <row r="75" spans="1:16">
      <c r="A75" s="34" t="s">
        <v>954</v>
      </c>
      <c r="B75" s="162" t="s">
        <v>968</v>
      </c>
      <c r="C75" s="34" t="s">
        <v>180</v>
      </c>
      <c r="D75" s="40" t="s">
        <v>85</v>
      </c>
      <c r="E75" s="498">
        <f t="shared" si="6"/>
        <v>1.4190115628548983E-2</v>
      </c>
      <c r="F75" s="169">
        <v>2</v>
      </c>
      <c r="G75" s="152" t="s">
        <v>965</v>
      </c>
      <c r="H75" s="227">
        <v>1</v>
      </c>
      <c r="I75" s="227"/>
      <c r="J75" s="10">
        <v>2</v>
      </c>
      <c r="K75" s="227">
        <v>1</v>
      </c>
      <c r="L75" s="227">
        <v>1</v>
      </c>
      <c r="M75" s="298">
        <v>2</v>
      </c>
      <c r="N75" s="303">
        <f t="shared" si="2"/>
        <v>0.35859414261160716</v>
      </c>
      <c r="O75" s="453" t="str">
        <f t="shared" si="3"/>
        <v/>
      </c>
      <c r="P75" s="68"/>
    </row>
    <row r="76" spans="1:16">
      <c r="A76" s="34" t="s">
        <v>954</v>
      </c>
      <c r="B76" s="162" t="s">
        <v>968</v>
      </c>
      <c r="C76" s="34" t="s">
        <v>180</v>
      </c>
      <c r="D76" s="40" t="s">
        <v>86</v>
      </c>
      <c r="E76" s="498">
        <f t="shared" si="6"/>
        <v>0</v>
      </c>
      <c r="F76" s="169">
        <v>2</v>
      </c>
      <c r="G76" s="152" t="s">
        <v>965</v>
      </c>
      <c r="H76" s="227">
        <v>1</v>
      </c>
      <c r="I76" s="227"/>
      <c r="J76" s="10">
        <v>2</v>
      </c>
      <c r="K76" s="227">
        <v>1</v>
      </c>
      <c r="L76" s="227">
        <v>1</v>
      </c>
      <c r="M76" s="298">
        <v>2</v>
      </c>
      <c r="N76" s="303">
        <f t="shared" si="2"/>
        <v>0.35859414261160716</v>
      </c>
      <c r="O76" s="453" t="str">
        <f t="shared" si="3"/>
        <v/>
      </c>
      <c r="P76" s="68"/>
    </row>
    <row r="77" spans="1:16">
      <c r="A77" s="34" t="s">
        <v>954</v>
      </c>
      <c r="B77" s="162" t="s">
        <v>968</v>
      </c>
      <c r="C77" s="34" t="s">
        <v>182</v>
      </c>
      <c r="D77" s="40" t="s">
        <v>90</v>
      </c>
      <c r="E77" s="498">
        <f>G165*SUM($E$238:$E$241, $E$236)</f>
        <v>9.2661989829646799E-3</v>
      </c>
      <c r="F77" s="169">
        <v>2</v>
      </c>
      <c r="G77" s="152" t="s">
        <v>966</v>
      </c>
      <c r="H77" s="227"/>
      <c r="I77" s="227">
        <v>1</v>
      </c>
      <c r="J77" s="66">
        <v>2</v>
      </c>
      <c r="K77" s="227">
        <v>1</v>
      </c>
      <c r="L77" s="227">
        <v>1</v>
      </c>
      <c r="M77" s="298">
        <v>2</v>
      </c>
      <c r="N77" s="303" t="str">
        <f t="shared" si="2"/>
        <v/>
      </c>
      <c r="O77" s="453">
        <f t="shared" si="3"/>
        <v>0.35859414261160716</v>
      </c>
      <c r="P77" s="68"/>
    </row>
    <row r="78" spans="1:16">
      <c r="A78" s="34" t="s">
        <v>954</v>
      </c>
      <c r="B78" s="162" t="s">
        <v>968</v>
      </c>
      <c r="C78" s="34" t="s">
        <v>182</v>
      </c>
      <c r="D78" s="40" t="s">
        <v>88</v>
      </c>
      <c r="E78" s="498">
        <f t="shared" ref="E78:E81" si="7">G166*SUM($E$238:$E$241, $E$236)</f>
        <v>0</v>
      </c>
      <c r="F78" s="169">
        <v>2</v>
      </c>
      <c r="G78" s="152" t="s">
        <v>966</v>
      </c>
      <c r="H78" s="227"/>
      <c r="I78" s="227">
        <v>1</v>
      </c>
      <c r="J78" s="66">
        <v>2</v>
      </c>
      <c r="K78" s="227">
        <v>1</v>
      </c>
      <c r="L78" s="227">
        <v>1</v>
      </c>
      <c r="M78" s="298">
        <v>2</v>
      </c>
      <c r="N78" s="303" t="str">
        <f t="shared" si="2"/>
        <v/>
      </c>
      <c r="O78" s="453">
        <f t="shared" si="3"/>
        <v>0.35859414261160716</v>
      </c>
      <c r="P78" s="68"/>
    </row>
    <row r="79" spans="1:16">
      <c r="A79" s="34" t="s">
        <v>954</v>
      </c>
      <c r="B79" s="162" t="s">
        <v>968</v>
      </c>
      <c r="C79" s="34" t="s">
        <v>182</v>
      </c>
      <c r="D79" s="40" t="s">
        <v>87</v>
      </c>
      <c r="E79" s="498">
        <f t="shared" si="7"/>
        <v>0</v>
      </c>
      <c r="F79" s="169">
        <v>2</v>
      </c>
      <c r="G79" s="152" t="s">
        <v>966</v>
      </c>
      <c r="H79" s="227"/>
      <c r="I79" s="227">
        <v>1</v>
      </c>
      <c r="J79" s="66">
        <v>2</v>
      </c>
      <c r="K79" s="227">
        <v>1</v>
      </c>
      <c r="L79" s="227">
        <v>1</v>
      </c>
      <c r="M79" s="298">
        <v>2</v>
      </c>
      <c r="N79" s="303" t="str">
        <f t="shared" si="2"/>
        <v/>
      </c>
      <c r="O79" s="453">
        <f t="shared" si="3"/>
        <v>0.35859414261160716</v>
      </c>
      <c r="P79" s="68"/>
    </row>
    <row r="80" spans="1:16">
      <c r="A80" s="34" t="s">
        <v>954</v>
      </c>
      <c r="B80" s="162" t="s">
        <v>968</v>
      </c>
      <c r="C80" s="34" t="s">
        <v>182</v>
      </c>
      <c r="D80" s="40" t="s">
        <v>85</v>
      </c>
      <c r="E80" s="498">
        <f t="shared" si="7"/>
        <v>1.5937522374961335E-2</v>
      </c>
      <c r="F80" s="169">
        <v>2</v>
      </c>
      <c r="G80" s="152" t="s">
        <v>966</v>
      </c>
      <c r="H80" s="227"/>
      <c r="I80" s="227">
        <v>1</v>
      </c>
      <c r="J80" s="10">
        <v>2</v>
      </c>
      <c r="K80" s="227">
        <v>1</v>
      </c>
      <c r="L80" s="227">
        <v>1</v>
      </c>
      <c r="M80" s="298">
        <v>2</v>
      </c>
      <c r="N80" s="303" t="str">
        <f t="shared" si="2"/>
        <v/>
      </c>
      <c r="O80" s="453">
        <f t="shared" si="3"/>
        <v>0.35859414261160716</v>
      </c>
      <c r="P80" s="68"/>
    </row>
    <row r="81" spans="1:16">
      <c r="A81" s="150" t="s">
        <v>954</v>
      </c>
      <c r="B81" s="162" t="s">
        <v>968</v>
      </c>
      <c r="C81" s="34" t="s">
        <v>182</v>
      </c>
      <c r="D81" s="63" t="s">
        <v>86</v>
      </c>
      <c r="E81" s="498">
        <f t="shared" si="7"/>
        <v>0</v>
      </c>
      <c r="F81" s="171">
        <v>2</v>
      </c>
      <c r="G81" s="230" t="s">
        <v>966</v>
      </c>
      <c r="H81" s="227"/>
      <c r="I81" s="227">
        <v>1</v>
      </c>
      <c r="J81" s="10">
        <v>2</v>
      </c>
      <c r="K81" s="227">
        <v>1</v>
      </c>
      <c r="L81" s="227">
        <v>1</v>
      </c>
      <c r="M81" s="298">
        <v>2</v>
      </c>
      <c r="N81" s="303" t="str">
        <f t="shared" si="2"/>
        <v/>
      </c>
      <c r="O81" s="453">
        <f t="shared" si="3"/>
        <v>0.35859414261160716</v>
      </c>
      <c r="P81" s="68"/>
    </row>
    <row r="82" spans="1:16">
      <c r="A82" s="150" t="s">
        <v>954</v>
      </c>
      <c r="B82" s="162" t="s">
        <v>969</v>
      </c>
      <c r="C82" s="60" t="s">
        <v>180</v>
      </c>
      <c r="D82" s="162" t="s">
        <v>90</v>
      </c>
      <c r="E82" s="499">
        <f>E183*SUM($E$250:$E$253, $E$248)</f>
        <v>3.2661809918149924E-2</v>
      </c>
      <c r="F82" s="172">
        <v>2</v>
      </c>
      <c r="G82" s="152" t="s">
        <v>965</v>
      </c>
      <c r="H82" s="227">
        <v>1</v>
      </c>
      <c r="I82" s="227"/>
      <c r="J82" s="66">
        <v>2</v>
      </c>
      <c r="K82" s="227">
        <v>1</v>
      </c>
      <c r="L82" s="227">
        <v>1</v>
      </c>
      <c r="M82" s="300">
        <v>2</v>
      </c>
      <c r="N82" s="303">
        <f t="shared" ref="N82:N86" si="8">IF( OR( ISBLANK(H82),ISBLANK(J82), ISBLANK(K82), ISBLANK(L82), ISBLANK(M82) ), "", 1.5*SQRT(   EXP(2.21*(H82-1)) + EXP(2.21*(J82-1)) + EXP(2.21*(K82-1)) + EXP(2.21*(L82-1)) + EXP(2.21*M82)   )/100*2.45 )</f>
        <v>0.35859414261160716</v>
      </c>
      <c r="O82" s="453" t="str">
        <f t="shared" ref="O82:O86" si="9">IF( OR( ISBLANK(I82),ISBLANK(J82), ISBLANK(K82), ISBLANK(L82), ISBLANK(M82) ), "", 1.5*SQRT( EXP(2.21*(I82-1)) + EXP(2.21*(J82-1)) + EXP(2.21*(K82-1)) + EXP(2.21*(L82-1)) + EXP(2.21*M82)   )/100*2.45 )</f>
        <v/>
      </c>
      <c r="P82" s="68"/>
    </row>
    <row r="83" spans="1:16">
      <c r="A83" s="150" t="s">
        <v>954</v>
      </c>
      <c r="B83" s="162" t="s">
        <v>969</v>
      </c>
      <c r="C83" s="34" t="s">
        <v>180</v>
      </c>
      <c r="D83" s="40" t="s">
        <v>88</v>
      </c>
      <c r="E83" s="498">
        <f t="shared" ref="E83:E86" si="10">E184*SUM($E$250:$E$253, $E$248)</f>
        <v>0</v>
      </c>
      <c r="F83" s="424">
        <v>2</v>
      </c>
      <c r="G83" s="233" t="s">
        <v>965</v>
      </c>
      <c r="H83" s="227">
        <v>1</v>
      </c>
      <c r="I83" s="227"/>
      <c r="J83" s="66">
        <v>2</v>
      </c>
      <c r="K83" s="227">
        <v>1</v>
      </c>
      <c r="L83" s="227">
        <v>1</v>
      </c>
      <c r="M83" s="300">
        <v>2</v>
      </c>
      <c r="N83" s="303">
        <f t="shared" si="8"/>
        <v>0.35859414261160716</v>
      </c>
      <c r="O83" s="453" t="str">
        <f t="shared" si="9"/>
        <v/>
      </c>
      <c r="P83" s="68"/>
    </row>
    <row r="84" spans="1:16">
      <c r="A84" s="150" t="s">
        <v>954</v>
      </c>
      <c r="B84" s="162" t="s">
        <v>969</v>
      </c>
      <c r="C84" s="34" t="s">
        <v>180</v>
      </c>
      <c r="D84" s="40" t="s">
        <v>87</v>
      </c>
      <c r="E84" s="498">
        <f t="shared" si="10"/>
        <v>0</v>
      </c>
      <c r="F84" s="169">
        <v>2</v>
      </c>
      <c r="G84" s="152" t="s">
        <v>965</v>
      </c>
      <c r="H84" s="227">
        <v>1</v>
      </c>
      <c r="I84" s="227"/>
      <c r="J84" s="66">
        <v>2</v>
      </c>
      <c r="K84" s="227">
        <v>1</v>
      </c>
      <c r="L84" s="227">
        <v>1</v>
      </c>
      <c r="M84" s="300">
        <v>2</v>
      </c>
      <c r="N84" s="303">
        <f t="shared" si="8"/>
        <v>0.35859414261160716</v>
      </c>
      <c r="O84" s="453" t="str">
        <f t="shared" si="9"/>
        <v/>
      </c>
      <c r="P84" s="68"/>
    </row>
    <row r="85" spans="1:16">
      <c r="A85" s="150" t="s">
        <v>954</v>
      </c>
      <c r="B85" s="162" t="s">
        <v>969</v>
      </c>
      <c r="C85" s="34" t="s">
        <v>180</v>
      </c>
      <c r="D85" s="40" t="s">
        <v>85</v>
      </c>
      <c r="E85" s="498">
        <f t="shared" si="10"/>
        <v>1.1482925305365051E-2</v>
      </c>
      <c r="F85" s="169">
        <v>2</v>
      </c>
      <c r="G85" s="152" t="s">
        <v>965</v>
      </c>
      <c r="H85" s="227">
        <v>1</v>
      </c>
      <c r="I85" s="227"/>
      <c r="J85" s="10">
        <v>2</v>
      </c>
      <c r="K85" s="227">
        <v>1</v>
      </c>
      <c r="L85" s="227">
        <v>1</v>
      </c>
      <c r="M85" s="298">
        <v>2</v>
      </c>
      <c r="N85" s="303">
        <f t="shared" si="8"/>
        <v>0.35859414261160716</v>
      </c>
      <c r="O85" s="453" t="str">
        <f t="shared" si="9"/>
        <v/>
      </c>
      <c r="P85" s="68"/>
    </row>
    <row r="86" spans="1:16">
      <c r="A86" s="150" t="s">
        <v>954</v>
      </c>
      <c r="B86" s="162" t="s">
        <v>969</v>
      </c>
      <c r="C86" s="34" t="s">
        <v>180</v>
      </c>
      <c r="D86" s="40" t="s">
        <v>86</v>
      </c>
      <c r="E86" s="498">
        <f t="shared" si="10"/>
        <v>4.5067280730850014E-2</v>
      </c>
      <c r="F86" s="169">
        <v>2</v>
      </c>
      <c r="G86" s="152" t="s">
        <v>965</v>
      </c>
      <c r="H86" s="227">
        <v>1</v>
      </c>
      <c r="I86" s="227"/>
      <c r="J86" s="10">
        <v>2</v>
      </c>
      <c r="K86" s="227">
        <v>1</v>
      </c>
      <c r="L86" s="227">
        <v>1</v>
      </c>
      <c r="M86" s="298">
        <v>2</v>
      </c>
      <c r="N86" s="303">
        <f t="shared" si="8"/>
        <v>0.35859414261160716</v>
      </c>
      <c r="O86" s="453" t="str">
        <f t="shared" si="9"/>
        <v/>
      </c>
      <c r="P86" s="68"/>
    </row>
    <row r="87" spans="1:16">
      <c r="A87" s="150" t="s">
        <v>954</v>
      </c>
      <c r="B87" s="162" t="s">
        <v>969</v>
      </c>
      <c r="C87" s="34" t="s">
        <v>182</v>
      </c>
      <c r="D87" s="40" t="s">
        <v>90</v>
      </c>
      <c r="E87" s="498">
        <f>E165*SUM($E$250:$E$253, $E$248)</f>
        <v>1.3425393705826556E-2</v>
      </c>
      <c r="F87" s="169">
        <v>2</v>
      </c>
      <c r="G87" s="152" t="s">
        <v>966</v>
      </c>
      <c r="H87" s="227"/>
      <c r="I87" s="227">
        <v>1</v>
      </c>
      <c r="J87" s="66">
        <v>2</v>
      </c>
      <c r="K87" s="227">
        <v>1</v>
      </c>
      <c r="L87" s="227">
        <v>1</v>
      </c>
      <c r="M87" s="298">
        <v>2</v>
      </c>
      <c r="N87" s="303" t="str">
        <f>IF( OR( ISBLANK(H87),ISBLANK(J87), ISBLANK(K87), ISBLANK(L87), ISBLANK(M87) ), "", 1.5*SQRT(   EXP(2.21*(H87-1)) + EXP(2.21*(J87-1)) + EXP(2.21*(K87-1)) + EXP(2.21*(L87-1)) + EXP(2.21*M87)   )/100*2.45 )</f>
        <v/>
      </c>
      <c r="O87" s="453">
        <f>IF( OR( ISBLANK(I87),ISBLANK(J87), ISBLANK(K87), ISBLANK(L87), ISBLANK(M87) ), "", 1.5*SQRT( EXP(2.21*(I87-1)) + EXP(2.21*(J87-1)) + EXP(2.21*(K87-1)) + EXP(2.21*(L87-1)) + EXP(2.21*M87)   )/100*2.45 )</f>
        <v>0.35859414261160716</v>
      </c>
      <c r="P87" s="68"/>
    </row>
    <row r="88" spans="1:16">
      <c r="A88" s="150" t="s">
        <v>954</v>
      </c>
      <c r="B88" s="162" t="s">
        <v>969</v>
      </c>
      <c r="C88" s="34" t="s">
        <v>182</v>
      </c>
      <c r="D88" s="40" t="s">
        <v>88</v>
      </c>
      <c r="E88" s="498">
        <f t="shared" ref="E88:E91" si="11">E166*SUM($E$250:$E$253, $E$248)</f>
        <v>0</v>
      </c>
      <c r="F88" s="169">
        <v>2</v>
      </c>
      <c r="G88" s="152" t="s">
        <v>966</v>
      </c>
      <c r="H88" s="227"/>
      <c r="I88" s="227">
        <v>1</v>
      </c>
      <c r="J88" s="66">
        <v>2</v>
      </c>
      <c r="K88" s="227">
        <v>1</v>
      </c>
      <c r="L88" s="227">
        <v>1</v>
      </c>
      <c r="M88" s="298">
        <v>2</v>
      </c>
      <c r="N88" s="303" t="str">
        <f>IF( OR( ISBLANK(H88),ISBLANK(J88), ISBLANK(K88), ISBLANK(L88), ISBLANK(M88) ), "", 1.5*SQRT(   EXP(2.21*(H88-1)) + EXP(2.21*(J88-1)) + EXP(2.21*(K88-1)) + EXP(2.21*(L88-1)) + EXP(2.21*M88)   )/100*2.45 )</f>
        <v/>
      </c>
      <c r="O88" s="453">
        <f>IF( OR( ISBLANK(I88),ISBLANK(J88), ISBLANK(K88), ISBLANK(L88), ISBLANK(M88) ), "", 1.5*SQRT( EXP(2.21*(I88-1)) + EXP(2.21*(J88-1)) + EXP(2.21*(K88-1)) + EXP(2.21*(L88-1)) + EXP(2.21*M88)   )/100*2.45 )</f>
        <v>0.35859414261160716</v>
      </c>
      <c r="P88" s="68"/>
    </row>
    <row r="89" spans="1:16">
      <c r="A89" s="150" t="s">
        <v>954</v>
      </c>
      <c r="B89" s="162" t="s">
        <v>969</v>
      </c>
      <c r="C89" s="34" t="s">
        <v>182</v>
      </c>
      <c r="D89" s="40" t="s">
        <v>87</v>
      </c>
      <c r="E89" s="498">
        <f t="shared" si="11"/>
        <v>0</v>
      </c>
      <c r="F89" s="169">
        <v>2</v>
      </c>
      <c r="G89" s="152" t="s">
        <v>966</v>
      </c>
      <c r="H89" s="227"/>
      <c r="I89" s="227">
        <v>1</v>
      </c>
      <c r="J89" s="66">
        <v>2</v>
      </c>
      <c r="K89" s="227">
        <v>1</v>
      </c>
      <c r="L89" s="227">
        <v>1</v>
      </c>
      <c r="M89" s="298">
        <v>2</v>
      </c>
      <c r="N89" s="303" t="str">
        <f>IF( OR( ISBLANK(H89),ISBLANK(J89), ISBLANK(K89), ISBLANK(L89), ISBLANK(M89) ), "", 1.5*SQRT(   EXP(2.21*(H89-1)) + EXP(2.21*(J89-1)) + EXP(2.21*(K89-1)) + EXP(2.21*(L89-1)) + EXP(2.21*M89)   )/100*2.45 )</f>
        <v/>
      </c>
      <c r="O89" s="453">
        <f>IF( OR( ISBLANK(I89),ISBLANK(J89), ISBLANK(K89), ISBLANK(L89), ISBLANK(M89) ), "", 1.5*SQRT( EXP(2.21*(I89-1)) + EXP(2.21*(J89-1)) + EXP(2.21*(K89-1)) + EXP(2.21*(L89-1)) + EXP(2.21*M89)   )/100*2.45 )</f>
        <v>0.35859414261160716</v>
      </c>
      <c r="P89" s="68"/>
    </row>
    <row r="90" spans="1:16">
      <c r="A90" s="150" t="s">
        <v>954</v>
      </c>
      <c r="B90" s="162" t="s">
        <v>969</v>
      </c>
      <c r="C90" s="34" t="s">
        <v>182</v>
      </c>
      <c r="D90" s="40" t="s">
        <v>85</v>
      </c>
      <c r="E90" s="498">
        <f t="shared" si="11"/>
        <v>3.6459765383384255E-3</v>
      </c>
      <c r="F90" s="169">
        <v>2</v>
      </c>
      <c r="G90" s="152" t="s">
        <v>966</v>
      </c>
      <c r="H90" s="227"/>
      <c r="I90" s="227">
        <v>1</v>
      </c>
      <c r="J90" s="10">
        <v>2</v>
      </c>
      <c r="K90" s="227">
        <v>1</v>
      </c>
      <c r="L90" s="227">
        <v>1</v>
      </c>
      <c r="M90" s="298">
        <v>2</v>
      </c>
      <c r="N90" s="303" t="str">
        <f>IF( OR( ISBLANK(H90),ISBLANK(J90), ISBLANK(K90), ISBLANK(L90), ISBLANK(M90) ), "", 1.5*SQRT(   EXP(2.21*(H90-1)) + EXP(2.21*(J90-1)) + EXP(2.21*(K90-1)) + EXP(2.21*(L90-1)) + EXP(2.21*M90)   )/100*2.45 )</f>
        <v/>
      </c>
      <c r="O90" s="453">
        <f>IF( OR( ISBLANK(I90),ISBLANK(J90), ISBLANK(K90), ISBLANK(L90), ISBLANK(M90) ), "", 1.5*SQRT( EXP(2.21*(I90-1)) + EXP(2.21*(J90-1)) + EXP(2.21*(K90-1)) + EXP(2.21*(L90-1)) + EXP(2.21*M90)   )/100*2.45 )</f>
        <v>0.35859414261160716</v>
      </c>
      <c r="P90" s="68"/>
    </row>
    <row r="91" spans="1:16">
      <c r="A91" s="150" t="s">
        <v>954</v>
      </c>
      <c r="B91" s="162" t="s">
        <v>969</v>
      </c>
      <c r="C91" s="34" t="s">
        <v>182</v>
      </c>
      <c r="D91" s="40" t="s">
        <v>86</v>
      </c>
      <c r="E91" s="498">
        <f t="shared" si="11"/>
        <v>2.233215610064521E-2</v>
      </c>
      <c r="F91" s="169">
        <v>2</v>
      </c>
      <c r="G91" s="152" t="s">
        <v>966</v>
      </c>
      <c r="H91" s="227"/>
      <c r="I91" s="227">
        <v>1</v>
      </c>
      <c r="J91" s="10">
        <v>2</v>
      </c>
      <c r="K91" s="227">
        <v>1</v>
      </c>
      <c r="L91" s="227">
        <v>1</v>
      </c>
      <c r="M91" s="298">
        <v>2</v>
      </c>
      <c r="N91" s="303" t="str">
        <f>IF( OR( ISBLANK(H91),ISBLANK(J91), ISBLANK(K91), ISBLANK(L91), ISBLANK(M91) ), "", 1.5*SQRT(   EXP(2.21*(H91-1)) + EXP(2.21*(J91-1)) + EXP(2.21*(K91-1)) + EXP(2.21*(L91-1)) + EXP(2.21*M91)   )/100*2.45 )</f>
        <v/>
      </c>
      <c r="O91" s="453">
        <f>IF( OR( ISBLANK(I91),ISBLANK(J91), ISBLANK(K91), ISBLANK(L91), ISBLANK(M91) ), "", 1.5*SQRT( EXP(2.21*(I91-1)) + EXP(2.21*(J91-1)) + EXP(2.21*(K91-1)) + EXP(2.21*(L91-1)) + EXP(2.21*M91)   )/100*2.45 )</f>
        <v>0.35859414261160716</v>
      </c>
      <c r="P91" s="68"/>
    </row>
    <row r="92" spans="1:16">
      <c r="A92" s="34" t="s">
        <v>954</v>
      </c>
      <c r="B92" s="162" t="s">
        <v>970</v>
      </c>
      <c r="C92" s="60" t="s">
        <v>180</v>
      </c>
      <c r="D92" s="162" t="s">
        <v>90</v>
      </c>
      <c r="E92" s="456">
        <f>G183*$E$237</f>
        <v>6.2695657834368257E-2</v>
      </c>
      <c r="F92" s="424">
        <v>1</v>
      </c>
      <c r="G92" s="233" t="s">
        <v>965</v>
      </c>
      <c r="H92" s="10">
        <v>1</v>
      </c>
      <c r="I92" s="10"/>
      <c r="J92" s="66">
        <v>2</v>
      </c>
      <c r="K92" s="10">
        <v>1</v>
      </c>
      <c r="L92" s="10">
        <v>1</v>
      </c>
      <c r="M92" s="300">
        <v>2</v>
      </c>
      <c r="N92" s="303">
        <f t="shared" ref="N92:N101" si="12">IF( OR( ISBLANK(H92),ISBLANK(J92), ISBLANK(K92), ISBLANK(L92), ISBLANK(M92) ), "", 1.5*SQRT(   EXP(2.21*(H92-1)) + EXP(2.21*(J92-1)) + EXP(2.21*(K92-1)) + EXP(2.21*(L92-1)) + EXP(2.21*M92)   )/100*2.45 )</f>
        <v>0.35859414261160716</v>
      </c>
      <c r="O92" s="453" t="str">
        <f t="shared" ref="O92:O101" si="13">IF( OR( ISBLANK(I92),ISBLANK(J92), ISBLANK(K92), ISBLANK(L92), ISBLANK(M92) ), "", 1.5*SQRT( EXP(2.21*(I92-1)) + EXP(2.21*(J92-1)) + EXP(2.21*(K92-1)) + EXP(2.21*(L92-1)) + EXP(2.21*M92)   )/100*2.45 )</f>
        <v/>
      </c>
      <c r="P92" s="68"/>
    </row>
    <row r="93" spans="1:16">
      <c r="A93" s="34" t="s">
        <v>954</v>
      </c>
      <c r="B93" s="162" t="s">
        <v>970</v>
      </c>
      <c r="C93" s="34" t="s">
        <v>180</v>
      </c>
      <c r="D93" s="40" t="s">
        <v>88</v>
      </c>
      <c r="E93" s="456">
        <f>G184*$E$237</f>
        <v>0</v>
      </c>
      <c r="F93" s="169">
        <v>1</v>
      </c>
      <c r="G93" s="34" t="s">
        <v>965</v>
      </c>
      <c r="H93" s="254">
        <v>1</v>
      </c>
      <c r="I93" s="66"/>
      <c r="J93" s="66">
        <v>2</v>
      </c>
      <c r="K93" s="66">
        <v>1</v>
      </c>
      <c r="L93" s="66">
        <v>1</v>
      </c>
      <c r="M93" s="300">
        <v>2</v>
      </c>
      <c r="N93" s="303">
        <f t="shared" si="12"/>
        <v>0.35859414261160716</v>
      </c>
      <c r="O93" s="453" t="str">
        <f t="shared" si="13"/>
        <v/>
      </c>
      <c r="P93" s="68"/>
    </row>
    <row r="94" spans="1:16">
      <c r="A94" s="34" t="s">
        <v>954</v>
      </c>
      <c r="B94" s="162" t="s">
        <v>970</v>
      </c>
      <c r="C94" s="34" t="s">
        <v>180</v>
      </c>
      <c r="D94" s="40" t="s">
        <v>87</v>
      </c>
      <c r="E94" s="456">
        <f>G185*$E$237</f>
        <v>0</v>
      </c>
      <c r="F94" s="169">
        <v>1</v>
      </c>
      <c r="G94" s="34" t="s">
        <v>965</v>
      </c>
      <c r="H94" s="254">
        <v>1</v>
      </c>
      <c r="I94" s="66"/>
      <c r="J94" s="66">
        <v>2</v>
      </c>
      <c r="K94" s="66">
        <v>1</v>
      </c>
      <c r="L94" s="66">
        <v>1</v>
      </c>
      <c r="M94" s="300">
        <v>2</v>
      </c>
      <c r="N94" s="303">
        <f t="shared" si="12"/>
        <v>0.35859414261160716</v>
      </c>
      <c r="O94" s="453" t="str">
        <f t="shared" si="13"/>
        <v/>
      </c>
      <c r="P94" s="68"/>
    </row>
    <row r="95" spans="1:16">
      <c r="A95" s="34" t="s">
        <v>954</v>
      </c>
      <c r="B95" s="162" t="s">
        <v>970</v>
      </c>
      <c r="C95" s="34" t="s">
        <v>180</v>
      </c>
      <c r="D95" s="40" t="s">
        <v>85</v>
      </c>
      <c r="E95" s="456">
        <f>G186*$E$237</f>
        <v>0.13959893420941549</v>
      </c>
      <c r="F95" s="169">
        <v>1</v>
      </c>
      <c r="G95" s="34" t="s">
        <v>965</v>
      </c>
      <c r="H95" s="254">
        <v>1</v>
      </c>
      <c r="I95" s="66"/>
      <c r="J95" s="10">
        <v>2</v>
      </c>
      <c r="K95" s="66">
        <v>1</v>
      </c>
      <c r="L95" s="66">
        <v>1</v>
      </c>
      <c r="M95" s="298">
        <v>2</v>
      </c>
      <c r="N95" s="303">
        <f t="shared" si="12"/>
        <v>0.35859414261160716</v>
      </c>
      <c r="O95" s="453" t="str">
        <f t="shared" si="13"/>
        <v/>
      </c>
      <c r="P95" s="68"/>
    </row>
    <row r="96" spans="1:16">
      <c r="A96" s="34" t="s">
        <v>954</v>
      </c>
      <c r="B96" s="162" t="s">
        <v>970</v>
      </c>
      <c r="C96" s="34" t="s">
        <v>180</v>
      </c>
      <c r="D96" s="40" t="s">
        <v>86</v>
      </c>
      <c r="E96" s="456">
        <f>G187*$E$237</f>
        <v>0</v>
      </c>
      <c r="F96" s="169">
        <v>1</v>
      </c>
      <c r="G96" s="34" t="s">
        <v>965</v>
      </c>
      <c r="H96" s="254">
        <v>1</v>
      </c>
      <c r="I96" s="66"/>
      <c r="J96" s="10">
        <v>2</v>
      </c>
      <c r="K96" s="66">
        <v>1</v>
      </c>
      <c r="L96" s="66">
        <v>1</v>
      </c>
      <c r="M96" s="298">
        <v>2</v>
      </c>
      <c r="N96" s="303">
        <f t="shared" si="12"/>
        <v>0.35859414261160716</v>
      </c>
      <c r="O96" s="453" t="str">
        <f t="shared" si="13"/>
        <v/>
      </c>
      <c r="P96" s="68"/>
    </row>
    <row r="97" spans="1:16">
      <c r="A97" s="34" t="s">
        <v>954</v>
      </c>
      <c r="B97" s="162" t="s">
        <v>970</v>
      </c>
      <c r="C97" s="34" t="s">
        <v>182</v>
      </c>
      <c r="D97" s="40" t="s">
        <v>90</v>
      </c>
      <c r="E97" s="456">
        <f>G165*$E$237</f>
        <v>9.1158630137710292E-2</v>
      </c>
      <c r="F97" s="169">
        <v>1</v>
      </c>
      <c r="G97" s="34" t="s">
        <v>966</v>
      </c>
      <c r="H97" s="252"/>
      <c r="I97" s="10">
        <v>1</v>
      </c>
      <c r="J97" s="66">
        <v>2</v>
      </c>
      <c r="K97" s="10">
        <v>1</v>
      </c>
      <c r="L97" s="10">
        <v>1</v>
      </c>
      <c r="M97" s="298">
        <v>2</v>
      </c>
      <c r="N97" s="303" t="str">
        <f t="shared" si="12"/>
        <v/>
      </c>
      <c r="O97" s="453">
        <f t="shared" si="13"/>
        <v>0.35859414261160716</v>
      </c>
      <c r="P97" s="68"/>
    </row>
    <row r="98" spans="1:16">
      <c r="A98" s="34" t="s">
        <v>954</v>
      </c>
      <c r="B98" s="162" t="s">
        <v>970</v>
      </c>
      <c r="C98" s="34" t="s">
        <v>182</v>
      </c>
      <c r="D98" s="40" t="s">
        <v>88</v>
      </c>
      <c r="E98" s="456">
        <f>G166*$E$237</f>
        <v>0</v>
      </c>
      <c r="F98" s="169">
        <v>1</v>
      </c>
      <c r="G98" s="34" t="s">
        <v>966</v>
      </c>
      <c r="H98" s="252"/>
      <c r="I98" s="10">
        <v>1</v>
      </c>
      <c r="J98" s="66">
        <v>2</v>
      </c>
      <c r="K98" s="10">
        <v>1</v>
      </c>
      <c r="L98" s="10">
        <v>1</v>
      </c>
      <c r="M98" s="298">
        <v>2</v>
      </c>
      <c r="N98" s="303" t="str">
        <f t="shared" si="12"/>
        <v/>
      </c>
      <c r="O98" s="453">
        <f t="shared" si="13"/>
        <v>0.35859414261160716</v>
      </c>
      <c r="P98" s="68"/>
    </row>
    <row r="99" spans="1:16">
      <c r="A99" s="34" t="s">
        <v>954</v>
      </c>
      <c r="B99" s="162" t="s">
        <v>970</v>
      </c>
      <c r="C99" s="34" t="s">
        <v>182</v>
      </c>
      <c r="D99" s="40" t="s">
        <v>87</v>
      </c>
      <c r="E99" s="456">
        <f>G167*$E$237</f>
        <v>0</v>
      </c>
      <c r="F99" s="169">
        <v>1</v>
      </c>
      <c r="G99" s="34" t="s">
        <v>966</v>
      </c>
      <c r="H99" s="252"/>
      <c r="I99" s="10">
        <v>1</v>
      </c>
      <c r="J99" s="66">
        <v>2</v>
      </c>
      <c r="K99" s="10">
        <v>1</v>
      </c>
      <c r="L99" s="10">
        <v>1</v>
      </c>
      <c r="M99" s="298">
        <v>2</v>
      </c>
      <c r="N99" s="303" t="str">
        <f t="shared" si="12"/>
        <v/>
      </c>
      <c r="O99" s="453">
        <f t="shared" si="13"/>
        <v>0.35859414261160716</v>
      </c>
      <c r="P99" s="68"/>
    </row>
    <row r="100" spans="1:16">
      <c r="A100" s="34" t="s">
        <v>954</v>
      </c>
      <c r="B100" s="162" t="s">
        <v>970</v>
      </c>
      <c r="C100" s="34" t="s">
        <v>182</v>
      </c>
      <c r="D100" s="40" t="s">
        <v>85</v>
      </c>
      <c r="E100" s="456">
        <f>G168*$E$237</f>
        <v>0.15678950022134661</v>
      </c>
      <c r="F100" s="169">
        <v>1</v>
      </c>
      <c r="G100" s="34" t="s">
        <v>966</v>
      </c>
      <c r="H100" s="252"/>
      <c r="I100" s="10">
        <v>1</v>
      </c>
      <c r="J100" s="10">
        <v>2</v>
      </c>
      <c r="K100" s="10">
        <v>1</v>
      </c>
      <c r="L100" s="10">
        <v>1</v>
      </c>
      <c r="M100" s="298">
        <v>2</v>
      </c>
      <c r="N100" s="303" t="str">
        <f t="shared" si="12"/>
        <v/>
      </c>
      <c r="O100" s="453">
        <f t="shared" si="13"/>
        <v>0.35859414261160716</v>
      </c>
      <c r="P100" s="68"/>
    </row>
    <row r="101" spans="1:16">
      <c r="A101" s="150" t="s">
        <v>954</v>
      </c>
      <c r="B101" s="7" t="s">
        <v>970</v>
      </c>
      <c r="C101" s="150" t="s">
        <v>182</v>
      </c>
      <c r="D101" s="154" t="s">
        <v>86</v>
      </c>
      <c r="E101" s="456">
        <f>G169*$E$237</f>
        <v>0</v>
      </c>
      <c r="F101" s="171">
        <v>1</v>
      </c>
      <c r="G101" s="150" t="s">
        <v>966</v>
      </c>
      <c r="H101" s="251"/>
      <c r="I101" s="10">
        <v>1</v>
      </c>
      <c r="J101" s="10">
        <v>2</v>
      </c>
      <c r="K101" s="10">
        <v>1</v>
      </c>
      <c r="L101" s="10">
        <v>1</v>
      </c>
      <c r="M101" s="298">
        <v>2</v>
      </c>
      <c r="N101" s="303" t="str">
        <f t="shared" si="12"/>
        <v/>
      </c>
      <c r="O101" s="453">
        <f t="shared" si="13"/>
        <v>0.35859414261160716</v>
      </c>
      <c r="P101" s="68"/>
    </row>
    <row r="102" spans="1:16">
      <c r="A102" s="34" t="s">
        <v>954</v>
      </c>
      <c r="B102" s="40" t="s">
        <v>971</v>
      </c>
      <c r="C102" s="34" t="s">
        <v>180</v>
      </c>
      <c r="D102" s="40" t="s">
        <v>90</v>
      </c>
      <c r="E102" s="240">
        <f>D183</f>
        <v>0.27195768865502412</v>
      </c>
      <c r="F102" s="169">
        <v>1</v>
      </c>
      <c r="G102" s="34" t="s">
        <v>965</v>
      </c>
      <c r="H102" s="252">
        <v>1</v>
      </c>
      <c r="I102" s="10"/>
      <c r="J102" s="66">
        <v>2</v>
      </c>
      <c r="K102" s="10">
        <v>1</v>
      </c>
      <c r="L102" s="10">
        <v>1</v>
      </c>
      <c r="M102" s="300">
        <v>2</v>
      </c>
      <c r="N102" s="303">
        <f t="shared" ref="N102:N111" si="14">IF( OR( ISBLANK(H102),ISBLANK(J102), ISBLANK(K102), ISBLANK(L102), ISBLANK(M102) ), "", 1.5*SQRT(   EXP(2.21*(H102-1)) + EXP(2.21*(J102-1)) + EXP(2.21*(K102-1)) + EXP(2.21*(L102-1)) + EXP(2.21*M102)   )/100*2.45 )</f>
        <v>0.35859414261160716</v>
      </c>
      <c r="O102" s="453" t="str">
        <f t="shared" ref="O102:O111" si="15">IF( OR( ISBLANK(I102),ISBLANK(J102), ISBLANK(K102), ISBLANK(L102), ISBLANK(M102) ), "", 1.5*SQRT( EXP(2.21*(I102-1)) + EXP(2.21*(J102-1)) + EXP(2.21*(K102-1)) + EXP(2.21*(L102-1)) + EXP(2.21*M102)   )/100*2.45 )</f>
        <v/>
      </c>
      <c r="P102" s="68"/>
    </row>
    <row r="103" spans="1:16">
      <c r="A103" s="34" t="s">
        <v>954</v>
      </c>
      <c r="B103" s="162" t="s">
        <v>971</v>
      </c>
      <c r="C103" s="34" t="s">
        <v>180</v>
      </c>
      <c r="D103" s="40" t="s">
        <v>88</v>
      </c>
      <c r="E103" s="240">
        <f>D184</f>
        <v>0</v>
      </c>
      <c r="F103" s="169">
        <v>1</v>
      </c>
      <c r="G103" s="34" t="s">
        <v>965</v>
      </c>
      <c r="H103" s="252">
        <v>1</v>
      </c>
      <c r="I103" s="10"/>
      <c r="J103" s="66">
        <v>2</v>
      </c>
      <c r="K103" s="10">
        <v>1</v>
      </c>
      <c r="L103" s="10">
        <v>1</v>
      </c>
      <c r="M103" s="300">
        <v>2</v>
      </c>
      <c r="N103" s="303">
        <f t="shared" si="14"/>
        <v>0.35859414261160716</v>
      </c>
      <c r="O103" s="453" t="str">
        <f t="shared" si="15"/>
        <v/>
      </c>
      <c r="P103" s="68"/>
    </row>
    <row r="104" spans="1:16">
      <c r="A104" s="34" t="s">
        <v>954</v>
      </c>
      <c r="B104" s="162" t="s">
        <v>971</v>
      </c>
      <c r="C104" s="34" t="s">
        <v>180</v>
      </c>
      <c r="D104" s="40" t="s">
        <v>87</v>
      </c>
      <c r="E104" s="240">
        <f>D185</f>
        <v>0</v>
      </c>
      <c r="F104" s="169">
        <v>1</v>
      </c>
      <c r="G104" s="34" t="s">
        <v>965</v>
      </c>
      <c r="H104" s="252">
        <v>1</v>
      </c>
      <c r="I104" s="10"/>
      <c r="J104" s="66">
        <v>2</v>
      </c>
      <c r="K104" s="10">
        <v>1</v>
      </c>
      <c r="L104" s="10">
        <v>1</v>
      </c>
      <c r="M104" s="300">
        <v>2</v>
      </c>
      <c r="N104" s="303">
        <f t="shared" si="14"/>
        <v>0.35859414261160716</v>
      </c>
      <c r="O104" s="453" t="str">
        <f t="shared" si="15"/>
        <v/>
      </c>
      <c r="P104" s="68"/>
    </row>
    <row r="105" spans="1:16">
      <c r="A105" s="34" t="s">
        <v>954</v>
      </c>
      <c r="B105" s="162" t="s">
        <v>971</v>
      </c>
      <c r="C105" s="34" t="s">
        <v>180</v>
      </c>
      <c r="D105" s="40" t="s">
        <v>85</v>
      </c>
      <c r="E105" s="240">
        <f>D186</f>
        <v>0.60554438373698527</v>
      </c>
      <c r="F105" s="169">
        <v>1</v>
      </c>
      <c r="G105" s="34" t="s">
        <v>965</v>
      </c>
      <c r="H105" s="252">
        <v>1</v>
      </c>
      <c r="I105" s="10"/>
      <c r="J105" s="10">
        <v>2</v>
      </c>
      <c r="K105" s="10">
        <v>1</v>
      </c>
      <c r="L105" s="10">
        <v>1</v>
      </c>
      <c r="M105" s="298">
        <v>2</v>
      </c>
      <c r="N105" s="303">
        <f t="shared" si="14"/>
        <v>0.35859414261160716</v>
      </c>
      <c r="O105" s="453" t="str">
        <f t="shared" si="15"/>
        <v/>
      </c>
      <c r="P105" s="68"/>
    </row>
    <row r="106" spans="1:16">
      <c r="A106" s="34" t="s">
        <v>954</v>
      </c>
      <c r="B106" s="162" t="s">
        <v>971</v>
      </c>
      <c r="C106" s="34" t="s">
        <v>180</v>
      </c>
      <c r="D106" s="40" t="s">
        <v>86</v>
      </c>
      <c r="E106" s="240">
        <f>D187</f>
        <v>0</v>
      </c>
      <c r="F106" s="169">
        <v>1</v>
      </c>
      <c r="G106" s="34" t="s">
        <v>965</v>
      </c>
      <c r="H106" s="252">
        <v>1</v>
      </c>
      <c r="I106" s="10"/>
      <c r="J106" s="10">
        <v>2</v>
      </c>
      <c r="K106" s="10">
        <v>1</v>
      </c>
      <c r="L106" s="10">
        <v>1</v>
      </c>
      <c r="M106" s="298">
        <v>2</v>
      </c>
      <c r="N106" s="303">
        <f t="shared" si="14"/>
        <v>0.35859414261160716</v>
      </c>
      <c r="O106" s="453" t="str">
        <f t="shared" si="15"/>
        <v/>
      </c>
      <c r="P106" s="68"/>
    </row>
    <row r="107" spans="1:16">
      <c r="A107" s="34" t="s">
        <v>954</v>
      </c>
      <c r="B107" s="162" t="s">
        <v>971</v>
      </c>
      <c r="C107" s="34" t="s">
        <v>182</v>
      </c>
      <c r="D107" s="40" t="s">
        <v>90</v>
      </c>
      <c r="E107" s="240">
        <f>D165</f>
        <v>0.39542276466265769</v>
      </c>
      <c r="F107" s="169">
        <v>1</v>
      </c>
      <c r="G107" s="34" t="s">
        <v>966</v>
      </c>
      <c r="H107" s="252"/>
      <c r="I107" s="10">
        <v>1</v>
      </c>
      <c r="J107" s="66">
        <v>2</v>
      </c>
      <c r="K107" s="10">
        <v>1</v>
      </c>
      <c r="L107" s="10">
        <v>1</v>
      </c>
      <c r="M107" s="298">
        <v>2</v>
      </c>
      <c r="N107" s="303" t="str">
        <f t="shared" si="14"/>
        <v/>
      </c>
      <c r="O107" s="453">
        <f t="shared" si="15"/>
        <v>0.35859414261160716</v>
      </c>
      <c r="P107" s="68"/>
    </row>
    <row r="108" spans="1:16">
      <c r="A108" s="34" t="s">
        <v>954</v>
      </c>
      <c r="B108" s="162" t="s">
        <v>971</v>
      </c>
      <c r="C108" s="34" t="s">
        <v>182</v>
      </c>
      <c r="D108" s="40" t="s">
        <v>88</v>
      </c>
      <c r="E108" s="240">
        <f t="shared" ref="E108:E111" si="16">D166</f>
        <v>0</v>
      </c>
      <c r="F108" s="169">
        <v>1</v>
      </c>
      <c r="G108" s="34" t="s">
        <v>966</v>
      </c>
      <c r="H108" s="252"/>
      <c r="I108" s="10">
        <v>1</v>
      </c>
      <c r="J108" s="66">
        <v>2</v>
      </c>
      <c r="K108" s="10">
        <v>1</v>
      </c>
      <c r="L108" s="10">
        <v>1</v>
      </c>
      <c r="M108" s="298">
        <v>2</v>
      </c>
      <c r="N108" s="303" t="str">
        <f t="shared" si="14"/>
        <v/>
      </c>
      <c r="O108" s="453">
        <f t="shared" si="15"/>
        <v>0.35859414261160716</v>
      </c>
      <c r="P108" s="68"/>
    </row>
    <row r="109" spans="1:16">
      <c r="A109" s="34" t="s">
        <v>954</v>
      </c>
      <c r="B109" s="162" t="s">
        <v>971</v>
      </c>
      <c r="C109" s="34" t="s">
        <v>182</v>
      </c>
      <c r="D109" s="40" t="s">
        <v>87</v>
      </c>
      <c r="E109" s="240">
        <f t="shared" si="16"/>
        <v>0</v>
      </c>
      <c r="F109" s="169">
        <v>1</v>
      </c>
      <c r="G109" s="34" t="s">
        <v>966</v>
      </c>
      <c r="H109" s="252"/>
      <c r="I109" s="10">
        <v>1</v>
      </c>
      <c r="J109" s="66">
        <v>2</v>
      </c>
      <c r="K109" s="10">
        <v>1</v>
      </c>
      <c r="L109" s="10">
        <v>1</v>
      </c>
      <c r="M109" s="298">
        <v>2</v>
      </c>
      <c r="N109" s="303" t="str">
        <f t="shared" si="14"/>
        <v/>
      </c>
      <c r="O109" s="453">
        <f t="shared" si="15"/>
        <v>0.35859414261160716</v>
      </c>
      <c r="P109" s="68"/>
    </row>
    <row r="110" spans="1:16">
      <c r="A110" s="34" t="s">
        <v>954</v>
      </c>
      <c r="B110" s="162" t="s">
        <v>971</v>
      </c>
      <c r="C110" s="34" t="s">
        <v>182</v>
      </c>
      <c r="D110" s="40" t="s">
        <v>85</v>
      </c>
      <c r="E110" s="240">
        <f t="shared" si="16"/>
        <v>0.68011265147296251</v>
      </c>
      <c r="F110" s="169">
        <v>1</v>
      </c>
      <c r="G110" s="34" t="s">
        <v>966</v>
      </c>
      <c r="H110" s="252"/>
      <c r="I110" s="10">
        <v>1</v>
      </c>
      <c r="J110" s="10">
        <v>2</v>
      </c>
      <c r="K110" s="10">
        <v>1</v>
      </c>
      <c r="L110" s="10">
        <v>1</v>
      </c>
      <c r="M110" s="298">
        <v>2</v>
      </c>
      <c r="N110" s="303" t="str">
        <f t="shared" si="14"/>
        <v/>
      </c>
      <c r="O110" s="453">
        <f t="shared" si="15"/>
        <v>0.35859414261160716</v>
      </c>
      <c r="P110" s="68"/>
    </row>
    <row r="111" spans="1:16" ht="15.75" thickBot="1">
      <c r="A111" s="35" t="s">
        <v>954</v>
      </c>
      <c r="B111" s="162" t="s">
        <v>971</v>
      </c>
      <c r="C111" s="35" t="s">
        <v>182</v>
      </c>
      <c r="D111" s="154" t="s">
        <v>86</v>
      </c>
      <c r="E111" s="240">
        <f t="shared" si="16"/>
        <v>0</v>
      </c>
      <c r="F111" s="171">
        <v>1</v>
      </c>
      <c r="G111" s="150" t="s">
        <v>966</v>
      </c>
      <c r="H111" s="251"/>
      <c r="I111" s="10">
        <v>1</v>
      </c>
      <c r="J111" s="10">
        <v>2</v>
      </c>
      <c r="K111" s="10">
        <v>1</v>
      </c>
      <c r="L111" s="10">
        <v>1</v>
      </c>
      <c r="M111" s="298">
        <v>2</v>
      </c>
      <c r="N111" s="303" t="str">
        <f t="shared" si="14"/>
        <v/>
      </c>
      <c r="O111" s="453">
        <f t="shared" si="15"/>
        <v>0.35859414261160716</v>
      </c>
      <c r="P111" s="68"/>
    </row>
    <row r="112" spans="1:16">
      <c r="A112" s="33" t="s">
        <v>971</v>
      </c>
      <c r="B112" s="324" t="str">
        <f>B236</f>
        <v>Dumping</v>
      </c>
      <c r="C112" s="95" t="str">
        <f>C236</f>
        <v>any</v>
      </c>
      <c r="D112" s="324" t="str">
        <f>D236</f>
        <v>any</v>
      </c>
      <c r="E112" s="457">
        <f>E236</f>
        <v>2.7E-4</v>
      </c>
      <c r="F112" s="460">
        <f>F236</f>
        <v>2</v>
      </c>
      <c r="G112" s="33" t="s">
        <v>972</v>
      </c>
      <c r="H112" s="253">
        <v>2</v>
      </c>
      <c r="I112" s="13">
        <v>2</v>
      </c>
      <c r="J112" s="13">
        <v>2</v>
      </c>
      <c r="K112" s="13">
        <v>3</v>
      </c>
      <c r="L112" s="13">
        <v>3</v>
      </c>
      <c r="M112" s="297">
        <v>3</v>
      </c>
      <c r="N112" s="303">
        <f t="shared" ref="N112:N135" si="17">IF( OR( ISBLANK(H112),ISBLANK(J112), ISBLANK(K112), ISBLANK(L112), ISBLANK(M112) ), "", 1.5*SQRT(   EXP(2.21*(H112-1)) + EXP(2.21*(J112-1)) + EXP(2.21*(K112-1)) + EXP(2.21*(L112-1)) + EXP(2.21*M112)   )/100*2.45 )</f>
        <v>1.1278755061256258</v>
      </c>
      <c r="O112" s="453">
        <f t="shared" ref="O112:O135" si="18">IF( OR( ISBLANK(I112),ISBLANK(J112), ISBLANK(K112), ISBLANK(L112), ISBLANK(M112) ), "", 1.5*SQRT( EXP(2.21*(I112-1)) + EXP(2.21*(J112-1)) + EXP(2.21*(K112-1)) + EXP(2.21*(L112-1)) + EXP(2.21*M112)   )/100*2.45 )</f>
        <v>1.1278755061256258</v>
      </c>
      <c r="P112" s="68"/>
    </row>
    <row r="113" spans="1:32">
      <c r="A113" s="34" t="s">
        <v>971</v>
      </c>
      <c r="B113" s="312" t="str">
        <f t="shared" ref="B113:D123" si="19">B237</f>
        <v>Agricultural waste collection</v>
      </c>
      <c r="C113" s="68" t="str">
        <f t="shared" si="19"/>
        <v>any</v>
      </c>
      <c r="D113" s="312" t="str">
        <f t="shared" si="19"/>
        <v>any</v>
      </c>
      <c r="E113" s="458" t="s">
        <v>150</v>
      </c>
      <c r="F113" s="461">
        <f t="shared" ref="F113:F123" si="20">F237</f>
        <v>1</v>
      </c>
      <c r="G113" s="68"/>
      <c r="H113" s="252"/>
      <c r="I113" s="10"/>
      <c r="J113" s="10"/>
      <c r="K113" s="10"/>
      <c r="L113" s="10"/>
      <c r="M113" s="298"/>
      <c r="N113" s="303" t="str">
        <f t="shared" si="17"/>
        <v/>
      </c>
      <c r="O113" s="453" t="str">
        <f t="shared" si="18"/>
        <v/>
      </c>
      <c r="P113" s="68"/>
    </row>
    <row r="114" spans="1:32">
      <c r="A114" s="34" t="s">
        <v>971</v>
      </c>
      <c r="B114" s="312" t="str">
        <f t="shared" si="19"/>
        <v>Agricultural soil (micro)</v>
      </c>
      <c r="C114" s="68" t="str">
        <f t="shared" si="19"/>
        <v>any</v>
      </c>
      <c r="D114" s="312" t="str">
        <f t="shared" si="19"/>
        <v>any</v>
      </c>
      <c r="E114" s="458">
        <f t="shared" ref="E114:E123" si="21">E238</f>
        <v>0.02</v>
      </c>
      <c r="F114" s="461">
        <f t="shared" si="20"/>
        <v>2</v>
      </c>
      <c r="G114" s="68" t="str">
        <f>G238</f>
        <v>Assumption by Kawecki and Nowack (explained on page 38 of the SI)</v>
      </c>
      <c r="H114" s="252">
        <v>2</v>
      </c>
      <c r="I114" s="10">
        <v>2</v>
      </c>
      <c r="J114" s="10">
        <v>2</v>
      </c>
      <c r="K114" s="10">
        <v>1</v>
      </c>
      <c r="L114" s="10">
        <v>1</v>
      </c>
      <c r="M114" s="298">
        <v>3</v>
      </c>
      <c r="N114" s="303">
        <f t="shared" si="17"/>
        <v>1.0248662490928169</v>
      </c>
      <c r="O114" s="453">
        <f t="shared" si="18"/>
        <v>1.0248662490928169</v>
      </c>
      <c r="P114" s="34" t="s">
        <v>973</v>
      </c>
    </row>
    <row r="115" spans="1:32">
      <c r="A115" s="34" t="s">
        <v>971</v>
      </c>
      <c r="B115" s="312" t="str">
        <f t="shared" si="19"/>
        <v>Agricultural soil (macro)</v>
      </c>
      <c r="C115" s="68" t="str">
        <f t="shared" si="19"/>
        <v>any</v>
      </c>
      <c r="D115" s="312" t="str">
        <f t="shared" si="19"/>
        <v>any</v>
      </c>
      <c r="E115" s="458">
        <f t="shared" si="21"/>
        <v>0</v>
      </c>
      <c r="F115" s="461">
        <f t="shared" si="20"/>
        <v>2</v>
      </c>
      <c r="G115" s="68" t="str">
        <f>G239</f>
        <v>Best case scenario</v>
      </c>
      <c r="H115" s="252"/>
      <c r="I115" s="10"/>
      <c r="J115" s="10"/>
      <c r="K115" s="10"/>
      <c r="L115" s="10"/>
      <c r="M115" s="298"/>
      <c r="N115" s="303" t="str">
        <f t="shared" si="17"/>
        <v/>
      </c>
      <c r="O115" s="453" t="str">
        <f t="shared" si="18"/>
        <v/>
      </c>
      <c r="P115" s="68"/>
    </row>
    <row r="116" spans="1:32">
      <c r="A116" s="34" t="s">
        <v>971</v>
      </c>
      <c r="B116" s="312" t="str">
        <f t="shared" si="19"/>
        <v>Agricultural soil (macro)</v>
      </c>
      <c r="C116" s="68" t="str">
        <f t="shared" si="19"/>
        <v>any</v>
      </c>
      <c r="D116" s="312" t="str">
        <f t="shared" si="19"/>
        <v>any</v>
      </c>
      <c r="E116" s="458">
        <f t="shared" si="21"/>
        <v>3.6999999999999998E-2</v>
      </c>
      <c r="F116" s="461">
        <f t="shared" si="20"/>
        <v>2</v>
      </c>
      <c r="G116" s="68" t="str">
        <f>G240</f>
        <v>Based on Agreste. Chiffres-Clés : 61 Hectares En Moyenne Par Exploitation; 2017</v>
      </c>
      <c r="H116" s="252">
        <v>2</v>
      </c>
      <c r="I116" s="10">
        <v>2</v>
      </c>
      <c r="J116" s="10">
        <v>2</v>
      </c>
      <c r="K116" s="10">
        <v>1</v>
      </c>
      <c r="L116" s="10">
        <v>1</v>
      </c>
      <c r="M116" s="298">
        <v>3</v>
      </c>
      <c r="N116" s="303">
        <f t="shared" si="17"/>
        <v>1.0248662490928169</v>
      </c>
      <c r="O116" s="453">
        <f t="shared" si="18"/>
        <v>1.0248662490928169</v>
      </c>
      <c r="P116" s="68"/>
    </row>
    <row r="117" spans="1:32" ht="15.75" thickBot="1">
      <c r="A117" s="150" t="s">
        <v>971</v>
      </c>
      <c r="B117" s="327" t="str">
        <f t="shared" si="19"/>
        <v>Collected organic waste</v>
      </c>
      <c r="C117" s="328" t="str">
        <f t="shared" si="19"/>
        <v>any</v>
      </c>
      <c r="D117" s="327" t="str">
        <f t="shared" si="19"/>
        <v>any</v>
      </c>
      <c r="E117" s="459">
        <f t="shared" si="21"/>
        <v>3.5000000000000003E-2</v>
      </c>
      <c r="F117" s="439">
        <f t="shared" si="20"/>
        <v>2</v>
      </c>
      <c r="G117" s="328" t="str">
        <f>G241</f>
        <v>See calculation in Compost sheet</v>
      </c>
      <c r="H117" s="451">
        <v>1</v>
      </c>
      <c r="I117" s="437">
        <v>2</v>
      </c>
      <c r="J117" s="437">
        <v>3</v>
      </c>
      <c r="K117" s="437">
        <v>3</v>
      </c>
      <c r="L117" s="437">
        <v>3</v>
      </c>
      <c r="M117" s="463">
        <v>2</v>
      </c>
      <c r="N117" s="303">
        <f t="shared" si="17"/>
        <v>0.67101227267249941</v>
      </c>
      <c r="O117" s="453">
        <f t="shared" si="18"/>
        <v>0.67913051197703389</v>
      </c>
      <c r="P117" s="68"/>
    </row>
    <row r="118" spans="1:32">
      <c r="A118" s="95" t="str">
        <f t="shared" ref="A118:A123" si="22">A242</f>
        <v>Agricultural other</v>
      </c>
      <c r="B118" s="324" t="str">
        <f t="shared" si="19"/>
        <v>Dumping</v>
      </c>
      <c r="C118" s="95" t="str">
        <f t="shared" si="19"/>
        <v>any</v>
      </c>
      <c r="D118" s="324" t="str">
        <f t="shared" si="19"/>
        <v>any</v>
      </c>
      <c r="E118" s="457">
        <f t="shared" si="21"/>
        <v>2.7E-4</v>
      </c>
      <c r="F118" s="460">
        <f t="shared" si="20"/>
        <v>2</v>
      </c>
      <c r="G118" s="33" t="s">
        <v>972</v>
      </c>
      <c r="H118" s="253">
        <v>2</v>
      </c>
      <c r="I118" s="13">
        <v>2</v>
      </c>
      <c r="J118" s="13">
        <v>2</v>
      </c>
      <c r="K118" s="13">
        <v>3</v>
      </c>
      <c r="L118" s="13">
        <v>3</v>
      </c>
      <c r="M118" s="297">
        <v>3</v>
      </c>
      <c r="N118" s="303">
        <f t="shared" si="17"/>
        <v>1.1278755061256258</v>
      </c>
      <c r="O118" s="453">
        <f t="shared" si="18"/>
        <v>1.1278755061256258</v>
      </c>
      <c r="P118" s="68"/>
    </row>
    <row r="119" spans="1:32">
      <c r="A119" s="68" t="str">
        <f t="shared" si="22"/>
        <v>Agricultural other</v>
      </c>
      <c r="B119" s="312" t="str">
        <f t="shared" si="19"/>
        <v>Agricultural waste collection</v>
      </c>
      <c r="C119" s="68" t="str">
        <f t="shared" si="19"/>
        <v>any</v>
      </c>
      <c r="D119" s="312" t="str">
        <f t="shared" si="19"/>
        <v>any</v>
      </c>
      <c r="E119" s="458" t="str">
        <f t="shared" si="21"/>
        <v>rest</v>
      </c>
      <c r="F119" s="461">
        <f t="shared" si="20"/>
        <v>1</v>
      </c>
      <c r="G119" s="68"/>
      <c r="H119" s="252"/>
      <c r="I119" s="10"/>
      <c r="J119" s="10"/>
      <c r="K119" s="10"/>
      <c r="L119" s="10"/>
      <c r="M119" s="298"/>
      <c r="N119" s="303" t="str">
        <f t="shared" si="17"/>
        <v/>
      </c>
      <c r="O119" s="453" t="str">
        <f t="shared" si="18"/>
        <v/>
      </c>
      <c r="P119" s="68"/>
    </row>
    <row r="120" spans="1:32">
      <c r="A120" s="68" t="str">
        <f t="shared" si="22"/>
        <v>Agricultural other</v>
      </c>
      <c r="B120" s="312" t="str">
        <f t="shared" si="19"/>
        <v>Agricultural soil (micro)</v>
      </c>
      <c r="C120" s="68" t="str">
        <f t="shared" si="19"/>
        <v>any</v>
      </c>
      <c r="D120" s="312" t="str">
        <f t="shared" si="19"/>
        <v>any</v>
      </c>
      <c r="E120" s="458">
        <f t="shared" si="21"/>
        <v>1E-3</v>
      </c>
      <c r="F120" s="461">
        <f t="shared" si="20"/>
        <v>2</v>
      </c>
      <c r="G120" s="68" t="str">
        <f>G244</f>
        <v>Assumption</v>
      </c>
      <c r="H120" s="252">
        <v>1</v>
      </c>
      <c r="I120" s="10">
        <v>1</v>
      </c>
      <c r="J120" s="10">
        <v>1</v>
      </c>
      <c r="K120" s="10">
        <v>1</v>
      </c>
      <c r="L120" s="10">
        <v>1</v>
      </c>
      <c r="M120" s="298">
        <v>3</v>
      </c>
      <c r="N120" s="303">
        <f t="shared" si="17"/>
        <v>1.0141150152164344</v>
      </c>
      <c r="O120" s="453">
        <f t="shared" si="18"/>
        <v>1.0141150152164344</v>
      </c>
      <c r="P120" s="68"/>
    </row>
    <row r="121" spans="1:32">
      <c r="A121" s="68" t="str">
        <f t="shared" si="22"/>
        <v>Agricultural other</v>
      </c>
      <c r="B121" s="312" t="str">
        <f t="shared" si="19"/>
        <v>Agricultural soil (macro)</v>
      </c>
      <c r="C121" s="68" t="str">
        <f t="shared" si="19"/>
        <v>any</v>
      </c>
      <c r="D121" s="312" t="str">
        <f t="shared" si="19"/>
        <v>any</v>
      </c>
      <c r="E121" s="458">
        <f t="shared" si="21"/>
        <v>0</v>
      </c>
      <c r="F121" s="461">
        <f t="shared" si="20"/>
        <v>2</v>
      </c>
      <c r="G121" s="68" t="str">
        <f>G245</f>
        <v>Best case scenario</v>
      </c>
      <c r="H121" s="252"/>
      <c r="I121" s="10"/>
      <c r="J121" s="10"/>
      <c r="K121" s="10"/>
      <c r="L121" s="10"/>
      <c r="M121" s="298"/>
      <c r="N121" s="303" t="str">
        <f t="shared" si="17"/>
        <v/>
      </c>
      <c r="O121" s="453" t="str">
        <f t="shared" si="18"/>
        <v/>
      </c>
      <c r="P121" s="68"/>
    </row>
    <row r="122" spans="1:32">
      <c r="A122" s="68" t="str">
        <f t="shared" si="22"/>
        <v>Agricultural other</v>
      </c>
      <c r="B122" s="312" t="str">
        <f t="shared" si="19"/>
        <v>Agricultural soil (macro)</v>
      </c>
      <c r="C122" s="68" t="str">
        <f t="shared" si="19"/>
        <v>any</v>
      </c>
      <c r="D122" s="312" t="str">
        <f t="shared" si="19"/>
        <v>any</v>
      </c>
      <c r="E122" s="458">
        <f t="shared" si="21"/>
        <v>3.7999999999999999E-2</v>
      </c>
      <c r="F122" s="461">
        <f t="shared" si="20"/>
        <v>2</v>
      </c>
      <c r="G122" s="68" t="str">
        <f>G246</f>
        <v>Based on Agreste. Chiffres-Clés : 61 Hectares En Moyenne Par Exploitation; 2017</v>
      </c>
      <c r="H122" s="252">
        <v>2</v>
      </c>
      <c r="I122" s="10">
        <v>2</v>
      </c>
      <c r="J122" s="10">
        <v>2</v>
      </c>
      <c r="K122" s="10">
        <v>1</v>
      </c>
      <c r="L122" s="10">
        <v>1</v>
      </c>
      <c r="M122" s="298">
        <v>3</v>
      </c>
      <c r="N122" s="303">
        <f t="shared" si="17"/>
        <v>1.0248662490928169</v>
      </c>
      <c r="O122" s="453">
        <f t="shared" si="18"/>
        <v>1.0248662490928169</v>
      </c>
      <c r="P122" s="68"/>
      <c r="X122" s="226"/>
      <c r="Y122" s="226"/>
      <c r="AA122" s="226"/>
      <c r="AB122" s="226"/>
      <c r="AC122" s="221"/>
      <c r="AD122" s="221"/>
      <c r="AE122" s="226"/>
      <c r="AF122" s="221"/>
    </row>
    <row r="123" spans="1:32" ht="15.75" thickBot="1">
      <c r="A123" s="328" t="str">
        <f t="shared" si="22"/>
        <v>Agricultural other</v>
      </c>
      <c r="B123" s="327" t="str">
        <f t="shared" si="19"/>
        <v>Collected organic waste</v>
      </c>
      <c r="C123" s="328" t="str">
        <f t="shared" si="19"/>
        <v>any</v>
      </c>
      <c r="D123" s="327" t="str">
        <f t="shared" si="19"/>
        <v>any</v>
      </c>
      <c r="E123" s="891">
        <f t="shared" si="21"/>
        <v>3.5000000000000003E-2</v>
      </c>
      <c r="F123" s="439">
        <f t="shared" si="20"/>
        <v>2</v>
      </c>
      <c r="G123" s="328" t="str">
        <f>G247</f>
        <v>See calculation in Compost sheet</v>
      </c>
      <c r="H123" s="451">
        <v>1</v>
      </c>
      <c r="I123" s="437">
        <v>2</v>
      </c>
      <c r="J123" s="437">
        <v>3</v>
      </c>
      <c r="K123" s="437">
        <v>3</v>
      </c>
      <c r="L123" s="437">
        <v>3</v>
      </c>
      <c r="M123" s="463">
        <v>2</v>
      </c>
      <c r="N123" s="303">
        <f t="shared" si="17"/>
        <v>0.67101227267249941</v>
      </c>
      <c r="O123" s="453">
        <f t="shared" si="18"/>
        <v>0.67913051197703389</v>
      </c>
      <c r="P123" s="68"/>
      <c r="X123" s="226"/>
      <c r="Y123" s="226"/>
      <c r="AA123" s="226"/>
      <c r="AB123" s="226"/>
      <c r="AC123" s="221"/>
      <c r="AD123" s="221"/>
      <c r="AE123" s="226"/>
      <c r="AF123" s="221"/>
    </row>
    <row r="124" spans="1:32">
      <c r="A124" s="151" t="s">
        <v>969</v>
      </c>
      <c r="B124" s="95" t="str">
        <f t="shared" ref="B124:D127" si="23">B250</f>
        <v>Agricultural soil (micro)</v>
      </c>
      <c r="C124" s="99" t="str">
        <f t="shared" si="23"/>
        <v>any</v>
      </c>
      <c r="D124" s="324" t="str">
        <f t="shared" si="23"/>
        <v>any</v>
      </c>
      <c r="E124" s="890" t="s">
        <v>150</v>
      </c>
      <c r="F124" s="324">
        <v>2</v>
      </c>
      <c r="G124" s="95" t="str">
        <f>G250</f>
        <v>Assumption</v>
      </c>
      <c r="H124" s="252">
        <v>1</v>
      </c>
      <c r="I124" s="10">
        <v>1</v>
      </c>
      <c r="J124" s="10">
        <v>1</v>
      </c>
      <c r="K124" s="10">
        <v>1</v>
      </c>
      <c r="L124" s="10">
        <v>1</v>
      </c>
      <c r="M124" s="298">
        <v>3</v>
      </c>
      <c r="N124" s="303">
        <f t="shared" si="17"/>
        <v>1.0141150152164344</v>
      </c>
      <c r="O124" s="453">
        <f t="shared" si="18"/>
        <v>1.0141150152164344</v>
      </c>
      <c r="P124" s="68" t="s">
        <v>973</v>
      </c>
      <c r="X124" s="226"/>
      <c r="Y124" s="226"/>
      <c r="AA124" s="226"/>
      <c r="AB124" s="226"/>
      <c r="AC124" s="221"/>
      <c r="AD124" s="221"/>
      <c r="AE124" s="226"/>
      <c r="AF124" s="221"/>
    </row>
    <row r="125" spans="1:32">
      <c r="A125" s="152" t="s">
        <v>969</v>
      </c>
      <c r="B125" s="68" t="str">
        <f t="shared" si="23"/>
        <v>Agricultural soil (macro)</v>
      </c>
      <c r="C125" s="100" t="str">
        <f t="shared" si="23"/>
        <v>any</v>
      </c>
      <c r="D125" s="312" t="str">
        <f t="shared" si="23"/>
        <v>any</v>
      </c>
      <c r="E125" s="458">
        <f>E251/SUM(E250:E253)</f>
        <v>0</v>
      </c>
      <c r="F125" s="312">
        <v>2</v>
      </c>
      <c r="G125" s="68" t="str">
        <f>G251</f>
        <v>Best case scenario</v>
      </c>
      <c r="H125" s="252"/>
      <c r="I125" s="10"/>
      <c r="J125" s="10"/>
      <c r="K125" s="10"/>
      <c r="L125" s="10"/>
      <c r="M125" s="298"/>
      <c r="N125" s="303" t="str">
        <f t="shared" si="17"/>
        <v/>
      </c>
      <c r="O125" s="453" t="str">
        <f t="shared" si="18"/>
        <v/>
      </c>
      <c r="P125" s="68" t="s">
        <v>974</v>
      </c>
      <c r="X125" s="226"/>
      <c r="Y125" s="226"/>
      <c r="AA125" s="226"/>
      <c r="AB125" s="226"/>
      <c r="AC125" s="221"/>
      <c r="AD125" s="221"/>
      <c r="AE125" s="226"/>
      <c r="AF125" s="221"/>
    </row>
    <row r="126" spans="1:32">
      <c r="A126" s="152" t="s">
        <v>969</v>
      </c>
      <c r="B126" s="68" t="str">
        <f t="shared" si="23"/>
        <v>Agricultural soil (macro)</v>
      </c>
      <c r="C126" s="100" t="str">
        <f t="shared" si="23"/>
        <v>any</v>
      </c>
      <c r="D126" s="312" t="str">
        <f t="shared" si="23"/>
        <v>any</v>
      </c>
      <c r="E126" s="458">
        <f>E252/SUM(E250:E253)</f>
        <v>0.51351351351351338</v>
      </c>
      <c r="F126" s="312">
        <v>2</v>
      </c>
      <c r="G126" s="68" t="str">
        <f>G252</f>
        <v>Based on Agreste. Chiffres-Clés : 61 Hectares En Moyenne Par Exploitation; 2017</v>
      </c>
      <c r="H126" s="252">
        <v>2</v>
      </c>
      <c r="I126" s="10">
        <v>2</v>
      </c>
      <c r="J126" s="10">
        <v>2</v>
      </c>
      <c r="K126" s="10">
        <v>1</v>
      </c>
      <c r="L126" s="10">
        <v>1</v>
      </c>
      <c r="M126" s="298">
        <v>3</v>
      </c>
      <c r="N126" s="303">
        <f t="shared" si="17"/>
        <v>1.0248662490928169</v>
      </c>
      <c r="O126" s="453">
        <f t="shared" si="18"/>
        <v>1.0248662490928169</v>
      </c>
      <c r="P126" s="68" t="s">
        <v>974</v>
      </c>
      <c r="X126" s="226"/>
      <c r="Y126" s="226"/>
      <c r="AA126" s="226"/>
      <c r="AB126" s="226"/>
      <c r="AC126" s="221"/>
      <c r="AD126" s="221"/>
      <c r="AE126" s="226"/>
      <c r="AF126" s="221"/>
    </row>
    <row r="127" spans="1:32" ht="15.75" thickBot="1">
      <c r="A127" s="230" t="s">
        <v>969</v>
      </c>
      <c r="B127" s="68" t="str">
        <f t="shared" si="23"/>
        <v>Collected organic waste</v>
      </c>
      <c r="C127" s="331" t="str">
        <f t="shared" si="23"/>
        <v>any</v>
      </c>
      <c r="D127" s="327" t="str">
        <f t="shared" si="23"/>
        <v>any</v>
      </c>
      <c r="E127" s="891">
        <f>E253/SUM(E250:E253)</f>
        <v>0.47297297297297297</v>
      </c>
      <c r="F127" s="327">
        <v>2</v>
      </c>
      <c r="G127" s="72" t="str">
        <f>G253</f>
        <v>See calculation in Compost sheet</v>
      </c>
      <c r="H127" s="451">
        <v>1</v>
      </c>
      <c r="I127" s="437">
        <v>2</v>
      </c>
      <c r="J127" s="437">
        <v>3</v>
      </c>
      <c r="K127" s="437">
        <v>3</v>
      </c>
      <c r="L127" s="437">
        <v>3</v>
      </c>
      <c r="M127" s="463">
        <v>2</v>
      </c>
      <c r="N127" s="303">
        <f t="shared" si="17"/>
        <v>0.67101227267249941</v>
      </c>
      <c r="O127" s="453">
        <f t="shared" si="18"/>
        <v>0.67913051197703389</v>
      </c>
      <c r="P127" s="68" t="s">
        <v>974</v>
      </c>
      <c r="X127" s="226"/>
      <c r="Y127" s="226"/>
      <c r="AA127" s="226"/>
      <c r="AB127" s="226"/>
      <c r="AC127" s="221"/>
      <c r="AD127" s="221"/>
      <c r="AE127" s="226"/>
      <c r="AF127" s="221"/>
    </row>
    <row r="128" spans="1:32">
      <c r="A128" s="162" t="s">
        <v>968</v>
      </c>
      <c r="B128" s="68" t="str">
        <f t="shared" ref="B128:D131" si="24">B238</f>
        <v>Agricultural soil (micro)</v>
      </c>
      <c r="C128" s="99" t="str">
        <f t="shared" si="24"/>
        <v>any</v>
      </c>
      <c r="D128" s="324" t="str">
        <f t="shared" si="24"/>
        <v>any</v>
      </c>
      <c r="E128" s="890" t="s">
        <v>150</v>
      </c>
      <c r="F128" s="460">
        <v>1</v>
      </c>
      <c r="G128" s="77" t="str">
        <f t="shared" ref="F128:G131" si="25">G238</f>
        <v>Assumption by Kawecki and Nowack (explained on page 38 of the SI)</v>
      </c>
      <c r="H128" s="253">
        <v>2</v>
      </c>
      <c r="I128" s="13">
        <v>2</v>
      </c>
      <c r="J128" s="13">
        <v>1</v>
      </c>
      <c r="K128" s="13">
        <v>1</v>
      </c>
      <c r="L128" s="13">
        <v>1</v>
      </c>
      <c r="M128" s="297">
        <v>3</v>
      </c>
      <c r="N128" s="303">
        <f t="shared" si="17"/>
        <v>1.0195048044558224</v>
      </c>
      <c r="O128" s="453">
        <f t="shared" si="18"/>
        <v>1.0195048044558224</v>
      </c>
      <c r="P128" s="68"/>
      <c r="X128" s="226"/>
      <c r="Y128" s="226"/>
      <c r="AA128" s="226"/>
      <c r="AB128" s="226"/>
      <c r="AC128" s="221"/>
      <c r="AD128" s="221"/>
      <c r="AE128" s="226"/>
      <c r="AF128" s="221"/>
    </row>
    <row r="129" spans="1:32">
      <c r="A129" s="162" t="s">
        <v>968</v>
      </c>
      <c r="B129" s="68" t="str">
        <f t="shared" si="24"/>
        <v>Agricultural soil (macro)</v>
      </c>
      <c r="C129" s="100" t="str">
        <f t="shared" si="24"/>
        <v>any</v>
      </c>
      <c r="D129" s="312" t="str">
        <f t="shared" si="24"/>
        <v>any</v>
      </c>
      <c r="E129" s="68">
        <f>E239/SUM(E238:E241)</f>
        <v>0</v>
      </c>
      <c r="F129" s="461">
        <f t="shared" si="25"/>
        <v>2</v>
      </c>
      <c r="G129" s="68" t="str">
        <f t="shared" si="25"/>
        <v>Best case scenario</v>
      </c>
      <c r="H129" s="252"/>
      <c r="I129" s="10"/>
      <c r="J129" s="10"/>
      <c r="K129" s="10"/>
      <c r="L129" s="10"/>
      <c r="M129" s="298"/>
      <c r="N129" s="303" t="str">
        <f t="shared" si="17"/>
        <v/>
      </c>
      <c r="O129" s="453" t="str">
        <f t="shared" si="18"/>
        <v/>
      </c>
      <c r="P129" s="68" t="s">
        <v>974</v>
      </c>
      <c r="X129" s="226"/>
      <c r="Y129" s="226"/>
      <c r="AA129" s="226"/>
      <c r="AB129" s="226"/>
      <c r="AC129" s="221"/>
      <c r="AD129" s="221"/>
      <c r="AE129" s="226"/>
      <c r="AF129" s="221"/>
    </row>
    <row r="130" spans="1:32">
      <c r="A130" s="162" t="s">
        <v>968</v>
      </c>
      <c r="B130" s="68" t="str">
        <f t="shared" si="24"/>
        <v>Agricultural soil (macro)</v>
      </c>
      <c r="C130" s="100" t="str">
        <f t="shared" si="24"/>
        <v>any</v>
      </c>
      <c r="D130" s="312" t="str">
        <f t="shared" si="24"/>
        <v>any</v>
      </c>
      <c r="E130" s="68">
        <f>E240/SUM(E238:E241)</f>
        <v>0.40217391304347827</v>
      </c>
      <c r="F130" s="461">
        <f t="shared" si="25"/>
        <v>2</v>
      </c>
      <c r="G130" s="68" t="str">
        <f t="shared" si="25"/>
        <v>Based on Agreste. Chiffres-Clés : 61 Hectares En Moyenne Par Exploitation; 2017</v>
      </c>
      <c r="H130" s="252">
        <v>2</v>
      </c>
      <c r="I130" s="10">
        <v>2</v>
      </c>
      <c r="J130" s="10">
        <v>2</v>
      </c>
      <c r="K130" s="10">
        <v>1</v>
      </c>
      <c r="L130" s="10">
        <v>1</v>
      </c>
      <c r="M130" s="298">
        <v>3</v>
      </c>
      <c r="N130" s="303">
        <f t="shared" si="17"/>
        <v>1.0248662490928169</v>
      </c>
      <c r="O130" s="453">
        <f t="shared" si="18"/>
        <v>1.0248662490928169</v>
      </c>
      <c r="P130" s="68" t="s">
        <v>974</v>
      </c>
      <c r="X130" s="226"/>
      <c r="Y130" s="226"/>
      <c r="AA130" s="226"/>
      <c r="AB130" s="226"/>
      <c r="AC130" s="221"/>
      <c r="AD130" s="221"/>
      <c r="AE130" s="226"/>
      <c r="AF130" s="221"/>
    </row>
    <row r="131" spans="1:32" ht="15.75" thickBot="1">
      <c r="A131" s="162" t="s">
        <v>968</v>
      </c>
      <c r="B131" s="328" t="str">
        <f t="shared" si="24"/>
        <v>Collected organic waste</v>
      </c>
      <c r="C131" s="331" t="str">
        <f t="shared" si="24"/>
        <v>any</v>
      </c>
      <c r="D131" s="327" t="str">
        <f t="shared" si="24"/>
        <v>any</v>
      </c>
      <c r="E131" s="328">
        <f>E241/SUM(E238:E241)</f>
        <v>0.38043478260869568</v>
      </c>
      <c r="F131" s="439">
        <f t="shared" si="25"/>
        <v>2</v>
      </c>
      <c r="G131" s="328" t="str">
        <f t="shared" si="25"/>
        <v>See calculation in Compost sheet</v>
      </c>
      <c r="H131" s="451">
        <v>1</v>
      </c>
      <c r="I131" s="437">
        <v>2</v>
      </c>
      <c r="J131" s="437">
        <v>3</v>
      </c>
      <c r="K131" s="437">
        <v>3</v>
      </c>
      <c r="L131" s="437">
        <v>3</v>
      </c>
      <c r="M131" s="463">
        <v>2</v>
      </c>
      <c r="N131" s="305">
        <f t="shared" si="17"/>
        <v>0.67101227267249941</v>
      </c>
      <c r="O131" s="453">
        <f t="shared" si="18"/>
        <v>0.67913051197703389</v>
      </c>
      <c r="P131" s="68" t="s">
        <v>974</v>
      </c>
      <c r="X131" s="226"/>
      <c r="Y131" s="226"/>
      <c r="AA131" s="226"/>
      <c r="AB131" s="226"/>
      <c r="AC131" s="221"/>
      <c r="AD131" s="221"/>
      <c r="AE131" s="226"/>
      <c r="AF131" s="221"/>
    </row>
    <row r="132" spans="1:32">
      <c r="A132" s="151" t="s">
        <v>964</v>
      </c>
      <c r="B132" s="95" t="str">
        <f t="shared" ref="B132:D133" si="26">B248</f>
        <v>Dumping</v>
      </c>
      <c r="C132" s="99" t="str">
        <f t="shared" si="26"/>
        <v>any</v>
      </c>
      <c r="D132" s="324" t="str">
        <f t="shared" si="26"/>
        <v>any</v>
      </c>
      <c r="E132" s="95">
        <f>E248/SUM(E249,E248)</f>
        <v>2.9157667386609074E-4</v>
      </c>
      <c r="F132" s="324">
        <v>2</v>
      </c>
      <c r="G132" s="33" t="s">
        <v>972</v>
      </c>
      <c r="H132" s="253">
        <v>2</v>
      </c>
      <c r="I132" s="13">
        <v>2</v>
      </c>
      <c r="J132" s="13">
        <v>1</v>
      </c>
      <c r="K132" s="13">
        <v>3</v>
      </c>
      <c r="L132" s="13">
        <v>3</v>
      </c>
      <c r="M132" s="297">
        <v>3</v>
      </c>
      <c r="N132" s="302">
        <f t="shared" si="17"/>
        <v>1.123005955058592</v>
      </c>
      <c r="O132" s="453">
        <f t="shared" si="18"/>
        <v>1.123005955058592</v>
      </c>
      <c r="P132" s="68" t="s">
        <v>974</v>
      </c>
      <c r="X132" s="226"/>
      <c r="Y132" s="226"/>
      <c r="AA132" s="226"/>
      <c r="AB132" s="226"/>
      <c r="AC132" s="221"/>
      <c r="AD132" s="221"/>
      <c r="AE132" s="226"/>
      <c r="AF132" s="221"/>
    </row>
    <row r="133" spans="1:32" ht="15.75" thickBot="1">
      <c r="A133" s="230" t="s">
        <v>964</v>
      </c>
      <c r="B133" s="68" t="str">
        <f t="shared" si="26"/>
        <v>Agricultural waste collection</v>
      </c>
      <c r="C133" s="331" t="str">
        <f t="shared" si="26"/>
        <v>any</v>
      </c>
      <c r="D133" s="327" t="str">
        <f t="shared" si="26"/>
        <v>any</v>
      </c>
      <c r="E133" s="328" t="s">
        <v>150</v>
      </c>
      <c r="F133" s="327">
        <v>1</v>
      </c>
      <c r="G133" s="328"/>
      <c r="H133" s="251"/>
      <c r="I133" s="15"/>
      <c r="J133" s="15"/>
      <c r="K133" s="15"/>
      <c r="L133" s="15"/>
      <c r="M133" s="301"/>
      <c r="N133" s="305" t="str">
        <f t="shared" si="17"/>
        <v/>
      </c>
      <c r="O133" s="453" t="str">
        <f t="shared" si="18"/>
        <v/>
      </c>
      <c r="P133" s="68"/>
      <c r="X133" s="226"/>
      <c r="Y133" s="226"/>
      <c r="AA133" s="226"/>
      <c r="AB133" s="226"/>
      <c r="AC133" s="221"/>
      <c r="AD133" s="221"/>
      <c r="AE133" s="226"/>
      <c r="AF133" s="221"/>
    </row>
    <row r="134" spans="1:32">
      <c r="A134" s="162" t="s">
        <v>970</v>
      </c>
      <c r="B134" s="68" t="str">
        <f t="shared" ref="B134:D135" si="27">B236</f>
        <v>Dumping</v>
      </c>
      <c r="C134" s="99" t="str">
        <f t="shared" si="27"/>
        <v>any</v>
      </c>
      <c r="D134" s="324" t="str">
        <f t="shared" si="27"/>
        <v>any</v>
      </c>
      <c r="E134" s="95">
        <f>E236/(E236+E237)</f>
        <v>2.9735682819383261E-4</v>
      </c>
      <c r="F134" s="324">
        <v>2</v>
      </c>
      <c r="G134" s="33" t="s">
        <v>972</v>
      </c>
      <c r="H134" s="253">
        <v>2</v>
      </c>
      <c r="I134" s="13">
        <v>2</v>
      </c>
      <c r="J134" s="13">
        <v>1</v>
      </c>
      <c r="K134" s="13">
        <v>3</v>
      </c>
      <c r="L134" s="13">
        <v>3</v>
      </c>
      <c r="M134" s="297">
        <v>3</v>
      </c>
      <c r="N134" s="302">
        <f t="shared" si="17"/>
        <v>1.123005955058592</v>
      </c>
      <c r="O134" s="453">
        <f t="shared" si="18"/>
        <v>1.123005955058592</v>
      </c>
      <c r="P134" s="68" t="s">
        <v>974</v>
      </c>
      <c r="X134" s="226"/>
      <c r="Y134" s="226"/>
      <c r="AA134" s="226"/>
      <c r="AB134" s="226"/>
      <c r="AC134" s="221"/>
      <c r="AD134" s="221"/>
      <c r="AE134" s="226"/>
      <c r="AF134" s="221"/>
    </row>
    <row r="135" spans="1:32" ht="15.75" thickBot="1">
      <c r="A135" s="7" t="s">
        <v>970</v>
      </c>
      <c r="B135" s="328" t="str">
        <f t="shared" si="27"/>
        <v>Agricultural waste collection</v>
      </c>
      <c r="C135" s="331" t="str">
        <f t="shared" si="27"/>
        <v>any</v>
      </c>
      <c r="D135" s="327" t="str">
        <f t="shared" si="27"/>
        <v>any</v>
      </c>
      <c r="E135" s="328" t="s">
        <v>150</v>
      </c>
      <c r="F135" s="327">
        <v>1</v>
      </c>
      <c r="G135" s="328"/>
      <c r="H135" s="251"/>
      <c r="I135" s="15"/>
      <c r="J135" s="15"/>
      <c r="K135" s="15"/>
      <c r="L135" s="15"/>
      <c r="M135" s="301"/>
      <c r="N135" s="305" t="str">
        <f t="shared" si="17"/>
        <v/>
      </c>
      <c r="O135" s="453" t="str">
        <f t="shared" si="18"/>
        <v/>
      </c>
      <c r="P135" s="68"/>
      <c r="X135" s="226"/>
      <c r="Y135" s="226"/>
      <c r="AA135" s="226"/>
      <c r="AB135" s="226"/>
      <c r="AC135" s="221"/>
      <c r="AD135" s="221"/>
      <c r="AE135" s="226"/>
      <c r="AF135" s="221"/>
    </row>
    <row r="136" spans="1:32">
      <c r="A136" s="95" t="s">
        <v>144</v>
      </c>
      <c r="B136" s="99" t="s">
        <v>248</v>
      </c>
      <c r="C136" s="324" t="s">
        <v>139</v>
      </c>
      <c r="D136" s="34" t="s">
        <v>139</v>
      </c>
      <c r="E136" s="685" t="s">
        <v>150</v>
      </c>
      <c r="F136" s="689">
        <v>1</v>
      </c>
      <c r="G136" s="99"/>
      <c r="H136" s="253"/>
      <c r="I136" s="13"/>
      <c r="J136" s="13"/>
      <c r="K136" s="13"/>
      <c r="L136" s="13"/>
      <c r="M136" s="297"/>
      <c r="N136" s="302" t="s">
        <v>249</v>
      </c>
      <c r="O136" s="453" t="s">
        <v>249</v>
      </c>
      <c r="P136" s="34" t="s">
        <v>250</v>
      </c>
      <c r="X136" s="226"/>
      <c r="Y136" s="226"/>
      <c r="AA136" s="226"/>
      <c r="AB136" s="226"/>
      <c r="AC136" s="221"/>
      <c r="AD136" s="221"/>
      <c r="AE136" s="226"/>
      <c r="AF136" s="221"/>
    </row>
    <row r="137" spans="1:32">
      <c r="A137" s="68" t="s">
        <v>144</v>
      </c>
      <c r="B137" s="63" t="s">
        <v>251</v>
      </c>
      <c r="C137" s="40" t="s">
        <v>139</v>
      </c>
      <c r="D137" s="34" t="s">
        <v>139</v>
      </c>
      <c r="E137" s="686">
        <f>(1-0.004)*0.02/100</f>
        <v>1.9919999999999999E-4</v>
      </c>
      <c r="F137" s="690">
        <v>2</v>
      </c>
      <c r="G137" s="664" t="s">
        <v>252</v>
      </c>
      <c r="H137" s="15">
        <v>2</v>
      </c>
      <c r="I137" s="15">
        <v>1</v>
      </c>
      <c r="J137" s="15">
        <v>2</v>
      </c>
      <c r="K137" s="15">
        <v>3</v>
      </c>
      <c r="L137" s="15">
        <v>3</v>
      </c>
      <c r="M137" s="15">
        <v>1</v>
      </c>
      <c r="N137" s="303">
        <v>0.60108474454521421</v>
      </c>
      <c r="O137" s="453">
        <v>0.60108474454521421</v>
      </c>
      <c r="P137" s="34"/>
    </row>
    <row r="138" spans="1:32">
      <c r="A138" s="68" t="s">
        <v>144</v>
      </c>
      <c r="B138" s="63" t="s">
        <v>251</v>
      </c>
      <c r="C138" s="40" t="s">
        <v>139</v>
      </c>
      <c r="D138" s="34" t="s">
        <v>139</v>
      </c>
      <c r="E138" s="686">
        <f>(1-0.004)*0.06/100</f>
        <v>5.976E-4</v>
      </c>
      <c r="F138" s="690">
        <v>2</v>
      </c>
      <c r="G138" s="664" t="s">
        <v>252</v>
      </c>
      <c r="H138" s="71">
        <v>2</v>
      </c>
      <c r="I138" s="71">
        <v>1</v>
      </c>
      <c r="J138" s="71">
        <v>2</v>
      </c>
      <c r="K138" s="71">
        <v>3</v>
      </c>
      <c r="L138" s="71">
        <v>3</v>
      </c>
      <c r="M138" s="71">
        <v>1</v>
      </c>
      <c r="N138" s="303">
        <v>0.60108474454521421</v>
      </c>
      <c r="O138" s="453">
        <v>0.60108474454521421</v>
      </c>
      <c r="P138" s="34"/>
    </row>
    <row r="139" spans="1:32">
      <c r="A139" s="68" t="s">
        <v>144</v>
      </c>
      <c r="B139" s="100" t="s">
        <v>184</v>
      </c>
      <c r="C139" s="40" t="s">
        <v>139</v>
      </c>
      <c r="D139" s="34" t="s">
        <v>139</v>
      </c>
      <c r="E139" s="687">
        <v>0</v>
      </c>
      <c r="F139" s="691">
        <v>1</v>
      </c>
      <c r="G139" s="100" t="s">
        <v>253</v>
      </c>
      <c r="H139" s="252"/>
      <c r="I139" s="10"/>
      <c r="J139" s="10"/>
      <c r="K139" s="10"/>
      <c r="L139" s="10"/>
      <c r="M139" s="298"/>
      <c r="N139" s="303" t="s">
        <v>249</v>
      </c>
      <c r="O139" s="453" t="s">
        <v>249</v>
      </c>
      <c r="P139" s="34"/>
    </row>
    <row r="140" spans="1:32" ht="15.75" thickBot="1">
      <c r="A140" s="68" t="s">
        <v>144</v>
      </c>
      <c r="B140" s="63" t="s">
        <v>254</v>
      </c>
      <c r="C140" s="40" t="s">
        <v>139</v>
      </c>
      <c r="D140" s="34" t="s">
        <v>139</v>
      </c>
      <c r="E140" s="686">
        <f>0.004*0.02/100</f>
        <v>8.0000000000000007E-7</v>
      </c>
      <c r="F140" s="690">
        <v>2</v>
      </c>
      <c r="G140" s="664" t="s">
        <v>252</v>
      </c>
      <c r="H140" s="15">
        <v>2</v>
      </c>
      <c r="I140" s="15">
        <v>1</v>
      </c>
      <c r="J140" s="15">
        <v>2</v>
      </c>
      <c r="K140" s="15">
        <v>3</v>
      </c>
      <c r="L140" s="15">
        <v>3</v>
      </c>
      <c r="M140" s="15">
        <v>1</v>
      </c>
      <c r="N140" s="303">
        <v>0.60108474454521421</v>
      </c>
      <c r="O140" s="453">
        <v>0.60108474454521421</v>
      </c>
      <c r="P140" s="34"/>
    </row>
    <row r="141" spans="1:32">
      <c r="A141" s="68" t="s">
        <v>144</v>
      </c>
      <c r="B141" s="63" t="s">
        <v>254</v>
      </c>
      <c r="C141" s="40" t="s">
        <v>139</v>
      </c>
      <c r="D141" s="34" t="s">
        <v>139</v>
      </c>
      <c r="E141" s="686">
        <f>0.004*0.06/100</f>
        <v>2.3999999999999999E-6</v>
      </c>
      <c r="F141" s="690">
        <v>2</v>
      </c>
      <c r="G141" s="664" t="s">
        <v>252</v>
      </c>
      <c r="H141" s="13">
        <v>2</v>
      </c>
      <c r="I141" s="13">
        <v>1</v>
      </c>
      <c r="J141" s="13">
        <v>2</v>
      </c>
      <c r="K141" s="13">
        <v>3</v>
      </c>
      <c r="L141" s="13">
        <v>3</v>
      </c>
      <c r="M141" s="13">
        <v>1</v>
      </c>
      <c r="N141" s="303">
        <v>0.60108474454521421</v>
      </c>
      <c r="O141" s="453">
        <v>0.60108474454521421</v>
      </c>
      <c r="P141" s="34"/>
    </row>
    <row r="142" spans="1:32" ht="15.75" thickBot="1">
      <c r="A142" s="72" t="s">
        <v>144</v>
      </c>
      <c r="B142" s="668" t="s">
        <v>179</v>
      </c>
      <c r="C142" s="40" t="s">
        <v>139</v>
      </c>
      <c r="D142" s="34" t="s">
        <v>139</v>
      </c>
      <c r="E142" s="688">
        <v>0.1</v>
      </c>
      <c r="F142" s="692">
        <v>1</v>
      </c>
      <c r="G142" s="331" t="s">
        <v>255</v>
      </c>
      <c r="H142" s="251">
        <v>2</v>
      </c>
      <c r="I142" s="15">
        <v>2</v>
      </c>
      <c r="J142" s="15">
        <v>2</v>
      </c>
      <c r="K142" s="15">
        <v>3</v>
      </c>
      <c r="L142" s="15">
        <v>1</v>
      </c>
      <c r="M142" s="301">
        <v>1</v>
      </c>
      <c r="N142" s="305">
        <v>0.38795788889711302</v>
      </c>
      <c r="O142" s="453">
        <v>0.38795788889711302</v>
      </c>
      <c r="P142" s="34"/>
    </row>
    <row r="143" spans="1:32">
      <c r="A143" s="233" t="s">
        <v>165</v>
      </c>
      <c r="B143" s="33" t="s">
        <v>176</v>
      </c>
      <c r="C143" s="39" t="s">
        <v>139</v>
      </c>
      <c r="D143" s="33" t="s">
        <v>139</v>
      </c>
      <c r="E143" s="242">
        <v>1E-4</v>
      </c>
      <c r="F143" s="234">
        <v>2</v>
      </c>
      <c r="G143" s="39" t="s">
        <v>157</v>
      </c>
      <c r="H143" s="253">
        <v>1</v>
      </c>
      <c r="I143" s="13">
        <v>2</v>
      </c>
      <c r="J143" s="13">
        <v>1</v>
      </c>
      <c r="K143" s="13">
        <v>1</v>
      </c>
      <c r="L143" s="13">
        <v>1</v>
      </c>
      <c r="M143" s="297">
        <v>4</v>
      </c>
      <c r="N143" s="302">
        <v>1.0141150152164344</v>
      </c>
      <c r="O143" s="453">
        <v>1.0195048044558224</v>
      </c>
      <c r="P143" s="34"/>
    </row>
    <row r="144" spans="1:32">
      <c r="A144" s="152" t="s">
        <v>165</v>
      </c>
      <c r="B144" s="34" t="s">
        <v>184</v>
      </c>
      <c r="C144" s="40" t="s">
        <v>139</v>
      </c>
      <c r="D144" s="34" t="s">
        <v>139</v>
      </c>
      <c r="E144" s="243">
        <v>0</v>
      </c>
      <c r="F144" s="235">
        <v>1</v>
      </c>
      <c r="G144" s="40"/>
      <c r="H144" s="252"/>
      <c r="I144" s="10"/>
      <c r="J144" s="10"/>
      <c r="K144" s="10"/>
      <c r="L144" s="10"/>
      <c r="M144" s="298"/>
      <c r="N144" s="303" t="s">
        <v>249</v>
      </c>
      <c r="O144" s="453" t="s">
        <v>249</v>
      </c>
      <c r="P144" s="34"/>
    </row>
    <row r="145" spans="1:24">
      <c r="A145" s="152" t="s">
        <v>165</v>
      </c>
      <c r="B145" s="34" t="s">
        <v>179</v>
      </c>
      <c r="C145" s="40" t="s">
        <v>139</v>
      </c>
      <c r="D145" s="34" t="s">
        <v>139</v>
      </c>
      <c r="E145" s="243" t="s">
        <v>150</v>
      </c>
      <c r="F145" s="235">
        <v>1</v>
      </c>
      <c r="G145" s="40"/>
      <c r="H145" s="252"/>
      <c r="I145" s="10"/>
      <c r="J145" s="10"/>
      <c r="K145" s="10"/>
      <c r="L145" s="10"/>
      <c r="M145" s="298"/>
      <c r="N145" s="303" t="s">
        <v>249</v>
      </c>
      <c r="O145" s="453" t="s">
        <v>249</v>
      </c>
      <c r="P145" s="34"/>
    </row>
    <row r="146" spans="1:24">
      <c r="A146" s="152" t="s">
        <v>165</v>
      </c>
      <c r="B146" s="34" t="s">
        <v>144</v>
      </c>
      <c r="C146" s="40" t="s">
        <v>139</v>
      </c>
      <c r="D146" s="34" t="s">
        <v>139</v>
      </c>
      <c r="E146" s="243">
        <v>0.12</v>
      </c>
      <c r="F146" s="235">
        <v>1</v>
      </c>
      <c r="G146" s="40" t="s">
        <v>145</v>
      </c>
      <c r="H146" s="252">
        <v>2</v>
      </c>
      <c r="I146" s="10">
        <v>2</v>
      </c>
      <c r="J146" s="10">
        <v>2</v>
      </c>
      <c r="K146" s="10">
        <v>3</v>
      </c>
      <c r="L146" s="10">
        <v>1</v>
      </c>
      <c r="M146" s="298">
        <v>2</v>
      </c>
      <c r="N146" s="303">
        <v>0.48935255543384243</v>
      </c>
      <c r="O146" s="453" t="s">
        <v>249</v>
      </c>
      <c r="P146" s="34"/>
    </row>
    <row r="147" spans="1:24">
      <c r="A147" s="152" t="s">
        <v>165</v>
      </c>
      <c r="B147" s="34" t="s">
        <v>144</v>
      </c>
      <c r="C147" s="40" t="s">
        <v>139</v>
      </c>
      <c r="D147" s="34" t="s">
        <v>139</v>
      </c>
      <c r="E147" s="243">
        <v>0.1333</v>
      </c>
      <c r="F147" s="235">
        <v>1</v>
      </c>
      <c r="G147" s="40" t="s">
        <v>278</v>
      </c>
      <c r="H147" s="252">
        <v>2</v>
      </c>
      <c r="I147" s="10">
        <v>2</v>
      </c>
      <c r="J147" s="10">
        <v>2</v>
      </c>
      <c r="K147" s="10">
        <v>3</v>
      </c>
      <c r="L147" s="10">
        <v>1</v>
      </c>
      <c r="M147" s="298">
        <v>2</v>
      </c>
      <c r="N147" s="303">
        <v>0.48935255543384243</v>
      </c>
      <c r="O147" s="453" t="s">
        <v>249</v>
      </c>
      <c r="P147" s="34"/>
      <c r="Q147" s="224"/>
      <c r="R147" s="224"/>
      <c r="S147" s="224"/>
      <c r="T147" s="224"/>
      <c r="U147" s="224"/>
      <c r="V147" s="224"/>
      <c r="W147" s="224"/>
    </row>
    <row r="148" spans="1:24">
      <c r="A148" s="152" t="s">
        <v>165</v>
      </c>
      <c r="B148" s="34" t="s">
        <v>144</v>
      </c>
      <c r="C148" s="40" t="s">
        <v>139</v>
      </c>
      <c r="D148" s="34" t="s">
        <v>139</v>
      </c>
      <c r="E148" s="243">
        <v>0.26669999999999999</v>
      </c>
      <c r="F148" s="235">
        <v>1</v>
      </c>
      <c r="G148" s="40" t="s">
        <v>278</v>
      </c>
      <c r="H148" s="252">
        <v>2</v>
      </c>
      <c r="I148" s="10">
        <v>2</v>
      </c>
      <c r="J148" s="10">
        <v>2</v>
      </c>
      <c r="K148" s="10">
        <v>3</v>
      </c>
      <c r="L148" s="10">
        <v>1</v>
      </c>
      <c r="M148" s="298">
        <v>2</v>
      </c>
      <c r="N148" s="303">
        <v>0.48935255543384243</v>
      </c>
      <c r="O148" s="453" t="s">
        <v>249</v>
      </c>
      <c r="P148" s="34"/>
    </row>
    <row r="149" spans="1:24" ht="15.75" thickBot="1">
      <c r="A149" s="153" t="s">
        <v>165</v>
      </c>
      <c r="B149" s="35" t="s">
        <v>144</v>
      </c>
      <c r="C149" s="41" t="s">
        <v>139</v>
      </c>
      <c r="D149" s="35" t="s">
        <v>139</v>
      </c>
      <c r="E149" s="577">
        <v>0.2</v>
      </c>
      <c r="F149" s="236">
        <v>1</v>
      </c>
      <c r="G149" s="41" t="s">
        <v>279</v>
      </c>
      <c r="H149" s="255">
        <v>2</v>
      </c>
      <c r="I149" s="14">
        <v>2</v>
      </c>
      <c r="J149" s="14">
        <v>2</v>
      </c>
      <c r="K149" s="14">
        <v>3</v>
      </c>
      <c r="L149" s="14">
        <v>1</v>
      </c>
      <c r="M149" s="299">
        <v>2</v>
      </c>
      <c r="N149" s="304">
        <v>0.48935255543384243</v>
      </c>
      <c r="O149" s="454" t="s">
        <v>249</v>
      </c>
      <c r="P149" s="35" t="s">
        <v>280</v>
      </c>
    </row>
    <row r="151" spans="1:24" s="224" customFormat="1" ht="26.25">
      <c r="A151" s="476" t="s">
        <v>21</v>
      </c>
    </row>
    <row r="152" spans="1:24">
      <c r="B152" s="225"/>
    </row>
    <row r="153" spans="1:24">
      <c r="A153" s="316" t="s">
        <v>975</v>
      </c>
      <c r="B153" s="316" t="s">
        <v>976</v>
      </c>
      <c r="C153" s="316" t="s">
        <v>104</v>
      </c>
      <c r="D153" s="316" t="s">
        <v>977</v>
      </c>
      <c r="E153" s="514" t="s">
        <v>978</v>
      </c>
    </row>
    <row r="154" spans="1:24">
      <c r="A154" s="482" t="s">
        <v>979</v>
      </c>
      <c r="B154" s="484">
        <v>80</v>
      </c>
      <c r="C154" s="515" t="s">
        <v>980</v>
      </c>
      <c r="D154" t="s">
        <v>981</v>
      </c>
      <c r="E154" t="s">
        <v>982</v>
      </c>
    </row>
    <row r="155" spans="1:24">
      <c r="A155" s="482" t="s">
        <v>983</v>
      </c>
      <c r="B155" s="484">
        <v>80</v>
      </c>
      <c r="C155" s="515" t="s">
        <v>980</v>
      </c>
      <c r="D155" t="s">
        <v>981</v>
      </c>
      <c r="E155" t="s">
        <v>982</v>
      </c>
    </row>
    <row r="156" spans="1:24">
      <c r="A156" s="482" t="s">
        <v>984</v>
      </c>
      <c r="B156" s="492">
        <f>45/12</f>
        <v>3.75</v>
      </c>
      <c r="C156" s="515" t="s">
        <v>980</v>
      </c>
      <c r="D156" t="s">
        <v>981</v>
      </c>
      <c r="E156" t="s">
        <v>982</v>
      </c>
    </row>
    <row r="157" spans="1:24">
      <c r="A157" s="482" t="s">
        <v>985</v>
      </c>
      <c r="B157" s="492">
        <f>45/12</f>
        <v>3.75</v>
      </c>
      <c r="C157" s="515" t="s">
        <v>980</v>
      </c>
      <c r="D157" t="s">
        <v>981</v>
      </c>
      <c r="E157" t="s">
        <v>982</v>
      </c>
    </row>
    <row r="159" spans="1:24" ht="26.25">
      <c r="A159" s="476" t="s">
        <v>986</v>
      </c>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row>
    <row r="160" spans="1:24">
      <c r="A160" s="480" t="s">
        <v>987</v>
      </c>
      <c r="B160" s="479"/>
      <c r="C160" s="479"/>
      <c r="D160" s="479"/>
      <c r="E160" s="479"/>
      <c r="F160" s="479"/>
      <c r="G160" s="479"/>
      <c r="H160" s="479"/>
      <c r="I160" s="479"/>
      <c r="J160" s="479"/>
      <c r="K160" s="479"/>
      <c r="L160" s="479"/>
      <c r="M160" s="479"/>
      <c r="N160" s="479"/>
      <c r="O160" s="479"/>
      <c r="P160" s="479"/>
      <c r="Q160" s="479"/>
      <c r="R160" s="479"/>
      <c r="S160" s="479"/>
      <c r="T160" s="479"/>
      <c r="U160" s="479"/>
      <c r="V160" s="479"/>
      <c r="W160" s="479"/>
      <c r="X160" s="479"/>
    </row>
    <row r="161" spans="1:27">
      <c r="L161" s="226"/>
    </row>
    <row r="162" spans="1:27">
      <c r="B162" s="218"/>
      <c r="C162" s="218"/>
      <c r="K162" t="s">
        <v>988</v>
      </c>
      <c r="L162" s="226"/>
    </row>
    <row r="163" spans="1:27">
      <c r="J163" s="225" t="s">
        <v>989</v>
      </c>
      <c r="K163" s="475">
        <f>D200</f>
        <v>707810</v>
      </c>
      <c r="L163" s="226"/>
      <c r="N163" s="226"/>
      <c r="Q163" s="218"/>
    </row>
    <row r="164" spans="1:27">
      <c r="A164" s="490" t="s">
        <v>585</v>
      </c>
      <c r="B164" s="488" t="s">
        <v>990</v>
      </c>
      <c r="C164" s="488" t="s">
        <v>991</v>
      </c>
      <c r="D164" s="488" t="s">
        <v>992</v>
      </c>
      <c r="E164" s="488" t="s">
        <v>993</v>
      </c>
      <c r="F164" s="488" t="s">
        <v>994</v>
      </c>
      <c r="G164" s="488" t="s">
        <v>995</v>
      </c>
      <c r="H164" s="488" t="s">
        <v>996</v>
      </c>
      <c r="L164" s="226"/>
      <c r="M164" t="s">
        <v>47</v>
      </c>
      <c r="N164" t="s">
        <v>997</v>
      </c>
      <c r="O164" t="s">
        <v>998</v>
      </c>
    </row>
    <row r="165" spans="1:27">
      <c r="A165" s="489" t="s">
        <v>90</v>
      </c>
      <c r="B165" s="478">
        <f>R170+T170+V170+X170</f>
        <v>56385.258999999998</v>
      </c>
      <c r="C165" s="478">
        <f>B165/1000</f>
        <v>56.385258999999998</v>
      </c>
      <c r="D165" s="478">
        <f>$R170/$B165</f>
        <v>0.39542276466265769</v>
      </c>
      <c r="E165" s="478">
        <f>$T170/$B165</f>
        <v>0.18076469241721493</v>
      </c>
      <c r="F165" s="478">
        <f>$V170/$B165</f>
        <v>0.32338771379945241</v>
      </c>
      <c r="G165" s="478">
        <f>$X170/$B165</f>
        <v>0.10042482912067498</v>
      </c>
      <c r="H165" s="495">
        <f>B165/B171</f>
        <v>8.1385971394878576E-2</v>
      </c>
      <c r="I165" s="496">
        <f>SUM(D165:G165)</f>
        <v>1</v>
      </c>
      <c r="K165" t="s">
        <v>999</v>
      </c>
      <c r="L165" s="226" t="s">
        <v>1000</v>
      </c>
      <c r="N165" s="226" t="s">
        <v>1001</v>
      </c>
      <c r="P165" s="227"/>
      <c r="Q165" s="227"/>
      <c r="R165" s="227" t="s">
        <v>1002</v>
      </c>
      <c r="S165" s="227"/>
      <c r="T165" s="227" t="s">
        <v>1003</v>
      </c>
      <c r="U165" s="227"/>
      <c r="V165" s="227" t="s">
        <v>1004</v>
      </c>
      <c r="W165" s="227"/>
      <c r="X165" s="227" t="s">
        <v>1005</v>
      </c>
    </row>
    <row r="166" spans="1:27">
      <c r="A166" s="489" t="s">
        <v>88</v>
      </c>
      <c r="B166" s="491">
        <f>R171+T171+V171+X171</f>
        <v>3950.7650000000003</v>
      </c>
      <c r="C166" s="478">
        <f>B166/1000</f>
        <v>3.9507650000000005</v>
      </c>
      <c r="D166" s="478">
        <f>$R171/$B166</f>
        <v>0</v>
      </c>
      <c r="E166" s="478">
        <f>$T171/$B166</f>
        <v>0</v>
      </c>
      <c r="F166" s="478">
        <f>$V171/$B166</f>
        <v>1</v>
      </c>
      <c r="G166" s="478">
        <f>$X171/$B166</f>
        <v>0</v>
      </c>
      <c r="H166" s="495">
        <f>B166/B171</f>
        <v>5.702498365359774E-3</v>
      </c>
      <c r="I166" s="496">
        <f>SUM(D166:G166)</f>
        <v>1</v>
      </c>
      <c r="K166" s="473">
        <f>L166/(L166+L168)</f>
        <v>0.79746835443037967</v>
      </c>
      <c r="L166" s="474">
        <v>0.63</v>
      </c>
      <c r="M166" t="s">
        <v>1006</v>
      </c>
      <c r="N166" s="218">
        <f>$K$163*L166</f>
        <v>445920.3</v>
      </c>
      <c r="O166" s="390">
        <f>N166/K163</f>
        <v>0.63</v>
      </c>
      <c r="P166" s="227"/>
      <c r="Q166" s="493"/>
      <c r="R166" s="493">
        <f>O166</f>
        <v>0.63</v>
      </c>
      <c r="S166" s="493"/>
      <c r="T166" s="493">
        <f>O172</f>
        <v>0.06</v>
      </c>
      <c r="U166" s="493"/>
      <c r="V166" s="493">
        <f>O176+O174+O170</f>
        <v>0.12880787216908493</v>
      </c>
      <c r="W166" s="493"/>
      <c r="X166" s="493">
        <f>L168</f>
        <v>0.16</v>
      </c>
    </row>
    <row r="167" spans="1:27">
      <c r="A167" s="489" t="s">
        <v>87</v>
      </c>
      <c r="B167" s="478">
        <f>R172+T172+V172+X172</f>
        <v>3950.7650000000003</v>
      </c>
      <c r="C167" s="478">
        <f>B167/1000</f>
        <v>3.9507650000000005</v>
      </c>
      <c r="D167" s="478">
        <f>$R172/$B167</f>
        <v>0</v>
      </c>
      <c r="E167" s="478">
        <f>$T172/$B167</f>
        <v>0</v>
      </c>
      <c r="F167" s="478">
        <f>$V172/$B167</f>
        <v>1</v>
      </c>
      <c r="G167" s="478">
        <f>$X172/$B167</f>
        <v>0</v>
      </c>
      <c r="H167" s="495">
        <f>B167/B171</f>
        <v>5.702498365359774E-3</v>
      </c>
      <c r="I167" s="496">
        <f>SUM(D167:G167)</f>
        <v>1</v>
      </c>
      <c r="K167" s="473"/>
      <c r="L167" s="226" t="s">
        <v>1007</v>
      </c>
      <c r="N167" t="s">
        <v>1008</v>
      </c>
      <c r="O167" s="390"/>
      <c r="P167" s="227" t="s">
        <v>1009</v>
      </c>
      <c r="Q167" s="227"/>
      <c r="R167" s="495">
        <f>N166</f>
        <v>445920.3</v>
      </c>
      <c r="S167" s="495"/>
      <c r="T167" s="495">
        <f>N172</f>
        <v>42468.6</v>
      </c>
      <c r="U167" s="495"/>
      <c r="V167" s="495">
        <f>N170+N174+N176</f>
        <v>91171.5</v>
      </c>
      <c r="W167" s="495"/>
      <c r="X167" s="495">
        <f>N168</f>
        <v>113249.60000000001</v>
      </c>
    </row>
    <row r="168" spans="1:27">
      <c r="A168" s="489" t="s">
        <v>85</v>
      </c>
      <c r="B168" s="491">
        <f>R173+T173+V173+X173</f>
        <v>622873.70200000005</v>
      </c>
      <c r="C168" s="478">
        <f>B168/1000</f>
        <v>622.87370200000009</v>
      </c>
      <c r="D168" s="478">
        <f>$R173/$B168</f>
        <v>0.68011265147296251</v>
      </c>
      <c r="E168" s="478">
        <f>$T173/$B168</f>
        <v>4.9090838001055938E-2</v>
      </c>
      <c r="F168" s="478">
        <f>$V173/$B168</f>
        <v>9.8069487929673418E-2</v>
      </c>
      <c r="G168" s="478">
        <f>$X173/$B168</f>
        <v>0.17272702259630796</v>
      </c>
      <c r="H168" s="495">
        <f>B168/B171</f>
        <v>0.8990502516552088</v>
      </c>
      <c r="I168" s="496">
        <f>SUM(D168:G168)</f>
        <v>0.99999999999999978</v>
      </c>
      <c r="K168" s="473">
        <f>L168/(L166+L168)</f>
        <v>0.20253164556962025</v>
      </c>
      <c r="L168" s="474">
        <v>0.16</v>
      </c>
      <c r="M168" t="s">
        <v>1010</v>
      </c>
      <c r="N168" s="218">
        <f>$K$163*L168</f>
        <v>113249.60000000001</v>
      </c>
      <c r="O168" s="390">
        <f>N168/K163</f>
        <v>0.16</v>
      </c>
      <c r="P168" s="227"/>
      <c r="Q168" s="227"/>
      <c r="R168" s="227"/>
      <c r="S168" s="227"/>
      <c r="T168" s="227"/>
      <c r="U168" s="227"/>
      <c r="V168" s="227"/>
      <c r="W168" s="227"/>
      <c r="X168" s="227"/>
    </row>
    <row r="169" spans="1:27">
      <c r="A169" s="489" t="s">
        <v>86</v>
      </c>
      <c r="B169" s="478">
        <f>R174+T174+V174+X174</f>
        <v>5649.509</v>
      </c>
      <c r="C169" s="478">
        <f>B169/1000</f>
        <v>5.6495090000000001</v>
      </c>
      <c r="D169" s="478">
        <f>$R174/$B169</f>
        <v>0</v>
      </c>
      <c r="E169" s="478">
        <f>$T174/$B169</f>
        <v>0.3006887855210072</v>
      </c>
      <c r="F169" s="478">
        <f>$V174/$B169</f>
        <v>0.6993112144789928</v>
      </c>
      <c r="G169" s="478">
        <f>$X174/$B169</f>
        <v>0</v>
      </c>
      <c r="H169" s="495">
        <f>B169/B171</f>
        <v>8.1544500464050193E-3</v>
      </c>
      <c r="I169" s="496">
        <f>SUM(D169:G169)</f>
        <v>1</v>
      </c>
      <c r="L169" s="226" t="s">
        <v>1011</v>
      </c>
      <c r="N169" t="s">
        <v>1011</v>
      </c>
      <c r="O169" s="390"/>
      <c r="P169" s="227" t="s">
        <v>1012</v>
      </c>
      <c r="Q169" s="227" t="s">
        <v>1013</v>
      </c>
      <c r="R169" s="227" t="s">
        <v>1006</v>
      </c>
      <c r="S169" s="227" t="s">
        <v>1013</v>
      </c>
      <c r="T169" s="227" t="s">
        <v>1014</v>
      </c>
      <c r="U169" s="227" t="s">
        <v>1015</v>
      </c>
      <c r="V169" s="227" t="s">
        <v>127</v>
      </c>
      <c r="W169" s="227" t="s">
        <v>1013</v>
      </c>
      <c r="X169" s="227" t="s">
        <v>1010</v>
      </c>
    </row>
    <row r="170" spans="1:27">
      <c r="H170" s="496">
        <f>SUM(H165:H169)</f>
        <v>0.99999566982721189</v>
      </c>
      <c r="L170" s="474">
        <v>0.11</v>
      </c>
      <c r="M170" t="s">
        <v>127</v>
      </c>
      <c r="N170" s="218">
        <f>$K$163*L170</f>
        <v>77859.100000000006</v>
      </c>
      <c r="O170" s="390">
        <f>N170/K163</f>
        <v>0.11000000000000001</v>
      </c>
      <c r="P170" s="227" t="s">
        <v>90</v>
      </c>
      <c r="Q170" s="493">
        <v>0.05</v>
      </c>
      <c r="R170" s="495">
        <f>Q170*R$167</f>
        <v>22296.014999999999</v>
      </c>
      <c r="S170" s="493">
        <v>0.24</v>
      </c>
      <c r="T170" s="495">
        <f>S170*T$167</f>
        <v>10192.464</v>
      </c>
      <c r="U170" s="493">
        <v>0.2</v>
      </c>
      <c r="V170" s="495">
        <f>U170*V$167</f>
        <v>18234.3</v>
      </c>
      <c r="W170" s="493">
        <v>0.05</v>
      </c>
      <c r="X170" s="495">
        <f>W170*X$167</f>
        <v>5662.4800000000005</v>
      </c>
      <c r="AA170" s="226"/>
    </row>
    <row r="171" spans="1:27">
      <c r="B171" s="496">
        <f>SUM(R176:X176)</f>
        <v>692812.99999999988</v>
      </c>
      <c r="C171" s="218"/>
      <c r="L171" s="226" t="s">
        <v>1016</v>
      </c>
      <c r="N171" s="226" t="s">
        <v>1016</v>
      </c>
      <c r="O171" s="390"/>
      <c r="P171" s="227" t="s">
        <v>88</v>
      </c>
      <c r="Q171" s="493"/>
      <c r="R171" s="495">
        <f>Q171*R$167</f>
        <v>0</v>
      </c>
      <c r="S171" s="493"/>
      <c r="T171" s="495">
        <f>S171*T$167</f>
        <v>0</v>
      </c>
      <c r="U171" s="493">
        <f>U174</f>
        <v>4.3333333333333335E-2</v>
      </c>
      <c r="V171" s="495">
        <f>U171*V$167</f>
        <v>3950.7650000000003</v>
      </c>
      <c r="W171" s="493"/>
      <c r="X171" s="495">
        <f>W171*X$167</f>
        <v>0</v>
      </c>
    </row>
    <row r="172" spans="1:27">
      <c r="L172" s="474">
        <v>0.06</v>
      </c>
      <c r="M172" t="s">
        <v>1014</v>
      </c>
      <c r="N172" s="218">
        <f>$K$163*L172</f>
        <v>42468.6</v>
      </c>
      <c r="O172" s="390">
        <f>N172/K163</f>
        <v>0.06</v>
      </c>
      <c r="P172" s="227" t="s">
        <v>87</v>
      </c>
      <c r="Q172" s="493"/>
      <c r="R172" s="495">
        <f>Q172*R$167</f>
        <v>0</v>
      </c>
      <c r="S172" s="493"/>
      <c r="T172" s="495">
        <f>S172*T$167</f>
        <v>0</v>
      </c>
      <c r="U172" s="493">
        <f>U171</f>
        <v>4.3333333333333335E-2</v>
      </c>
      <c r="V172" s="495">
        <f>U172*V$167</f>
        <v>3950.7650000000003</v>
      </c>
      <c r="W172" s="493"/>
      <c r="X172" s="495">
        <f>W172*X$167</f>
        <v>0</v>
      </c>
    </row>
    <row r="173" spans="1:27">
      <c r="L173" s="226" t="s">
        <v>1017</v>
      </c>
      <c r="N173" t="s">
        <v>1017</v>
      </c>
      <c r="O173" s="390"/>
      <c r="P173" s="227" t="s">
        <v>85</v>
      </c>
      <c r="Q173" s="493">
        <v>0.95</v>
      </c>
      <c r="R173" s="495">
        <f>Q173*R$167</f>
        <v>423624.28499999997</v>
      </c>
      <c r="S173" s="493">
        <v>0.72</v>
      </c>
      <c r="T173" s="495">
        <f>S173*T$167</f>
        <v>30577.391999999996</v>
      </c>
      <c r="U173" s="493">
        <v>0.67</v>
      </c>
      <c r="V173" s="495">
        <f>U173*V$167</f>
        <v>61084.905000000006</v>
      </c>
      <c r="W173" s="493">
        <v>0.95</v>
      </c>
      <c r="X173" s="495">
        <f>W173*X$167</f>
        <v>107587.12</v>
      </c>
    </row>
    <row r="174" spans="1:27">
      <c r="L174" s="474">
        <v>0.01</v>
      </c>
      <c r="M174" t="s">
        <v>127</v>
      </c>
      <c r="N174" s="218">
        <f>$K$163*L174</f>
        <v>7078.1</v>
      </c>
      <c r="O174" s="390">
        <f>N174/K163</f>
        <v>0.01</v>
      </c>
      <c r="P174" s="227" t="s">
        <v>86</v>
      </c>
      <c r="Q174" s="493"/>
      <c r="R174" s="495">
        <f>Q174*R$167</f>
        <v>0</v>
      </c>
      <c r="S174" s="493">
        <v>0.04</v>
      </c>
      <c r="T174" s="495">
        <f>S174*T$167</f>
        <v>1698.7439999999999</v>
      </c>
      <c r="U174" s="493">
        <f>(1-U170-U173)/3</f>
        <v>4.3333333333333335E-2</v>
      </c>
      <c r="V174" s="495">
        <f>U174*V$167</f>
        <v>3950.7650000000003</v>
      </c>
      <c r="W174" s="493"/>
      <c r="X174" s="495">
        <f>W174*X$167</f>
        <v>0</v>
      </c>
    </row>
    <row r="175" spans="1:27">
      <c r="L175" s="226" t="s">
        <v>127</v>
      </c>
      <c r="N175" s="4" t="s">
        <v>127</v>
      </c>
      <c r="O175" s="390"/>
      <c r="P175" s="227"/>
      <c r="Q175" s="493"/>
      <c r="R175" s="227"/>
      <c r="S175" s="493"/>
      <c r="T175" s="227"/>
      <c r="U175" s="493" t="s">
        <v>1018</v>
      </c>
      <c r="V175" s="227"/>
      <c r="W175" s="493"/>
      <c r="X175" s="227"/>
    </row>
    <row r="176" spans="1:27">
      <c r="L176" s="474">
        <f>1-L166-L168-L170-L172-L174</f>
        <v>2.9999999999999992E-2</v>
      </c>
      <c r="M176" t="s">
        <v>127</v>
      </c>
      <c r="N176" s="218">
        <f>$K$163*L176-(B232*1000)</f>
        <v>6234.2999999999956</v>
      </c>
      <c r="O176" s="390">
        <f>N176/K163</f>
        <v>8.8078721690849175E-3</v>
      </c>
      <c r="Q176" s="390">
        <f t="shared" ref="Q176:X176" si="28">SUM(Q170:Q174)</f>
        <v>1</v>
      </c>
      <c r="R176" s="218">
        <f t="shared" si="28"/>
        <v>445920.3</v>
      </c>
      <c r="S176" s="390">
        <f t="shared" si="28"/>
        <v>1</v>
      </c>
      <c r="T176" s="218">
        <f t="shared" si="28"/>
        <v>42468.6</v>
      </c>
      <c r="U176" s="390">
        <f t="shared" si="28"/>
        <v>1</v>
      </c>
      <c r="V176" s="218">
        <f t="shared" si="28"/>
        <v>91171.5</v>
      </c>
      <c r="W176" s="390">
        <f t="shared" si="28"/>
        <v>1</v>
      </c>
      <c r="X176" s="218">
        <f t="shared" si="28"/>
        <v>113249.59999999999</v>
      </c>
      <c r="Y176" s="218">
        <f>SUM(R176,T176,V176,X176)</f>
        <v>692809.99999999988</v>
      </c>
    </row>
    <row r="177" spans="1:24">
      <c r="L177" s="226"/>
      <c r="N177" s="496">
        <f>SUM(N166:N176)</f>
        <v>692810</v>
      </c>
    </row>
    <row r="178" spans="1:24">
      <c r="A178" s="480" t="s">
        <v>1019</v>
      </c>
      <c r="B178" s="479"/>
      <c r="C178" s="479"/>
      <c r="D178" s="479"/>
      <c r="E178" s="479"/>
      <c r="F178" s="479"/>
      <c r="G178" s="479"/>
      <c r="H178" s="479"/>
      <c r="I178" s="479"/>
      <c r="J178" s="479"/>
      <c r="K178" s="479"/>
      <c r="L178" s="479"/>
      <c r="M178" s="479"/>
      <c r="N178" s="479"/>
      <c r="O178" s="479"/>
      <c r="P178" s="479"/>
      <c r="Q178" s="479"/>
      <c r="R178" s="479"/>
      <c r="S178" s="479"/>
      <c r="T178" s="479"/>
      <c r="U178" s="479"/>
      <c r="V178" s="479"/>
      <c r="W178" s="479"/>
      <c r="X178" s="479"/>
    </row>
    <row r="180" spans="1:24">
      <c r="Q180" t="s">
        <v>1020</v>
      </c>
    </row>
    <row r="181" spans="1:24">
      <c r="K181" t="s">
        <v>988</v>
      </c>
    </row>
    <row r="182" spans="1:24">
      <c r="A182" s="490" t="s">
        <v>585</v>
      </c>
      <c r="B182" s="488" t="s">
        <v>990</v>
      </c>
      <c r="C182" s="488" t="s">
        <v>991</v>
      </c>
      <c r="D182" s="488" t="s">
        <v>992</v>
      </c>
      <c r="E182" s="488" t="s">
        <v>993</v>
      </c>
      <c r="F182" s="488" t="s">
        <v>994</v>
      </c>
      <c r="G182" s="488" t="s">
        <v>995</v>
      </c>
      <c r="H182" s="488" t="s">
        <v>996</v>
      </c>
      <c r="J182" s="225" t="s">
        <v>1021</v>
      </c>
      <c r="K182" s="475">
        <f>D200*C222</f>
        <v>23782.415999999997</v>
      </c>
      <c r="L182" s="221"/>
      <c r="M182" t="s">
        <v>47</v>
      </c>
      <c r="N182" t="s">
        <v>997</v>
      </c>
      <c r="O182" t="s">
        <v>998</v>
      </c>
    </row>
    <row r="183" spans="1:24">
      <c r="A183" s="489" t="s">
        <v>90</v>
      </c>
      <c r="B183" s="478">
        <f>R188+T188+V188+X188</f>
        <v>2336.215468776636</v>
      </c>
      <c r="C183" s="478">
        <f>B183/1000</f>
        <v>2.3362154687766359</v>
      </c>
      <c r="D183" s="478">
        <f>$R188/$B183</f>
        <v>0.27195768865502412</v>
      </c>
      <c r="E183" s="478">
        <f>$T188/$B183</f>
        <v>0.43977123896795367</v>
      </c>
      <c r="F183" s="478">
        <f>$V188/$B183</f>
        <v>0.2192024530360637</v>
      </c>
      <c r="G183" s="478">
        <f>$X188/$B183</f>
        <v>6.9068619340958509E-2</v>
      </c>
      <c r="H183" s="495">
        <f>B183/B189</f>
        <v>0.10257547963172402</v>
      </c>
      <c r="I183" s="496">
        <f>SUM(D183:G183)</f>
        <v>1</v>
      </c>
      <c r="L183" t="s">
        <v>1022</v>
      </c>
      <c r="M183" s="221" t="s">
        <v>1006</v>
      </c>
      <c r="N183" t="s">
        <v>1006</v>
      </c>
      <c r="P183" s="227"/>
      <c r="Q183" s="227"/>
      <c r="R183" s="227" t="s">
        <v>1002</v>
      </c>
      <c r="S183" s="227"/>
      <c r="T183" s="227" t="s">
        <v>1003</v>
      </c>
      <c r="U183" s="227"/>
      <c r="V183" s="227" t="s">
        <v>1004</v>
      </c>
      <c r="W183" s="227"/>
      <c r="X183" s="227" t="s">
        <v>1005</v>
      </c>
    </row>
    <row r="184" spans="1:24">
      <c r="A184" s="489" t="s">
        <v>88</v>
      </c>
      <c r="B184" s="491">
        <f>R189+T189+V189+X189</f>
        <v>110.95590167493783</v>
      </c>
      <c r="C184" s="478">
        <f>B184/1000</f>
        <v>0.11095590167493784</v>
      </c>
      <c r="D184" s="478">
        <f>$R189/$B184</f>
        <v>0</v>
      </c>
      <c r="E184" s="478">
        <f>$T189/$B184</f>
        <v>0</v>
      </c>
      <c r="F184" s="478">
        <f>$V189/$B184</f>
        <v>1</v>
      </c>
      <c r="G184" s="478">
        <f>$X189/$B184</f>
        <v>0</v>
      </c>
      <c r="H184" s="495">
        <f>B184/B189</f>
        <v>4.8717059639353504E-3</v>
      </c>
      <c r="I184" s="496">
        <f>SUM(D184:G184)</f>
        <v>1</v>
      </c>
      <c r="L184" s="474">
        <f>C215</f>
        <v>0.67</v>
      </c>
      <c r="M184" s="226">
        <f>L184*K166</f>
        <v>0.53430379746835444</v>
      </c>
      <c r="N184" s="218">
        <f>M184*K182</f>
        <v>12707.035181772151</v>
      </c>
      <c r="O184" s="390">
        <f>N184/K182</f>
        <v>0.53430379746835444</v>
      </c>
      <c r="P184" s="227"/>
      <c r="Q184" s="227"/>
      <c r="R184" s="493">
        <f>O184</f>
        <v>0.53430379746835444</v>
      </c>
      <c r="S184" s="493"/>
      <c r="T184" s="493">
        <f>O190</f>
        <v>0.18</v>
      </c>
      <c r="U184" s="493"/>
      <c r="V184" s="493">
        <f>O188</f>
        <v>0.1076644529253538</v>
      </c>
      <c r="W184" s="493"/>
      <c r="X184" s="493">
        <f>O186</f>
        <v>0.13569620253164558</v>
      </c>
    </row>
    <row r="185" spans="1:24">
      <c r="A185" s="489" t="s">
        <v>87</v>
      </c>
      <c r="B185" s="478">
        <f>R190+T190+V190+X190</f>
        <v>110.95590167493783</v>
      </c>
      <c r="C185" s="478">
        <f>B185/1000</f>
        <v>0.11095590167493784</v>
      </c>
      <c r="D185" s="478">
        <f>$R190/$B185</f>
        <v>0</v>
      </c>
      <c r="E185" s="478">
        <f>$T190/$B185</f>
        <v>0</v>
      </c>
      <c r="F185" s="478">
        <f>$V190/$B185</f>
        <v>1</v>
      </c>
      <c r="G185" s="478">
        <f>$X190/$B185</f>
        <v>0</v>
      </c>
      <c r="H185" s="495">
        <f>B185/B189</f>
        <v>4.8717059639353504E-3</v>
      </c>
      <c r="I185" s="496">
        <f>SUM(D185:G185)</f>
        <v>1</v>
      </c>
      <c r="M185" s="226" t="s">
        <v>1010</v>
      </c>
      <c r="N185" t="s">
        <v>1008</v>
      </c>
      <c r="O185" s="390"/>
      <c r="P185" s="227" t="s">
        <v>1009</v>
      </c>
      <c r="Q185" s="227"/>
      <c r="R185" s="495">
        <f>R184*$K$182</f>
        <v>12707.035181772151</v>
      </c>
      <c r="S185" s="227"/>
      <c r="T185" s="495">
        <f>T184*$K$182</f>
        <v>4280.8348799999994</v>
      </c>
      <c r="U185" s="227"/>
      <c r="V185" s="495">
        <f>V184*$K$182</f>
        <v>2560.5208078831806</v>
      </c>
      <c r="W185" s="227"/>
      <c r="X185" s="495">
        <f>X184*$K$182</f>
        <v>3227.1835382278477</v>
      </c>
    </row>
    <row r="186" spans="1:24">
      <c r="A186" s="489" t="s">
        <v>85</v>
      </c>
      <c r="B186" s="491">
        <f>R191+T191+V191+X191</f>
        <v>19935.257838881731</v>
      </c>
      <c r="C186" s="478">
        <f>B186/1000</f>
        <v>19.935257838881732</v>
      </c>
      <c r="D186" s="478">
        <f>$R191/$B186</f>
        <v>0.60554438373698527</v>
      </c>
      <c r="E186" s="478">
        <f>$T191/$B186</f>
        <v>0.15461054672633698</v>
      </c>
      <c r="F186" s="478">
        <f>$V191/$B186</f>
        <v>8.6056019698713113E-2</v>
      </c>
      <c r="G186" s="478">
        <f>$X191/$B186</f>
        <v>0.15378904983796449</v>
      </c>
      <c r="H186" s="495">
        <f>B186/B189</f>
        <v>0.87529111151557404</v>
      </c>
      <c r="I186" s="496">
        <f>SUM(D186:G186)</f>
        <v>0.99999999999999989</v>
      </c>
      <c r="K186" s="218"/>
      <c r="M186" s="226">
        <f>L184*K168</f>
        <v>0.13569620253164558</v>
      </c>
      <c r="N186" s="218">
        <f>M186*K182</f>
        <v>3227.1835382278477</v>
      </c>
      <c r="O186" s="390">
        <f>N186/K182</f>
        <v>0.13569620253164558</v>
      </c>
      <c r="P186" s="227"/>
      <c r="Q186" s="227"/>
      <c r="R186" s="495"/>
      <c r="S186" s="227"/>
      <c r="T186" s="495"/>
      <c r="U186" s="227"/>
      <c r="V186" s="495"/>
      <c r="W186" s="227"/>
      <c r="X186" s="495"/>
    </row>
    <row r="187" spans="1:24" ht="60">
      <c r="A187" s="489" t="s">
        <v>86</v>
      </c>
      <c r="B187" s="478">
        <f>R192+T192+V192+X192</f>
        <v>282.18929687493784</v>
      </c>
      <c r="C187" s="478">
        <f>B187/1000</f>
        <v>0.28218929687493782</v>
      </c>
      <c r="D187" s="478">
        <f>$R192/$B187</f>
        <v>0</v>
      </c>
      <c r="E187" s="478">
        <f>$T192/$B187</f>
        <v>0.60680329515080123</v>
      </c>
      <c r="F187" s="478">
        <f>$V192/$B187</f>
        <v>0.39319670484919866</v>
      </c>
      <c r="G187" s="478">
        <f>$X192/$B187</f>
        <v>0</v>
      </c>
      <c r="H187" s="495">
        <f>B187/B189</f>
        <v>1.2389996924831247E-2</v>
      </c>
      <c r="I187" s="496">
        <f>SUM(D187:G187)</f>
        <v>0.99999999999999989</v>
      </c>
      <c r="K187" s="218"/>
      <c r="L187" t="s">
        <v>127</v>
      </c>
      <c r="N187" s="4" t="s">
        <v>1023</v>
      </c>
      <c r="O187" s="390"/>
      <c r="P187" s="227" t="s">
        <v>1012</v>
      </c>
      <c r="Q187" s="227" t="s">
        <v>1013</v>
      </c>
      <c r="R187" s="495" t="s">
        <v>1006</v>
      </c>
      <c r="S187" s="227" t="s">
        <v>1013</v>
      </c>
      <c r="T187" s="495" t="s">
        <v>1014</v>
      </c>
      <c r="U187" s="227" t="s">
        <v>1015</v>
      </c>
      <c r="V187" s="495" t="s">
        <v>127</v>
      </c>
      <c r="W187" s="227" t="s">
        <v>1013</v>
      </c>
      <c r="X187" s="495" t="s">
        <v>1010</v>
      </c>
    </row>
    <row r="188" spans="1:24">
      <c r="H188" s="496">
        <f>SUM(H183:H187)</f>
        <v>1</v>
      </c>
      <c r="K188" s="218"/>
      <c r="L188" s="474">
        <f>C216</f>
        <v>0.15</v>
      </c>
      <c r="N188" s="218">
        <f>L188*K182-(C232*1000)</f>
        <v>2560.5208078831806</v>
      </c>
      <c r="O188" s="390">
        <f>N188/K182</f>
        <v>0.1076644529253538</v>
      </c>
      <c r="P188" s="227" t="s">
        <v>90</v>
      </c>
      <c r="Q188" s="493">
        <v>0.05</v>
      </c>
      <c r="R188" s="495">
        <f>Q188*R$185</f>
        <v>635.35175908860765</v>
      </c>
      <c r="S188" s="493">
        <v>0.24</v>
      </c>
      <c r="T188" s="495">
        <f>S188*T$185</f>
        <v>1027.4003711999999</v>
      </c>
      <c r="U188" s="493">
        <v>0.2</v>
      </c>
      <c r="V188" s="495">
        <f>U188*V$185</f>
        <v>512.1041615766361</v>
      </c>
      <c r="W188" s="493">
        <v>0.05</v>
      </c>
      <c r="X188" s="495">
        <f>W188*X$185</f>
        <v>161.35917691139241</v>
      </c>
    </row>
    <row r="189" spans="1:24">
      <c r="B189" s="496">
        <f>SUM(B183:B187)</f>
        <v>22775.574407883181</v>
      </c>
      <c r="K189" s="218"/>
      <c r="L189" s="221" t="s">
        <v>1024</v>
      </c>
      <c r="N189" t="s">
        <v>1014</v>
      </c>
      <c r="O189" s="390"/>
      <c r="P189" s="227" t="s">
        <v>88</v>
      </c>
      <c r="Q189" s="493"/>
      <c r="R189" s="495">
        <f>Q189*R$185</f>
        <v>0</v>
      </c>
      <c r="S189" s="493"/>
      <c r="T189" s="495">
        <f>S189*T$185</f>
        <v>0</v>
      </c>
      <c r="U189" s="493">
        <f>U192</f>
        <v>4.3333333333333335E-2</v>
      </c>
      <c r="V189" s="495">
        <f>U189*V$185</f>
        <v>110.95590167493783</v>
      </c>
      <c r="W189" s="493"/>
      <c r="X189" s="495">
        <f>W189*X$185</f>
        <v>0</v>
      </c>
    </row>
    <row r="190" spans="1:24">
      <c r="K190" s="218"/>
      <c r="L190" s="474">
        <f>C217</f>
        <v>0.18</v>
      </c>
      <c r="N190" s="218">
        <f>L190*K182</f>
        <v>4280.8348799999994</v>
      </c>
      <c r="O190" s="390">
        <f>N190/K182</f>
        <v>0.18</v>
      </c>
      <c r="P190" s="227" t="s">
        <v>87</v>
      </c>
      <c r="Q190" s="493"/>
      <c r="R190" s="495">
        <f>Q190*R$185</f>
        <v>0</v>
      </c>
      <c r="S190" s="493"/>
      <c r="T190" s="495">
        <f>S190*T$185</f>
        <v>0</v>
      </c>
      <c r="U190" s="493">
        <f>U189</f>
        <v>4.3333333333333335E-2</v>
      </c>
      <c r="V190" s="495">
        <f>U190*V$185</f>
        <v>110.95590167493783</v>
      </c>
      <c r="W190" s="493"/>
      <c r="X190" s="495">
        <f>W190*X$185</f>
        <v>0</v>
      </c>
    </row>
    <row r="191" spans="1:24">
      <c r="K191" s="218"/>
      <c r="N191" s="496">
        <f>SUM(N184:N190)</f>
        <v>22775.574407883178</v>
      </c>
      <c r="P191" s="227" t="s">
        <v>85</v>
      </c>
      <c r="Q191" s="493">
        <v>0.95</v>
      </c>
      <c r="R191" s="495">
        <f>Q191*R$185</f>
        <v>12071.683422683544</v>
      </c>
      <c r="S191" s="493">
        <v>0.72</v>
      </c>
      <c r="T191" s="495">
        <f>S191*T$185</f>
        <v>3082.2011135999996</v>
      </c>
      <c r="U191" s="493">
        <v>0.67</v>
      </c>
      <c r="V191" s="495">
        <f>U191*V$185</f>
        <v>1715.5489412817312</v>
      </c>
      <c r="W191" s="493">
        <v>0.95</v>
      </c>
      <c r="X191" s="495">
        <f>W191*X$185</f>
        <v>3065.824361316455</v>
      </c>
    </row>
    <row r="192" spans="1:24">
      <c r="P192" s="227" t="s">
        <v>86</v>
      </c>
      <c r="Q192" s="493"/>
      <c r="R192" s="495">
        <f>Q192*R$185</f>
        <v>0</v>
      </c>
      <c r="S192" s="493">
        <v>0.04</v>
      </c>
      <c r="T192" s="495">
        <f>S192*T$185</f>
        <v>171.23339519999999</v>
      </c>
      <c r="U192" s="493">
        <f>(1-U188-U191)/3</f>
        <v>4.3333333333333335E-2</v>
      </c>
      <c r="V192" s="495">
        <f>U192*V$185</f>
        <v>110.95590167493783</v>
      </c>
      <c r="W192" s="493"/>
      <c r="X192" s="495">
        <f>W192*X$185</f>
        <v>0</v>
      </c>
    </row>
    <row r="193" spans="1:25">
      <c r="P193" s="227"/>
      <c r="Q193" s="493"/>
      <c r="R193" s="495"/>
      <c r="S193" s="493"/>
      <c r="T193" s="495"/>
      <c r="U193" s="493" t="s">
        <v>1018</v>
      </c>
      <c r="V193" s="495"/>
      <c r="W193" s="493"/>
      <c r="X193" s="495"/>
    </row>
    <row r="194" spans="1:25">
      <c r="P194" s="227"/>
      <c r="Q194" s="493">
        <f t="shared" ref="Q194:X194" si="29">SUM(Q188:Q192)</f>
        <v>1</v>
      </c>
      <c r="R194" s="495">
        <f t="shared" si="29"/>
        <v>12707.035181772151</v>
      </c>
      <c r="S194" s="493">
        <f t="shared" si="29"/>
        <v>1</v>
      </c>
      <c r="T194" s="495">
        <f t="shared" si="29"/>
        <v>4280.8348799999994</v>
      </c>
      <c r="U194" s="493">
        <f t="shared" si="29"/>
        <v>1</v>
      </c>
      <c r="V194" s="495">
        <f t="shared" si="29"/>
        <v>2560.5208078831806</v>
      </c>
      <c r="W194" s="493">
        <f t="shared" si="29"/>
        <v>1</v>
      </c>
      <c r="X194" s="495">
        <f t="shared" si="29"/>
        <v>3227.1835382278473</v>
      </c>
      <c r="Y194" s="218">
        <f>R194+T194+V194+X194</f>
        <v>22775.574407883181</v>
      </c>
    </row>
    <row r="195" spans="1:25">
      <c r="R195" s="390"/>
    </row>
    <row r="197" spans="1:25">
      <c r="A197" s="480" t="s">
        <v>1025</v>
      </c>
      <c r="B197" s="479"/>
      <c r="C197" s="479"/>
      <c r="D197" s="479"/>
      <c r="E197" s="479"/>
      <c r="F197" s="479"/>
      <c r="G197" s="479"/>
      <c r="H197" s="479"/>
      <c r="I197" s="479"/>
      <c r="J197" s="479"/>
      <c r="K197" s="479"/>
      <c r="L197" s="479"/>
      <c r="M197" s="479"/>
      <c r="N197" s="479"/>
      <c r="O197" s="479"/>
      <c r="P197" s="479"/>
      <c r="Q197" s="479"/>
      <c r="R197" s="479"/>
      <c r="S197" s="479"/>
      <c r="T197" s="479"/>
      <c r="U197" s="479"/>
      <c r="V197" s="479"/>
      <c r="W197" s="479"/>
      <c r="X197" s="479"/>
    </row>
    <row r="198" spans="1:25">
      <c r="A198" t="s">
        <v>526</v>
      </c>
    </row>
    <row r="199" spans="1:25">
      <c r="A199" s="316" t="s">
        <v>1026</v>
      </c>
      <c r="B199" s="316" t="s">
        <v>1027</v>
      </c>
      <c r="C199" s="316" t="s">
        <v>101</v>
      </c>
      <c r="D199" s="316" t="s">
        <v>1028</v>
      </c>
      <c r="E199" s="316" t="s">
        <v>104</v>
      </c>
    </row>
    <row r="200" spans="1:25">
      <c r="A200" s="482" t="s">
        <v>182</v>
      </c>
      <c r="B200" s="227" t="s">
        <v>1029</v>
      </c>
      <c r="C200" s="227">
        <v>2018</v>
      </c>
      <c r="D200" s="227">
        <v>707810</v>
      </c>
      <c r="E200" s="227" t="s">
        <v>1030</v>
      </c>
    </row>
    <row r="201" spans="1:25">
      <c r="A201" s="482" t="s">
        <v>182</v>
      </c>
      <c r="B201" s="227" t="s">
        <v>1031</v>
      </c>
      <c r="C201" s="227">
        <v>2018</v>
      </c>
      <c r="D201" s="227">
        <v>310960</v>
      </c>
      <c r="E201" s="227" t="s">
        <v>1030</v>
      </c>
    </row>
    <row r="202" spans="1:25">
      <c r="A202" s="482" t="s">
        <v>182</v>
      </c>
      <c r="B202" s="227" t="s">
        <v>1032</v>
      </c>
      <c r="C202" s="227">
        <v>2018</v>
      </c>
      <c r="D202" s="227">
        <v>396850</v>
      </c>
      <c r="E202" s="227" t="s">
        <v>1030</v>
      </c>
    </row>
    <row r="203" spans="1:25">
      <c r="A203" s="482" t="s">
        <v>182</v>
      </c>
      <c r="B203" s="227" t="s">
        <v>1029</v>
      </c>
      <c r="C203" s="227">
        <v>2019</v>
      </c>
      <c r="D203" s="227">
        <v>710500</v>
      </c>
      <c r="E203" s="227" t="s">
        <v>1030</v>
      </c>
    </row>
    <row r="204" spans="1:25">
      <c r="A204" s="482" t="s">
        <v>182</v>
      </c>
      <c r="B204" s="227" t="s">
        <v>1031</v>
      </c>
      <c r="C204" s="227">
        <v>2019</v>
      </c>
      <c r="D204" s="227">
        <v>324500</v>
      </c>
      <c r="E204" s="227" t="s">
        <v>1030</v>
      </c>
    </row>
    <row r="205" spans="1:25">
      <c r="A205" s="482" t="s">
        <v>182</v>
      </c>
      <c r="B205" s="227" t="s">
        <v>1032</v>
      </c>
      <c r="C205" s="227">
        <v>2019</v>
      </c>
      <c r="D205" s="227">
        <v>397000</v>
      </c>
      <c r="E205" s="227" t="s">
        <v>1030</v>
      </c>
    </row>
    <row r="207" spans="1:25">
      <c r="A207" t="s">
        <v>1033</v>
      </c>
    </row>
    <row r="208" spans="1:25">
      <c r="A208" s="481" t="s">
        <v>47</v>
      </c>
      <c r="B208" s="481" t="s">
        <v>1026</v>
      </c>
      <c r="C208" s="481" t="s">
        <v>1034</v>
      </c>
      <c r="D208" s="481" t="s">
        <v>104</v>
      </c>
    </row>
    <row r="209" spans="1:4">
      <c r="A209" s="482" t="s">
        <v>1035</v>
      </c>
      <c r="B209" s="484" t="s">
        <v>182</v>
      </c>
      <c r="C209" s="493">
        <v>0.63</v>
      </c>
      <c r="D209" s="227" t="s">
        <v>1036</v>
      </c>
    </row>
    <row r="210" spans="1:4">
      <c r="A210" s="482" t="s">
        <v>1010</v>
      </c>
      <c r="B210" s="484" t="s">
        <v>182</v>
      </c>
      <c r="C210" s="493">
        <v>0.16</v>
      </c>
      <c r="D210" s="227" t="s">
        <v>1036</v>
      </c>
    </row>
    <row r="211" spans="1:4">
      <c r="A211" s="482" t="s">
        <v>1011</v>
      </c>
      <c r="B211" s="484" t="s">
        <v>182</v>
      </c>
      <c r="C211" s="493">
        <v>0.11</v>
      </c>
      <c r="D211" s="227" t="s">
        <v>1036</v>
      </c>
    </row>
    <row r="212" spans="1:4">
      <c r="A212" s="482" t="s">
        <v>1016</v>
      </c>
      <c r="B212" s="484" t="s">
        <v>182</v>
      </c>
      <c r="C212" s="493">
        <v>0.06</v>
      </c>
      <c r="D212" s="227" t="s">
        <v>1036</v>
      </c>
    </row>
    <row r="213" spans="1:4">
      <c r="A213" s="482" t="s">
        <v>1017</v>
      </c>
      <c r="B213" s="484" t="s">
        <v>182</v>
      </c>
      <c r="C213" s="493">
        <v>0.01</v>
      </c>
      <c r="D213" s="227" t="s">
        <v>1036</v>
      </c>
    </row>
    <row r="214" spans="1:4">
      <c r="A214" s="482" t="s">
        <v>127</v>
      </c>
      <c r="B214" s="484" t="s">
        <v>182</v>
      </c>
      <c r="C214" s="494">
        <f>1-SUM(C209:C213)</f>
        <v>3.0000000000000027E-2</v>
      </c>
      <c r="D214" s="227" t="s">
        <v>1036</v>
      </c>
    </row>
    <row r="215" spans="1:4">
      <c r="A215" s="482" t="s">
        <v>1022</v>
      </c>
      <c r="B215" s="484" t="s">
        <v>180</v>
      </c>
      <c r="C215" s="493">
        <v>0.67</v>
      </c>
      <c r="D215" s="227" t="s">
        <v>1037</v>
      </c>
    </row>
    <row r="216" spans="1:4">
      <c r="A216" s="482" t="s">
        <v>127</v>
      </c>
      <c r="B216" s="484" t="s">
        <v>180</v>
      </c>
      <c r="C216" s="493">
        <v>0.15</v>
      </c>
      <c r="D216" s="227" t="s">
        <v>1037</v>
      </c>
    </row>
    <row r="217" spans="1:4">
      <c r="A217" s="482" t="s">
        <v>1014</v>
      </c>
      <c r="B217" s="484" t="s">
        <v>180</v>
      </c>
      <c r="C217" s="493">
        <v>0.18</v>
      </c>
      <c r="D217" s="227" t="s">
        <v>1037</v>
      </c>
    </row>
    <row r="219" spans="1:4">
      <c r="A219" t="s">
        <v>1038</v>
      </c>
    </row>
    <row r="220" spans="1:4">
      <c r="A220" s="316" t="s">
        <v>1039</v>
      </c>
      <c r="B220" s="316" t="s">
        <v>101</v>
      </c>
      <c r="C220" s="483" t="s">
        <v>1028</v>
      </c>
      <c r="D220" s="316" t="s">
        <v>104</v>
      </c>
    </row>
    <row r="221" spans="1:4">
      <c r="A221" s="482" t="s">
        <v>1040</v>
      </c>
      <c r="B221" s="484">
        <v>2022</v>
      </c>
      <c r="C221" s="486">
        <f>84/1947</f>
        <v>4.3143297380585519E-2</v>
      </c>
      <c r="D221" s="484" t="s">
        <v>1041</v>
      </c>
    </row>
    <row r="222" spans="1:4">
      <c r="A222" s="482" t="s">
        <v>1042</v>
      </c>
      <c r="B222" s="484">
        <v>2022</v>
      </c>
      <c r="C222" s="485">
        <f>84/2500</f>
        <v>3.3599999999999998E-2</v>
      </c>
      <c r="D222" s="484" t="s">
        <v>1041</v>
      </c>
    </row>
    <row r="223" spans="1:4">
      <c r="A223" s="482" t="s">
        <v>1043</v>
      </c>
      <c r="B223" s="484">
        <v>2022</v>
      </c>
      <c r="C223" s="485">
        <f>1947/53300</f>
        <v>3.652908067542214E-2</v>
      </c>
      <c r="D223" s="484" t="s">
        <v>1041</v>
      </c>
    </row>
    <row r="224" spans="1:4">
      <c r="A224" s="482" t="s">
        <v>1044</v>
      </c>
      <c r="B224" s="484">
        <v>2022</v>
      </c>
      <c r="C224" s="487">
        <f>Intentionally_produced_MPs!D64/Intentionally_produced_MPs!D63</f>
        <v>6.7122772807787931E-2</v>
      </c>
      <c r="D224" s="629" t="s">
        <v>1045</v>
      </c>
    </row>
    <row r="226" spans="1:16">
      <c r="A226" t="s">
        <v>1046</v>
      </c>
    </row>
    <row r="227" spans="1:16">
      <c r="A227" s="316" t="s">
        <v>100</v>
      </c>
      <c r="B227" s="316" t="s">
        <v>1047</v>
      </c>
      <c r="C227" s="316" t="s">
        <v>1048</v>
      </c>
    </row>
    <row r="228" spans="1:16">
      <c r="A228" s="482" t="str">
        <f>Intentionally_produced_MPs!A32</f>
        <v>Controlled release fertilizer</v>
      </c>
      <c r="B228" s="484">
        <f>(Intentionally_produced_MPs!E32)/1000</f>
        <v>10</v>
      </c>
      <c r="C228" s="484">
        <f>(Intentionally_produced_MPs!E72)/1000</f>
        <v>0.67122772807787934</v>
      </c>
    </row>
    <row r="229" spans="1:16">
      <c r="A229" s="482" t="str">
        <f>Intentionally_produced_MPs!A33</f>
        <v>Fertilizer additives</v>
      </c>
      <c r="B229" s="484">
        <f>(Intentionally_produced_MPs!E33)/1000</f>
        <v>4</v>
      </c>
      <c r="C229" s="484">
        <f>(Intentionally_produced_MPs!E73)/1000</f>
        <v>0.26849109123115172</v>
      </c>
    </row>
    <row r="230" spans="1:16">
      <c r="A230" s="482" t="str">
        <f>Intentionally_produced_MPs!A34</f>
        <v>Plant protection products</v>
      </c>
      <c r="B230" s="484">
        <f>(Intentionally_produced_MPs!E34)/1000</f>
        <v>0.5</v>
      </c>
      <c r="C230" s="484">
        <f>(Intentionally_produced_MPs!E74)/1000</f>
        <v>3.3561386403893965E-2</v>
      </c>
    </row>
    <row r="231" spans="1:16">
      <c r="A231" s="482" t="str">
        <f>Intentionally_produced_MPs!A35</f>
        <v>Seed coating</v>
      </c>
      <c r="B231" s="484">
        <f>(Intentionally_produced_MPs!E35)/1000</f>
        <v>0.5</v>
      </c>
      <c r="C231" s="484">
        <f>(Intentionally_produced_MPs!E75)/1000</f>
        <v>3.3561386403893965E-2</v>
      </c>
    </row>
    <row r="232" spans="1:16">
      <c r="A232" s="316" t="s">
        <v>1049</v>
      </c>
      <c r="B232" s="316">
        <f>SUM(B228:B231)</f>
        <v>15</v>
      </c>
      <c r="C232" s="316">
        <f>SUM(C228:C231)</f>
        <v>1.006841592116819</v>
      </c>
    </row>
    <row r="234" spans="1:16" ht="15.75" thickBot="1">
      <c r="A234" s="480" t="s">
        <v>1050</v>
      </c>
      <c r="B234" s="479"/>
      <c r="C234" s="479"/>
      <c r="D234" s="479"/>
      <c r="E234" s="479"/>
      <c r="F234" s="479"/>
      <c r="G234" s="479"/>
      <c r="H234" s="479"/>
      <c r="I234" s="479"/>
      <c r="J234" s="479"/>
      <c r="K234" s="479"/>
      <c r="L234" s="479"/>
      <c r="M234" s="479"/>
      <c r="N234" s="479"/>
      <c r="O234" s="479"/>
      <c r="P234" s="479"/>
    </row>
    <row r="235" spans="1:16" ht="15.75" thickBot="1">
      <c r="A235" s="65" t="s">
        <v>129</v>
      </c>
      <c r="B235" s="107" t="s">
        <v>130</v>
      </c>
      <c r="C235" s="108" t="s">
        <v>131</v>
      </c>
      <c r="D235" s="109" t="s">
        <v>102</v>
      </c>
      <c r="E235" s="125" t="s">
        <v>132</v>
      </c>
      <c r="F235" s="108" t="s">
        <v>133</v>
      </c>
      <c r="G235" s="110" t="s">
        <v>104</v>
      </c>
      <c r="H235" s="111" t="s">
        <v>134</v>
      </c>
      <c r="I235" s="112" t="s">
        <v>135</v>
      </c>
      <c r="J235" s="112" t="s">
        <v>65</v>
      </c>
      <c r="K235" s="112" t="s">
        <v>67</v>
      </c>
      <c r="L235" s="112" t="s">
        <v>73</v>
      </c>
      <c r="M235" s="113" t="s">
        <v>79</v>
      </c>
      <c r="N235" s="114" t="s">
        <v>136</v>
      </c>
      <c r="O235" s="114" t="s">
        <v>137</v>
      </c>
      <c r="P235" s="115" t="s">
        <v>123</v>
      </c>
    </row>
    <row r="236" spans="1:16" ht="15.75" thickBot="1">
      <c r="A236" s="151" t="s">
        <v>1051</v>
      </c>
      <c r="B236" s="151" t="s">
        <v>204</v>
      </c>
      <c r="C236" s="151" t="s">
        <v>139</v>
      </c>
      <c r="D236" s="151" t="s">
        <v>139</v>
      </c>
      <c r="E236" s="679">
        <v>2.7E-4</v>
      </c>
      <c r="F236" s="352">
        <v>2</v>
      </c>
      <c r="G236" s="151"/>
      <c r="H236" s="253">
        <v>1</v>
      </c>
      <c r="I236" s="13"/>
      <c r="J236" s="13">
        <v>1</v>
      </c>
      <c r="K236" s="13">
        <v>3</v>
      </c>
      <c r="L236" s="13">
        <v>3</v>
      </c>
      <c r="M236" s="322">
        <v>3</v>
      </c>
      <c r="N236" s="411">
        <v>1.1181151966036349</v>
      </c>
      <c r="O236" t="s">
        <v>249</v>
      </c>
      <c r="P236" s="33"/>
    </row>
    <row r="237" spans="1:16" ht="15.75" thickBot="1">
      <c r="A237" s="152" t="s">
        <v>1051</v>
      </c>
      <c r="B237" s="152" t="s">
        <v>165</v>
      </c>
      <c r="C237" s="152" t="s">
        <v>139</v>
      </c>
      <c r="D237" s="152" t="s">
        <v>139</v>
      </c>
      <c r="E237" s="680">
        <f>1-E236-E238-E239-E240-E241</f>
        <v>0.90772999999999993</v>
      </c>
      <c r="F237" s="172">
        <v>1</v>
      </c>
      <c r="G237" s="152"/>
      <c r="H237" s="252"/>
      <c r="I237" s="10"/>
      <c r="J237" s="10"/>
      <c r="K237" s="10"/>
      <c r="L237" s="10"/>
      <c r="M237" s="323"/>
      <c r="N237" s="411" t="s">
        <v>249</v>
      </c>
      <c r="O237" s="355" t="s">
        <v>249</v>
      </c>
      <c r="P237" s="34"/>
    </row>
    <row r="238" spans="1:16" ht="15.75" thickBot="1">
      <c r="A238" s="152" t="s">
        <v>1051</v>
      </c>
      <c r="B238" s="152" t="s">
        <v>155</v>
      </c>
      <c r="C238" s="152" t="s">
        <v>139</v>
      </c>
      <c r="D238" s="152" t="s">
        <v>139</v>
      </c>
      <c r="E238" s="681">
        <v>0.02</v>
      </c>
      <c r="F238" s="172">
        <v>2</v>
      </c>
      <c r="G238" s="152" t="s">
        <v>1052</v>
      </c>
      <c r="H238" s="252">
        <v>1</v>
      </c>
      <c r="I238" s="10"/>
      <c r="J238" s="10">
        <v>1</v>
      </c>
      <c r="K238" s="10">
        <v>1</v>
      </c>
      <c r="L238" s="10">
        <v>1</v>
      </c>
      <c r="M238" s="323">
        <v>3</v>
      </c>
      <c r="N238" s="411">
        <v>1.0141150152164344</v>
      </c>
      <c r="O238" s="355" t="s">
        <v>249</v>
      </c>
      <c r="P238" s="34" t="s">
        <v>973</v>
      </c>
    </row>
    <row r="239" spans="1:16" ht="15.75" thickBot="1">
      <c r="A239" s="152" t="s">
        <v>1051</v>
      </c>
      <c r="B239" s="152" t="s">
        <v>146</v>
      </c>
      <c r="C239" s="152" t="s">
        <v>139</v>
      </c>
      <c r="D239" s="152" t="s">
        <v>139</v>
      </c>
      <c r="E239" s="681">
        <v>0</v>
      </c>
      <c r="F239" s="172">
        <v>2</v>
      </c>
      <c r="G239" s="152" t="s">
        <v>147</v>
      </c>
      <c r="H239" s="252"/>
      <c r="I239" s="10"/>
      <c r="J239" s="10"/>
      <c r="K239" s="10"/>
      <c r="L239" s="10"/>
      <c r="M239" s="323"/>
      <c r="N239" s="411" t="s">
        <v>249</v>
      </c>
      <c r="O239" s="355" t="s">
        <v>249</v>
      </c>
      <c r="P239" s="34"/>
    </row>
    <row r="240" spans="1:16" ht="15.75" thickBot="1">
      <c r="A240" s="152" t="s">
        <v>1051</v>
      </c>
      <c r="B240" s="152" t="s">
        <v>146</v>
      </c>
      <c r="C240" s="152" t="s">
        <v>139</v>
      </c>
      <c r="D240" s="152" t="s">
        <v>139</v>
      </c>
      <c r="E240" s="681">
        <v>3.6999999999999998E-2</v>
      </c>
      <c r="F240" s="172">
        <v>2</v>
      </c>
      <c r="G240" s="152" t="s">
        <v>148</v>
      </c>
      <c r="H240" s="252">
        <v>1</v>
      </c>
      <c r="I240" s="10"/>
      <c r="J240" s="10">
        <v>1</v>
      </c>
      <c r="K240" s="10">
        <v>1</v>
      </c>
      <c r="L240" s="10">
        <v>1</v>
      </c>
      <c r="M240" s="323">
        <v>3</v>
      </c>
      <c r="N240" s="411">
        <v>1.0141150152164344</v>
      </c>
      <c r="O240" s="355" t="s">
        <v>249</v>
      </c>
      <c r="P240" s="34"/>
    </row>
    <row r="241" spans="1:16" ht="15.75" thickBot="1">
      <c r="A241" s="345" t="s">
        <v>1051</v>
      </c>
      <c r="B241" s="345" t="s">
        <v>167</v>
      </c>
      <c r="C241" s="345" t="s">
        <v>139</v>
      </c>
      <c r="D241" s="345" t="s">
        <v>139</v>
      </c>
      <c r="E241" s="682">
        <v>3.5000000000000003E-2</v>
      </c>
      <c r="F241" s="353">
        <v>2</v>
      </c>
      <c r="G241" s="345" t="s">
        <v>199</v>
      </c>
      <c r="H241" s="349">
        <v>1</v>
      </c>
      <c r="I241" s="350"/>
      <c r="J241" s="350">
        <v>3</v>
      </c>
      <c r="K241" s="350">
        <v>3</v>
      </c>
      <c r="L241" s="350">
        <v>3</v>
      </c>
      <c r="M241" s="354">
        <v>2</v>
      </c>
      <c r="N241" s="411">
        <v>0.67101227267249941</v>
      </c>
      <c r="O241" s="355" t="s">
        <v>249</v>
      </c>
      <c r="P241" s="346"/>
    </row>
    <row r="242" spans="1:16" ht="15.75" thickBot="1">
      <c r="A242" s="233" t="s">
        <v>967</v>
      </c>
      <c r="B242" s="60" t="s">
        <v>204</v>
      </c>
      <c r="C242" s="162" t="s">
        <v>139</v>
      </c>
      <c r="D242" s="60" t="s">
        <v>139</v>
      </c>
      <c r="E242" s="578">
        <v>2.7E-4</v>
      </c>
      <c r="F242" s="237">
        <v>2</v>
      </c>
      <c r="G242" s="162" t="s">
        <v>205</v>
      </c>
      <c r="H242" s="254">
        <v>1</v>
      </c>
      <c r="I242" s="66"/>
      <c r="J242" s="66">
        <v>1</v>
      </c>
      <c r="K242" s="66">
        <v>3</v>
      </c>
      <c r="L242" s="66">
        <v>3</v>
      </c>
      <c r="M242" s="300">
        <v>3</v>
      </c>
      <c r="N242" s="411">
        <v>1.1181151966036349</v>
      </c>
      <c r="O242" s="355" t="s">
        <v>249</v>
      </c>
      <c r="P242" s="60"/>
    </row>
    <row r="243" spans="1:16" ht="15.75" thickBot="1">
      <c r="A243" s="152" t="s">
        <v>967</v>
      </c>
      <c r="B243" s="34" t="s">
        <v>165</v>
      </c>
      <c r="C243" s="40" t="s">
        <v>139</v>
      </c>
      <c r="D243" s="34" t="s">
        <v>139</v>
      </c>
      <c r="E243" s="243" t="s">
        <v>150</v>
      </c>
      <c r="F243" s="235">
        <v>1</v>
      </c>
      <c r="G243" s="40"/>
      <c r="H243" s="252"/>
      <c r="I243" s="10"/>
      <c r="J243" s="10"/>
      <c r="K243" s="10"/>
      <c r="L243" s="10"/>
      <c r="M243" s="298"/>
      <c r="N243" s="411" t="s">
        <v>249</v>
      </c>
      <c r="O243" s="355" t="s">
        <v>249</v>
      </c>
      <c r="P243" s="34"/>
    </row>
    <row r="244" spans="1:16" ht="15.75" thickBot="1">
      <c r="A244" s="152" t="s">
        <v>967</v>
      </c>
      <c r="B244" s="34" t="s">
        <v>155</v>
      </c>
      <c r="C244" s="40" t="s">
        <v>139</v>
      </c>
      <c r="D244" s="34" t="s">
        <v>139</v>
      </c>
      <c r="E244" s="243">
        <v>1E-3</v>
      </c>
      <c r="F244" s="235">
        <v>2</v>
      </c>
      <c r="G244" s="40" t="s">
        <v>157</v>
      </c>
      <c r="H244" s="252">
        <v>1</v>
      </c>
      <c r="I244" s="10"/>
      <c r="J244" s="10">
        <v>1</v>
      </c>
      <c r="K244" s="10">
        <v>1</v>
      </c>
      <c r="L244" s="10">
        <v>1</v>
      </c>
      <c r="M244" s="298">
        <v>3</v>
      </c>
      <c r="N244" s="411">
        <v>1.0141150152164344</v>
      </c>
      <c r="O244" s="355" t="s">
        <v>249</v>
      </c>
      <c r="P244" s="34"/>
    </row>
    <row r="245" spans="1:16" ht="15.75" thickBot="1">
      <c r="A245" s="152" t="s">
        <v>967</v>
      </c>
      <c r="B245" s="34" t="s">
        <v>146</v>
      </c>
      <c r="C245" s="40" t="s">
        <v>139</v>
      </c>
      <c r="D245" s="34" t="s">
        <v>139</v>
      </c>
      <c r="E245" s="243">
        <v>0</v>
      </c>
      <c r="F245" s="235">
        <v>2</v>
      </c>
      <c r="G245" s="40" t="s">
        <v>147</v>
      </c>
      <c r="H245" s="252"/>
      <c r="I245" s="10"/>
      <c r="J245" s="10"/>
      <c r="K245" s="10"/>
      <c r="L245" s="10"/>
      <c r="M245" s="298"/>
      <c r="N245" s="411" t="s">
        <v>249</v>
      </c>
      <c r="O245" s="355" t="s">
        <v>249</v>
      </c>
      <c r="P245" s="34"/>
    </row>
    <row r="246" spans="1:16" ht="15.75" thickBot="1">
      <c r="A246" s="230" t="s">
        <v>967</v>
      </c>
      <c r="B246" s="150" t="s">
        <v>146</v>
      </c>
      <c r="C246" s="154" t="s">
        <v>139</v>
      </c>
      <c r="D246" s="150" t="s">
        <v>139</v>
      </c>
      <c r="E246" s="579">
        <v>3.7999999999999999E-2</v>
      </c>
      <c r="F246" s="238">
        <v>2</v>
      </c>
      <c r="G246" s="154" t="s">
        <v>148</v>
      </c>
      <c r="H246" s="251">
        <v>1</v>
      </c>
      <c r="I246" s="15"/>
      <c r="J246" s="15">
        <v>1</v>
      </c>
      <c r="K246" s="15">
        <v>1</v>
      </c>
      <c r="L246" s="15">
        <v>1</v>
      </c>
      <c r="M246" s="301">
        <v>3</v>
      </c>
      <c r="N246" s="411">
        <v>1.0141150152164344</v>
      </c>
      <c r="O246" s="355" t="s">
        <v>249</v>
      </c>
      <c r="P246" s="150"/>
    </row>
    <row r="247" spans="1:16" ht="15.75" thickBot="1">
      <c r="A247" s="345" t="s">
        <v>967</v>
      </c>
      <c r="B247" s="346" t="s">
        <v>167</v>
      </c>
      <c r="C247" s="347" t="s">
        <v>139</v>
      </c>
      <c r="D247" s="346" t="s">
        <v>139</v>
      </c>
      <c r="E247" s="682">
        <v>3.5000000000000003E-2</v>
      </c>
      <c r="F247" s="348">
        <v>2</v>
      </c>
      <c r="G247" s="345" t="s">
        <v>199</v>
      </c>
      <c r="H247" s="349">
        <v>1</v>
      </c>
      <c r="I247" s="350"/>
      <c r="J247" s="350">
        <v>3</v>
      </c>
      <c r="K247" s="350">
        <v>3</v>
      </c>
      <c r="L247" s="350">
        <v>3</v>
      </c>
      <c r="M247" s="354">
        <v>2</v>
      </c>
      <c r="N247" s="411">
        <v>0.67101227267249941</v>
      </c>
      <c r="O247" s="355" t="s">
        <v>249</v>
      </c>
      <c r="P247" s="346"/>
    </row>
    <row r="248" spans="1:16" ht="15.75" thickBot="1">
      <c r="A248" s="151" t="s">
        <v>1053</v>
      </c>
      <c r="B248" s="33" t="s">
        <v>204</v>
      </c>
      <c r="C248" s="39" t="s">
        <v>139</v>
      </c>
      <c r="D248" s="33" t="s">
        <v>139</v>
      </c>
      <c r="E248" s="242">
        <v>2.7E-4</v>
      </c>
      <c r="F248" s="234">
        <v>2</v>
      </c>
      <c r="G248" s="39" t="s">
        <v>205</v>
      </c>
      <c r="H248" s="253">
        <v>1</v>
      </c>
      <c r="I248" s="13"/>
      <c r="J248" s="13">
        <v>1</v>
      </c>
      <c r="K248" s="13">
        <v>3</v>
      </c>
      <c r="L248" s="13">
        <v>3</v>
      </c>
      <c r="M248" s="322">
        <v>3</v>
      </c>
      <c r="N248" s="411">
        <v>1.1181151966036349</v>
      </c>
      <c r="O248" s="355" t="s">
        <v>249</v>
      </c>
      <c r="P248" s="33"/>
    </row>
    <row r="249" spans="1:16" ht="15.75" thickBot="1">
      <c r="A249" s="152" t="s">
        <v>1053</v>
      </c>
      <c r="B249" s="34" t="s">
        <v>165</v>
      </c>
      <c r="C249" s="40" t="s">
        <v>139</v>
      </c>
      <c r="D249" s="34" t="s">
        <v>139</v>
      </c>
      <c r="E249" s="683">
        <f>1-SUM(E250:E253,E248)</f>
        <v>0.92572999999999994</v>
      </c>
      <c r="F249" s="235">
        <v>1</v>
      </c>
      <c r="G249" s="40"/>
      <c r="H249" s="252"/>
      <c r="I249" s="10"/>
      <c r="J249" s="10"/>
      <c r="K249" s="10"/>
      <c r="L249" s="10"/>
      <c r="M249" s="323"/>
      <c r="N249" s="411" t="s">
        <v>249</v>
      </c>
      <c r="O249" s="355" t="s">
        <v>249</v>
      </c>
      <c r="P249" s="34"/>
    </row>
    <row r="250" spans="1:16" ht="15.75" thickBot="1">
      <c r="A250" s="152" t="s">
        <v>1053</v>
      </c>
      <c r="B250" s="34" t="s">
        <v>155</v>
      </c>
      <c r="C250" s="40" t="s">
        <v>139</v>
      </c>
      <c r="D250" s="34" t="s">
        <v>139</v>
      </c>
      <c r="E250" s="243">
        <v>1E-3</v>
      </c>
      <c r="F250" s="235">
        <v>2</v>
      </c>
      <c r="G250" s="40" t="s">
        <v>157</v>
      </c>
      <c r="H250" s="252">
        <v>1</v>
      </c>
      <c r="I250" s="10"/>
      <c r="J250" s="10">
        <v>1</v>
      </c>
      <c r="K250" s="10">
        <v>1</v>
      </c>
      <c r="L250" s="10">
        <v>1</v>
      </c>
      <c r="M250" s="323">
        <v>3</v>
      </c>
      <c r="N250" s="411">
        <v>1.0141150152164344</v>
      </c>
      <c r="O250" s="355" t="s">
        <v>249</v>
      </c>
      <c r="P250" s="34"/>
    </row>
    <row r="251" spans="1:16" ht="15.75" thickBot="1">
      <c r="A251" s="152" t="s">
        <v>1053</v>
      </c>
      <c r="B251" s="34" t="s">
        <v>146</v>
      </c>
      <c r="C251" s="40" t="s">
        <v>139</v>
      </c>
      <c r="D251" s="34" t="s">
        <v>139</v>
      </c>
      <c r="E251" s="243">
        <v>0</v>
      </c>
      <c r="F251" s="235">
        <v>2</v>
      </c>
      <c r="G251" s="40" t="s">
        <v>147</v>
      </c>
      <c r="H251" s="252"/>
      <c r="I251" s="10"/>
      <c r="J251" s="10"/>
      <c r="K251" s="10"/>
      <c r="L251" s="10"/>
      <c r="M251" s="323"/>
      <c r="N251" s="411" t="s">
        <v>249</v>
      </c>
      <c r="O251" s="355" t="s">
        <v>249</v>
      </c>
      <c r="P251" s="34"/>
    </row>
    <row r="252" spans="1:16" ht="15.75" thickBot="1">
      <c r="A252" s="152" t="s">
        <v>1053</v>
      </c>
      <c r="B252" s="34" t="s">
        <v>146</v>
      </c>
      <c r="C252" s="40" t="s">
        <v>139</v>
      </c>
      <c r="D252" s="34" t="s">
        <v>139</v>
      </c>
      <c r="E252" s="243">
        <v>3.7999999999999999E-2</v>
      </c>
      <c r="F252" s="235">
        <v>2</v>
      </c>
      <c r="G252" s="40" t="s">
        <v>148</v>
      </c>
      <c r="H252" s="252">
        <v>1</v>
      </c>
      <c r="I252" s="10"/>
      <c r="J252" s="10">
        <v>1</v>
      </c>
      <c r="K252" s="10">
        <v>1</v>
      </c>
      <c r="L252" s="10">
        <v>1</v>
      </c>
      <c r="M252" s="323">
        <v>3</v>
      </c>
      <c r="N252" s="411">
        <v>1.0141150152164344</v>
      </c>
      <c r="O252" s="355" t="s">
        <v>249</v>
      </c>
      <c r="P252" s="34"/>
    </row>
    <row r="253" spans="1:16" ht="15.75" thickBot="1">
      <c r="A253" s="345" t="s">
        <v>1053</v>
      </c>
      <c r="B253" s="346" t="s">
        <v>167</v>
      </c>
      <c r="C253" s="347" t="s">
        <v>139</v>
      </c>
      <c r="D253" s="346" t="s">
        <v>139</v>
      </c>
      <c r="E253" s="682">
        <v>3.5000000000000003E-2</v>
      </c>
      <c r="F253" s="348">
        <v>2</v>
      </c>
      <c r="G253" s="345" t="s">
        <v>199</v>
      </c>
      <c r="H253" s="349">
        <v>1</v>
      </c>
      <c r="I253" s="350"/>
      <c r="J253" s="350">
        <v>3</v>
      </c>
      <c r="K253" s="350">
        <v>3</v>
      </c>
      <c r="L253" s="350">
        <v>3</v>
      </c>
      <c r="M253" s="354">
        <v>2</v>
      </c>
      <c r="N253" s="411">
        <v>0.67101227267249941</v>
      </c>
      <c r="O253" s="355" t="s">
        <v>249</v>
      </c>
      <c r="P253" s="346"/>
    </row>
    <row r="376" spans="16:17" ht="18.75">
      <c r="P376" s="468"/>
      <c r="Q376" s="469"/>
    </row>
    <row r="377" spans="16:17">
      <c r="P377" s="470"/>
      <c r="Q377" s="471"/>
    </row>
    <row r="378" spans="16:17">
      <c r="P378" s="6"/>
      <c r="Q378" s="6"/>
    </row>
    <row r="379" spans="16:17">
      <c r="P379" s="6"/>
      <c r="Q379" s="6"/>
    </row>
    <row r="380" spans="16:17">
      <c r="P380" s="6"/>
      <c r="Q380" s="6"/>
    </row>
    <row r="381" spans="16:17">
      <c r="P381" s="6"/>
      <c r="Q381" s="6"/>
    </row>
    <row r="382" spans="16:17">
      <c r="P382" s="6"/>
      <c r="Q382" s="6"/>
    </row>
    <row r="383" spans="16:17">
      <c r="P383" s="6"/>
      <c r="Q383" s="6"/>
    </row>
    <row r="384" spans="16:17">
      <c r="P384" s="6"/>
      <c r="Q384" s="6"/>
    </row>
    <row r="385" spans="16:17">
      <c r="P385" s="6"/>
      <c r="Q385" s="6"/>
    </row>
    <row r="386" spans="16:17">
      <c r="P386" s="6"/>
      <c r="Q386" s="6"/>
    </row>
    <row r="387" spans="16:17">
      <c r="P387" s="6"/>
      <c r="Q387" s="6"/>
    </row>
    <row r="388" spans="16:17">
      <c r="P388" s="6"/>
      <c r="Q388" s="6"/>
    </row>
    <row r="389" spans="16:17">
      <c r="P389" s="6"/>
      <c r="Q389" s="6"/>
    </row>
    <row r="390" spans="16:17">
      <c r="P390" s="6"/>
      <c r="Q390" s="6"/>
    </row>
    <row r="391" spans="16:17">
      <c r="P391" s="6"/>
      <c r="Q391" s="6"/>
    </row>
    <row r="392" spans="16:17">
      <c r="P392" s="6"/>
      <c r="Q392" s="6"/>
    </row>
    <row r="393" spans="16:17">
      <c r="P393" s="6"/>
      <c r="Q393" s="6"/>
    </row>
    <row r="394" spans="16:17">
      <c r="P394" s="6"/>
      <c r="Q394" s="6"/>
    </row>
    <row r="395" spans="16:17">
      <c r="P395" s="6"/>
      <c r="Q395" s="6"/>
    </row>
    <row r="396" spans="16:17">
      <c r="P396" s="6"/>
      <c r="Q396" s="6"/>
    </row>
    <row r="397" spans="16:17">
      <c r="P397" s="6"/>
      <c r="Q397" s="6"/>
    </row>
    <row r="398" spans="16:17">
      <c r="P398" s="6"/>
      <c r="Q398" s="6"/>
    </row>
    <row r="399" spans="16:17">
      <c r="P399" s="6"/>
      <c r="Q399" s="6"/>
    </row>
    <row r="400" spans="16:17">
      <c r="P400" s="6"/>
      <c r="Q400" s="6"/>
    </row>
    <row r="401" spans="16:17">
      <c r="P401" s="6"/>
      <c r="Q401" s="6"/>
    </row>
    <row r="402" spans="16:17">
      <c r="P402" s="6"/>
      <c r="Q402" s="6"/>
    </row>
    <row r="403" spans="16:17">
      <c r="P403" s="6"/>
      <c r="Q403" s="6"/>
    </row>
    <row r="404" spans="16:17">
      <c r="P404" s="6"/>
      <c r="Q404" s="6"/>
    </row>
    <row r="405" spans="16:17">
      <c r="P405" s="6"/>
      <c r="Q405" s="6"/>
    </row>
    <row r="406" spans="16:17">
      <c r="P406" s="6"/>
      <c r="Q406" s="6"/>
    </row>
    <row r="407" spans="16:17">
      <c r="P407" s="6"/>
      <c r="Q407" s="6"/>
    </row>
    <row r="408" spans="16:17">
      <c r="P408" s="6"/>
      <c r="Q408" s="6"/>
    </row>
  </sheetData>
  <phoneticPr fontId="22" type="noConversion"/>
  <conditionalFormatting sqref="E235">
    <cfRule type="cellIs" dxfId="72" priority="40" operator="equal">
      <formula>1</formula>
    </cfRule>
    <cfRule type="cellIs" dxfId="71" priority="41" operator="equal">
      <formula>0</formula>
    </cfRule>
    <cfRule type="containsText" dxfId="70" priority="42" operator="containsText" text="rest">
      <formula>NOT(ISERROR(SEARCH("rest",E235)))</formula>
    </cfRule>
  </conditionalFormatting>
  <conditionalFormatting sqref="G9:K18">
    <cfRule type="cellIs" dxfId="69" priority="130" stopIfTrue="1" operator="notBetween">
      <formula>1</formula>
      <formula>4</formula>
    </cfRule>
    <cfRule type="dataBar" priority="131">
      <dataBar>
        <cfvo type="min"/>
        <cfvo type="num" val="4"/>
        <color rgb="FFFFC000"/>
      </dataBar>
      <extLst>
        <ext xmlns:x14="http://schemas.microsoft.com/office/spreadsheetml/2009/9/main" uri="{B025F937-C7B1-47D3-B67F-A62EFF666E3E}">
          <x14:id>{62E9FF6B-7CF9-48F4-8540-C7B62384D8C1}</x14:id>
        </ext>
      </extLst>
    </cfRule>
  </conditionalFormatting>
  <conditionalFormatting sqref="G29:K48">
    <cfRule type="cellIs" dxfId="68" priority="175" stopIfTrue="1" operator="notBetween">
      <formula>1</formula>
      <formula>4</formula>
    </cfRule>
    <cfRule type="dataBar" priority="6341">
      <dataBar>
        <cfvo type="min"/>
        <cfvo type="num" val="4"/>
        <color rgb="FFFFC000"/>
      </dataBar>
      <extLst>
        <ext xmlns:x14="http://schemas.microsoft.com/office/spreadsheetml/2009/9/main" uri="{B025F937-C7B1-47D3-B67F-A62EFF666E3E}">
          <x14:id>{38BB98F9-DAB9-4A34-A762-F3BDC089FF97}</x14:id>
        </ext>
      </extLst>
    </cfRule>
  </conditionalFormatting>
  <conditionalFormatting sqref="G9:L18">
    <cfRule type="containsBlanks" dxfId="67" priority="124">
      <formula>LEN(TRIM(G9))=0</formula>
    </cfRule>
  </conditionalFormatting>
  <conditionalFormatting sqref="H137:H138">
    <cfRule type="dataBar" priority="6">
      <dataBar>
        <cfvo type="min"/>
        <cfvo type="num" val="4"/>
        <color rgb="FFFFC000"/>
      </dataBar>
      <extLst>
        <ext xmlns:x14="http://schemas.microsoft.com/office/spreadsheetml/2009/9/main" uri="{B025F937-C7B1-47D3-B67F-A62EFF666E3E}">
          <x14:id>{4EF5BCAA-CC28-4140-B356-313A9B23B574}</x14:id>
        </ext>
      </extLst>
    </cfRule>
  </conditionalFormatting>
  <conditionalFormatting sqref="H140:H141">
    <cfRule type="dataBar" priority="24">
      <dataBar>
        <cfvo type="min"/>
        <cfvo type="num" val="4"/>
        <color rgb="FFFFC000"/>
      </dataBar>
      <extLst>
        <ext xmlns:x14="http://schemas.microsoft.com/office/spreadsheetml/2009/9/main" uri="{B025F937-C7B1-47D3-B67F-A62EFF666E3E}">
          <x14:id>{587DF8F8-2411-4FC8-A35D-42E00E24165F}</x14:id>
        </ext>
      </extLst>
    </cfRule>
  </conditionalFormatting>
  <conditionalFormatting sqref="H82:I91 K82:L91">
    <cfRule type="dataBar" priority="105">
      <dataBar>
        <cfvo type="min"/>
        <cfvo type="num" val="4"/>
        <color rgb="FFFFC000"/>
      </dataBar>
      <extLst>
        <ext xmlns:x14="http://schemas.microsoft.com/office/spreadsheetml/2009/9/main" uri="{B025F937-C7B1-47D3-B67F-A62EFF666E3E}">
          <x14:id>{BDB2F237-6848-40BF-A3FD-38ECF93F6C36}</x14:id>
        </ext>
      </extLst>
    </cfRule>
  </conditionalFormatting>
  <conditionalFormatting sqref="H92:I101 K92:L101">
    <cfRule type="dataBar" priority="101">
      <dataBar>
        <cfvo type="min"/>
        <cfvo type="num" val="4"/>
        <color rgb="FFFFC000"/>
      </dataBar>
      <extLst>
        <ext xmlns:x14="http://schemas.microsoft.com/office/spreadsheetml/2009/9/main" uri="{B025F937-C7B1-47D3-B67F-A62EFF666E3E}">
          <x14:id>{37D86314-E276-45A4-98E0-8CE151473E7B}</x14:id>
        </ext>
      </extLst>
    </cfRule>
  </conditionalFormatting>
  <conditionalFormatting sqref="H102:I111 K102:L111">
    <cfRule type="dataBar" priority="97">
      <dataBar>
        <cfvo type="min"/>
        <cfvo type="num" val="4"/>
        <color rgb="FFFFC000"/>
      </dataBar>
      <extLst>
        <ext xmlns:x14="http://schemas.microsoft.com/office/spreadsheetml/2009/9/main" uri="{B025F937-C7B1-47D3-B67F-A62EFF666E3E}">
          <x14:id>{06A48991-7EC4-43EA-BBEE-42AD58B1C52E}</x14:id>
        </ext>
      </extLst>
    </cfRule>
  </conditionalFormatting>
  <conditionalFormatting sqref="H52:M56 M72:M111 K72:L81 H57:I81 K57:M71 J57:J111">
    <cfRule type="dataBar" priority="112">
      <dataBar>
        <cfvo type="min"/>
        <cfvo type="num" val="4"/>
        <color rgb="FFFFC000"/>
      </dataBar>
      <extLst>
        <ext xmlns:x14="http://schemas.microsoft.com/office/spreadsheetml/2009/9/main" uri="{B025F937-C7B1-47D3-B67F-A62EFF666E3E}">
          <x14:id>{3AA19560-A59B-4184-8DF5-7381841414A9}</x14:id>
        </ext>
      </extLst>
    </cfRule>
  </conditionalFormatting>
  <conditionalFormatting sqref="H52:M149">
    <cfRule type="cellIs" dxfId="66" priority="2" stopIfTrue="1" operator="notBetween">
      <formula>1</formula>
      <formula>4</formula>
    </cfRule>
  </conditionalFormatting>
  <conditionalFormatting sqref="H112:M117">
    <cfRule type="dataBar" priority="85">
      <dataBar>
        <cfvo type="min"/>
        <cfvo type="num" val="4"/>
        <color rgb="FFFFC000"/>
      </dataBar>
      <extLst>
        <ext xmlns:x14="http://schemas.microsoft.com/office/spreadsheetml/2009/9/main" uri="{B025F937-C7B1-47D3-B67F-A62EFF666E3E}">
          <x14:id>{FCC2A88E-7158-4AED-AD2C-CD6E508F8E5E}</x14:id>
        </ext>
      </extLst>
    </cfRule>
  </conditionalFormatting>
  <conditionalFormatting sqref="H118:M123">
    <cfRule type="dataBar" priority="78">
      <dataBar>
        <cfvo type="min"/>
        <cfvo type="num" val="4"/>
        <color rgb="FFFFC000"/>
      </dataBar>
      <extLst>
        <ext xmlns:x14="http://schemas.microsoft.com/office/spreadsheetml/2009/9/main" uri="{B025F937-C7B1-47D3-B67F-A62EFF666E3E}">
          <x14:id>{51D38709-C750-4C80-87E9-F2EDFE52D62C}</x14:id>
        </ext>
      </extLst>
    </cfRule>
  </conditionalFormatting>
  <conditionalFormatting sqref="H124:M127">
    <cfRule type="dataBar" priority="61">
      <dataBar>
        <cfvo type="min"/>
        <cfvo type="num" val="4"/>
        <color rgb="FFFFC000"/>
      </dataBar>
      <extLst>
        <ext xmlns:x14="http://schemas.microsoft.com/office/spreadsheetml/2009/9/main" uri="{B025F937-C7B1-47D3-B67F-A62EFF666E3E}">
          <x14:id>{97F7280C-8152-4681-8522-433221E054E3}</x14:id>
        </ext>
      </extLst>
    </cfRule>
  </conditionalFormatting>
  <conditionalFormatting sqref="H128:M131">
    <cfRule type="dataBar" priority="64">
      <dataBar>
        <cfvo type="min"/>
        <cfvo type="num" val="4"/>
        <color rgb="FFFFC000"/>
      </dataBar>
      <extLst>
        <ext xmlns:x14="http://schemas.microsoft.com/office/spreadsheetml/2009/9/main" uri="{B025F937-C7B1-47D3-B67F-A62EFF666E3E}">
          <x14:id>{9824012E-933C-4569-B23F-DBF8C63874AA}</x14:id>
        </ext>
      </extLst>
    </cfRule>
  </conditionalFormatting>
  <conditionalFormatting sqref="H132:M133">
    <cfRule type="dataBar" priority="58">
      <dataBar>
        <cfvo type="min"/>
        <cfvo type="num" val="4"/>
        <color rgb="FFFFC000"/>
      </dataBar>
      <extLst>
        <ext xmlns:x14="http://schemas.microsoft.com/office/spreadsheetml/2009/9/main" uri="{B025F937-C7B1-47D3-B67F-A62EFF666E3E}">
          <x14:id>{47992DAE-33A3-48DB-8D15-6EDF6BC67A1B}</x14:id>
        </ext>
      </extLst>
    </cfRule>
  </conditionalFormatting>
  <conditionalFormatting sqref="H134:M135">
    <cfRule type="dataBar" priority="55">
      <dataBar>
        <cfvo type="min"/>
        <cfvo type="num" val="4"/>
        <color rgb="FFFFC000"/>
      </dataBar>
      <extLst>
        <ext xmlns:x14="http://schemas.microsoft.com/office/spreadsheetml/2009/9/main" uri="{B025F937-C7B1-47D3-B67F-A62EFF666E3E}">
          <x14:id>{B2B4F89C-9E79-4009-AF2C-16B13319B971}</x14:id>
        </ext>
      </extLst>
    </cfRule>
  </conditionalFormatting>
  <conditionalFormatting sqref="H142:M149 H136:M136 H139:M139">
    <cfRule type="dataBar" priority="52">
      <dataBar>
        <cfvo type="min"/>
        <cfvo type="num" val="4"/>
        <color rgb="FFFFC000"/>
      </dataBar>
      <extLst>
        <ext xmlns:x14="http://schemas.microsoft.com/office/spreadsheetml/2009/9/main" uri="{B025F937-C7B1-47D3-B67F-A62EFF666E3E}">
          <x14:id>{503F7DE9-B4E7-4D39-9C1A-42805FC5671F}</x14:id>
        </ext>
      </extLst>
    </cfRule>
  </conditionalFormatting>
  <conditionalFormatting sqref="H236:M253">
    <cfRule type="cellIs" dxfId="65" priority="92" stopIfTrue="1" operator="notBetween">
      <formula>1</formula>
      <formula>4</formula>
    </cfRule>
    <cfRule type="dataBar" priority="7618">
      <dataBar>
        <cfvo type="min"/>
        <cfvo type="num" val="4"/>
        <color rgb="FFFFC000"/>
      </dataBar>
      <extLst>
        <ext xmlns:x14="http://schemas.microsoft.com/office/spreadsheetml/2009/9/main" uri="{B025F937-C7B1-47D3-B67F-A62EFF666E3E}">
          <x14:id>{1DB1F7E5-1B76-4469-AF28-1F59C90FCDE7}</x14:id>
        </ext>
      </extLst>
    </cfRule>
  </conditionalFormatting>
  <conditionalFormatting sqref="H52:O149">
    <cfRule type="containsBlanks" dxfId="64" priority="1">
      <formula>LEN(TRIM(H52))=0</formula>
    </cfRule>
  </conditionalFormatting>
  <conditionalFormatting sqref="H236:O253">
    <cfRule type="containsBlanks" dxfId="63" priority="87">
      <formula>LEN(TRIM(H236))=0</formula>
    </cfRule>
  </conditionalFormatting>
  <conditionalFormatting sqref="I137:I138">
    <cfRule type="dataBar" priority="9">
      <dataBar>
        <cfvo type="min"/>
        <cfvo type="num" val="4"/>
        <color rgb="FFFFC000"/>
      </dataBar>
      <extLst>
        <ext xmlns:x14="http://schemas.microsoft.com/office/spreadsheetml/2009/9/main" uri="{B025F937-C7B1-47D3-B67F-A62EFF666E3E}">
          <x14:id>{13078C8B-BF01-4200-B1AB-B8D1BD61354E}</x14:id>
        </ext>
      </extLst>
    </cfRule>
  </conditionalFormatting>
  <conditionalFormatting sqref="I140:I141">
    <cfRule type="dataBar" priority="27">
      <dataBar>
        <cfvo type="min"/>
        <cfvo type="num" val="4"/>
        <color rgb="FFFFC000"/>
      </dataBar>
      <extLst>
        <ext xmlns:x14="http://schemas.microsoft.com/office/spreadsheetml/2009/9/main" uri="{B025F937-C7B1-47D3-B67F-A62EFF666E3E}">
          <x14:id>{815A4913-A24E-4273-B763-41C62CF7B400}</x14:id>
        </ext>
      </extLst>
    </cfRule>
  </conditionalFormatting>
  <conditionalFormatting sqref="J137:J138">
    <cfRule type="dataBar" priority="3">
      <dataBar>
        <cfvo type="min"/>
        <cfvo type="num" val="4"/>
        <color rgb="FFFFC000"/>
      </dataBar>
      <extLst>
        <ext xmlns:x14="http://schemas.microsoft.com/office/spreadsheetml/2009/9/main" uri="{B025F937-C7B1-47D3-B67F-A62EFF666E3E}">
          <x14:id>{94EF0653-39E0-4293-9312-A66C20AB7E98}</x14:id>
        </ext>
      </extLst>
    </cfRule>
  </conditionalFormatting>
  <conditionalFormatting sqref="J140:J141">
    <cfRule type="dataBar" priority="21">
      <dataBar>
        <cfvo type="min"/>
        <cfvo type="num" val="4"/>
        <color rgb="FFFFC000"/>
      </dataBar>
      <extLst>
        <ext xmlns:x14="http://schemas.microsoft.com/office/spreadsheetml/2009/9/main" uri="{B025F937-C7B1-47D3-B67F-A62EFF666E3E}">
          <x14:id>{7C8448E1-1E3E-4105-9E4E-23C51661BA30}</x14:id>
        </ext>
      </extLst>
    </cfRule>
  </conditionalFormatting>
  <conditionalFormatting sqref="K137:K138">
    <cfRule type="dataBar" priority="18">
      <dataBar>
        <cfvo type="min"/>
        <cfvo type="num" val="4"/>
        <color rgb="FFFFC000"/>
      </dataBar>
      <extLst>
        <ext xmlns:x14="http://schemas.microsoft.com/office/spreadsheetml/2009/9/main" uri="{B025F937-C7B1-47D3-B67F-A62EFF666E3E}">
          <x14:id>{D9B0D3FA-AEAD-47ED-BE9A-C695C87A9F7C}</x14:id>
        </ext>
      </extLst>
    </cfRule>
  </conditionalFormatting>
  <conditionalFormatting sqref="K140:K141">
    <cfRule type="dataBar" priority="36">
      <dataBar>
        <cfvo type="min"/>
        <cfvo type="num" val="4"/>
        <color rgb="FFFFC000"/>
      </dataBar>
      <extLst>
        <ext xmlns:x14="http://schemas.microsoft.com/office/spreadsheetml/2009/9/main" uri="{B025F937-C7B1-47D3-B67F-A62EFF666E3E}">
          <x14:id>{C72AAD87-3C77-4826-A5AC-B3A5425797C8}</x14:id>
        </ext>
      </extLst>
    </cfRule>
  </conditionalFormatting>
  <conditionalFormatting sqref="L9 L14">
    <cfRule type="dataBar" priority="129">
      <dataBar>
        <cfvo type="min"/>
        <cfvo type="max"/>
        <color rgb="FF3FCDFF"/>
      </dataBar>
      <extLst>
        <ext xmlns:x14="http://schemas.microsoft.com/office/spreadsheetml/2009/9/main" uri="{B025F937-C7B1-47D3-B67F-A62EFF666E3E}">
          <x14:id>{044E6AFD-5884-4730-8F9B-D1FED7638C58}</x14:id>
        </ext>
      </extLst>
    </cfRule>
  </conditionalFormatting>
  <conditionalFormatting sqref="L10 L15">
    <cfRule type="dataBar" priority="128">
      <dataBar>
        <cfvo type="min"/>
        <cfvo type="max"/>
        <color rgb="FF3FCDFF"/>
      </dataBar>
      <extLst>
        <ext xmlns:x14="http://schemas.microsoft.com/office/spreadsheetml/2009/9/main" uri="{B025F937-C7B1-47D3-B67F-A62EFF666E3E}">
          <x14:id>{4184BAEB-7C7D-45D5-8AE5-091882005915}</x14:id>
        </ext>
      </extLst>
    </cfRule>
  </conditionalFormatting>
  <conditionalFormatting sqref="L11 L16">
    <cfRule type="dataBar" priority="127">
      <dataBar>
        <cfvo type="min"/>
        <cfvo type="max"/>
        <color rgb="FF3FCDFF"/>
      </dataBar>
      <extLst>
        <ext xmlns:x14="http://schemas.microsoft.com/office/spreadsheetml/2009/9/main" uri="{B025F937-C7B1-47D3-B67F-A62EFF666E3E}">
          <x14:id>{2CCB765B-BDB5-4CD2-A151-ECEC43AAA02E}</x14:id>
        </ext>
      </extLst>
    </cfRule>
  </conditionalFormatting>
  <conditionalFormatting sqref="L12 L17">
    <cfRule type="dataBar" priority="126">
      <dataBar>
        <cfvo type="min"/>
        <cfvo type="max"/>
        <color rgb="FF3FCDFF"/>
      </dataBar>
      <extLst>
        <ext xmlns:x14="http://schemas.microsoft.com/office/spreadsheetml/2009/9/main" uri="{B025F937-C7B1-47D3-B67F-A62EFF666E3E}">
          <x14:id>{E6CA4EA7-1277-4529-BAE5-E027076BED09}</x14:id>
        </ext>
      </extLst>
    </cfRule>
  </conditionalFormatting>
  <conditionalFormatting sqref="L13 L18">
    <cfRule type="dataBar" priority="125">
      <dataBar>
        <cfvo type="min"/>
        <cfvo type="max"/>
        <color rgb="FF3FCDFF"/>
      </dataBar>
      <extLst>
        <ext xmlns:x14="http://schemas.microsoft.com/office/spreadsheetml/2009/9/main" uri="{B025F937-C7B1-47D3-B67F-A62EFF666E3E}">
          <x14:id>{B0E58DDB-B93B-469D-83F7-0C2B5A3CB48D}</x14:id>
        </ext>
      </extLst>
    </cfRule>
  </conditionalFormatting>
  <conditionalFormatting sqref="L29 L39 L34 L44">
    <cfRule type="dataBar" priority="121">
      <dataBar>
        <cfvo type="min"/>
        <cfvo type="max"/>
        <color rgb="FF3FCDFF"/>
      </dataBar>
      <extLst>
        <ext xmlns:x14="http://schemas.microsoft.com/office/spreadsheetml/2009/9/main" uri="{B025F937-C7B1-47D3-B67F-A62EFF666E3E}">
          <x14:id>{532D4628-7402-4936-8CF5-18DCA0889570}</x14:id>
        </ext>
      </extLst>
    </cfRule>
  </conditionalFormatting>
  <conditionalFormatting sqref="L30 L40 L35 L45">
    <cfRule type="dataBar" priority="120">
      <dataBar>
        <cfvo type="min"/>
        <cfvo type="max"/>
        <color rgb="FF3FCDFF"/>
      </dataBar>
      <extLst>
        <ext xmlns:x14="http://schemas.microsoft.com/office/spreadsheetml/2009/9/main" uri="{B025F937-C7B1-47D3-B67F-A62EFF666E3E}">
          <x14:id>{9579316F-07BA-41EA-9D16-2117F5379859}</x14:id>
        </ext>
      </extLst>
    </cfRule>
  </conditionalFormatting>
  <conditionalFormatting sqref="L31 L41 L36 L46">
    <cfRule type="dataBar" priority="119">
      <dataBar>
        <cfvo type="min"/>
        <cfvo type="max"/>
        <color rgb="FF3FCDFF"/>
      </dataBar>
      <extLst>
        <ext xmlns:x14="http://schemas.microsoft.com/office/spreadsheetml/2009/9/main" uri="{B025F937-C7B1-47D3-B67F-A62EFF666E3E}">
          <x14:id>{4112D8BB-EA2C-4153-B98D-3F072BBE47C6}</x14:id>
        </ext>
      </extLst>
    </cfRule>
  </conditionalFormatting>
  <conditionalFormatting sqref="L32 L42 L37 L47">
    <cfRule type="dataBar" priority="118">
      <dataBar>
        <cfvo type="min"/>
        <cfvo type="max"/>
        <color rgb="FF3FCDFF"/>
      </dataBar>
      <extLst>
        <ext xmlns:x14="http://schemas.microsoft.com/office/spreadsheetml/2009/9/main" uri="{B025F937-C7B1-47D3-B67F-A62EFF666E3E}">
          <x14:id>{CCB09693-BFF1-4E71-855C-1AE120A41457}</x14:id>
        </ext>
      </extLst>
    </cfRule>
  </conditionalFormatting>
  <conditionalFormatting sqref="L33 L43 L38 L48">
    <cfRule type="dataBar" priority="117">
      <dataBar>
        <cfvo type="min"/>
        <cfvo type="max"/>
        <color rgb="FF3FCDFF"/>
      </dataBar>
      <extLst>
        <ext xmlns:x14="http://schemas.microsoft.com/office/spreadsheetml/2009/9/main" uri="{B025F937-C7B1-47D3-B67F-A62EFF666E3E}">
          <x14:id>{3DD80B76-9152-4DE8-8550-8424654C2349}</x14:id>
        </ext>
      </extLst>
    </cfRule>
  </conditionalFormatting>
  <conditionalFormatting sqref="L137:L138">
    <cfRule type="dataBar" priority="15">
      <dataBar>
        <cfvo type="min"/>
        <cfvo type="num" val="4"/>
        <color rgb="FFFFC000"/>
      </dataBar>
      <extLst>
        <ext xmlns:x14="http://schemas.microsoft.com/office/spreadsheetml/2009/9/main" uri="{B025F937-C7B1-47D3-B67F-A62EFF666E3E}">
          <x14:id>{2D9908F9-0B2B-46B9-8D15-1A25F27574D4}</x14:id>
        </ext>
      </extLst>
    </cfRule>
  </conditionalFormatting>
  <conditionalFormatting sqref="L140:L141">
    <cfRule type="dataBar" priority="33">
      <dataBar>
        <cfvo type="min"/>
        <cfvo type="num" val="4"/>
        <color rgb="FFFFC000"/>
      </dataBar>
      <extLst>
        <ext xmlns:x14="http://schemas.microsoft.com/office/spreadsheetml/2009/9/main" uri="{B025F937-C7B1-47D3-B67F-A62EFF666E3E}">
          <x14:id>{F26C3E51-45A6-4FDB-A93F-C42718E41EFE}</x14:id>
        </ext>
      </extLst>
    </cfRule>
  </conditionalFormatting>
  <conditionalFormatting sqref="M137:M138">
    <cfRule type="dataBar" priority="12">
      <dataBar>
        <cfvo type="min"/>
        <cfvo type="num" val="4"/>
        <color rgb="FFFFC000"/>
      </dataBar>
      <extLst>
        <ext xmlns:x14="http://schemas.microsoft.com/office/spreadsheetml/2009/9/main" uri="{B025F937-C7B1-47D3-B67F-A62EFF666E3E}">
          <x14:id>{6BF08E2B-AD37-4044-991B-0CA550689FB1}</x14:id>
        </ext>
      </extLst>
    </cfRule>
  </conditionalFormatting>
  <conditionalFormatting sqref="M140:M141">
    <cfRule type="dataBar" priority="30">
      <dataBar>
        <cfvo type="min"/>
        <cfvo type="num" val="4"/>
        <color rgb="FFFFC000"/>
      </dataBar>
      <extLst>
        <ext xmlns:x14="http://schemas.microsoft.com/office/spreadsheetml/2009/9/main" uri="{B025F937-C7B1-47D3-B67F-A62EFF666E3E}">
          <x14:id>{4699F706-80CC-434B-8686-F6C92A94EB75}</x14:id>
        </ext>
      </extLst>
    </cfRule>
  </conditionalFormatting>
  <conditionalFormatting sqref="N52:N135">
    <cfRule type="dataBar" priority="6342">
      <dataBar>
        <cfvo type="min"/>
        <cfvo type="max"/>
        <color rgb="FF3FCDFF"/>
      </dataBar>
      <extLst>
        <ext xmlns:x14="http://schemas.microsoft.com/office/spreadsheetml/2009/9/main" uri="{B025F937-C7B1-47D3-B67F-A62EFF666E3E}">
          <x14:id>{413D993E-6473-4125-9F1E-007ED25FA0E5}</x14:id>
        </ext>
      </extLst>
    </cfRule>
  </conditionalFormatting>
  <conditionalFormatting sqref="N136:N149">
    <cfRule type="dataBar" priority="47">
      <dataBar>
        <cfvo type="min"/>
        <cfvo type="max"/>
        <color rgb="FF3FCDFF"/>
      </dataBar>
      <extLst>
        <ext xmlns:x14="http://schemas.microsoft.com/office/spreadsheetml/2009/9/main" uri="{B025F937-C7B1-47D3-B67F-A62EFF666E3E}">
          <x14:id>{AE781AFE-1F2C-41CD-9A35-52D4128544AB}</x14:id>
        </ext>
      </extLst>
    </cfRule>
  </conditionalFormatting>
  <conditionalFormatting sqref="N236:N253">
    <cfRule type="dataBar" priority="7619">
      <dataBar>
        <cfvo type="min"/>
        <cfvo type="max"/>
        <color rgb="FF3FCDFF"/>
      </dataBar>
      <extLst>
        <ext xmlns:x14="http://schemas.microsoft.com/office/spreadsheetml/2009/9/main" uri="{B025F937-C7B1-47D3-B67F-A62EFF666E3E}">
          <x14:id>{8F136090-05E9-4BFE-9915-7472FA976C62}</x14:id>
        </ext>
      </extLst>
    </cfRule>
  </conditionalFormatting>
  <conditionalFormatting sqref="O8">
    <cfRule type="dataBar" priority="147">
      <dataBar>
        <cfvo type="min"/>
        <cfvo type="max"/>
        <color rgb="FF3FCDFF"/>
      </dataBar>
      <extLst>
        <ext xmlns:x14="http://schemas.microsoft.com/office/spreadsheetml/2009/9/main" uri="{B025F937-C7B1-47D3-B67F-A62EFF666E3E}">
          <x14:id>{77F46D7A-D3C0-464F-B4B8-4DD98E1D8531}</x14:id>
        </ext>
      </extLst>
    </cfRule>
  </conditionalFormatting>
  <conditionalFormatting sqref="O8:O12 G29:L48">
    <cfRule type="containsBlanks" dxfId="62" priority="138">
      <formula>LEN(TRIM(G8))=0</formula>
    </cfRule>
  </conditionalFormatting>
  <conditionalFormatting sqref="O9">
    <cfRule type="dataBar" priority="145">
      <dataBar>
        <cfvo type="min"/>
        <cfvo type="max"/>
        <color rgb="FF3FCDFF"/>
      </dataBar>
      <extLst>
        <ext xmlns:x14="http://schemas.microsoft.com/office/spreadsheetml/2009/9/main" uri="{B025F937-C7B1-47D3-B67F-A62EFF666E3E}">
          <x14:id>{BC556352-4E74-4E62-9109-E28D996E445F}</x14:id>
        </ext>
      </extLst>
    </cfRule>
  </conditionalFormatting>
  <conditionalFormatting sqref="O10">
    <cfRule type="dataBar" priority="143">
      <dataBar>
        <cfvo type="min"/>
        <cfvo type="max"/>
        <color rgb="FF3FCDFF"/>
      </dataBar>
      <extLst>
        <ext xmlns:x14="http://schemas.microsoft.com/office/spreadsheetml/2009/9/main" uri="{B025F937-C7B1-47D3-B67F-A62EFF666E3E}">
          <x14:id>{F42FDA4B-0BC5-4C08-A7D4-E0C62CFB8228}</x14:id>
        </ext>
      </extLst>
    </cfRule>
  </conditionalFormatting>
  <conditionalFormatting sqref="O11">
    <cfRule type="dataBar" priority="141">
      <dataBar>
        <cfvo type="min"/>
        <cfvo type="max"/>
        <color rgb="FF3FCDFF"/>
      </dataBar>
      <extLst>
        <ext xmlns:x14="http://schemas.microsoft.com/office/spreadsheetml/2009/9/main" uri="{B025F937-C7B1-47D3-B67F-A62EFF666E3E}">
          <x14:id>{A17CC17F-7983-4168-B1F0-14A78A381BE8}</x14:id>
        </ext>
      </extLst>
    </cfRule>
  </conditionalFormatting>
  <conditionalFormatting sqref="O12">
    <cfRule type="dataBar" priority="139">
      <dataBar>
        <cfvo type="min"/>
        <cfvo type="max"/>
        <color rgb="FF3FCDFF"/>
      </dataBar>
      <extLst>
        <ext xmlns:x14="http://schemas.microsoft.com/office/spreadsheetml/2009/9/main" uri="{B025F937-C7B1-47D3-B67F-A62EFF666E3E}">
          <x14:id>{2EA17CFE-D0B3-48D7-97DD-B4721411EDDB}</x14:id>
        </ext>
      </extLst>
    </cfRule>
  </conditionalFormatting>
  <conditionalFormatting sqref="O19:O23">
    <cfRule type="containsBlanks" dxfId="61" priority="156">
      <formula>LEN(TRIM(O19))=0</formula>
    </cfRule>
    <cfRule type="dataBar" priority="157">
      <dataBar>
        <cfvo type="min"/>
        <cfvo type="max"/>
        <color rgb="FF3FCDFF"/>
      </dataBar>
      <extLst>
        <ext xmlns:x14="http://schemas.microsoft.com/office/spreadsheetml/2009/9/main" uri="{B025F937-C7B1-47D3-B67F-A62EFF666E3E}">
          <x14:id>{E3CDCA83-FFF2-4477-BE3A-A6896D88673B}</x14:id>
        </ext>
      </extLst>
    </cfRule>
  </conditionalFormatting>
  <conditionalFormatting sqref="O52:O135">
    <cfRule type="dataBar" priority="6344">
      <dataBar>
        <cfvo type="min"/>
        <cfvo type="max"/>
        <color rgb="FF3FCDFF"/>
      </dataBar>
      <extLst>
        <ext xmlns:x14="http://schemas.microsoft.com/office/spreadsheetml/2009/9/main" uri="{B025F937-C7B1-47D3-B67F-A62EFF666E3E}">
          <x14:id>{240C1EB0-A950-4C5C-BBC7-0F4E6502BF83}</x14:id>
        </ext>
      </extLst>
    </cfRule>
  </conditionalFormatting>
  <conditionalFormatting sqref="O136:O149">
    <cfRule type="dataBar" priority="48">
      <dataBar>
        <cfvo type="min"/>
        <cfvo type="max"/>
        <color rgb="FF3FCDFF"/>
      </dataBar>
      <extLst>
        <ext xmlns:x14="http://schemas.microsoft.com/office/spreadsheetml/2009/9/main" uri="{B025F937-C7B1-47D3-B67F-A62EFF666E3E}">
          <x14:id>{7130BCB1-A014-4EDA-8A28-10A79FF71292}</x14:id>
        </ext>
      </extLst>
    </cfRule>
  </conditionalFormatting>
  <conditionalFormatting sqref="O236:O253">
    <cfRule type="dataBar" priority="7620">
      <dataBar>
        <cfvo type="min"/>
        <cfvo type="max"/>
        <color rgb="FF3FCDFF"/>
      </dataBar>
      <extLst>
        <ext xmlns:x14="http://schemas.microsoft.com/office/spreadsheetml/2009/9/main" uri="{B025F937-C7B1-47D3-B67F-A62EFF666E3E}">
          <x14:id>{AF836228-A7FA-4A92-A993-106CE664609D}</x14:id>
        </ext>
      </extLst>
    </cfRule>
  </conditionalFormatting>
  <conditionalFormatting sqref="P114">
    <cfRule type="containsText" dxfId="60" priority="79" operator="containsText" text="Actual TC">
      <formula>NOT(ISERROR(SEARCH("Actual TC",P114)))</formula>
    </cfRule>
  </conditionalFormatting>
  <conditionalFormatting sqref="P118:P149">
    <cfRule type="containsText" dxfId="59" priority="50" operator="containsText" text="Actual TC">
      <formula>NOT(ISERROR(SEARCH("Actual TC",P118)))</formula>
    </cfRule>
  </conditionalFormatting>
  <conditionalFormatting sqref="P236:P253">
    <cfRule type="containsText" dxfId="58" priority="91" operator="containsText" text="Actual TC">
      <formula>NOT(ISERROR(SEARCH("Actual TC",P236)))</formula>
    </cfRule>
  </conditionalFormatting>
  <hyperlinks>
    <hyperlink ref="F4" r:id="rId1" display="https://web.archive.org/web/20230930160250/https:/apeeurope.eu/statistics/" xr:uid="{7DE040F0-3F27-4CB5-8A55-6263402F0C26}"/>
    <hyperlink ref="F5" r:id="rId2" display="https://web.archive.org/web/20230930160250/https:/apeeurope.eu/statistics/" xr:uid="{3D134E28-EB05-417B-9E8D-60FB22D5F083}"/>
    <hyperlink ref="F9" r:id="rId3" display="https://web.archive.org/web/20230930160250/https:/apeeurope.eu/statistics/" xr:uid="{9026BB22-68C1-4FE0-B4E9-6E3F84B15491}"/>
    <hyperlink ref="F10:F18" r:id="rId4" display="https://web.archive.org/web/20230930160250/https:/apeeurope.eu/statistics/" xr:uid="{D333CF03-45F5-42EA-AE9A-1C6647CA1B93}"/>
    <hyperlink ref="F22" r:id="rId5" display="https://web.archive.org/web/20230930160250/https:/apeeurope.eu/statistics/" xr:uid="{2EB8F6D5-4000-445D-BF36-5931C0FE4B8A}"/>
    <hyperlink ref="F23" r:id="rId6" display="https://web.archive.org/web/20230930160250/https:/apeeurope.eu/statistics/" xr:uid="{AA0E9160-BA04-4B16-B21B-DB6A525E0E16}"/>
    <hyperlink ref="F24" r:id="rId7" display="https://web.archive.org/web/20230930160250/https:/apeeurope.eu/statistics/" xr:uid="{5BBEF317-69BA-4F5D-AF19-3BFE96F20298}"/>
    <hyperlink ref="F25" r:id="rId8" display="https://web.archive.org/web/20230930160250/https:/apeeurope.eu/statistics/" xr:uid="{40157213-AECB-4431-959B-6BACB543B632}"/>
    <hyperlink ref="F29" r:id="rId9" display="https://web.archive.org/web/20230930160250/https:/apeeurope.eu/statistics/" xr:uid="{F2042F78-3200-4045-8273-C4D8D2A7C115}"/>
    <hyperlink ref="F30" r:id="rId10" display="https://web.archive.org/web/20230930160250/https:/apeeurope.eu/statistics/" xr:uid="{34A17C65-BC7B-4343-AD37-C5159429F8C1}"/>
    <hyperlink ref="F31" r:id="rId11" display="https://web.archive.org/web/20230930160250/https:/apeeurope.eu/statistics/" xr:uid="{C1655A2F-6A2B-43E9-B88A-DC78486D0652}"/>
    <hyperlink ref="F32" r:id="rId12" display="https://web.archive.org/web/20230930160250/https:/apeeurope.eu/statistics/" xr:uid="{C8D656CF-9F38-4EA5-8FB7-91FA4EB36F02}"/>
    <hyperlink ref="F33" r:id="rId13" display="https://web.archive.org/web/20230930160250/https:/apeeurope.eu/statistics/" xr:uid="{9E836A76-B254-4805-8A90-720D42515096}"/>
    <hyperlink ref="F39" r:id="rId14" display="https://web.archive.org/web/20230930160250/https:/apeeurope.eu/statistics/" xr:uid="{3379147D-166F-4CB2-A0DA-D2C5D7BEEA4C}"/>
    <hyperlink ref="F40" r:id="rId15" display="https://web.archive.org/web/20230930160250/https:/apeeurope.eu/statistics/" xr:uid="{54A4B260-B3B9-4C81-96B6-2EBF1920DE72}"/>
    <hyperlink ref="F41" r:id="rId16" display="https://web.archive.org/web/20230930160250/https:/apeeurope.eu/statistics/" xr:uid="{DA006BC8-B206-4613-B321-C6AF048F5303}"/>
    <hyperlink ref="F42" r:id="rId17" display="https://web.archive.org/web/20230930160250/https:/apeeurope.eu/statistics/" xr:uid="{F21E6193-965D-47A0-A813-F27C2B6F90FF}"/>
    <hyperlink ref="F43" r:id="rId18" display="https://web.archive.org/web/20230930160250/https:/apeeurope.eu/statistics/" xr:uid="{49045764-41E6-4B11-9D64-7320C1FE9683}"/>
    <hyperlink ref="D224" r:id="rId19" xr:uid="{C2EFE451-E627-41F9-BADF-3163BA11ACA5}"/>
  </hyperlinks>
  <pageMargins left="0.7" right="0.7" top="0.75" bottom="0.75" header="0.3" footer="0.3"/>
  <pageSetup orientation="portrait" r:id="rId20"/>
  <extLst>
    <ext xmlns:x14="http://schemas.microsoft.com/office/spreadsheetml/2009/9/main" uri="{78C0D931-6437-407d-A8EE-F0AAD7539E65}">
      <x14:conditionalFormattings>
        <x14:conditionalFormatting xmlns:xm="http://schemas.microsoft.com/office/excel/2006/main">
          <x14:cfRule type="dataBar" id="{62E9FF6B-7CF9-48F4-8540-C7B62384D8C1}">
            <x14:dataBar minLength="0" maxLength="100" gradient="0">
              <x14:cfvo type="autoMin"/>
              <x14:cfvo type="num">
                <xm:f>4</xm:f>
              </x14:cfvo>
              <x14:negativeFillColor rgb="FFFF0000"/>
              <x14:axisColor rgb="FF000000"/>
            </x14:dataBar>
          </x14:cfRule>
          <xm:sqref>G9:K18</xm:sqref>
        </x14:conditionalFormatting>
        <x14:conditionalFormatting xmlns:xm="http://schemas.microsoft.com/office/excel/2006/main">
          <x14:cfRule type="dataBar" id="{38BB98F9-DAB9-4A34-A762-F3BDC089FF97}">
            <x14:dataBar minLength="0" maxLength="100" gradient="0">
              <x14:cfvo type="autoMin"/>
              <x14:cfvo type="num">
                <xm:f>4</xm:f>
              </x14:cfvo>
              <x14:negativeFillColor rgb="FFFF0000"/>
              <x14:axisColor rgb="FF000000"/>
            </x14:dataBar>
          </x14:cfRule>
          <xm:sqref>G29:K48</xm:sqref>
        </x14:conditionalFormatting>
        <x14:conditionalFormatting xmlns:xm="http://schemas.microsoft.com/office/excel/2006/main">
          <x14:cfRule type="dataBar" id="{4EF5BCAA-CC28-4140-B356-313A9B23B574}">
            <x14:dataBar minLength="0" maxLength="100" gradient="0">
              <x14:cfvo type="autoMin"/>
              <x14:cfvo type="num">
                <xm:f>4</xm:f>
              </x14:cfvo>
              <x14:negativeFillColor rgb="FFFF0000"/>
              <x14:axisColor rgb="FF000000"/>
            </x14:dataBar>
          </x14:cfRule>
          <xm:sqref>H137:H138</xm:sqref>
        </x14:conditionalFormatting>
        <x14:conditionalFormatting xmlns:xm="http://schemas.microsoft.com/office/excel/2006/main">
          <x14:cfRule type="dataBar" id="{587DF8F8-2411-4FC8-A35D-42E00E24165F}">
            <x14:dataBar minLength="0" maxLength="100" gradient="0">
              <x14:cfvo type="autoMin"/>
              <x14:cfvo type="num">
                <xm:f>4</xm:f>
              </x14:cfvo>
              <x14:negativeFillColor rgb="FFFF0000"/>
              <x14:axisColor rgb="FF000000"/>
            </x14:dataBar>
          </x14:cfRule>
          <xm:sqref>H140:H141</xm:sqref>
        </x14:conditionalFormatting>
        <x14:conditionalFormatting xmlns:xm="http://schemas.microsoft.com/office/excel/2006/main">
          <x14:cfRule type="dataBar" id="{BDB2F237-6848-40BF-A3FD-38ECF93F6C36}">
            <x14:dataBar minLength="0" maxLength="100" gradient="0">
              <x14:cfvo type="autoMin"/>
              <x14:cfvo type="num">
                <xm:f>4</xm:f>
              </x14:cfvo>
              <x14:negativeFillColor rgb="FFFF0000"/>
              <x14:axisColor rgb="FF000000"/>
            </x14:dataBar>
          </x14:cfRule>
          <xm:sqref>H82:I91 K82:L91</xm:sqref>
        </x14:conditionalFormatting>
        <x14:conditionalFormatting xmlns:xm="http://schemas.microsoft.com/office/excel/2006/main">
          <x14:cfRule type="dataBar" id="{37D86314-E276-45A4-98E0-8CE151473E7B}">
            <x14:dataBar minLength="0" maxLength="100" gradient="0">
              <x14:cfvo type="autoMin"/>
              <x14:cfvo type="num">
                <xm:f>4</xm:f>
              </x14:cfvo>
              <x14:negativeFillColor rgb="FFFF0000"/>
              <x14:axisColor rgb="FF000000"/>
            </x14:dataBar>
          </x14:cfRule>
          <xm:sqref>H92:I101 K92:L101</xm:sqref>
        </x14:conditionalFormatting>
        <x14:conditionalFormatting xmlns:xm="http://schemas.microsoft.com/office/excel/2006/main">
          <x14:cfRule type="dataBar" id="{06A48991-7EC4-43EA-BBEE-42AD58B1C52E}">
            <x14:dataBar minLength="0" maxLength="100" gradient="0">
              <x14:cfvo type="autoMin"/>
              <x14:cfvo type="num">
                <xm:f>4</xm:f>
              </x14:cfvo>
              <x14:negativeFillColor rgb="FFFF0000"/>
              <x14:axisColor rgb="FF000000"/>
            </x14:dataBar>
          </x14:cfRule>
          <xm:sqref>H102:I111 K102:L111</xm:sqref>
        </x14:conditionalFormatting>
        <x14:conditionalFormatting xmlns:xm="http://schemas.microsoft.com/office/excel/2006/main">
          <x14:cfRule type="dataBar" id="{3AA19560-A59B-4184-8DF5-7381841414A9}">
            <x14:dataBar minLength="0" maxLength="100" gradient="0">
              <x14:cfvo type="autoMin"/>
              <x14:cfvo type="num">
                <xm:f>4</xm:f>
              </x14:cfvo>
              <x14:negativeFillColor rgb="FFFF0000"/>
              <x14:axisColor rgb="FF000000"/>
            </x14:dataBar>
          </x14:cfRule>
          <xm:sqref>H52:M56 M72:M111 K72:L81 H57:I81 K57:M71 J57:J111</xm:sqref>
        </x14:conditionalFormatting>
        <x14:conditionalFormatting xmlns:xm="http://schemas.microsoft.com/office/excel/2006/main">
          <x14:cfRule type="dataBar" id="{FCC2A88E-7158-4AED-AD2C-CD6E508F8E5E}">
            <x14:dataBar minLength="0" maxLength="100" gradient="0">
              <x14:cfvo type="autoMin"/>
              <x14:cfvo type="num">
                <xm:f>4</xm:f>
              </x14:cfvo>
              <x14:negativeFillColor rgb="FFFF0000"/>
              <x14:axisColor rgb="FF000000"/>
            </x14:dataBar>
          </x14:cfRule>
          <xm:sqref>H112:M117</xm:sqref>
        </x14:conditionalFormatting>
        <x14:conditionalFormatting xmlns:xm="http://schemas.microsoft.com/office/excel/2006/main">
          <x14:cfRule type="dataBar" id="{51D38709-C750-4C80-87E9-F2EDFE52D62C}">
            <x14:dataBar minLength="0" maxLength="100" gradient="0">
              <x14:cfvo type="autoMin"/>
              <x14:cfvo type="num">
                <xm:f>4</xm:f>
              </x14:cfvo>
              <x14:negativeFillColor rgb="FFFF0000"/>
              <x14:axisColor rgb="FF000000"/>
            </x14:dataBar>
          </x14:cfRule>
          <xm:sqref>H118:M123</xm:sqref>
        </x14:conditionalFormatting>
        <x14:conditionalFormatting xmlns:xm="http://schemas.microsoft.com/office/excel/2006/main">
          <x14:cfRule type="dataBar" id="{97F7280C-8152-4681-8522-433221E054E3}">
            <x14:dataBar minLength="0" maxLength="100" gradient="0">
              <x14:cfvo type="autoMin"/>
              <x14:cfvo type="num">
                <xm:f>4</xm:f>
              </x14:cfvo>
              <x14:negativeFillColor rgb="FFFF0000"/>
              <x14:axisColor rgb="FF000000"/>
            </x14:dataBar>
          </x14:cfRule>
          <xm:sqref>H124:M127</xm:sqref>
        </x14:conditionalFormatting>
        <x14:conditionalFormatting xmlns:xm="http://schemas.microsoft.com/office/excel/2006/main">
          <x14:cfRule type="dataBar" id="{9824012E-933C-4569-B23F-DBF8C63874AA}">
            <x14:dataBar minLength="0" maxLength="100" gradient="0">
              <x14:cfvo type="autoMin"/>
              <x14:cfvo type="num">
                <xm:f>4</xm:f>
              </x14:cfvo>
              <x14:negativeFillColor rgb="FFFF0000"/>
              <x14:axisColor rgb="FF000000"/>
            </x14:dataBar>
          </x14:cfRule>
          <xm:sqref>H128:M131</xm:sqref>
        </x14:conditionalFormatting>
        <x14:conditionalFormatting xmlns:xm="http://schemas.microsoft.com/office/excel/2006/main">
          <x14:cfRule type="dataBar" id="{47992DAE-33A3-48DB-8D15-6EDF6BC67A1B}">
            <x14:dataBar minLength="0" maxLength="100" gradient="0">
              <x14:cfvo type="autoMin"/>
              <x14:cfvo type="num">
                <xm:f>4</xm:f>
              </x14:cfvo>
              <x14:negativeFillColor rgb="FFFF0000"/>
              <x14:axisColor rgb="FF000000"/>
            </x14:dataBar>
          </x14:cfRule>
          <xm:sqref>H132:M133</xm:sqref>
        </x14:conditionalFormatting>
        <x14:conditionalFormatting xmlns:xm="http://schemas.microsoft.com/office/excel/2006/main">
          <x14:cfRule type="dataBar" id="{B2B4F89C-9E79-4009-AF2C-16B13319B971}">
            <x14:dataBar minLength="0" maxLength="100" gradient="0">
              <x14:cfvo type="autoMin"/>
              <x14:cfvo type="num">
                <xm:f>4</xm:f>
              </x14:cfvo>
              <x14:negativeFillColor rgb="FFFF0000"/>
              <x14:axisColor rgb="FF000000"/>
            </x14:dataBar>
          </x14:cfRule>
          <xm:sqref>H134:M135</xm:sqref>
        </x14:conditionalFormatting>
        <x14:conditionalFormatting xmlns:xm="http://schemas.microsoft.com/office/excel/2006/main">
          <x14:cfRule type="dataBar" id="{503F7DE9-B4E7-4D39-9C1A-42805FC5671F}">
            <x14:dataBar minLength="0" maxLength="100" gradient="0">
              <x14:cfvo type="autoMin"/>
              <x14:cfvo type="num">
                <xm:f>4</xm:f>
              </x14:cfvo>
              <x14:negativeFillColor rgb="FFFF0000"/>
              <x14:axisColor rgb="FF000000"/>
            </x14:dataBar>
          </x14:cfRule>
          <xm:sqref>H142:M149 H136:M136 H139:M139</xm:sqref>
        </x14:conditionalFormatting>
        <x14:conditionalFormatting xmlns:xm="http://schemas.microsoft.com/office/excel/2006/main">
          <x14:cfRule type="dataBar" id="{1DB1F7E5-1B76-4469-AF28-1F59C90FCDE7}">
            <x14:dataBar minLength="0" maxLength="100" gradient="0">
              <x14:cfvo type="autoMin"/>
              <x14:cfvo type="num">
                <xm:f>4</xm:f>
              </x14:cfvo>
              <x14:negativeFillColor rgb="FFFF0000"/>
              <x14:axisColor rgb="FF000000"/>
            </x14:dataBar>
          </x14:cfRule>
          <xm:sqref>H236:M253</xm:sqref>
        </x14:conditionalFormatting>
        <x14:conditionalFormatting xmlns:xm="http://schemas.microsoft.com/office/excel/2006/main">
          <x14:cfRule type="dataBar" id="{13078C8B-BF01-4200-B1AB-B8D1BD61354E}">
            <x14:dataBar minLength="0" maxLength="100" gradient="0">
              <x14:cfvo type="autoMin"/>
              <x14:cfvo type="num">
                <xm:f>4</xm:f>
              </x14:cfvo>
              <x14:negativeFillColor rgb="FFFF0000"/>
              <x14:axisColor rgb="FF000000"/>
            </x14:dataBar>
          </x14:cfRule>
          <xm:sqref>I137:I138</xm:sqref>
        </x14:conditionalFormatting>
        <x14:conditionalFormatting xmlns:xm="http://schemas.microsoft.com/office/excel/2006/main">
          <x14:cfRule type="dataBar" id="{815A4913-A24E-4273-B763-41C62CF7B400}">
            <x14:dataBar minLength="0" maxLength="100" gradient="0">
              <x14:cfvo type="autoMin"/>
              <x14:cfvo type="num">
                <xm:f>4</xm:f>
              </x14:cfvo>
              <x14:negativeFillColor rgb="FFFF0000"/>
              <x14:axisColor rgb="FF000000"/>
            </x14:dataBar>
          </x14:cfRule>
          <xm:sqref>I140:I141</xm:sqref>
        </x14:conditionalFormatting>
        <x14:conditionalFormatting xmlns:xm="http://schemas.microsoft.com/office/excel/2006/main">
          <x14:cfRule type="dataBar" id="{94EF0653-39E0-4293-9312-A66C20AB7E98}">
            <x14:dataBar minLength="0" maxLength="100" gradient="0">
              <x14:cfvo type="autoMin"/>
              <x14:cfvo type="num">
                <xm:f>4</xm:f>
              </x14:cfvo>
              <x14:negativeFillColor rgb="FFFF0000"/>
              <x14:axisColor rgb="FF000000"/>
            </x14:dataBar>
          </x14:cfRule>
          <xm:sqref>J137:J138</xm:sqref>
        </x14:conditionalFormatting>
        <x14:conditionalFormatting xmlns:xm="http://schemas.microsoft.com/office/excel/2006/main">
          <x14:cfRule type="dataBar" id="{7C8448E1-1E3E-4105-9E4E-23C51661BA30}">
            <x14:dataBar minLength="0" maxLength="100" gradient="0">
              <x14:cfvo type="autoMin"/>
              <x14:cfvo type="num">
                <xm:f>4</xm:f>
              </x14:cfvo>
              <x14:negativeFillColor rgb="FFFF0000"/>
              <x14:axisColor rgb="FF000000"/>
            </x14:dataBar>
          </x14:cfRule>
          <xm:sqref>J140:J141</xm:sqref>
        </x14:conditionalFormatting>
        <x14:conditionalFormatting xmlns:xm="http://schemas.microsoft.com/office/excel/2006/main">
          <x14:cfRule type="dataBar" id="{D9B0D3FA-AEAD-47ED-BE9A-C695C87A9F7C}">
            <x14:dataBar minLength="0" maxLength="100" gradient="0">
              <x14:cfvo type="autoMin"/>
              <x14:cfvo type="num">
                <xm:f>4</xm:f>
              </x14:cfvo>
              <x14:negativeFillColor rgb="FFFF0000"/>
              <x14:axisColor rgb="FF000000"/>
            </x14:dataBar>
          </x14:cfRule>
          <xm:sqref>K137:K138</xm:sqref>
        </x14:conditionalFormatting>
        <x14:conditionalFormatting xmlns:xm="http://schemas.microsoft.com/office/excel/2006/main">
          <x14:cfRule type="dataBar" id="{C72AAD87-3C77-4826-A5AC-B3A5425797C8}">
            <x14:dataBar minLength="0" maxLength="100" gradient="0">
              <x14:cfvo type="autoMin"/>
              <x14:cfvo type="num">
                <xm:f>4</xm:f>
              </x14:cfvo>
              <x14:negativeFillColor rgb="FFFF0000"/>
              <x14:axisColor rgb="FF000000"/>
            </x14:dataBar>
          </x14:cfRule>
          <xm:sqref>K140:K141</xm:sqref>
        </x14:conditionalFormatting>
        <x14:conditionalFormatting xmlns:xm="http://schemas.microsoft.com/office/excel/2006/main">
          <x14:cfRule type="dataBar" id="{044E6AFD-5884-4730-8F9B-D1FED7638C58}">
            <x14:dataBar minLength="0" maxLength="100" gradient="0">
              <x14:cfvo type="autoMin"/>
              <x14:cfvo type="autoMax"/>
              <x14:negativeFillColor rgb="FFFF0000"/>
              <x14:axisColor rgb="FF000000"/>
            </x14:dataBar>
          </x14:cfRule>
          <xm:sqref>L9 L14</xm:sqref>
        </x14:conditionalFormatting>
        <x14:conditionalFormatting xmlns:xm="http://schemas.microsoft.com/office/excel/2006/main">
          <x14:cfRule type="dataBar" id="{4184BAEB-7C7D-45D5-8AE5-091882005915}">
            <x14:dataBar minLength="0" maxLength="100" gradient="0">
              <x14:cfvo type="autoMin"/>
              <x14:cfvo type="autoMax"/>
              <x14:negativeFillColor rgb="FFFF0000"/>
              <x14:axisColor rgb="FF000000"/>
            </x14:dataBar>
          </x14:cfRule>
          <xm:sqref>L10 L15</xm:sqref>
        </x14:conditionalFormatting>
        <x14:conditionalFormatting xmlns:xm="http://schemas.microsoft.com/office/excel/2006/main">
          <x14:cfRule type="dataBar" id="{2CCB765B-BDB5-4CD2-A151-ECEC43AAA02E}">
            <x14:dataBar minLength="0" maxLength="100" gradient="0">
              <x14:cfvo type="autoMin"/>
              <x14:cfvo type="autoMax"/>
              <x14:negativeFillColor rgb="FFFF0000"/>
              <x14:axisColor rgb="FF000000"/>
            </x14:dataBar>
          </x14:cfRule>
          <xm:sqref>L11 L16</xm:sqref>
        </x14:conditionalFormatting>
        <x14:conditionalFormatting xmlns:xm="http://schemas.microsoft.com/office/excel/2006/main">
          <x14:cfRule type="dataBar" id="{E6CA4EA7-1277-4529-BAE5-E027076BED09}">
            <x14:dataBar minLength="0" maxLength="100" gradient="0">
              <x14:cfvo type="autoMin"/>
              <x14:cfvo type="autoMax"/>
              <x14:negativeFillColor rgb="FFFF0000"/>
              <x14:axisColor rgb="FF000000"/>
            </x14:dataBar>
          </x14:cfRule>
          <xm:sqref>L12 L17</xm:sqref>
        </x14:conditionalFormatting>
        <x14:conditionalFormatting xmlns:xm="http://schemas.microsoft.com/office/excel/2006/main">
          <x14:cfRule type="dataBar" id="{B0E58DDB-B93B-469D-83F7-0C2B5A3CB48D}">
            <x14:dataBar minLength="0" maxLength="100" gradient="0">
              <x14:cfvo type="autoMin"/>
              <x14:cfvo type="autoMax"/>
              <x14:negativeFillColor rgb="FFFF0000"/>
              <x14:axisColor rgb="FF000000"/>
            </x14:dataBar>
          </x14:cfRule>
          <xm:sqref>L13 L18</xm:sqref>
        </x14:conditionalFormatting>
        <x14:conditionalFormatting xmlns:xm="http://schemas.microsoft.com/office/excel/2006/main">
          <x14:cfRule type="dataBar" id="{532D4628-7402-4936-8CF5-18DCA0889570}">
            <x14:dataBar minLength="0" maxLength="100" gradient="0">
              <x14:cfvo type="autoMin"/>
              <x14:cfvo type="autoMax"/>
              <x14:negativeFillColor rgb="FFFF0000"/>
              <x14:axisColor rgb="FF000000"/>
            </x14:dataBar>
          </x14:cfRule>
          <xm:sqref>L29 L39 L34 L44</xm:sqref>
        </x14:conditionalFormatting>
        <x14:conditionalFormatting xmlns:xm="http://schemas.microsoft.com/office/excel/2006/main">
          <x14:cfRule type="dataBar" id="{9579316F-07BA-41EA-9D16-2117F5379859}">
            <x14:dataBar minLength="0" maxLength="100" gradient="0">
              <x14:cfvo type="autoMin"/>
              <x14:cfvo type="autoMax"/>
              <x14:negativeFillColor rgb="FFFF0000"/>
              <x14:axisColor rgb="FF000000"/>
            </x14:dataBar>
          </x14:cfRule>
          <xm:sqref>L30 L40 L35 L45</xm:sqref>
        </x14:conditionalFormatting>
        <x14:conditionalFormatting xmlns:xm="http://schemas.microsoft.com/office/excel/2006/main">
          <x14:cfRule type="dataBar" id="{4112D8BB-EA2C-4153-B98D-3F072BBE47C6}">
            <x14:dataBar minLength="0" maxLength="100" gradient="0">
              <x14:cfvo type="autoMin"/>
              <x14:cfvo type="autoMax"/>
              <x14:negativeFillColor rgb="FFFF0000"/>
              <x14:axisColor rgb="FF000000"/>
            </x14:dataBar>
          </x14:cfRule>
          <xm:sqref>L31 L41 L36 L46</xm:sqref>
        </x14:conditionalFormatting>
        <x14:conditionalFormatting xmlns:xm="http://schemas.microsoft.com/office/excel/2006/main">
          <x14:cfRule type="dataBar" id="{CCB09693-BFF1-4E71-855C-1AE120A41457}">
            <x14:dataBar minLength="0" maxLength="100" gradient="0">
              <x14:cfvo type="autoMin"/>
              <x14:cfvo type="autoMax"/>
              <x14:negativeFillColor rgb="FFFF0000"/>
              <x14:axisColor rgb="FF000000"/>
            </x14:dataBar>
          </x14:cfRule>
          <xm:sqref>L32 L42 L37 L47</xm:sqref>
        </x14:conditionalFormatting>
        <x14:conditionalFormatting xmlns:xm="http://schemas.microsoft.com/office/excel/2006/main">
          <x14:cfRule type="dataBar" id="{3DD80B76-9152-4DE8-8550-8424654C2349}">
            <x14:dataBar minLength="0" maxLength="100" gradient="0">
              <x14:cfvo type="autoMin"/>
              <x14:cfvo type="autoMax"/>
              <x14:negativeFillColor rgb="FFFF0000"/>
              <x14:axisColor rgb="FF000000"/>
            </x14:dataBar>
          </x14:cfRule>
          <xm:sqref>L33 L43 L38 L48</xm:sqref>
        </x14:conditionalFormatting>
        <x14:conditionalFormatting xmlns:xm="http://schemas.microsoft.com/office/excel/2006/main">
          <x14:cfRule type="dataBar" id="{2D9908F9-0B2B-46B9-8D15-1A25F27574D4}">
            <x14:dataBar minLength="0" maxLength="100" gradient="0">
              <x14:cfvo type="autoMin"/>
              <x14:cfvo type="num">
                <xm:f>4</xm:f>
              </x14:cfvo>
              <x14:negativeFillColor rgb="FFFF0000"/>
              <x14:axisColor rgb="FF000000"/>
            </x14:dataBar>
          </x14:cfRule>
          <xm:sqref>L137:L138</xm:sqref>
        </x14:conditionalFormatting>
        <x14:conditionalFormatting xmlns:xm="http://schemas.microsoft.com/office/excel/2006/main">
          <x14:cfRule type="dataBar" id="{F26C3E51-45A6-4FDB-A93F-C42718E41EFE}">
            <x14:dataBar minLength="0" maxLength="100" gradient="0">
              <x14:cfvo type="autoMin"/>
              <x14:cfvo type="num">
                <xm:f>4</xm:f>
              </x14:cfvo>
              <x14:negativeFillColor rgb="FFFF0000"/>
              <x14:axisColor rgb="FF000000"/>
            </x14:dataBar>
          </x14:cfRule>
          <xm:sqref>L140:L141</xm:sqref>
        </x14:conditionalFormatting>
        <x14:conditionalFormatting xmlns:xm="http://schemas.microsoft.com/office/excel/2006/main">
          <x14:cfRule type="dataBar" id="{6BF08E2B-AD37-4044-991B-0CA550689FB1}">
            <x14:dataBar minLength="0" maxLength="100" gradient="0">
              <x14:cfvo type="autoMin"/>
              <x14:cfvo type="num">
                <xm:f>4</xm:f>
              </x14:cfvo>
              <x14:negativeFillColor rgb="FFFF0000"/>
              <x14:axisColor rgb="FF000000"/>
            </x14:dataBar>
          </x14:cfRule>
          <xm:sqref>M137:M138</xm:sqref>
        </x14:conditionalFormatting>
        <x14:conditionalFormatting xmlns:xm="http://schemas.microsoft.com/office/excel/2006/main">
          <x14:cfRule type="dataBar" id="{4699F706-80CC-434B-8686-F6C92A94EB75}">
            <x14:dataBar minLength="0" maxLength="100" gradient="0">
              <x14:cfvo type="autoMin"/>
              <x14:cfvo type="num">
                <xm:f>4</xm:f>
              </x14:cfvo>
              <x14:negativeFillColor rgb="FFFF0000"/>
              <x14:axisColor rgb="FF000000"/>
            </x14:dataBar>
          </x14:cfRule>
          <xm:sqref>M140:M141</xm:sqref>
        </x14:conditionalFormatting>
        <x14:conditionalFormatting xmlns:xm="http://schemas.microsoft.com/office/excel/2006/main">
          <x14:cfRule type="dataBar" id="{413D993E-6473-4125-9F1E-007ED25FA0E5}">
            <x14:dataBar minLength="0" maxLength="100" gradient="0">
              <x14:cfvo type="autoMin"/>
              <x14:cfvo type="autoMax"/>
              <x14:negativeFillColor rgb="FFFF0000"/>
              <x14:axisColor rgb="FF000000"/>
            </x14:dataBar>
          </x14:cfRule>
          <xm:sqref>N52:N135</xm:sqref>
        </x14:conditionalFormatting>
        <x14:conditionalFormatting xmlns:xm="http://schemas.microsoft.com/office/excel/2006/main">
          <x14:cfRule type="dataBar" id="{AE781AFE-1F2C-41CD-9A35-52D4128544AB}">
            <x14:dataBar minLength="0" maxLength="100" gradient="0">
              <x14:cfvo type="autoMin"/>
              <x14:cfvo type="autoMax"/>
              <x14:negativeFillColor rgb="FFFF0000"/>
              <x14:axisColor rgb="FF000000"/>
            </x14:dataBar>
          </x14:cfRule>
          <xm:sqref>N136:N149</xm:sqref>
        </x14:conditionalFormatting>
        <x14:conditionalFormatting xmlns:xm="http://schemas.microsoft.com/office/excel/2006/main">
          <x14:cfRule type="dataBar" id="{8F136090-05E9-4BFE-9915-7472FA976C62}">
            <x14:dataBar minLength="0" maxLength="100" gradient="0">
              <x14:cfvo type="autoMin"/>
              <x14:cfvo type="autoMax"/>
              <x14:negativeFillColor rgb="FFFF0000"/>
              <x14:axisColor rgb="FF000000"/>
            </x14:dataBar>
          </x14:cfRule>
          <xm:sqref>N236:N253</xm:sqref>
        </x14:conditionalFormatting>
        <x14:conditionalFormatting xmlns:xm="http://schemas.microsoft.com/office/excel/2006/main">
          <x14:cfRule type="dataBar" id="{77F46D7A-D3C0-464F-B4B8-4DD98E1D8531}">
            <x14:dataBar minLength="0" maxLength="100" gradient="0">
              <x14:cfvo type="autoMin"/>
              <x14:cfvo type="autoMax"/>
              <x14:negativeFillColor rgb="FFFF0000"/>
              <x14:axisColor rgb="FF000000"/>
            </x14:dataBar>
          </x14:cfRule>
          <xm:sqref>O8</xm:sqref>
        </x14:conditionalFormatting>
        <x14:conditionalFormatting xmlns:xm="http://schemas.microsoft.com/office/excel/2006/main">
          <x14:cfRule type="dataBar" id="{BC556352-4E74-4E62-9109-E28D996E445F}">
            <x14:dataBar minLength="0" maxLength="100" gradient="0">
              <x14:cfvo type="autoMin"/>
              <x14:cfvo type="autoMax"/>
              <x14:negativeFillColor rgb="FFFF0000"/>
              <x14:axisColor rgb="FF000000"/>
            </x14:dataBar>
          </x14:cfRule>
          <xm:sqref>O9</xm:sqref>
        </x14:conditionalFormatting>
        <x14:conditionalFormatting xmlns:xm="http://schemas.microsoft.com/office/excel/2006/main">
          <x14:cfRule type="dataBar" id="{F42FDA4B-0BC5-4C08-A7D4-E0C62CFB8228}">
            <x14:dataBar minLength="0" maxLength="100" gradient="0">
              <x14:cfvo type="autoMin"/>
              <x14:cfvo type="autoMax"/>
              <x14:negativeFillColor rgb="FFFF0000"/>
              <x14:axisColor rgb="FF000000"/>
            </x14:dataBar>
          </x14:cfRule>
          <xm:sqref>O10</xm:sqref>
        </x14:conditionalFormatting>
        <x14:conditionalFormatting xmlns:xm="http://schemas.microsoft.com/office/excel/2006/main">
          <x14:cfRule type="dataBar" id="{A17CC17F-7983-4168-B1F0-14A78A381BE8}">
            <x14:dataBar minLength="0" maxLength="100" gradient="0">
              <x14:cfvo type="autoMin"/>
              <x14:cfvo type="autoMax"/>
              <x14:negativeFillColor rgb="FFFF0000"/>
              <x14:axisColor rgb="FF000000"/>
            </x14:dataBar>
          </x14:cfRule>
          <xm:sqref>O11</xm:sqref>
        </x14:conditionalFormatting>
        <x14:conditionalFormatting xmlns:xm="http://schemas.microsoft.com/office/excel/2006/main">
          <x14:cfRule type="dataBar" id="{2EA17CFE-D0B3-48D7-97DD-B4721411EDDB}">
            <x14:dataBar minLength="0" maxLength="100" gradient="0">
              <x14:cfvo type="autoMin"/>
              <x14:cfvo type="autoMax"/>
              <x14:negativeFillColor rgb="FFFF0000"/>
              <x14:axisColor rgb="FF000000"/>
            </x14:dataBar>
          </x14:cfRule>
          <xm:sqref>O12</xm:sqref>
        </x14:conditionalFormatting>
        <x14:conditionalFormatting xmlns:xm="http://schemas.microsoft.com/office/excel/2006/main">
          <x14:cfRule type="dataBar" id="{E3CDCA83-FFF2-4477-BE3A-A6896D88673B}">
            <x14:dataBar minLength="0" maxLength="100" gradient="0">
              <x14:cfvo type="autoMin"/>
              <x14:cfvo type="autoMax"/>
              <x14:negativeFillColor rgb="FFFF0000"/>
              <x14:axisColor rgb="FF000000"/>
            </x14:dataBar>
          </x14:cfRule>
          <xm:sqref>O19:O23</xm:sqref>
        </x14:conditionalFormatting>
        <x14:conditionalFormatting xmlns:xm="http://schemas.microsoft.com/office/excel/2006/main">
          <x14:cfRule type="dataBar" id="{240C1EB0-A950-4C5C-BBC7-0F4E6502BF83}">
            <x14:dataBar minLength="0" maxLength="100" gradient="0">
              <x14:cfvo type="autoMin"/>
              <x14:cfvo type="autoMax"/>
              <x14:negativeFillColor rgb="FFFF0000"/>
              <x14:axisColor rgb="FF000000"/>
            </x14:dataBar>
          </x14:cfRule>
          <xm:sqref>O52:O135</xm:sqref>
        </x14:conditionalFormatting>
        <x14:conditionalFormatting xmlns:xm="http://schemas.microsoft.com/office/excel/2006/main">
          <x14:cfRule type="dataBar" id="{7130BCB1-A014-4EDA-8A28-10A79FF71292}">
            <x14:dataBar minLength="0" maxLength="100" gradient="0">
              <x14:cfvo type="autoMin"/>
              <x14:cfvo type="autoMax"/>
              <x14:negativeFillColor rgb="FFFF0000"/>
              <x14:axisColor rgb="FF000000"/>
            </x14:dataBar>
          </x14:cfRule>
          <xm:sqref>O136:O149</xm:sqref>
        </x14:conditionalFormatting>
        <x14:conditionalFormatting xmlns:xm="http://schemas.microsoft.com/office/excel/2006/main">
          <x14:cfRule type="dataBar" id="{AF836228-A7FA-4A92-A993-106CE664609D}">
            <x14:dataBar minLength="0" maxLength="100" gradient="0">
              <x14:cfvo type="autoMin"/>
              <x14:cfvo type="autoMax"/>
              <x14:negativeFillColor rgb="FFFF0000"/>
              <x14:axisColor rgb="FF000000"/>
            </x14:dataBar>
          </x14:cfRule>
          <xm:sqref>O236:O253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AA15-C4DC-4BB9-8468-17C8EF90DC4C}">
  <sheetPr>
    <tabColor theme="8"/>
  </sheetPr>
  <dimension ref="A1:AF158"/>
  <sheetViews>
    <sheetView topLeftCell="A124" zoomScale="85" zoomScaleNormal="85" workbookViewId="0">
      <selection activeCell="B161" sqref="B161"/>
    </sheetView>
  </sheetViews>
  <sheetFormatPr defaultColWidth="8.85546875" defaultRowHeight="15"/>
  <cols>
    <col min="1" max="1" width="50.7109375" style="6" customWidth="1"/>
    <col min="2" max="2" width="24.140625" style="6" customWidth="1"/>
    <col min="3" max="32" width="20.7109375" style="6" customWidth="1"/>
    <col min="33" max="16384" width="8.85546875" style="6"/>
  </cols>
  <sheetData>
    <row r="1" spans="1:32" ht="30" customHeight="1">
      <c r="A1" s="1022" t="s">
        <v>799</v>
      </c>
      <c r="B1" s="1022"/>
      <c r="C1" s="1022"/>
      <c r="D1" s="1022"/>
      <c r="E1" s="1022"/>
      <c r="F1" s="1022"/>
      <c r="G1" s="1022"/>
      <c r="H1" s="1022"/>
      <c r="I1" s="1022"/>
      <c r="J1" s="1022"/>
      <c r="K1" s="1022"/>
      <c r="L1" s="1022"/>
      <c r="M1" s="1022"/>
      <c r="N1" s="1022"/>
      <c r="O1" s="1022"/>
      <c r="P1" s="1022"/>
      <c r="Q1" s="1022"/>
      <c r="R1" s="1022"/>
      <c r="S1" s="1022"/>
      <c r="T1" s="1022"/>
      <c r="U1" s="1022"/>
      <c r="V1" s="1022"/>
      <c r="W1" s="1022"/>
      <c r="X1" s="1022"/>
      <c r="Y1" s="1022"/>
      <c r="Z1" s="1022"/>
      <c r="AA1" s="1022"/>
      <c r="AB1" s="1022"/>
      <c r="AC1" s="1022"/>
      <c r="AD1" s="1022"/>
      <c r="AE1" s="1022"/>
      <c r="AF1" s="1022"/>
    </row>
    <row r="2" spans="1:32" ht="30" customHeight="1">
      <c r="A2" s="139" t="s">
        <v>100</v>
      </c>
      <c r="B2" s="139" t="s">
        <v>101</v>
      </c>
      <c r="C2" s="139" t="s">
        <v>131</v>
      </c>
      <c r="D2" s="188" t="s">
        <v>85</v>
      </c>
      <c r="E2" s="188" t="s">
        <v>86</v>
      </c>
      <c r="F2" s="188" t="s">
        <v>87</v>
      </c>
      <c r="G2" s="188" t="s">
        <v>88</v>
      </c>
      <c r="H2" s="188" t="s">
        <v>89</v>
      </c>
      <c r="I2" s="188" t="s">
        <v>90</v>
      </c>
      <c r="J2" s="188" t="s">
        <v>91</v>
      </c>
      <c r="K2" s="188" t="s">
        <v>92</v>
      </c>
      <c r="L2" s="188" t="s">
        <v>93</v>
      </c>
      <c r="M2" s="188" t="s">
        <v>94</v>
      </c>
      <c r="N2" s="188" t="s">
        <v>95</v>
      </c>
      <c r="O2" s="188" t="s">
        <v>96</v>
      </c>
      <c r="P2" s="188" t="s">
        <v>97</v>
      </c>
      <c r="Q2" s="188" t="s">
        <v>127</v>
      </c>
      <c r="R2" s="1080" t="s">
        <v>123</v>
      </c>
      <c r="S2" s="1080"/>
      <c r="T2" s="1080"/>
      <c r="U2" s="1052" t="s">
        <v>104</v>
      </c>
      <c r="V2" s="1052"/>
      <c r="W2" s="1052"/>
      <c r="X2" s="1052"/>
      <c r="Y2" s="1052"/>
      <c r="Z2" s="1052"/>
      <c r="AA2" s="1052"/>
      <c r="AB2" s="1052"/>
      <c r="AC2" s="1052"/>
      <c r="AD2" s="1052"/>
      <c r="AE2" s="1052"/>
      <c r="AF2" s="1052"/>
    </row>
    <row r="3" spans="1:32" s="7" customFormat="1">
      <c r="A3" s="143" t="s">
        <v>1054</v>
      </c>
      <c r="B3" s="9" t="s">
        <v>884</v>
      </c>
      <c r="C3" s="9" t="s">
        <v>884</v>
      </c>
      <c r="D3" s="189">
        <v>0</v>
      </c>
      <c r="E3" s="376">
        <f>126.1+72.95+42.1+11.6+9.34+1.01+0.046+7.02</f>
        <v>270.16599999999994</v>
      </c>
      <c r="F3" s="189">
        <v>0</v>
      </c>
      <c r="G3" s="189">
        <v>0</v>
      </c>
      <c r="H3" s="189">
        <v>0</v>
      </c>
      <c r="I3" s="189">
        <v>0</v>
      </c>
      <c r="J3" s="189">
        <v>0</v>
      </c>
      <c r="K3" s="189">
        <v>0</v>
      </c>
      <c r="L3" s="189">
        <v>440.07</v>
      </c>
      <c r="M3" s="189">
        <v>0</v>
      </c>
      <c r="N3" s="376">
        <v>1.1299999999999999</v>
      </c>
      <c r="O3" s="189">
        <v>0</v>
      </c>
      <c r="P3" s="376">
        <v>0</v>
      </c>
      <c r="Q3" s="377">
        <f>0.7+0.1+0.485+1.33</f>
        <v>2.6150000000000002</v>
      </c>
      <c r="R3" s="1095" t="s">
        <v>1055</v>
      </c>
      <c r="S3" s="1095"/>
      <c r="T3" s="1095"/>
      <c r="U3" s="1098" t="s">
        <v>1056</v>
      </c>
      <c r="V3" s="1100"/>
      <c r="W3" s="1098" t="s">
        <v>1057</v>
      </c>
      <c r="X3" s="1099"/>
      <c r="Y3" s="1099"/>
      <c r="Z3" s="1099"/>
      <c r="AA3" s="1099"/>
      <c r="AB3" s="1099"/>
      <c r="AC3" s="1099"/>
      <c r="AD3" s="1099"/>
      <c r="AE3" s="1099"/>
      <c r="AF3" s="1100"/>
    </row>
    <row r="4" spans="1:32" s="7" customFormat="1">
      <c r="A4" s="143" t="s">
        <v>227</v>
      </c>
      <c r="B4" s="9" t="s">
        <v>884</v>
      </c>
      <c r="C4" s="9" t="s">
        <v>884</v>
      </c>
      <c r="D4" s="189">
        <v>0</v>
      </c>
      <c r="E4" s="189">
        <v>0</v>
      </c>
      <c r="F4" s="189">
        <v>0</v>
      </c>
      <c r="G4" s="189">
        <v>0</v>
      </c>
      <c r="H4" s="189">
        <v>0</v>
      </c>
      <c r="I4" s="189">
        <v>0</v>
      </c>
      <c r="J4" s="189">
        <f>12/3</f>
        <v>4</v>
      </c>
      <c r="K4" s="189">
        <v>0</v>
      </c>
      <c r="L4" s="189">
        <f>126+3.5</f>
        <v>129.5</v>
      </c>
      <c r="M4" s="189">
        <v>0</v>
      </c>
      <c r="N4" s="189">
        <f>12/3</f>
        <v>4</v>
      </c>
      <c r="O4" s="189">
        <v>0</v>
      </c>
      <c r="P4" s="189">
        <f>12/3</f>
        <v>4</v>
      </c>
      <c r="Q4" s="189">
        <v>0.05</v>
      </c>
      <c r="R4" s="1095" t="s">
        <v>1055</v>
      </c>
      <c r="S4" s="1095"/>
      <c r="T4" s="1095"/>
      <c r="U4" s="1101" t="s">
        <v>1058</v>
      </c>
      <c r="V4" s="1097"/>
      <c r="W4" s="1098" t="s">
        <v>1057</v>
      </c>
      <c r="X4" s="1099"/>
      <c r="Y4" s="1099"/>
      <c r="Z4" s="1099"/>
      <c r="AA4" s="1099"/>
      <c r="AB4" s="1099"/>
      <c r="AC4" s="1099"/>
      <c r="AD4" s="1099"/>
      <c r="AE4" s="1099"/>
      <c r="AF4" s="1100"/>
    </row>
    <row r="5" spans="1:32" s="7" customFormat="1">
      <c r="A5" s="143" t="s">
        <v>156</v>
      </c>
      <c r="B5" s="9" t="s">
        <v>884</v>
      </c>
      <c r="C5" s="9" t="s">
        <v>884</v>
      </c>
      <c r="D5" s="189">
        <v>1</v>
      </c>
      <c r="E5" s="189">
        <v>1</v>
      </c>
      <c r="F5" s="189">
        <v>1</v>
      </c>
      <c r="G5" s="189">
        <v>0</v>
      </c>
      <c r="H5" s="189">
        <v>0</v>
      </c>
      <c r="I5" s="189">
        <v>1</v>
      </c>
      <c r="J5" s="189">
        <v>0</v>
      </c>
      <c r="K5" s="189">
        <v>0</v>
      </c>
      <c r="L5" s="189">
        <v>1</v>
      </c>
      <c r="M5" s="189">
        <v>0</v>
      </c>
      <c r="N5" s="189">
        <v>1</v>
      </c>
      <c r="O5" s="189">
        <v>0</v>
      </c>
      <c r="P5" s="189">
        <v>1</v>
      </c>
      <c r="Q5" s="189">
        <v>3</v>
      </c>
      <c r="R5" s="1095" t="s">
        <v>1059</v>
      </c>
      <c r="S5" s="1095"/>
      <c r="T5" s="1095"/>
      <c r="U5" s="1096" t="s">
        <v>1060</v>
      </c>
      <c r="V5" s="1097"/>
      <c r="W5" s="1098"/>
      <c r="X5" s="1099"/>
      <c r="Y5" s="1099"/>
      <c r="Z5" s="1099"/>
      <c r="AA5" s="1099"/>
      <c r="AB5" s="1099"/>
      <c r="AC5" s="1099"/>
      <c r="AD5" s="1099"/>
      <c r="AE5" s="1099"/>
      <c r="AF5" s="1100"/>
    </row>
    <row r="6" spans="1:32" s="7" customFormat="1">
      <c r="A6" s="143" t="s">
        <v>159</v>
      </c>
      <c r="B6" s="9" t="s">
        <v>884</v>
      </c>
      <c r="C6" s="9" t="s">
        <v>884</v>
      </c>
      <c r="D6" s="189">
        <v>0</v>
      </c>
      <c r="E6" s="189">
        <v>1</v>
      </c>
      <c r="F6" s="189">
        <v>0</v>
      </c>
      <c r="G6" s="189">
        <v>0</v>
      </c>
      <c r="H6" s="189">
        <v>0</v>
      </c>
      <c r="I6" s="189">
        <v>0</v>
      </c>
      <c r="J6" s="189">
        <v>0</v>
      </c>
      <c r="K6" s="189">
        <v>0</v>
      </c>
      <c r="L6" s="189">
        <v>0</v>
      </c>
      <c r="M6" s="189">
        <v>0</v>
      </c>
      <c r="N6" s="189">
        <v>0</v>
      </c>
      <c r="O6" s="189">
        <v>0</v>
      </c>
      <c r="P6" s="189">
        <v>0</v>
      </c>
      <c r="Q6" s="189">
        <v>0</v>
      </c>
      <c r="R6" s="1095" t="s">
        <v>1059</v>
      </c>
      <c r="S6" s="1095"/>
      <c r="T6" s="1095"/>
      <c r="U6" s="1096" t="s">
        <v>1060</v>
      </c>
      <c r="V6" s="1097"/>
      <c r="W6" s="1098"/>
      <c r="X6" s="1099"/>
      <c r="Y6" s="1099"/>
      <c r="Z6" s="1099"/>
      <c r="AA6" s="1099"/>
      <c r="AB6" s="1099"/>
      <c r="AC6" s="1099"/>
      <c r="AD6" s="1099"/>
      <c r="AE6" s="1099"/>
      <c r="AF6" s="1100"/>
    </row>
    <row r="7" spans="1:32" s="7" customFormat="1">
      <c r="A7" s="143" t="s">
        <v>160</v>
      </c>
      <c r="B7" s="9" t="s">
        <v>884</v>
      </c>
      <c r="C7" s="9" t="s">
        <v>884</v>
      </c>
      <c r="D7" s="189">
        <v>1</v>
      </c>
      <c r="E7" s="189">
        <v>1</v>
      </c>
      <c r="F7" s="189">
        <v>0</v>
      </c>
      <c r="G7" s="189">
        <v>0</v>
      </c>
      <c r="H7" s="189">
        <v>0</v>
      </c>
      <c r="I7" s="189">
        <v>1</v>
      </c>
      <c r="J7" s="189">
        <v>1</v>
      </c>
      <c r="K7" s="189">
        <v>0</v>
      </c>
      <c r="L7" s="189">
        <v>1</v>
      </c>
      <c r="M7" s="189">
        <v>0</v>
      </c>
      <c r="N7" s="189">
        <v>1</v>
      </c>
      <c r="O7" s="189">
        <v>0</v>
      </c>
      <c r="P7" s="189">
        <v>1</v>
      </c>
      <c r="Q7" s="189">
        <v>1</v>
      </c>
      <c r="R7" s="1095" t="s">
        <v>1059</v>
      </c>
      <c r="S7" s="1095"/>
      <c r="T7" s="1095"/>
      <c r="U7" s="1096" t="s">
        <v>1060</v>
      </c>
      <c r="V7" s="1097"/>
      <c r="W7" s="1098"/>
      <c r="X7" s="1099"/>
      <c r="Y7" s="1099"/>
      <c r="Z7" s="1099"/>
      <c r="AA7" s="1099"/>
      <c r="AB7" s="1099"/>
      <c r="AC7" s="1099"/>
      <c r="AD7" s="1099"/>
      <c r="AE7" s="1099"/>
      <c r="AF7" s="1100"/>
    </row>
    <row r="8" spans="1:32" s="7" customFormat="1">
      <c r="A8" s="143" t="s">
        <v>161</v>
      </c>
      <c r="B8" s="9" t="s">
        <v>884</v>
      </c>
      <c r="C8" s="9" t="s">
        <v>884</v>
      </c>
      <c r="D8" s="189">
        <v>1</v>
      </c>
      <c r="E8" s="189">
        <v>1</v>
      </c>
      <c r="F8" s="189">
        <v>0</v>
      </c>
      <c r="G8" s="189">
        <v>0</v>
      </c>
      <c r="H8" s="189">
        <v>0</v>
      </c>
      <c r="I8" s="189">
        <v>1</v>
      </c>
      <c r="J8" s="189">
        <v>1</v>
      </c>
      <c r="K8" s="189">
        <v>0</v>
      </c>
      <c r="L8" s="189">
        <v>1</v>
      </c>
      <c r="M8" s="189">
        <v>0</v>
      </c>
      <c r="N8" s="189">
        <v>1</v>
      </c>
      <c r="O8" s="189">
        <v>0</v>
      </c>
      <c r="P8" s="189">
        <v>1</v>
      </c>
      <c r="Q8" s="189">
        <v>1</v>
      </c>
      <c r="R8" s="1095" t="s">
        <v>1059</v>
      </c>
      <c r="S8" s="1095"/>
      <c r="T8" s="1095"/>
      <c r="U8" s="1096" t="s">
        <v>1060</v>
      </c>
      <c r="V8" s="1097"/>
      <c r="W8" s="1098"/>
      <c r="X8" s="1099"/>
      <c r="Y8" s="1099"/>
      <c r="Z8" s="1099"/>
      <c r="AA8" s="1099"/>
      <c r="AB8" s="1099"/>
      <c r="AC8" s="1099"/>
      <c r="AD8" s="1099"/>
      <c r="AE8" s="1099"/>
      <c r="AF8" s="1100"/>
    </row>
    <row r="9" spans="1:32" s="7" customFormat="1">
      <c r="A9" s="143" t="s">
        <v>314</v>
      </c>
      <c r="B9" s="9" t="s">
        <v>884</v>
      </c>
      <c r="C9" s="9" t="s">
        <v>884</v>
      </c>
      <c r="D9" s="189">
        <v>0</v>
      </c>
      <c r="E9" s="189">
        <v>0</v>
      </c>
      <c r="F9" s="189">
        <v>0</v>
      </c>
      <c r="G9" s="189">
        <v>0</v>
      </c>
      <c r="H9" s="189">
        <v>0</v>
      </c>
      <c r="I9" s="189">
        <v>0</v>
      </c>
      <c r="J9" s="189">
        <v>0</v>
      </c>
      <c r="K9" s="189">
        <v>0</v>
      </c>
      <c r="L9" s="189">
        <v>0</v>
      </c>
      <c r="M9" s="189">
        <v>0</v>
      </c>
      <c r="N9" s="189">
        <v>0</v>
      </c>
      <c r="O9" s="189">
        <v>0</v>
      </c>
      <c r="P9" s="189">
        <v>0</v>
      </c>
      <c r="Q9" s="189">
        <v>1</v>
      </c>
      <c r="R9" s="1095" t="s">
        <v>1059</v>
      </c>
      <c r="S9" s="1095"/>
      <c r="T9" s="1095"/>
      <c r="U9" s="1096" t="s">
        <v>1060</v>
      </c>
      <c r="V9" s="1097"/>
      <c r="W9" s="1098"/>
      <c r="X9" s="1099"/>
      <c r="Y9" s="1099"/>
      <c r="Z9" s="1099"/>
      <c r="AA9" s="1099"/>
      <c r="AB9" s="1099"/>
      <c r="AC9" s="1099"/>
      <c r="AD9" s="1099"/>
      <c r="AE9" s="1099"/>
      <c r="AF9" s="1100"/>
    </row>
    <row r="10" spans="1:32" s="7" customFormat="1">
      <c r="A10" s="143" t="s">
        <v>338</v>
      </c>
      <c r="B10" s="9" t="s">
        <v>884</v>
      </c>
      <c r="C10" s="9" t="s">
        <v>884</v>
      </c>
      <c r="D10" s="189">
        <v>0</v>
      </c>
      <c r="E10" s="189">
        <v>0</v>
      </c>
      <c r="F10" s="189">
        <v>0</v>
      </c>
      <c r="G10" s="189">
        <v>0</v>
      </c>
      <c r="H10" s="189">
        <v>0</v>
      </c>
      <c r="I10" s="189">
        <v>0</v>
      </c>
      <c r="J10" s="189">
        <v>0</v>
      </c>
      <c r="K10" s="189">
        <v>0</v>
      </c>
      <c r="L10" s="189">
        <v>0</v>
      </c>
      <c r="M10" s="189">
        <v>0</v>
      </c>
      <c r="N10" s="189">
        <v>0</v>
      </c>
      <c r="O10" s="189">
        <v>0</v>
      </c>
      <c r="P10" s="189">
        <v>0</v>
      </c>
      <c r="Q10" s="189">
        <v>1</v>
      </c>
      <c r="R10" s="1095" t="s">
        <v>1059</v>
      </c>
      <c r="S10" s="1095"/>
      <c r="T10" s="1095"/>
      <c r="U10" s="1096" t="s">
        <v>1060</v>
      </c>
      <c r="V10" s="1097"/>
      <c r="W10" s="1098"/>
      <c r="X10" s="1099"/>
      <c r="Y10" s="1099"/>
      <c r="Z10" s="1099"/>
      <c r="AA10" s="1099"/>
      <c r="AB10" s="1099"/>
      <c r="AC10" s="1099"/>
      <c r="AD10" s="1099"/>
      <c r="AE10" s="1099"/>
      <c r="AF10" s="1100"/>
    </row>
    <row r="11" spans="1:32" s="7" customFormat="1">
      <c r="A11" s="143" t="s">
        <v>268</v>
      </c>
      <c r="B11" s="9" t="s">
        <v>884</v>
      </c>
      <c r="C11" s="9" t="s">
        <v>884</v>
      </c>
      <c r="D11" s="189">
        <v>0</v>
      </c>
      <c r="E11" s="189">
        <v>0</v>
      </c>
      <c r="F11" s="189">
        <v>0</v>
      </c>
      <c r="G11" s="189">
        <v>0</v>
      </c>
      <c r="H11" s="189">
        <v>0</v>
      </c>
      <c r="I11" s="189">
        <v>0</v>
      </c>
      <c r="J11" s="189">
        <v>0</v>
      </c>
      <c r="K11" s="189">
        <v>0</v>
      </c>
      <c r="L11" s="189">
        <v>0</v>
      </c>
      <c r="M11" s="189">
        <v>0</v>
      </c>
      <c r="N11" s="189">
        <v>0</v>
      </c>
      <c r="O11" s="189">
        <v>0</v>
      </c>
      <c r="P11" s="189">
        <v>0</v>
      </c>
      <c r="Q11" s="189">
        <v>1</v>
      </c>
      <c r="R11" s="1095" t="s">
        <v>1059</v>
      </c>
      <c r="S11" s="1095"/>
      <c r="T11" s="1095"/>
      <c r="U11" s="1096" t="s">
        <v>1060</v>
      </c>
      <c r="V11" s="1097"/>
      <c r="W11" s="1098"/>
      <c r="X11" s="1099"/>
      <c r="Y11" s="1099"/>
      <c r="Z11" s="1099"/>
      <c r="AA11" s="1099"/>
      <c r="AB11" s="1099"/>
      <c r="AC11" s="1099"/>
      <c r="AD11" s="1099"/>
      <c r="AE11" s="1099"/>
      <c r="AF11" s="1100"/>
    </row>
    <row r="12" spans="1:32" s="7" customFormat="1">
      <c r="A12" s="143" t="s">
        <v>362</v>
      </c>
      <c r="B12" s="9" t="s">
        <v>884</v>
      </c>
      <c r="C12" s="9" t="s">
        <v>884</v>
      </c>
      <c r="D12" s="189">
        <v>0</v>
      </c>
      <c r="E12" s="189">
        <v>0</v>
      </c>
      <c r="F12" s="189">
        <v>0</v>
      </c>
      <c r="G12" s="189">
        <v>0</v>
      </c>
      <c r="H12" s="189">
        <v>0</v>
      </c>
      <c r="I12" s="189">
        <v>0</v>
      </c>
      <c r="J12" s="189">
        <v>0</v>
      </c>
      <c r="K12" s="189">
        <v>0</v>
      </c>
      <c r="L12" s="189">
        <v>0</v>
      </c>
      <c r="M12" s="189">
        <v>0</v>
      </c>
      <c r="N12" s="189">
        <v>0</v>
      </c>
      <c r="O12" s="189">
        <v>0</v>
      </c>
      <c r="P12" s="189">
        <v>0</v>
      </c>
      <c r="Q12" s="189">
        <v>1</v>
      </c>
      <c r="R12" s="1095" t="s">
        <v>1059</v>
      </c>
      <c r="S12" s="1095"/>
      <c r="T12" s="1095"/>
      <c r="U12" s="1096" t="s">
        <v>1060</v>
      </c>
      <c r="V12" s="1097"/>
      <c r="W12" s="1098"/>
      <c r="X12" s="1099"/>
      <c r="Y12" s="1099"/>
      <c r="Z12" s="1099"/>
      <c r="AA12" s="1099"/>
      <c r="AB12" s="1099"/>
      <c r="AC12" s="1099"/>
      <c r="AD12" s="1099"/>
      <c r="AE12" s="1099"/>
      <c r="AF12" s="1100"/>
    </row>
    <row r="13" spans="1:32" s="7" customFormat="1">
      <c r="A13" s="143" t="s">
        <v>309</v>
      </c>
      <c r="B13" s="9" t="s">
        <v>884</v>
      </c>
      <c r="C13" s="9" t="s">
        <v>884</v>
      </c>
      <c r="D13" s="189">
        <v>0</v>
      </c>
      <c r="E13" s="189">
        <v>0</v>
      </c>
      <c r="F13" s="189">
        <v>0</v>
      </c>
      <c r="G13" s="189">
        <v>0</v>
      </c>
      <c r="H13" s="189">
        <v>0</v>
      </c>
      <c r="I13" s="189">
        <v>0</v>
      </c>
      <c r="J13" s="189">
        <v>0</v>
      </c>
      <c r="K13" s="189">
        <v>1</v>
      </c>
      <c r="L13" s="189">
        <v>0</v>
      </c>
      <c r="M13" s="189">
        <v>0</v>
      </c>
      <c r="N13" s="189">
        <v>0</v>
      </c>
      <c r="O13" s="189">
        <v>0</v>
      </c>
      <c r="P13" s="189">
        <v>0</v>
      </c>
      <c r="Q13" s="189">
        <v>0</v>
      </c>
      <c r="R13" s="1095" t="s">
        <v>1059</v>
      </c>
      <c r="S13" s="1095"/>
      <c r="T13" s="1095"/>
      <c r="U13" s="1096" t="s">
        <v>1060</v>
      </c>
      <c r="V13" s="1097"/>
      <c r="W13" s="1098"/>
      <c r="X13" s="1099"/>
      <c r="Y13" s="1099"/>
      <c r="Z13" s="1099"/>
      <c r="AA13" s="1099"/>
      <c r="AB13" s="1099"/>
      <c r="AC13" s="1099"/>
      <c r="AD13" s="1099"/>
      <c r="AE13" s="1099"/>
      <c r="AF13" s="1100"/>
    </row>
    <row r="15" spans="1:32" ht="30" customHeight="1">
      <c r="A15" s="140" t="s">
        <v>100</v>
      </c>
      <c r="B15" s="140" t="s">
        <v>101</v>
      </c>
      <c r="C15" s="140" t="s">
        <v>131</v>
      </c>
      <c r="D15" s="190" t="s">
        <v>85</v>
      </c>
      <c r="E15" s="190" t="s">
        <v>86</v>
      </c>
      <c r="F15" s="190" t="s">
        <v>87</v>
      </c>
      <c r="G15" s="190" t="s">
        <v>88</v>
      </c>
      <c r="H15" s="190" t="s">
        <v>89</v>
      </c>
      <c r="I15" s="190" t="s">
        <v>90</v>
      </c>
      <c r="J15" s="190" t="s">
        <v>91</v>
      </c>
      <c r="K15" s="190" t="s">
        <v>92</v>
      </c>
      <c r="L15" s="190" t="s">
        <v>93</v>
      </c>
      <c r="M15" s="190" t="s">
        <v>94</v>
      </c>
      <c r="N15" s="190" t="s">
        <v>95</v>
      </c>
      <c r="O15" s="190" t="s">
        <v>96</v>
      </c>
      <c r="P15" s="190" t="s">
        <v>97</v>
      </c>
      <c r="Q15" s="190" t="s">
        <v>127</v>
      </c>
      <c r="R15" s="1052" t="s">
        <v>123</v>
      </c>
      <c r="S15" s="1052"/>
      <c r="T15" s="1052"/>
      <c r="U15" s="1052"/>
      <c r="V15" s="1052"/>
      <c r="W15" s="1052"/>
      <c r="X15" s="1052"/>
      <c r="Y15" s="1052"/>
      <c r="Z15" s="1052"/>
      <c r="AA15" s="1052"/>
      <c r="AB15" s="1052"/>
      <c r="AC15" s="1052"/>
      <c r="AD15" s="1052"/>
      <c r="AE15" s="1052"/>
      <c r="AF15" s="1052"/>
    </row>
    <row r="16" spans="1:32">
      <c r="A16" s="142" t="s">
        <v>1054</v>
      </c>
      <c r="B16" s="117" t="s">
        <v>884</v>
      </c>
      <c r="C16" s="117" t="s">
        <v>884</v>
      </c>
      <c r="D16" s="130">
        <f t="shared" ref="D16:Q16" si="0">D3/SUM($D3:$Q3)</f>
        <v>0</v>
      </c>
      <c r="E16" s="130">
        <f t="shared" si="0"/>
        <v>0.37839382280480849</v>
      </c>
      <c r="F16" s="130">
        <f t="shared" si="0"/>
        <v>0</v>
      </c>
      <c r="G16" s="130">
        <f t="shared" si="0"/>
        <v>0</v>
      </c>
      <c r="H16" s="130">
        <f t="shared" si="0"/>
        <v>0</v>
      </c>
      <c r="I16" s="130">
        <f t="shared" si="0"/>
        <v>0</v>
      </c>
      <c r="J16" s="130">
        <f t="shared" si="0"/>
        <v>0</v>
      </c>
      <c r="K16" s="130">
        <f t="shared" si="0"/>
        <v>0</v>
      </c>
      <c r="L16" s="130">
        <f t="shared" si="0"/>
        <v>0.61636093957682359</v>
      </c>
      <c r="M16" s="130">
        <f t="shared" si="0"/>
        <v>0</v>
      </c>
      <c r="N16" s="130">
        <f t="shared" si="0"/>
        <v>1.5826751692271923E-3</v>
      </c>
      <c r="O16" s="130">
        <f t="shared" si="0"/>
        <v>0</v>
      </c>
      <c r="P16" s="130">
        <f t="shared" si="0"/>
        <v>0</v>
      </c>
      <c r="Q16" s="130">
        <f t="shared" si="0"/>
        <v>3.6625624491408043E-3</v>
      </c>
      <c r="R16" s="1054" t="s">
        <v>1061</v>
      </c>
      <c r="S16" s="1054"/>
      <c r="T16" s="1054"/>
      <c r="U16" s="1054"/>
      <c r="V16" s="1054"/>
      <c r="W16" s="1054"/>
      <c r="X16" s="1054"/>
      <c r="Y16" s="1054"/>
      <c r="Z16" s="1054"/>
      <c r="AA16" s="1054"/>
      <c r="AB16" s="1054"/>
      <c r="AC16" s="1054"/>
      <c r="AD16" s="1054"/>
      <c r="AE16" s="1054"/>
      <c r="AF16" s="1054"/>
    </row>
    <row r="17" spans="1:32">
      <c r="A17" s="142" t="s">
        <v>227</v>
      </c>
      <c r="B17" s="117" t="s">
        <v>884</v>
      </c>
      <c r="C17" s="117" t="s">
        <v>884</v>
      </c>
      <c r="D17" s="130">
        <f t="shared" ref="D17:Q17" si="1">D4/SUM($D4:$Q4)</f>
        <v>0</v>
      </c>
      <c r="E17" s="130">
        <f t="shared" si="1"/>
        <v>0</v>
      </c>
      <c r="F17" s="130">
        <f t="shared" si="1"/>
        <v>0</v>
      </c>
      <c r="G17" s="130">
        <f t="shared" si="1"/>
        <v>0</v>
      </c>
      <c r="H17" s="130">
        <f t="shared" si="1"/>
        <v>0</v>
      </c>
      <c r="I17" s="130">
        <f t="shared" si="1"/>
        <v>0</v>
      </c>
      <c r="J17" s="130">
        <f t="shared" si="1"/>
        <v>2.8258565877781701E-2</v>
      </c>
      <c r="K17" s="130">
        <f t="shared" si="1"/>
        <v>0</v>
      </c>
      <c r="L17" s="130">
        <f t="shared" si="1"/>
        <v>0.9148710702931826</v>
      </c>
      <c r="M17" s="130">
        <f t="shared" si="1"/>
        <v>0</v>
      </c>
      <c r="N17" s="130">
        <f t="shared" si="1"/>
        <v>2.8258565877781701E-2</v>
      </c>
      <c r="O17" s="130">
        <f t="shared" si="1"/>
        <v>0</v>
      </c>
      <c r="P17" s="130">
        <f t="shared" si="1"/>
        <v>2.8258565877781701E-2</v>
      </c>
      <c r="Q17" s="130">
        <f t="shared" si="1"/>
        <v>3.5323207347227127E-4</v>
      </c>
      <c r="R17" s="1054" t="s">
        <v>1061</v>
      </c>
      <c r="S17" s="1054"/>
      <c r="T17" s="1054"/>
      <c r="U17" s="1054"/>
      <c r="V17" s="1054"/>
      <c r="W17" s="1054"/>
      <c r="X17" s="1054"/>
      <c r="Y17" s="1054"/>
      <c r="Z17" s="1054"/>
      <c r="AA17" s="1054"/>
      <c r="AB17" s="1054"/>
      <c r="AC17" s="1054"/>
      <c r="AD17" s="1054"/>
      <c r="AE17" s="1054"/>
      <c r="AF17" s="1054"/>
    </row>
    <row r="18" spans="1:32">
      <c r="A18" s="142" t="s">
        <v>156</v>
      </c>
      <c r="B18" s="117" t="s">
        <v>884</v>
      </c>
      <c r="C18" s="117" t="s">
        <v>884</v>
      </c>
      <c r="D18" s="130">
        <f t="shared" ref="D18:Q18" si="2">D5/SUM($D5:$Q5)</f>
        <v>0.1</v>
      </c>
      <c r="E18" s="130">
        <f t="shared" si="2"/>
        <v>0.1</v>
      </c>
      <c r="F18" s="130">
        <f t="shared" si="2"/>
        <v>0.1</v>
      </c>
      <c r="G18" s="130">
        <f t="shared" si="2"/>
        <v>0</v>
      </c>
      <c r="H18" s="130">
        <f t="shared" si="2"/>
        <v>0</v>
      </c>
      <c r="I18" s="130">
        <f t="shared" si="2"/>
        <v>0.1</v>
      </c>
      <c r="J18" s="130">
        <f t="shared" si="2"/>
        <v>0</v>
      </c>
      <c r="K18" s="130">
        <f t="shared" si="2"/>
        <v>0</v>
      </c>
      <c r="L18" s="130">
        <f t="shared" si="2"/>
        <v>0.1</v>
      </c>
      <c r="M18" s="130">
        <f t="shared" si="2"/>
        <v>0</v>
      </c>
      <c r="N18" s="130">
        <f t="shared" si="2"/>
        <v>0.1</v>
      </c>
      <c r="O18" s="130">
        <f t="shared" si="2"/>
        <v>0</v>
      </c>
      <c r="P18" s="130">
        <f t="shared" si="2"/>
        <v>0.1</v>
      </c>
      <c r="Q18" s="130">
        <f t="shared" si="2"/>
        <v>0.3</v>
      </c>
      <c r="R18" s="1054" t="s">
        <v>1061</v>
      </c>
      <c r="S18" s="1054"/>
      <c r="T18" s="1054"/>
      <c r="U18" s="1054"/>
      <c r="V18" s="1054"/>
      <c r="W18" s="1054"/>
      <c r="X18" s="1054"/>
      <c r="Y18" s="1054"/>
      <c r="Z18" s="1054"/>
      <c r="AA18" s="1054"/>
      <c r="AB18" s="1054"/>
      <c r="AC18" s="1054"/>
      <c r="AD18" s="1054"/>
      <c r="AE18" s="1054"/>
      <c r="AF18" s="1054"/>
    </row>
    <row r="19" spans="1:32">
      <c r="A19" s="142" t="s">
        <v>159</v>
      </c>
      <c r="B19" s="117" t="s">
        <v>884</v>
      </c>
      <c r="C19" s="117" t="s">
        <v>884</v>
      </c>
      <c r="D19" s="130">
        <f t="shared" ref="D19:Q19" si="3">D6/SUM($D6:$Q6)</f>
        <v>0</v>
      </c>
      <c r="E19" s="130">
        <f t="shared" si="3"/>
        <v>1</v>
      </c>
      <c r="F19" s="130">
        <f t="shared" si="3"/>
        <v>0</v>
      </c>
      <c r="G19" s="130">
        <f t="shared" si="3"/>
        <v>0</v>
      </c>
      <c r="H19" s="130">
        <f t="shared" si="3"/>
        <v>0</v>
      </c>
      <c r="I19" s="130">
        <f t="shared" si="3"/>
        <v>0</v>
      </c>
      <c r="J19" s="130">
        <f t="shared" si="3"/>
        <v>0</v>
      </c>
      <c r="K19" s="130">
        <f t="shared" si="3"/>
        <v>0</v>
      </c>
      <c r="L19" s="130">
        <f t="shared" si="3"/>
        <v>0</v>
      </c>
      <c r="M19" s="130">
        <f t="shared" si="3"/>
        <v>0</v>
      </c>
      <c r="N19" s="130">
        <f t="shared" si="3"/>
        <v>0</v>
      </c>
      <c r="O19" s="130">
        <f t="shared" si="3"/>
        <v>0</v>
      </c>
      <c r="P19" s="130">
        <f t="shared" si="3"/>
        <v>0</v>
      </c>
      <c r="Q19" s="130">
        <f t="shared" si="3"/>
        <v>0</v>
      </c>
      <c r="R19" s="1054" t="s">
        <v>1061</v>
      </c>
      <c r="S19" s="1054"/>
      <c r="T19" s="1054"/>
      <c r="U19" s="1054"/>
      <c r="V19" s="1054"/>
      <c r="W19" s="1054"/>
      <c r="X19" s="1054"/>
      <c r="Y19" s="1054"/>
      <c r="Z19" s="1054"/>
      <c r="AA19" s="1054"/>
      <c r="AB19" s="1054"/>
      <c r="AC19" s="1054"/>
      <c r="AD19" s="1054"/>
      <c r="AE19" s="1054"/>
      <c r="AF19" s="1054"/>
    </row>
    <row r="20" spans="1:32">
      <c r="A20" s="142" t="s">
        <v>160</v>
      </c>
      <c r="B20" s="117" t="s">
        <v>884</v>
      </c>
      <c r="C20" s="117" t="s">
        <v>884</v>
      </c>
      <c r="D20" s="130">
        <f t="shared" ref="D20:Q20" si="4">D7/SUM($D7:$Q7)</f>
        <v>0.125</v>
      </c>
      <c r="E20" s="130">
        <f t="shared" si="4"/>
        <v>0.125</v>
      </c>
      <c r="F20" s="130">
        <f t="shared" si="4"/>
        <v>0</v>
      </c>
      <c r="G20" s="130">
        <f t="shared" si="4"/>
        <v>0</v>
      </c>
      <c r="H20" s="130">
        <f t="shared" si="4"/>
        <v>0</v>
      </c>
      <c r="I20" s="130">
        <f t="shared" si="4"/>
        <v>0.125</v>
      </c>
      <c r="J20" s="130">
        <f t="shared" si="4"/>
        <v>0.125</v>
      </c>
      <c r="K20" s="130">
        <f t="shared" si="4"/>
        <v>0</v>
      </c>
      <c r="L20" s="130">
        <f t="shared" si="4"/>
        <v>0.125</v>
      </c>
      <c r="M20" s="130">
        <f t="shared" si="4"/>
        <v>0</v>
      </c>
      <c r="N20" s="130">
        <f t="shared" si="4"/>
        <v>0.125</v>
      </c>
      <c r="O20" s="130">
        <f t="shared" si="4"/>
        <v>0</v>
      </c>
      <c r="P20" s="130">
        <f t="shared" si="4"/>
        <v>0.125</v>
      </c>
      <c r="Q20" s="130">
        <f t="shared" si="4"/>
        <v>0.125</v>
      </c>
      <c r="R20" s="1054" t="s">
        <v>1061</v>
      </c>
      <c r="S20" s="1054"/>
      <c r="T20" s="1054"/>
      <c r="U20" s="1054"/>
      <c r="V20" s="1054"/>
      <c r="W20" s="1054"/>
      <c r="X20" s="1054"/>
      <c r="Y20" s="1054"/>
      <c r="Z20" s="1054"/>
      <c r="AA20" s="1054"/>
      <c r="AB20" s="1054"/>
      <c r="AC20" s="1054"/>
      <c r="AD20" s="1054"/>
      <c r="AE20" s="1054"/>
      <c r="AF20" s="1054"/>
    </row>
    <row r="21" spans="1:32">
      <c r="A21" s="142" t="s">
        <v>161</v>
      </c>
      <c r="B21" s="117" t="s">
        <v>884</v>
      </c>
      <c r="C21" s="117" t="s">
        <v>884</v>
      </c>
      <c r="D21" s="130">
        <f t="shared" ref="D21:Q21" si="5">D8/SUM($D8:$Q8)</f>
        <v>0.125</v>
      </c>
      <c r="E21" s="130">
        <f t="shared" si="5"/>
        <v>0.125</v>
      </c>
      <c r="F21" s="130">
        <f t="shared" si="5"/>
        <v>0</v>
      </c>
      <c r="G21" s="130">
        <f t="shared" si="5"/>
        <v>0</v>
      </c>
      <c r="H21" s="130">
        <f t="shared" si="5"/>
        <v>0</v>
      </c>
      <c r="I21" s="130">
        <f t="shared" si="5"/>
        <v>0.125</v>
      </c>
      <c r="J21" s="130">
        <f t="shared" si="5"/>
        <v>0.125</v>
      </c>
      <c r="K21" s="130">
        <f t="shared" si="5"/>
        <v>0</v>
      </c>
      <c r="L21" s="130">
        <f t="shared" si="5"/>
        <v>0.125</v>
      </c>
      <c r="M21" s="130">
        <f t="shared" si="5"/>
        <v>0</v>
      </c>
      <c r="N21" s="130">
        <f t="shared" si="5"/>
        <v>0.125</v>
      </c>
      <c r="O21" s="130">
        <f t="shared" si="5"/>
        <v>0</v>
      </c>
      <c r="P21" s="130">
        <f t="shared" si="5"/>
        <v>0.125</v>
      </c>
      <c r="Q21" s="130">
        <f t="shared" si="5"/>
        <v>0.125</v>
      </c>
      <c r="R21" s="1054" t="s">
        <v>1061</v>
      </c>
      <c r="S21" s="1054"/>
      <c r="T21" s="1054"/>
      <c r="U21" s="1054"/>
      <c r="V21" s="1054"/>
      <c r="W21" s="1054"/>
      <c r="X21" s="1054"/>
      <c r="Y21" s="1054"/>
      <c r="Z21" s="1054"/>
      <c r="AA21" s="1054"/>
      <c r="AB21" s="1054"/>
      <c r="AC21" s="1054"/>
      <c r="AD21" s="1054"/>
      <c r="AE21" s="1054"/>
      <c r="AF21" s="1054"/>
    </row>
    <row r="22" spans="1:32">
      <c r="A22" s="142" t="s">
        <v>314</v>
      </c>
      <c r="B22" s="117" t="s">
        <v>884</v>
      </c>
      <c r="C22" s="117" t="s">
        <v>884</v>
      </c>
      <c r="D22" s="130">
        <f t="shared" ref="D22:Q22" si="6">D9/SUM($D9:$Q9)</f>
        <v>0</v>
      </c>
      <c r="E22" s="130">
        <f t="shared" si="6"/>
        <v>0</v>
      </c>
      <c r="F22" s="130">
        <f t="shared" si="6"/>
        <v>0</v>
      </c>
      <c r="G22" s="130">
        <f t="shared" si="6"/>
        <v>0</v>
      </c>
      <c r="H22" s="130">
        <f t="shared" si="6"/>
        <v>0</v>
      </c>
      <c r="I22" s="130">
        <f t="shared" si="6"/>
        <v>0</v>
      </c>
      <c r="J22" s="130">
        <f t="shared" si="6"/>
        <v>0</v>
      </c>
      <c r="K22" s="130">
        <f t="shared" si="6"/>
        <v>0</v>
      </c>
      <c r="L22" s="130">
        <f t="shared" si="6"/>
        <v>0</v>
      </c>
      <c r="M22" s="130">
        <f t="shared" si="6"/>
        <v>0</v>
      </c>
      <c r="N22" s="130">
        <f t="shared" si="6"/>
        <v>0</v>
      </c>
      <c r="O22" s="130">
        <f t="shared" si="6"/>
        <v>0</v>
      </c>
      <c r="P22" s="130">
        <f t="shared" si="6"/>
        <v>0</v>
      </c>
      <c r="Q22" s="130">
        <f t="shared" si="6"/>
        <v>1</v>
      </c>
      <c r="R22" s="1054" t="s">
        <v>1061</v>
      </c>
      <c r="S22" s="1054"/>
      <c r="T22" s="1054"/>
      <c r="U22" s="1054"/>
      <c r="V22" s="1054"/>
      <c r="W22" s="1054"/>
      <c r="X22" s="1054"/>
      <c r="Y22" s="1054"/>
      <c r="Z22" s="1054"/>
      <c r="AA22" s="1054"/>
      <c r="AB22" s="1054"/>
      <c r="AC22" s="1054"/>
      <c r="AD22" s="1054"/>
      <c r="AE22" s="1054"/>
      <c r="AF22" s="1054"/>
    </row>
    <row r="23" spans="1:32">
      <c r="A23" s="142" t="s">
        <v>338</v>
      </c>
      <c r="B23" s="117" t="s">
        <v>884</v>
      </c>
      <c r="C23" s="117" t="s">
        <v>884</v>
      </c>
      <c r="D23" s="130">
        <f t="shared" ref="D23:Q23" si="7">D10/SUM($D10:$Q10)</f>
        <v>0</v>
      </c>
      <c r="E23" s="130">
        <f t="shared" si="7"/>
        <v>0</v>
      </c>
      <c r="F23" s="130">
        <f t="shared" si="7"/>
        <v>0</v>
      </c>
      <c r="G23" s="130">
        <f t="shared" si="7"/>
        <v>0</v>
      </c>
      <c r="H23" s="130">
        <f t="shared" si="7"/>
        <v>0</v>
      </c>
      <c r="I23" s="130">
        <f t="shared" si="7"/>
        <v>0</v>
      </c>
      <c r="J23" s="130">
        <f t="shared" si="7"/>
        <v>0</v>
      </c>
      <c r="K23" s="130">
        <f t="shared" si="7"/>
        <v>0</v>
      </c>
      <c r="L23" s="130">
        <f t="shared" si="7"/>
        <v>0</v>
      </c>
      <c r="M23" s="130">
        <f t="shared" si="7"/>
        <v>0</v>
      </c>
      <c r="N23" s="130">
        <f t="shared" si="7"/>
        <v>0</v>
      </c>
      <c r="O23" s="130">
        <f t="shared" si="7"/>
        <v>0</v>
      </c>
      <c r="P23" s="130">
        <f t="shared" si="7"/>
        <v>0</v>
      </c>
      <c r="Q23" s="130">
        <f t="shared" si="7"/>
        <v>1</v>
      </c>
      <c r="R23" s="1054" t="s">
        <v>1061</v>
      </c>
      <c r="S23" s="1054"/>
      <c r="T23" s="1054"/>
      <c r="U23" s="1054"/>
      <c r="V23" s="1054"/>
      <c r="W23" s="1054"/>
      <c r="X23" s="1054"/>
      <c r="Y23" s="1054"/>
      <c r="Z23" s="1054"/>
      <c r="AA23" s="1054"/>
      <c r="AB23" s="1054"/>
      <c r="AC23" s="1054"/>
      <c r="AD23" s="1054"/>
      <c r="AE23" s="1054"/>
      <c r="AF23" s="1054"/>
    </row>
    <row r="24" spans="1:32">
      <c r="A24" s="142" t="s">
        <v>268</v>
      </c>
      <c r="B24" s="117" t="s">
        <v>884</v>
      </c>
      <c r="C24" s="117" t="s">
        <v>884</v>
      </c>
      <c r="D24" s="130">
        <f t="shared" ref="D24:Q24" si="8">D11/SUM($D11:$Q11)</f>
        <v>0</v>
      </c>
      <c r="E24" s="130">
        <f t="shared" si="8"/>
        <v>0</v>
      </c>
      <c r="F24" s="130">
        <f t="shared" si="8"/>
        <v>0</v>
      </c>
      <c r="G24" s="130">
        <f t="shared" si="8"/>
        <v>0</v>
      </c>
      <c r="H24" s="130">
        <f t="shared" si="8"/>
        <v>0</v>
      </c>
      <c r="I24" s="130">
        <f t="shared" si="8"/>
        <v>0</v>
      </c>
      <c r="J24" s="130">
        <f t="shared" si="8"/>
        <v>0</v>
      </c>
      <c r="K24" s="130">
        <f t="shared" si="8"/>
        <v>0</v>
      </c>
      <c r="L24" s="130">
        <f t="shared" si="8"/>
        <v>0</v>
      </c>
      <c r="M24" s="130">
        <f t="shared" si="8"/>
        <v>0</v>
      </c>
      <c r="N24" s="130">
        <f t="shared" si="8"/>
        <v>0</v>
      </c>
      <c r="O24" s="130">
        <f t="shared" si="8"/>
        <v>0</v>
      </c>
      <c r="P24" s="130">
        <f t="shared" si="8"/>
        <v>0</v>
      </c>
      <c r="Q24" s="130">
        <f t="shared" si="8"/>
        <v>1</v>
      </c>
      <c r="R24" s="1054" t="s">
        <v>1061</v>
      </c>
      <c r="S24" s="1054"/>
      <c r="T24" s="1054"/>
      <c r="U24" s="1054"/>
      <c r="V24" s="1054"/>
      <c r="W24" s="1054"/>
      <c r="X24" s="1054"/>
      <c r="Y24" s="1054"/>
      <c r="Z24" s="1054"/>
      <c r="AA24" s="1054"/>
      <c r="AB24" s="1054"/>
      <c r="AC24" s="1054"/>
      <c r="AD24" s="1054"/>
      <c r="AE24" s="1054"/>
      <c r="AF24" s="1054"/>
    </row>
    <row r="25" spans="1:32">
      <c r="A25" s="142" t="s">
        <v>362</v>
      </c>
      <c r="B25" s="117" t="s">
        <v>884</v>
      </c>
      <c r="C25" s="117" t="s">
        <v>884</v>
      </c>
      <c r="D25" s="130">
        <f t="shared" ref="D25:Q25" si="9">D12/SUM($D12:$Q12)</f>
        <v>0</v>
      </c>
      <c r="E25" s="130">
        <f t="shared" si="9"/>
        <v>0</v>
      </c>
      <c r="F25" s="130">
        <f t="shared" si="9"/>
        <v>0</v>
      </c>
      <c r="G25" s="130">
        <f t="shared" si="9"/>
        <v>0</v>
      </c>
      <c r="H25" s="130">
        <f t="shared" si="9"/>
        <v>0</v>
      </c>
      <c r="I25" s="130">
        <f t="shared" si="9"/>
        <v>0</v>
      </c>
      <c r="J25" s="130">
        <f t="shared" si="9"/>
        <v>0</v>
      </c>
      <c r="K25" s="130">
        <f t="shared" si="9"/>
        <v>0</v>
      </c>
      <c r="L25" s="130">
        <f t="shared" si="9"/>
        <v>0</v>
      </c>
      <c r="M25" s="130">
        <f t="shared" si="9"/>
        <v>0</v>
      </c>
      <c r="N25" s="130">
        <f t="shared" si="9"/>
        <v>0</v>
      </c>
      <c r="O25" s="130">
        <f t="shared" si="9"/>
        <v>0</v>
      </c>
      <c r="P25" s="130">
        <f t="shared" si="9"/>
        <v>0</v>
      </c>
      <c r="Q25" s="130">
        <f t="shared" si="9"/>
        <v>1</v>
      </c>
      <c r="R25" s="1054" t="s">
        <v>1061</v>
      </c>
      <c r="S25" s="1054"/>
      <c r="T25" s="1054"/>
      <c r="U25" s="1054"/>
      <c r="V25" s="1054"/>
      <c r="W25" s="1054"/>
      <c r="X25" s="1054"/>
      <c r="Y25" s="1054"/>
      <c r="Z25" s="1054"/>
      <c r="AA25" s="1054"/>
      <c r="AB25" s="1054"/>
      <c r="AC25" s="1054"/>
      <c r="AD25" s="1054"/>
      <c r="AE25" s="1054"/>
      <c r="AF25" s="1054"/>
    </row>
    <row r="26" spans="1:32">
      <c r="A26" s="142" t="s">
        <v>309</v>
      </c>
      <c r="B26" s="117" t="s">
        <v>884</v>
      </c>
      <c r="C26" s="117" t="s">
        <v>884</v>
      </c>
      <c r="D26" s="130">
        <f t="shared" ref="D26:Q26" si="10">D13/SUM($D13:$Q13)</f>
        <v>0</v>
      </c>
      <c r="E26" s="130">
        <f t="shared" si="10"/>
        <v>0</v>
      </c>
      <c r="F26" s="130">
        <f t="shared" si="10"/>
        <v>0</v>
      </c>
      <c r="G26" s="130">
        <f t="shared" si="10"/>
        <v>0</v>
      </c>
      <c r="H26" s="130">
        <f t="shared" si="10"/>
        <v>0</v>
      </c>
      <c r="I26" s="130">
        <f t="shared" si="10"/>
        <v>0</v>
      </c>
      <c r="J26" s="130">
        <f t="shared" si="10"/>
        <v>0</v>
      </c>
      <c r="K26" s="130">
        <f t="shared" si="10"/>
        <v>1</v>
      </c>
      <c r="L26" s="130">
        <f t="shared" si="10"/>
        <v>0</v>
      </c>
      <c r="M26" s="130">
        <f t="shared" si="10"/>
        <v>0</v>
      </c>
      <c r="N26" s="130">
        <f t="shared" si="10"/>
        <v>0</v>
      </c>
      <c r="O26" s="130">
        <f t="shared" si="10"/>
        <v>0</v>
      </c>
      <c r="P26" s="130">
        <f t="shared" si="10"/>
        <v>0</v>
      </c>
      <c r="Q26" s="130">
        <f t="shared" si="10"/>
        <v>0</v>
      </c>
      <c r="R26" s="1054" t="s">
        <v>1061</v>
      </c>
      <c r="S26" s="1054"/>
      <c r="T26" s="1054"/>
      <c r="U26" s="1054"/>
      <c r="V26" s="1054"/>
      <c r="W26" s="1054"/>
      <c r="X26" s="1054"/>
      <c r="Y26" s="1054"/>
      <c r="Z26" s="1054"/>
      <c r="AA26" s="1054"/>
      <c r="AB26" s="1054"/>
      <c r="AC26" s="1054"/>
      <c r="AD26" s="1054"/>
      <c r="AE26" s="1054"/>
      <c r="AF26" s="1054"/>
    </row>
    <row r="28" spans="1:32" ht="30" customHeight="1">
      <c r="A28" s="1022" t="s">
        <v>785</v>
      </c>
      <c r="B28" s="1022"/>
      <c r="C28" s="1022"/>
      <c r="D28" s="1022"/>
      <c r="E28" s="1022"/>
      <c r="F28" s="1022"/>
      <c r="G28" s="1022"/>
      <c r="H28" s="1022"/>
      <c r="I28" s="1022"/>
      <c r="J28" s="1022"/>
      <c r="K28" s="1022"/>
      <c r="L28" s="1022"/>
      <c r="M28" s="1022"/>
      <c r="N28" s="1022"/>
      <c r="O28" s="1022"/>
      <c r="P28" s="1022"/>
      <c r="Q28" s="1022"/>
      <c r="R28" s="1022"/>
      <c r="S28" s="1022"/>
      <c r="T28" s="1022"/>
      <c r="U28" s="1022"/>
      <c r="V28" s="1022"/>
      <c r="W28" s="1022"/>
      <c r="X28" s="1022"/>
      <c r="Y28" s="1022"/>
      <c r="Z28" s="1022"/>
      <c r="AA28" s="1022"/>
      <c r="AB28" s="1022"/>
      <c r="AC28" s="1022"/>
      <c r="AD28" s="1022"/>
      <c r="AE28" s="1022"/>
      <c r="AF28" s="1022"/>
    </row>
    <row r="29" spans="1:32" ht="30" customHeight="1">
      <c r="A29" s="139" t="s">
        <v>100</v>
      </c>
      <c r="B29" s="139" t="s">
        <v>101</v>
      </c>
      <c r="C29" s="139" t="s">
        <v>131</v>
      </c>
      <c r="D29" s="139" t="s">
        <v>1062</v>
      </c>
      <c r="E29" s="139" t="s">
        <v>1063</v>
      </c>
      <c r="F29" s="139" t="s">
        <v>1064</v>
      </c>
      <c r="G29" s="1077" t="s">
        <v>104</v>
      </c>
      <c r="H29" s="1078"/>
      <c r="I29" s="1078"/>
      <c r="J29" s="1078"/>
      <c r="K29" s="1078"/>
      <c r="L29" s="1079"/>
      <c r="M29" s="1052" t="s">
        <v>896</v>
      </c>
      <c r="N29" s="1052"/>
      <c r="O29" s="1052"/>
      <c r="P29" s="1052"/>
      <c r="Q29" s="1052"/>
      <c r="R29" s="1052" t="s">
        <v>123</v>
      </c>
      <c r="S29" s="1052"/>
      <c r="T29" s="1052"/>
      <c r="U29" s="1052"/>
      <c r="V29" s="1052"/>
      <c r="W29" s="1052"/>
      <c r="X29" s="1052"/>
      <c r="Y29" s="1052"/>
      <c r="Z29" s="1052"/>
      <c r="AA29" s="1052"/>
      <c r="AB29" s="1052"/>
      <c r="AC29" s="1052"/>
      <c r="AD29" s="1052"/>
      <c r="AE29" s="1052"/>
      <c r="AF29" s="1052"/>
    </row>
    <row r="30" spans="1:32">
      <c r="A30" s="142" t="s">
        <v>1054</v>
      </c>
      <c r="B30" s="117">
        <v>2020</v>
      </c>
      <c r="C30" s="117" t="s">
        <v>182</v>
      </c>
      <c r="D30" s="130">
        <v>4000</v>
      </c>
      <c r="E30" s="130">
        <v>8700</v>
      </c>
      <c r="F30" s="130">
        <v>13400</v>
      </c>
      <c r="G30" s="1054" t="s">
        <v>1065</v>
      </c>
      <c r="H30" s="1054"/>
      <c r="I30" s="1054"/>
      <c r="J30" s="1021" t="s">
        <v>1066</v>
      </c>
      <c r="K30" s="1021"/>
      <c r="L30" s="1021"/>
      <c r="M30" s="1054" t="s">
        <v>1067</v>
      </c>
      <c r="N30" s="1054"/>
      <c r="O30" s="1054"/>
      <c r="P30" s="1054"/>
      <c r="Q30" s="1054"/>
      <c r="R30" s="1054"/>
      <c r="S30" s="1054"/>
      <c r="T30" s="1054"/>
      <c r="U30" s="1054"/>
      <c r="V30" s="1054"/>
      <c r="W30" s="1054"/>
      <c r="X30" s="1054"/>
      <c r="Y30" s="1054"/>
      <c r="Z30" s="1054"/>
      <c r="AA30" s="1054"/>
      <c r="AB30" s="1054"/>
      <c r="AC30" s="1054"/>
      <c r="AD30" s="1054"/>
      <c r="AE30" s="1054"/>
      <c r="AF30" s="1054"/>
    </row>
    <row r="31" spans="1:32">
      <c r="A31" s="142" t="s">
        <v>227</v>
      </c>
      <c r="B31" s="117">
        <v>2020</v>
      </c>
      <c r="C31" s="117" t="s">
        <v>182</v>
      </c>
      <c r="D31" s="130">
        <v>11200</v>
      </c>
      <c r="E31" s="130">
        <v>16900</v>
      </c>
      <c r="F31" s="130">
        <v>22800</v>
      </c>
      <c r="G31" s="1054" t="s">
        <v>1068</v>
      </c>
      <c r="H31" s="1054"/>
      <c r="I31" s="1054"/>
      <c r="J31" s="1021" t="s">
        <v>1066</v>
      </c>
      <c r="K31" s="1021"/>
      <c r="L31" s="1021"/>
      <c r="M31" s="1054" t="s">
        <v>1067</v>
      </c>
      <c r="N31" s="1054"/>
      <c r="O31" s="1054"/>
      <c r="P31" s="1054"/>
      <c r="Q31" s="1054"/>
      <c r="R31" s="1054"/>
      <c r="S31" s="1054"/>
      <c r="T31" s="1054"/>
      <c r="U31" s="1054"/>
      <c r="V31" s="1054"/>
      <c r="W31" s="1054"/>
      <c r="X31" s="1054"/>
      <c r="Y31" s="1054"/>
      <c r="Z31" s="1054"/>
      <c r="AA31" s="1054"/>
      <c r="AB31" s="1054"/>
      <c r="AC31" s="1054"/>
      <c r="AD31" s="1054"/>
      <c r="AE31" s="1054"/>
      <c r="AF31" s="1054"/>
    </row>
    <row r="32" spans="1:32">
      <c r="A32" s="142" t="s">
        <v>156</v>
      </c>
      <c r="B32" s="117">
        <v>2020</v>
      </c>
      <c r="C32" s="117" t="s">
        <v>182</v>
      </c>
      <c r="D32" s="130">
        <v>1000</v>
      </c>
      <c r="E32" s="130">
        <v>10000</v>
      </c>
      <c r="F32" s="130">
        <v>17000</v>
      </c>
      <c r="G32" s="1054" t="s">
        <v>1069</v>
      </c>
      <c r="H32" s="1054"/>
      <c r="I32" s="1054"/>
      <c r="J32" s="1021" t="s">
        <v>1066</v>
      </c>
      <c r="K32" s="1021"/>
      <c r="L32" s="1021"/>
      <c r="M32" s="1054" t="s">
        <v>1070</v>
      </c>
      <c r="N32" s="1054"/>
      <c r="O32" s="1054"/>
      <c r="P32" s="1054"/>
      <c r="Q32" s="1054"/>
      <c r="R32" s="1054"/>
      <c r="S32" s="1054"/>
      <c r="T32" s="1054"/>
      <c r="U32" s="1054"/>
      <c r="V32" s="1054"/>
      <c r="W32" s="1054"/>
      <c r="X32" s="1054"/>
      <c r="Y32" s="1054"/>
      <c r="Z32" s="1054"/>
      <c r="AA32" s="1054"/>
      <c r="AB32" s="1054"/>
      <c r="AC32" s="1054"/>
      <c r="AD32" s="1054"/>
      <c r="AE32" s="1054"/>
      <c r="AF32" s="1054"/>
    </row>
    <row r="33" spans="1:32">
      <c r="A33" s="142" t="s">
        <v>159</v>
      </c>
      <c r="B33" s="117">
        <v>2020</v>
      </c>
      <c r="C33" s="117" t="s">
        <v>182</v>
      </c>
      <c r="D33" s="130">
        <v>2000</v>
      </c>
      <c r="E33" s="130">
        <v>4000</v>
      </c>
      <c r="F33" s="130">
        <v>6000</v>
      </c>
      <c r="G33" s="1054" t="s">
        <v>1071</v>
      </c>
      <c r="H33" s="1054"/>
      <c r="I33" s="1054"/>
      <c r="J33" s="1021" t="s">
        <v>1066</v>
      </c>
      <c r="K33" s="1021"/>
      <c r="L33" s="1021"/>
      <c r="M33" s="1054" t="s">
        <v>1070</v>
      </c>
      <c r="N33" s="1054"/>
      <c r="O33" s="1054"/>
      <c r="P33" s="1054"/>
      <c r="Q33" s="1054"/>
      <c r="R33" s="1054"/>
      <c r="S33" s="1054"/>
      <c r="T33" s="1054"/>
      <c r="U33" s="1054"/>
      <c r="V33" s="1054"/>
      <c r="W33" s="1054"/>
      <c r="X33" s="1054"/>
      <c r="Y33" s="1054"/>
      <c r="Z33" s="1054"/>
      <c r="AA33" s="1054"/>
      <c r="AB33" s="1054"/>
      <c r="AC33" s="1054"/>
      <c r="AD33" s="1054"/>
      <c r="AE33" s="1054"/>
      <c r="AF33" s="1054"/>
    </row>
    <row r="34" spans="1:32">
      <c r="A34" s="142" t="s">
        <v>160</v>
      </c>
      <c r="B34" s="117">
        <v>2020</v>
      </c>
      <c r="C34" s="117" t="s">
        <v>182</v>
      </c>
      <c r="D34" s="130">
        <v>100</v>
      </c>
      <c r="E34" s="130">
        <v>500</v>
      </c>
      <c r="F34" s="130">
        <v>700</v>
      </c>
      <c r="G34" s="1054" t="s">
        <v>1072</v>
      </c>
      <c r="H34" s="1054"/>
      <c r="I34" s="1054"/>
      <c r="J34" s="1021" t="s">
        <v>1066</v>
      </c>
      <c r="K34" s="1021"/>
      <c r="L34" s="1021"/>
      <c r="M34" s="1054" t="s">
        <v>1070</v>
      </c>
      <c r="N34" s="1054"/>
      <c r="O34" s="1054"/>
      <c r="P34" s="1054"/>
      <c r="Q34" s="1054"/>
      <c r="R34" s="1054"/>
      <c r="S34" s="1054"/>
      <c r="T34" s="1054"/>
      <c r="U34" s="1054"/>
      <c r="V34" s="1054"/>
      <c r="W34" s="1054"/>
      <c r="X34" s="1054"/>
      <c r="Y34" s="1054"/>
      <c r="Z34" s="1054"/>
      <c r="AA34" s="1054"/>
      <c r="AB34" s="1054"/>
      <c r="AC34" s="1054"/>
      <c r="AD34" s="1054"/>
      <c r="AE34" s="1054"/>
      <c r="AF34" s="1054"/>
    </row>
    <row r="35" spans="1:32">
      <c r="A35" s="142" t="s">
        <v>161</v>
      </c>
      <c r="B35" s="117">
        <v>2020</v>
      </c>
      <c r="C35" s="117" t="s">
        <v>182</v>
      </c>
      <c r="D35" s="130">
        <v>250</v>
      </c>
      <c r="E35" s="130">
        <v>500</v>
      </c>
      <c r="F35" s="130">
        <v>1000</v>
      </c>
      <c r="G35" s="1054" t="s">
        <v>1073</v>
      </c>
      <c r="H35" s="1054"/>
      <c r="I35" s="1054"/>
      <c r="J35" s="1021" t="s">
        <v>1066</v>
      </c>
      <c r="K35" s="1021"/>
      <c r="L35" s="1021"/>
      <c r="M35" s="1054" t="s">
        <v>1070</v>
      </c>
      <c r="N35" s="1054"/>
      <c r="O35" s="1054"/>
      <c r="P35" s="1054"/>
      <c r="Q35" s="1054"/>
      <c r="R35" s="1054"/>
      <c r="S35" s="1054"/>
      <c r="T35" s="1054"/>
      <c r="U35" s="1054"/>
      <c r="V35" s="1054"/>
      <c r="W35" s="1054"/>
      <c r="X35" s="1054"/>
      <c r="Y35" s="1054"/>
      <c r="Z35" s="1054"/>
      <c r="AA35" s="1054"/>
      <c r="AB35" s="1054"/>
      <c r="AC35" s="1054"/>
      <c r="AD35" s="1054"/>
      <c r="AE35" s="1054"/>
      <c r="AF35" s="1054"/>
    </row>
    <row r="36" spans="1:32">
      <c r="A36" s="142" t="s">
        <v>314</v>
      </c>
      <c r="B36" s="117">
        <v>2020</v>
      </c>
      <c r="C36" s="117" t="s">
        <v>182</v>
      </c>
      <c r="D36" s="130">
        <f>E36/2</f>
        <v>52.502499999999998</v>
      </c>
      <c r="E36" s="130">
        <f>100+5+0.005</f>
        <v>105.005</v>
      </c>
      <c r="F36" s="130">
        <f>E36*2</f>
        <v>210.01</v>
      </c>
      <c r="G36" s="1089" t="s">
        <v>1074</v>
      </c>
      <c r="H36" s="1089"/>
      <c r="I36" s="1089"/>
      <c r="J36" s="1021" t="s">
        <v>1066</v>
      </c>
      <c r="K36" s="1021"/>
      <c r="L36" s="1021"/>
      <c r="M36" s="1054" t="s">
        <v>1075</v>
      </c>
      <c r="N36" s="1054"/>
      <c r="O36" s="1054"/>
      <c r="P36" s="1054"/>
      <c r="Q36" s="1054"/>
      <c r="R36" s="1054"/>
      <c r="S36" s="1054"/>
      <c r="T36" s="1054"/>
      <c r="U36" s="1054"/>
      <c r="V36" s="1054"/>
      <c r="W36" s="1054"/>
      <c r="X36" s="1054"/>
      <c r="Y36" s="1054"/>
      <c r="Z36" s="1054"/>
      <c r="AA36" s="1054"/>
      <c r="AB36" s="1054"/>
      <c r="AC36" s="1054"/>
      <c r="AD36" s="1054"/>
      <c r="AE36" s="1054"/>
      <c r="AF36" s="1054"/>
    </row>
    <row r="37" spans="1:32">
      <c r="A37" s="142" t="s">
        <v>338</v>
      </c>
      <c r="B37" s="117">
        <v>2020</v>
      </c>
      <c r="C37" s="117" t="s">
        <v>182</v>
      </c>
      <c r="D37" s="130">
        <v>800</v>
      </c>
      <c r="E37" s="130">
        <f>1600+700</f>
        <v>2300</v>
      </c>
      <c r="F37" s="130">
        <v>3700</v>
      </c>
      <c r="G37" s="1089" t="s">
        <v>1076</v>
      </c>
      <c r="H37" s="1089"/>
      <c r="I37" s="1089"/>
      <c r="J37" s="1021" t="s">
        <v>1066</v>
      </c>
      <c r="K37" s="1021"/>
      <c r="L37" s="1021"/>
      <c r="M37" s="1054" t="s">
        <v>1075</v>
      </c>
      <c r="N37" s="1054"/>
      <c r="O37" s="1054"/>
      <c r="P37" s="1054"/>
      <c r="Q37" s="1054"/>
      <c r="R37" s="1054"/>
      <c r="S37" s="1054"/>
      <c r="T37" s="1054"/>
      <c r="U37" s="1054"/>
      <c r="V37" s="1054"/>
      <c r="W37" s="1054"/>
      <c r="X37" s="1054"/>
      <c r="Y37" s="1054"/>
      <c r="Z37" s="1054"/>
      <c r="AA37" s="1054"/>
      <c r="AB37" s="1054"/>
      <c r="AC37" s="1054"/>
      <c r="AD37" s="1054"/>
      <c r="AE37" s="1054"/>
      <c r="AF37" s="1054"/>
    </row>
    <row r="38" spans="1:32">
      <c r="A38" s="142" t="s">
        <v>268</v>
      </c>
      <c r="B38" s="117">
        <v>2020</v>
      </c>
      <c r="C38" s="117" t="s">
        <v>182</v>
      </c>
      <c r="D38" s="130">
        <f>D37</f>
        <v>800</v>
      </c>
      <c r="E38" s="130">
        <f>E37</f>
        <v>2300</v>
      </c>
      <c r="F38" s="130">
        <f>F37</f>
        <v>3700</v>
      </c>
      <c r="G38" s="1087" t="s">
        <v>1077</v>
      </c>
      <c r="H38" s="1087"/>
      <c r="I38" s="1087"/>
      <c r="J38" s="1021" t="s">
        <v>1066</v>
      </c>
      <c r="K38" s="1021"/>
      <c r="L38" s="1021"/>
      <c r="M38" s="1054" t="s">
        <v>1075</v>
      </c>
      <c r="N38" s="1054"/>
      <c r="O38" s="1054"/>
      <c r="P38" s="1054"/>
      <c r="Q38" s="1054"/>
      <c r="R38" s="1054"/>
      <c r="S38" s="1054"/>
      <c r="T38" s="1054"/>
      <c r="U38" s="1054"/>
      <c r="V38" s="1054"/>
      <c r="W38" s="1054"/>
      <c r="X38" s="1054"/>
      <c r="Y38" s="1054"/>
      <c r="Z38" s="1054"/>
      <c r="AA38" s="1054"/>
      <c r="AB38" s="1054"/>
      <c r="AC38" s="1054"/>
      <c r="AD38" s="1054"/>
      <c r="AE38" s="1054"/>
      <c r="AF38" s="1054"/>
    </row>
    <row r="39" spans="1:32">
      <c r="A39" s="142" t="s">
        <v>362</v>
      </c>
      <c r="B39" s="117">
        <v>2020</v>
      </c>
      <c r="C39" s="117" t="s">
        <v>182</v>
      </c>
      <c r="D39" s="130">
        <f>E39/2</f>
        <v>897.5</v>
      </c>
      <c r="E39" s="130">
        <v>1795</v>
      </c>
      <c r="F39" s="130">
        <f>E39*2</f>
        <v>3590</v>
      </c>
      <c r="G39" s="1054" t="s">
        <v>1078</v>
      </c>
      <c r="H39" s="1054"/>
      <c r="I39" s="1054"/>
      <c r="J39" s="1021" t="s">
        <v>1066</v>
      </c>
      <c r="K39" s="1021"/>
      <c r="L39" s="1021"/>
      <c r="M39" s="1054" t="s">
        <v>1079</v>
      </c>
      <c r="N39" s="1054"/>
      <c r="O39" s="1054"/>
      <c r="P39" s="1054"/>
      <c r="Q39" s="1054"/>
      <c r="R39" s="1054"/>
      <c r="S39" s="1054"/>
      <c r="T39" s="1054"/>
      <c r="U39" s="1054"/>
      <c r="V39" s="1054"/>
      <c r="W39" s="1054"/>
      <c r="X39" s="1054"/>
      <c r="Y39" s="1054"/>
      <c r="Z39" s="1054"/>
      <c r="AA39" s="1054"/>
      <c r="AB39" s="1054"/>
      <c r="AC39" s="1054"/>
      <c r="AD39" s="1054"/>
      <c r="AE39" s="1054"/>
      <c r="AF39" s="1054"/>
    </row>
    <row r="40" spans="1:32">
      <c r="A40" s="142" t="s">
        <v>309</v>
      </c>
      <c r="B40" s="117">
        <v>2020</v>
      </c>
      <c r="C40" s="117" t="s">
        <v>182</v>
      </c>
      <c r="D40" s="380">
        <v>46000</v>
      </c>
      <c r="E40" s="380">
        <f>AVERAGE(D40,F40)</f>
        <v>115500</v>
      </c>
      <c r="F40" s="380">
        <v>185000</v>
      </c>
      <c r="G40" s="1087" t="s">
        <v>1080</v>
      </c>
      <c r="H40" s="1087"/>
      <c r="I40" s="1087"/>
      <c r="J40" s="1021" t="s">
        <v>1066</v>
      </c>
      <c r="K40" s="1021"/>
      <c r="L40" s="1021"/>
      <c r="M40" s="1054" t="s">
        <v>1081</v>
      </c>
      <c r="N40" s="1054"/>
      <c r="O40" s="1054"/>
      <c r="P40" s="1054"/>
      <c r="Q40" s="1054"/>
      <c r="R40" s="1054"/>
      <c r="S40" s="1054"/>
      <c r="T40" s="1054"/>
      <c r="U40" s="1054"/>
      <c r="V40" s="1054"/>
      <c r="W40" s="1054"/>
      <c r="X40" s="1054"/>
      <c r="Y40" s="1054"/>
      <c r="Z40" s="1054"/>
      <c r="AA40" s="1054"/>
      <c r="AB40" s="1054"/>
      <c r="AC40" s="1054"/>
      <c r="AD40" s="1054"/>
      <c r="AE40" s="1054"/>
      <c r="AF40" s="1054"/>
    </row>
    <row r="41" spans="1:32">
      <c r="A41" s="138" t="s">
        <v>1082</v>
      </c>
      <c r="B41" s="127">
        <v>2020</v>
      </c>
      <c r="C41" s="127" t="s">
        <v>182</v>
      </c>
      <c r="D41" s="137">
        <f>SUM(D30:D40)</f>
        <v>67100.002500000002</v>
      </c>
      <c r="E41" s="137">
        <f>SUM(E30:E40)</f>
        <v>162600.005</v>
      </c>
      <c r="F41" s="137">
        <f>SUM(F30:F40)</f>
        <v>257100.01</v>
      </c>
      <c r="G41" s="1088"/>
      <c r="H41" s="1088"/>
      <c r="I41" s="1088"/>
      <c r="J41" s="1054"/>
      <c r="K41" s="1054"/>
      <c r="L41" s="1054"/>
      <c r="M41" s="1054"/>
      <c r="N41" s="1054"/>
      <c r="O41" s="1054"/>
      <c r="P41" s="1054"/>
      <c r="Q41" s="1054"/>
      <c r="R41" s="1088"/>
      <c r="S41" s="1088"/>
      <c r="T41" s="1088"/>
      <c r="U41" s="1088"/>
      <c r="V41" s="1088"/>
      <c r="W41" s="1088"/>
      <c r="X41" s="1088"/>
      <c r="Y41" s="1088"/>
      <c r="Z41" s="1088"/>
      <c r="AA41" s="1088"/>
      <c r="AB41" s="1088"/>
      <c r="AC41" s="1088"/>
      <c r="AD41" s="1088"/>
      <c r="AE41" s="1088"/>
      <c r="AF41" s="1088"/>
    </row>
    <row r="43" spans="1:32" ht="30" customHeight="1">
      <c r="A43" s="140" t="s">
        <v>100</v>
      </c>
      <c r="B43" s="140" t="s">
        <v>101</v>
      </c>
      <c r="C43" s="140" t="s">
        <v>131</v>
      </c>
      <c r="D43" s="190" t="s">
        <v>1083</v>
      </c>
      <c r="E43" s="190" t="s">
        <v>1084</v>
      </c>
      <c r="F43" s="190" t="s">
        <v>1085</v>
      </c>
      <c r="G43" s="190" t="s">
        <v>1086</v>
      </c>
      <c r="H43" s="190" t="s">
        <v>1087</v>
      </c>
      <c r="I43" s="190" t="s">
        <v>1088</v>
      </c>
      <c r="J43" s="190" t="s">
        <v>1089</v>
      </c>
      <c r="K43" s="190" t="s">
        <v>1090</v>
      </c>
      <c r="L43" s="190" t="s">
        <v>1091</v>
      </c>
      <c r="M43" s="190" t="s">
        <v>1092</v>
      </c>
      <c r="N43" s="190" t="s">
        <v>1093</v>
      </c>
      <c r="O43" s="190" t="s">
        <v>1094</v>
      </c>
      <c r="P43" s="190" t="s">
        <v>1095</v>
      </c>
      <c r="Q43" s="190" t="s">
        <v>1096</v>
      </c>
      <c r="R43" s="1052" t="s">
        <v>123</v>
      </c>
      <c r="S43" s="1052"/>
      <c r="T43" s="1052"/>
      <c r="U43" s="1052"/>
      <c r="V43" s="1052"/>
      <c r="W43" s="1052"/>
      <c r="X43" s="1052"/>
      <c r="Y43" s="1052"/>
      <c r="Z43" s="1052"/>
      <c r="AA43" s="1052"/>
      <c r="AB43" s="1052"/>
      <c r="AC43" s="1052"/>
      <c r="AD43" s="1052"/>
      <c r="AE43" s="1052"/>
      <c r="AF43" s="1052"/>
    </row>
    <row r="44" spans="1:32">
      <c r="A44" s="142" t="s">
        <v>1054</v>
      </c>
      <c r="B44" s="117">
        <v>2020</v>
      </c>
      <c r="C44" s="117" t="s">
        <v>182</v>
      </c>
      <c r="D44" s="130">
        <f t="shared" ref="D44:Q44" si="11">$E30*D16</f>
        <v>0</v>
      </c>
      <c r="E44" s="130">
        <f t="shared" si="11"/>
        <v>3292.0262584018337</v>
      </c>
      <c r="F44" s="130">
        <f t="shared" si="11"/>
        <v>0</v>
      </c>
      <c r="G44" s="130">
        <f t="shared" si="11"/>
        <v>0</v>
      </c>
      <c r="H44" s="130">
        <f t="shared" si="11"/>
        <v>0</v>
      </c>
      <c r="I44" s="130">
        <f t="shared" si="11"/>
        <v>0</v>
      </c>
      <c r="J44" s="130">
        <f t="shared" si="11"/>
        <v>0</v>
      </c>
      <c r="K44" s="130">
        <f t="shared" si="11"/>
        <v>0</v>
      </c>
      <c r="L44" s="130">
        <f t="shared" si="11"/>
        <v>5362.3401743183649</v>
      </c>
      <c r="M44" s="130">
        <f t="shared" si="11"/>
        <v>0</v>
      </c>
      <c r="N44" s="130">
        <f t="shared" si="11"/>
        <v>13.769273972276574</v>
      </c>
      <c r="O44" s="130">
        <f t="shared" si="11"/>
        <v>0</v>
      </c>
      <c r="P44" s="130">
        <f t="shared" si="11"/>
        <v>0</v>
      </c>
      <c r="Q44" s="130">
        <f t="shared" si="11"/>
        <v>31.864293307524996</v>
      </c>
      <c r="R44" s="1054"/>
      <c r="S44" s="1054"/>
      <c r="T44" s="1054"/>
      <c r="U44" s="1054"/>
      <c r="V44" s="1054"/>
      <c r="W44" s="1054"/>
      <c r="X44" s="1054"/>
      <c r="Y44" s="1054"/>
      <c r="Z44" s="1054"/>
      <c r="AA44" s="1054"/>
      <c r="AB44" s="1054"/>
      <c r="AC44" s="1054"/>
      <c r="AD44" s="1054"/>
      <c r="AE44" s="1054"/>
      <c r="AF44" s="1054"/>
    </row>
    <row r="45" spans="1:32">
      <c r="A45" s="142" t="s">
        <v>227</v>
      </c>
      <c r="B45" s="117">
        <v>2020</v>
      </c>
      <c r="C45" s="117" t="s">
        <v>182</v>
      </c>
      <c r="D45" s="130">
        <f t="shared" ref="D45:Q45" si="12">$E31*D17</f>
        <v>0</v>
      </c>
      <c r="E45" s="130">
        <f t="shared" si="12"/>
        <v>0</v>
      </c>
      <c r="F45" s="130">
        <f t="shared" si="12"/>
        <v>0</v>
      </c>
      <c r="G45" s="130">
        <f t="shared" si="12"/>
        <v>0</v>
      </c>
      <c r="H45" s="130">
        <f t="shared" si="12"/>
        <v>0</v>
      </c>
      <c r="I45" s="130">
        <f t="shared" si="12"/>
        <v>0</v>
      </c>
      <c r="J45" s="130">
        <f t="shared" si="12"/>
        <v>477.56976333451075</v>
      </c>
      <c r="K45" s="130">
        <f t="shared" si="12"/>
        <v>0</v>
      </c>
      <c r="L45" s="130">
        <f t="shared" si="12"/>
        <v>15461.321087954786</v>
      </c>
      <c r="M45" s="130">
        <f t="shared" si="12"/>
        <v>0</v>
      </c>
      <c r="N45" s="130">
        <f t="shared" si="12"/>
        <v>477.56976333451075</v>
      </c>
      <c r="O45" s="130">
        <f t="shared" si="12"/>
        <v>0</v>
      </c>
      <c r="P45" s="130">
        <f t="shared" si="12"/>
        <v>477.56976333451075</v>
      </c>
      <c r="Q45" s="130">
        <f t="shared" si="12"/>
        <v>5.9696220416813848</v>
      </c>
      <c r="R45" s="1054"/>
      <c r="S45" s="1054"/>
      <c r="T45" s="1054"/>
      <c r="U45" s="1054"/>
      <c r="V45" s="1054"/>
      <c r="W45" s="1054"/>
      <c r="X45" s="1054"/>
      <c r="Y45" s="1054"/>
      <c r="Z45" s="1054"/>
      <c r="AA45" s="1054"/>
      <c r="AB45" s="1054"/>
      <c r="AC45" s="1054"/>
      <c r="AD45" s="1054"/>
      <c r="AE45" s="1054"/>
      <c r="AF45" s="1054"/>
    </row>
    <row r="46" spans="1:32">
      <c r="A46" s="142" t="s">
        <v>156</v>
      </c>
      <c r="B46" s="117">
        <v>2020</v>
      </c>
      <c r="C46" s="117" t="s">
        <v>182</v>
      </c>
      <c r="D46" s="130">
        <f t="shared" ref="D46:Q46" si="13">$E32*D18</f>
        <v>1000</v>
      </c>
      <c r="E46" s="130">
        <f t="shared" si="13"/>
        <v>1000</v>
      </c>
      <c r="F46" s="130">
        <f t="shared" si="13"/>
        <v>1000</v>
      </c>
      <c r="G46" s="130">
        <f t="shared" si="13"/>
        <v>0</v>
      </c>
      <c r="H46" s="130">
        <f t="shared" si="13"/>
        <v>0</v>
      </c>
      <c r="I46" s="130">
        <f t="shared" si="13"/>
        <v>1000</v>
      </c>
      <c r="J46" s="130">
        <f t="shared" si="13"/>
        <v>0</v>
      </c>
      <c r="K46" s="130">
        <f t="shared" si="13"/>
        <v>0</v>
      </c>
      <c r="L46" s="130">
        <f t="shared" si="13"/>
        <v>1000</v>
      </c>
      <c r="M46" s="130">
        <f t="shared" si="13"/>
        <v>0</v>
      </c>
      <c r="N46" s="130">
        <f t="shared" si="13"/>
        <v>1000</v>
      </c>
      <c r="O46" s="130">
        <f t="shared" si="13"/>
        <v>0</v>
      </c>
      <c r="P46" s="130">
        <f t="shared" si="13"/>
        <v>1000</v>
      </c>
      <c r="Q46" s="130">
        <f t="shared" si="13"/>
        <v>3000</v>
      </c>
      <c r="R46" s="1054"/>
      <c r="S46" s="1054"/>
      <c r="T46" s="1054"/>
      <c r="U46" s="1054"/>
      <c r="V46" s="1054"/>
      <c r="W46" s="1054"/>
      <c r="X46" s="1054"/>
      <c r="Y46" s="1054"/>
      <c r="Z46" s="1054"/>
      <c r="AA46" s="1054"/>
      <c r="AB46" s="1054"/>
      <c r="AC46" s="1054"/>
      <c r="AD46" s="1054"/>
      <c r="AE46" s="1054"/>
      <c r="AF46" s="1054"/>
    </row>
    <row r="47" spans="1:32">
      <c r="A47" s="142" t="s">
        <v>159</v>
      </c>
      <c r="B47" s="117">
        <v>2020</v>
      </c>
      <c r="C47" s="117" t="s">
        <v>182</v>
      </c>
      <c r="D47" s="130">
        <f t="shared" ref="D47:Q47" si="14">$E33*D19</f>
        <v>0</v>
      </c>
      <c r="E47" s="130">
        <f t="shared" si="14"/>
        <v>4000</v>
      </c>
      <c r="F47" s="130">
        <f t="shared" si="14"/>
        <v>0</v>
      </c>
      <c r="G47" s="130">
        <f t="shared" si="14"/>
        <v>0</v>
      </c>
      <c r="H47" s="130">
        <f t="shared" si="14"/>
        <v>0</v>
      </c>
      <c r="I47" s="130">
        <f t="shared" si="14"/>
        <v>0</v>
      </c>
      <c r="J47" s="130">
        <f t="shared" si="14"/>
        <v>0</v>
      </c>
      <c r="K47" s="130">
        <f t="shared" si="14"/>
        <v>0</v>
      </c>
      <c r="L47" s="130">
        <f t="shared" si="14"/>
        <v>0</v>
      </c>
      <c r="M47" s="130">
        <f t="shared" si="14"/>
        <v>0</v>
      </c>
      <c r="N47" s="130">
        <f t="shared" si="14"/>
        <v>0</v>
      </c>
      <c r="O47" s="130">
        <f t="shared" si="14"/>
        <v>0</v>
      </c>
      <c r="P47" s="130">
        <f t="shared" si="14"/>
        <v>0</v>
      </c>
      <c r="Q47" s="130">
        <f t="shared" si="14"/>
        <v>0</v>
      </c>
      <c r="R47" s="1054"/>
      <c r="S47" s="1054"/>
      <c r="T47" s="1054"/>
      <c r="U47" s="1054"/>
      <c r="V47" s="1054"/>
      <c r="W47" s="1054"/>
      <c r="X47" s="1054"/>
      <c r="Y47" s="1054"/>
      <c r="Z47" s="1054"/>
      <c r="AA47" s="1054"/>
      <c r="AB47" s="1054"/>
      <c r="AC47" s="1054"/>
      <c r="AD47" s="1054"/>
      <c r="AE47" s="1054"/>
      <c r="AF47" s="1054"/>
    </row>
    <row r="48" spans="1:32">
      <c r="A48" s="142" t="s">
        <v>160</v>
      </c>
      <c r="B48" s="117">
        <v>2020</v>
      </c>
      <c r="C48" s="117" t="s">
        <v>182</v>
      </c>
      <c r="D48" s="130">
        <f t="shared" ref="D48:Q48" si="15">$E34*D20</f>
        <v>62.5</v>
      </c>
      <c r="E48" s="130">
        <f t="shared" si="15"/>
        <v>62.5</v>
      </c>
      <c r="F48" s="130">
        <f t="shared" si="15"/>
        <v>0</v>
      </c>
      <c r="G48" s="130">
        <f t="shared" si="15"/>
        <v>0</v>
      </c>
      <c r="H48" s="130">
        <f t="shared" si="15"/>
        <v>0</v>
      </c>
      <c r="I48" s="130">
        <f t="shared" si="15"/>
        <v>62.5</v>
      </c>
      <c r="J48" s="130">
        <f t="shared" si="15"/>
        <v>62.5</v>
      </c>
      <c r="K48" s="130">
        <f t="shared" si="15"/>
        <v>0</v>
      </c>
      <c r="L48" s="130">
        <f t="shared" si="15"/>
        <v>62.5</v>
      </c>
      <c r="M48" s="130">
        <f t="shared" si="15"/>
        <v>0</v>
      </c>
      <c r="N48" s="130">
        <f t="shared" si="15"/>
        <v>62.5</v>
      </c>
      <c r="O48" s="130">
        <f t="shared" si="15"/>
        <v>0</v>
      </c>
      <c r="P48" s="130">
        <f t="shared" si="15"/>
        <v>62.5</v>
      </c>
      <c r="Q48" s="130">
        <f t="shared" si="15"/>
        <v>62.5</v>
      </c>
      <c r="R48" s="1054"/>
      <c r="S48" s="1054"/>
      <c r="T48" s="1054"/>
      <c r="U48" s="1054"/>
      <c r="V48" s="1054"/>
      <c r="W48" s="1054"/>
      <c r="X48" s="1054"/>
      <c r="Y48" s="1054"/>
      <c r="Z48" s="1054"/>
      <c r="AA48" s="1054"/>
      <c r="AB48" s="1054"/>
      <c r="AC48" s="1054"/>
      <c r="AD48" s="1054"/>
      <c r="AE48" s="1054"/>
      <c r="AF48" s="1054"/>
    </row>
    <row r="49" spans="1:32">
      <c r="A49" s="142" t="s">
        <v>161</v>
      </c>
      <c r="B49" s="117">
        <v>2020</v>
      </c>
      <c r="C49" s="117" t="s">
        <v>182</v>
      </c>
      <c r="D49" s="130">
        <f t="shared" ref="D49:Q49" si="16">$E35*D21</f>
        <v>62.5</v>
      </c>
      <c r="E49" s="130">
        <f t="shared" si="16"/>
        <v>62.5</v>
      </c>
      <c r="F49" s="130">
        <f t="shared" si="16"/>
        <v>0</v>
      </c>
      <c r="G49" s="130">
        <f t="shared" si="16"/>
        <v>0</v>
      </c>
      <c r="H49" s="130">
        <f t="shared" si="16"/>
        <v>0</v>
      </c>
      <c r="I49" s="130">
        <f t="shared" si="16"/>
        <v>62.5</v>
      </c>
      <c r="J49" s="130">
        <f t="shared" si="16"/>
        <v>62.5</v>
      </c>
      <c r="K49" s="130">
        <f t="shared" si="16"/>
        <v>0</v>
      </c>
      <c r="L49" s="130">
        <f t="shared" si="16"/>
        <v>62.5</v>
      </c>
      <c r="M49" s="130">
        <f t="shared" si="16"/>
        <v>0</v>
      </c>
      <c r="N49" s="130">
        <f t="shared" si="16"/>
        <v>62.5</v>
      </c>
      <c r="O49" s="130">
        <f t="shared" si="16"/>
        <v>0</v>
      </c>
      <c r="P49" s="130">
        <f t="shared" si="16"/>
        <v>62.5</v>
      </c>
      <c r="Q49" s="130">
        <f t="shared" si="16"/>
        <v>62.5</v>
      </c>
      <c r="R49" s="1054"/>
      <c r="S49" s="1054"/>
      <c r="T49" s="1054"/>
      <c r="U49" s="1054"/>
      <c r="V49" s="1054"/>
      <c r="W49" s="1054"/>
      <c r="X49" s="1054"/>
      <c r="Y49" s="1054"/>
      <c r="Z49" s="1054"/>
      <c r="AA49" s="1054"/>
      <c r="AB49" s="1054"/>
      <c r="AC49" s="1054"/>
      <c r="AD49" s="1054"/>
      <c r="AE49" s="1054"/>
      <c r="AF49" s="1054"/>
    </row>
    <row r="50" spans="1:32">
      <c r="A50" s="142" t="s">
        <v>314</v>
      </c>
      <c r="B50" s="117">
        <v>2020</v>
      </c>
      <c r="C50" s="117" t="s">
        <v>182</v>
      </c>
      <c r="D50" s="130">
        <f t="shared" ref="D50:Q50" si="17">$E36*D22</f>
        <v>0</v>
      </c>
      <c r="E50" s="130">
        <f t="shared" si="17"/>
        <v>0</v>
      </c>
      <c r="F50" s="130">
        <f t="shared" si="17"/>
        <v>0</v>
      </c>
      <c r="G50" s="130">
        <f t="shared" si="17"/>
        <v>0</v>
      </c>
      <c r="H50" s="130">
        <f t="shared" si="17"/>
        <v>0</v>
      </c>
      <c r="I50" s="130">
        <f t="shared" si="17"/>
        <v>0</v>
      </c>
      <c r="J50" s="130">
        <f t="shared" si="17"/>
        <v>0</v>
      </c>
      <c r="K50" s="130">
        <f t="shared" si="17"/>
        <v>0</v>
      </c>
      <c r="L50" s="130">
        <f t="shared" si="17"/>
        <v>0</v>
      </c>
      <c r="M50" s="130">
        <f t="shared" si="17"/>
        <v>0</v>
      </c>
      <c r="N50" s="130">
        <f t="shared" si="17"/>
        <v>0</v>
      </c>
      <c r="O50" s="130">
        <f t="shared" si="17"/>
        <v>0</v>
      </c>
      <c r="P50" s="130">
        <f t="shared" si="17"/>
        <v>0</v>
      </c>
      <c r="Q50" s="130">
        <f t="shared" si="17"/>
        <v>105.005</v>
      </c>
      <c r="R50" s="1054"/>
      <c r="S50" s="1054"/>
      <c r="T50" s="1054"/>
      <c r="U50" s="1054"/>
      <c r="V50" s="1054"/>
      <c r="W50" s="1054"/>
      <c r="X50" s="1054"/>
      <c r="Y50" s="1054"/>
      <c r="Z50" s="1054"/>
      <c r="AA50" s="1054"/>
      <c r="AB50" s="1054"/>
      <c r="AC50" s="1054"/>
      <c r="AD50" s="1054"/>
      <c r="AE50" s="1054"/>
      <c r="AF50" s="1054"/>
    </row>
    <row r="51" spans="1:32">
      <c r="A51" s="142" t="s">
        <v>338</v>
      </c>
      <c r="B51" s="117">
        <v>2020</v>
      </c>
      <c r="C51" s="117" t="s">
        <v>182</v>
      </c>
      <c r="D51" s="130">
        <f t="shared" ref="D51:Q51" si="18">$E37*D23</f>
        <v>0</v>
      </c>
      <c r="E51" s="130">
        <f t="shared" si="18"/>
        <v>0</v>
      </c>
      <c r="F51" s="130">
        <f t="shared" si="18"/>
        <v>0</v>
      </c>
      <c r="G51" s="130">
        <f t="shared" si="18"/>
        <v>0</v>
      </c>
      <c r="H51" s="130">
        <f t="shared" si="18"/>
        <v>0</v>
      </c>
      <c r="I51" s="130">
        <f t="shared" si="18"/>
        <v>0</v>
      </c>
      <c r="J51" s="130">
        <f t="shared" si="18"/>
        <v>0</v>
      </c>
      <c r="K51" s="130">
        <f t="shared" si="18"/>
        <v>0</v>
      </c>
      <c r="L51" s="130">
        <f t="shared" si="18"/>
        <v>0</v>
      </c>
      <c r="M51" s="130">
        <f t="shared" si="18"/>
        <v>0</v>
      </c>
      <c r="N51" s="130">
        <f t="shared" si="18"/>
        <v>0</v>
      </c>
      <c r="O51" s="130">
        <f t="shared" si="18"/>
        <v>0</v>
      </c>
      <c r="P51" s="130">
        <f t="shared" si="18"/>
        <v>0</v>
      </c>
      <c r="Q51" s="130">
        <f t="shared" si="18"/>
        <v>2300</v>
      </c>
      <c r="R51" s="1054"/>
      <c r="S51" s="1054"/>
      <c r="T51" s="1054"/>
      <c r="U51" s="1054"/>
      <c r="V51" s="1054"/>
      <c r="W51" s="1054"/>
      <c r="X51" s="1054"/>
      <c r="Y51" s="1054"/>
      <c r="Z51" s="1054"/>
      <c r="AA51" s="1054"/>
      <c r="AB51" s="1054"/>
      <c r="AC51" s="1054"/>
      <c r="AD51" s="1054"/>
      <c r="AE51" s="1054"/>
      <c r="AF51" s="1054"/>
    </row>
    <row r="52" spans="1:32">
      <c r="A52" s="142" t="s">
        <v>268</v>
      </c>
      <c r="B52" s="117">
        <v>2020</v>
      </c>
      <c r="C52" s="117" t="s">
        <v>182</v>
      </c>
      <c r="D52" s="130">
        <f t="shared" ref="D52:Q52" si="19">$E38*D24</f>
        <v>0</v>
      </c>
      <c r="E52" s="130">
        <f t="shared" si="19"/>
        <v>0</v>
      </c>
      <c r="F52" s="130">
        <f t="shared" si="19"/>
        <v>0</v>
      </c>
      <c r="G52" s="130">
        <f t="shared" si="19"/>
        <v>0</v>
      </c>
      <c r="H52" s="130">
        <f t="shared" si="19"/>
        <v>0</v>
      </c>
      <c r="I52" s="130">
        <f t="shared" si="19"/>
        <v>0</v>
      </c>
      <c r="J52" s="130">
        <f t="shared" si="19"/>
        <v>0</v>
      </c>
      <c r="K52" s="130">
        <f t="shared" si="19"/>
        <v>0</v>
      </c>
      <c r="L52" s="130">
        <f t="shared" si="19"/>
        <v>0</v>
      </c>
      <c r="M52" s="130">
        <f t="shared" si="19"/>
        <v>0</v>
      </c>
      <c r="N52" s="130">
        <f t="shared" si="19"/>
        <v>0</v>
      </c>
      <c r="O52" s="130">
        <f t="shared" si="19"/>
        <v>0</v>
      </c>
      <c r="P52" s="130">
        <f t="shared" si="19"/>
        <v>0</v>
      </c>
      <c r="Q52" s="130">
        <f t="shared" si="19"/>
        <v>2300</v>
      </c>
      <c r="R52" s="1054"/>
      <c r="S52" s="1054"/>
      <c r="T52" s="1054"/>
      <c r="U52" s="1054"/>
      <c r="V52" s="1054"/>
      <c r="W52" s="1054"/>
      <c r="X52" s="1054"/>
      <c r="Y52" s="1054"/>
      <c r="Z52" s="1054"/>
      <c r="AA52" s="1054"/>
      <c r="AB52" s="1054"/>
      <c r="AC52" s="1054"/>
      <c r="AD52" s="1054"/>
      <c r="AE52" s="1054"/>
      <c r="AF52" s="1054"/>
    </row>
    <row r="53" spans="1:32">
      <c r="A53" s="142" t="s">
        <v>362</v>
      </c>
      <c r="B53" s="117">
        <v>2020</v>
      </c>
      <c r="C53" s="117" t="s">
        <v>182</v>
      </c>
      <c r="D53" s="130">
        <f t="shared" ref="D53:Q53" si="20">$E39*D25</f>
        <v>0</v>
      </c>
      <c r="E53" s="130">
        <f t="shared" si="20"/>
        <v>0</v>
      </c>
      <c r="F53" s="130">
        <f t="shared" si="20"/>
        <v>0</v>
      </c>
      <c r="G53" s="130">
        <f t="shared" si="20"/>
        <v>0</v>
      </c>
      <c r="H53" s="130">
        <f t="shared" si="20"/>
        <v>0</v>
      </c>
      <c r="I53" s="130">
        <f t="shared" si="20"/>
        <v>0</v>
      </c>
      <c r="J53" s="130">
        <f t="shared" si="20"/>
        <v>0</v>
      </c>
      <c r="K53" s="130">
        <f t="shared" si="20"/>
        <v>0</v>
      </c>
      <c r="L53" s="130">
        <f t="shared" si="20"/>
        <v>0</v>
      </c>
      <c r="M53" s="130">
        <f t="shared" si="20"/>
        <v>0</v>
      </c>
      <c r="N53" s="130">
        <f t="shared" si="20"/>
        <v>0</v>
      </c>
      <c r="O53" s="130">
        <f t="shared" si="20"/>
        <v>0</v>
      </c>
      <c r="P53" s="130">
        <f t="shared" si="20"/>
        <v>0</v>
      </c>
      <c r="Q53" s="130">
        <f t="shared" si="20"/>
        <v>1795</v>
      </c>
      <c r="R53" s="1054"/>
      <c r="S53" s="1054"/>
      <c r="T53" s="1054"/>
      <c r="U53" s="1054"/>
      <c r="V53" s="1054"/>
      <c r="W53" s="1054"/>
      <c r="X53" s="1054"/>
      <c r="Y53" s="1054"/>
      <c r="Z53" s="1054"/>
      <c r="AA53" s="1054"/>
      <c r="AB53" s="1054"/>
      <c r="AC53" s="1054"/>
      <c r="AD53" s="1054"/>
      <c r="AE53" s="1054"/>
      <c r="AF53" s="1054"/>
    </row>
    <row r="54" spans="1:32">
      <c r="A54" s="142" t="s">
        <v>309</v>
      </c>
      <c r="B54" s="117">
        <v>2020</v>
      </c>
      <c r="C54" s="117" t="s">
        <v>182</v>
      </c>
      <c r="D54" s="130">
        <f t="shared" ref="D54:Q54" si="21">$E40*D26</f>
        <v>0</v>
      </c>
      <c r="E54" s="130">
        <f t="shared" si="21"/>
        <v>0</v>
      </c>
      <c r="F54" s="130">
        <f t="shared" si="21"/>
        <v>0</v>
      </c>
      <c r="G54" s="130">
        <f t="shared" si="21"/>
        <v>0</v>
      </c>
      <c r="H54" s="130">
        <f t="shared" si="21"/>
        <v>0</v>
      </c>
      <c r="I54" s="130">
        <f t="shared" si="21"/>
        <v>0</v>
      </c>
      <c r="J54" s="130">
        <f t="shared" si="21"/>
        <v>0</v>
      </c>
      <c r="K54" s="130">
        <f t="shared" si="21"/>
        <v>115500</v>
      </c>
      <c r="L54" s="130">
        <f t="shared" si="21"/>
        <v>0</v>
      </c>
      <c r="M54" s="130">
        <f t="shared" si="21"/>
        <v>0</v>
      </c>
      <c r="N54" s="130">
        <f t="shared" si="21"/>
        <v>0</v>
      </c>
      <c r="O54" s="130">
        <f t="shared" si="21"/>
        <v>0</v>
      </c>
      <c r="P54" s="130">
        <f t="shared" si="21"/>
        <v>0</v>
      </c>
      <c r="Q54" s="130">
        <f t="shared" si="21"/>
        <v>0</v>
      </c>
      <c r="R54" s="1054"/>
      <c r="S54" s="1054"/>
      <c r="T54" s="1054"/>
      <c r="U54" s="1054"/>
      <c r="V54" s="1054"/>
      <c r="W54" s="1054"/>
      <c r="X54" s="1054"/>
      <c r="Y54" s="1054"/>
      <c r="Z54" s="1054"/>
      <c r="AA54" s="1054"/>
      <c r="AB54" s="1054"/>
      <c r="AC54" s="1054"/>
      <c r="AD54" s="1054"/>
      <c r="AE54" s="1054"/>
      <c r="AF54" s="1054"/>
    </row>
    <row r="55" spans="1:32">
      <c r="A55" s="138" t="s">
        <v>1082</v>
      </c>
      <c r="B55" s="127">
        <v>2020</v>
      </c>
      <c r="C55" s="127" t="s">
        <v>182</v>
      </c>
      <c r="D55" s="137">
        <f>SUM(D44:D54)</f>
        <v>1125</v>
      </c>
      <c r="E55" s="137">
        <f t="shared" ref="E55:Q55" si="22">SUM(E44:E54)</f>
        <v>8417.0262584018346</v>
      </c>
      <c r="F55" s="137">
        <f t="shared" si="22"/>
        <v>1000</v>
      </c>
      <c r="G55" s="137">
        <f t="shared" si="22"/>
        <v>0</v>
      </c>
      <c r="H55" s="137">
        <f t="shared" si="22"/>
        <v>0</v>
      </c>
      <c r="I55" s="137">
        <f t="shared" si="22"/>
        <v>1125</v>
      </c>
      <c r="J55" s="137">
        <f t="shared" si="22"/>
        <v>602.56976333451075</v>
      </c>
      <c r="K55" s="137">
        <f t="shared" si="22"/>
        <v>115500</v>
      </c>
      <c r="L55" s="137">
        <f t="shared" si="22"/>
        <v>21948.661262273152</v>
      </c>
      <c r="M55" s="137">
        <f t="shared" si="22"/>
        <v>0</v>
      </c>
      <c r="N55" s="137">
        <f t="shared" si="22"/>
        <v>1616.3390373067873</v>
      </c>
      <c r="O55" s="137">
        <f t="shared" si="22"/>
        <v>0</v>
      </c>
      <c r="P55" s="137">
        <f t="shared" si="22"/>
        <v>1602.5697633345108</v>
      </c>
      <c r="Q55" s="137">
        <f t="shared" si="22"/>
        <v>9662.8389153492062</v>
      </c>
      <c r="R55" s="1054"/>
      <c r="S55" s="1054"/>
      <c r="T55" s="1054"/>
      <c r="U55" s="1054"/>
      <c r="V55" s="1054"/>
      <c r="W55" s="1054"/>
      <c r="X55" s="1054"/>
      <c r="Y55" s="1054"/>
      <c r="Z55" s="1054"/>
      <c r="AA55" s="1054"/>
      <c r="AB55" s="1054"/>
      <c r="AC55" s="1054"/>
      <c r="AD55" s="1054"/>
      <c r="AE55" s="1054"/>
      <c r="AF55" s="1054"/>
    </row>
    <row r="56" spans="1:32" ht="30" customHeight="1">
      <c r="A56" s="140" t="s">
        <v>100</v>
      </c>
      <c r="B56" s="140" t="s">
        <v>101</v>
      </c>
      <c r="C56" s="140" t="s">
        <v>131</v>
      </c>
      <c r="D56" s="190" t="s">
        <v>902</v>
      </c>
      <c r="E56" s="190" t="s">
        <v>903</v>
      </c>
      <c r="F56" s="190" t="s">
        <v>904</v>
      </c>
      <c r="G56" s="190" t="s">
        <v>905</v>
      </c>
      <c r="H56" s="190" t="s">
        <v>906</v>
      </c>
      <c r="I56" s="190" t="s">
        <v>907</v>
      </c>
      <c r="J56" s="190" t="s">
        <v>908</v>
      </c>
      <c r="K56" s="190" t="s">
        <v>1097</v>
      </c>
      <c r="L56" s="190" t="s">
        <v>1098</v>
      </c>
      <c r="M56" s="190" t="s">
        <v>1099</v>
      </c>
      <c r="N56" s="190" t="s">
        <v>909</v>
      </c>
      <c r="O56" s="190" t="s">
        <v>1100</v>
      </c>
      <c r="P56" s="190" t="s">
        <v>1101</v>
      </c>
      <c r="Q56" s="190" t="s">
        <v>1102</v>
      </c>
      <c r="R56" s="1052" t="s">
        <v>123</v>
      </c>
      <c r="S56" s="1052"/>
      <c r="T56" s="1052"/>
      <c r="U56" s="1052"/>
      <c r="V56" s="1052"/>
      <c r="W56" s="1052"/>
      <c r="X56" s="1052"/>
      <c r="Y56" s="1052"/>
      <c r="Z56" s="1052"/>
      <c r="AA56" s="1052"/>
      <c r="AB56" s="1052"/>
      <c r="AC56" s="1052"/>
      <c r="AD56" s="1052"/>
      <c r="AE56" s="1052"/>
      <c r="AF56" s="1052"/>
    </row>
    <row r="57" spans="1:32">
      <c r="A57" s="138" t="s">
        <v>1103</v>
      </c>
      <c r="B57" s="117">
        <v>2020</v>
      </c>
      <c r="C57" s="117" t="s">
        <v>182</v>
      </c>
      <c r="D57" s="191">
        <f>D55/1000</f>
        <v>1.125</v>
      </c>
      <c r="E57" s="191">
        <f t="shared" ref="E57:Q57" si="23">E55/1000</f>
        <v>8.4170262584018349</v>
      </c>
      <c r="F57" s="191">
        <f t="shared" si="23"/>
        <v>1</v>
      </c>
      <c r="G57" s="191">
        <f t="shared" si="23"/>
        <v>0</v>
      </c>
      <c r="H57" s="191">
        <f t="shared" si="23"/>
        <v>0</v>
      </c>
      <c r="I57" s="191">
        <f t="shared" si="23"/>
        <v>1.125</v>
      </c>
      <c r="J57" s="191">
        <f t="shared" si="23"/>
        <v>0.60256976333451073</v>
      </c>
      <c r="K57" s="191">
        <f t="shared" si="23"/>
        <v>115.5</v>
      </c>
      <c r="L57" s="191">
        <f t="shared" si="23"/>
        <v>21.948661262273152</v>
      </c>
      <c r="M57" s="191">
        <f t="shared" si="23"/>
        <v>0</v>
      </c>
      <c r="N57" s="191">
        <f t="shared" si="23"/>
        <v>1.6163390373067874</v>
      </c>
      <c r="O57" s="191">
        <f t="shared" si="23"/>
        <v>0</v>
      </c>
      <c r="P57" s="191">
        <f t="shared" si="23"/>
        <v>1.6025697633345108</v>
      </c>
      <c r="Q57" s="191">
        <f t="shared" si="23"/>
        <v>9.6628389153492069</v>
      </c>
      <c r="R57" s="1054" t="s">
        <v>1104</v>
      </c>
      <c r="S57" s="1054"/>
      <c r="T57" s="1054"/>
      <c r="U57" s="1054"/>
      <c r="V57" s="1054"/>
      <c r="W57" s="1054"/>
      <c r="X57" s="1054"/>
      <c r="Y57" s="1054"/>
      <c r="Z57" s="1054"/>
      <c r="AA57" s="1054"/>
      <c r="AB57" s="1054"/>
      <c r="AC57" s="1054"/>
      <c r="AD57" s="1054"/>
      <c r="AE57" s="1054"/>
      <c r="AF57" s="1054"/>
    </row>
    <row r="59" spans="1:32" s="194" customFormat="1" ht="30" customHeight="1">
      <c r="A59" s="1085" t="s">
        <v>1105</v>
      </c>
      <c r="B59" s="1017"/>
      <c r="C59" s="1017"/>
      <c r="D59" s="1017"/>
      <c r="E59" s="1017"/>
      <c r="F59" s="1017"/>
      <c r="G59" s="1017"/>
      <c r="H59" s="1017"/>
      <c r="I59" s="1017"/>
      <c r="J59" s="1017"/>
      <c r="K59" s="1017"/>
      <c r="L59" s="1017"/>
      <c r="M59" s="1017"/>
      <c r="N59" s="1017"/>
      <c r="O59" s="1017"/>
      <c r="P59" s="1017"/>
      <c r="Q59" s="1017"/>
      <c r="R59" s="1017"/>
      <c r="S59" s="1017"/>
      <c r="T59" s="1017"/>
      <c r="U59" s="1017"/>
      <c r="V59" s="1017"/>
      <c r="W59" s="1017"/>
      <c r="X59" s="1017"/>
      <c r="Y59" s="1017"/>
      <c r="Z59" s="1017"/>
      <c r="AA59" s="1017"/>
      <c r="AB59" s="1017"/>
      <c r="AC59" s="1017"/>
      <c r="AD59" s="1017"/>
      <c r="AE59" s="1017"/>
      <c r="AF59" s="1017"/>
    </row>
    <row r="60" spans="1:32" ht="30" customHeight="1">
      <c r="A60" s="140" t="s">
        <v>1106</v>
      </c>
      <c r="B60" s="140" t="s">
        <v>101</v>
      </c>
      <c r="C60" s="140" t="s">
        <v>131</v>
      </c>
      <c r="D60" s="140" t="s">
        <v>1028</v>
      </c>
      <c r="E60" s="140" t="s">
        <v>1107</v>
      </c>
      <c r="F60" s="1061" t="s">
        <v>104</v>
      </c>
      <c r="G60" s="1067"/>
      <c r="H60" s="1067"/>
      <c r="I60" s="1062"/>
      <c r="J60" s="1052" t="s">
        <v>1108</v>
      </c>
      <c r="K60" s="1052"/>
    </row>
    <row r="61" spans="1:32">
      <c r="A61" s="1117" t="s">
        <v>1109</v>
      </c>
      <c r="B61" s="1102">
        <v>2020</v>
      </c>
      <c r="C61" s="117" t="s">
        <v>182</v>
      </c>
      <c r="D61" s="117">
        <v>447485231</v>
      </c>
      <c r="E61" s="1102" t="s">
        <v>1110</v>
      </c>
      <c r="F61" s="1104" t="s">
        <v>1111</v>
      </c>
      <c r="G61" s="1105"/>
      <c r="H61" s="1105"/>
      <c r="I61" s="1106"/>
      <c r="J61" s="1116">
        <f>D62/D61</f>
        <v>3.8900915145510133E-2</v>
      </c>
      <c r="K61" s="1116"/>
    </row>
    <row r="62" spans="1:32">
      <c r="A62" s="1118"/>
      <c r="B62" s="1103"/>
      <c r="C62" s="117" t="s">
        <v>180</v>
      </c>
      <c r="D62" s="117">
        <v>17407585</v>
      </c>
      <c r="E62" s="1103"/>
      <c r="F62" s="1107"/>
      <c r="G62" s="1108"/>
      <c r="H62" s="1108"/>
      <c r="I62" s="1109"/>
      <c r="J62" s="1116"/>
      <c r="K62" s="1116"/>
    </row>
    <row r="63" spans="1:32">
      <c r="A63" s="1117" t="s">
        <v>1112</v>
      </c>
      <c r="B63" s="1102">
        <v>2022</v>
      </c>
      <c r="C63" s="117" t="s">
        <v>182</v>
      </c>
      <c r="D63" s="117">
        <v>537.44799999999998</v>
      </c>
      <c r="E63" s="1102" t="s">
        <v>1113</v>
      </c>
      <c r="F63" s="1104" t="s">
        <v>1045</v>
      </c>
      <c r="G63" s="1105"/>
      <c r="H63" s="1105"/>
      <c r="I63" s="1106"/>
      <c r="J63" s="1116">
        <f>D64/D63</f>
        <v>6.7122772807787931E-2</v>
      </c>
      <c r="K63" s="1116"/>
    </row>
    <row r="64" spans="1:32">
      <c r="A64" s="1118"/>
      <c r="B64" s="1103"/>
      <c r="C64" s="117" t="s">
        <v>180</v>
      </c>
      <c r="D64" s="117">
        <v>36.075000000000003</v>
      </c>
      <c r="E64" s="1103"/>
      <c r="F64" s="1107"/>
      <c r="G64" s="1108"/>
      <c r="H64" s="1108"/>
      <c r="I64" s="1109"/>
      <c r="J64" s="1116"/>
      <c r="K64" s="1116"/>
    </row>
    <row r="65" spans="1:32">
      <c r="A65" s="1117" t="s">
        <v>1114</v>
      </c>
      <c r="B65" s="1102">
        <v>2019</v>
      </c>
      <c r="C65" s="117" t="s">
        <v>182</v>
      </c>
      <c r="D65" s="117">
        <v>72.855500000000006</v>
      </c>
      <c r="E65" s="1102" t="s">
        <v>1113</v>
      </c>
      <c r="F65" s="1110" t="s">
        <v>1115</v>
      </c>
      <c r="G65" s="1111"/>
      <c r="H65" s="1111"/>
      <c r="I65" s="1112"/>
      <c r="J65" s="1116">
        <f>D66/D65</f>
        <v>0.12239432849956419</v>
      </c>
      <c r="K65" s="1116"/>
    </row>
    <row r="66" spans="1:32">
      <c r="A66" s="1118"/>
      <c r="B66" s="1103"/>
      <c r="C66" s="117" t="s">
        <v>180</v>
      </c>
      <c r="D66" s="117">
        <v>8.9170999999999996</v>
      </c>
      <c r="E66" s="1103"/>
      <c r="F66" s="1113"/>
      <c r="G66" s="1114"/>
      <c r="H66" s="1114"/>
      <c r="I66" s="1115"/>
      <c r="J66" s="1116"/>
      <c r="K66" s="1116"/>
    </row>
    <row r="67" spans="1:32">
      <c r="T67" s="195"/>
      <c r="AA67" s="25"/>
    </row>
    <row r="68" spans="1:32" ht="30" customHeight="1">
      <c r="A68" s="1022" t="s">
        <v>767</v>
      </c>
      <c r="B68" s="1022"/>
      <c r="C68" s="1022"/>
      <c r="D68" s="1022"/>
      <c r="E68" s="1022"/>
      <c r="F68" s="1022"/>
      <c r="G68" s="1022"/>
      <c r="H68" s="1022"/>
      <c r="I68" s="1022"/>
      <c r="J68" s="1022"/>
      <c r="K68" s="1022"/>
      <c r="L68" s="1022"/>
      <c r="M68" s="1022"/>
      <c r="N68" s="1022"/>
      <c r="O68" s="1022"/>
      <c r="P68" s="1022"/>
      <c r="Q68" s="1022"/>
      <c r="R68" s="1022"/>
      <c r="S68" s="1022"/>
      <c r="T68" s="1022"/>
      <c r="U68" s="1022"/>
      <c r="V68" s="1022"/>
      <c r="W68" s="1022"/>
      <c r="X68" s="1022"/>
      <c r="Y68" s="1022"/>
      <c r="Z68" s="1022"/>
      <c r="AA68" s="1022"/>
      <c r="AB68" s="1022"/>
      <c r="AC68" s="1022"/>
      <c r="AD68" s="1022"/>
      <c r="AE68" s="1022"/>
      <c r="AF68" s="1022"/>
    </row>
    <row r="69" spans="1:32" ht="30" customHeight="1">
      <c r="A69" s="139" t="s">
        <v>100</v>
      </c>
      <c r="B69" s="139" t="s">
        <v>101</v>
      </c>
      <c r="C69" s="139" t="s">
        <v>131</v>
      </c>
      <c r="D69" s="139" t="s">
        <v>1062</v>
      </c>
      <c r="E69" s="139" t="s">
        <v>1063</v>
      </c>
      <c r="F69" s="139" t="s">
        <v>1064</v>
      </c>
      <c r="G69" s="1077" t="s">
        <v>104</v>
      </c>
      <c r="H69" s="1078"/>
      <c r="I69" s="1078"/>
      <c r="J69" s="1078"/>
      <c r="K69" s="1078"/>
      <c r="L69" s="1079"/>
      <c r="M69" s="1052" t="s">
        <v>896</v>
      </c>
      <c r="N69" s="1052"/>
      <c r="O69" s="1052"/>
      <c r="P69" s="1052"/>
      <c r="Q69" s="1052"/>
      <c r="R69" s="1052" t="s">
        <v>123</v>
      </c>
      <c r="S69" s="1052"/>
      <c r="T69" s="1052"/>
      <c r="U69" s="1052"/>
      <c r="V69" s="1052"/>
      <c r="W69" s="1052"/>
      <c r="X69" s="1052"/>
      <c r="Y69" s="1052"/>
      <c r="Z69" s="1052"/>
      <c r="AA69" s="1052"/>
      <c r="AB69" s="1052"/>
      <c r="AC69" s="1052"/>
      <c r="AD69" s="1052"/>
      <c r="AE69" s="1052"/>
      <c r="AF69" s="1052"/>
    </row>
    <row r="70" spans="1:32">
      <c r="A70" s="142" t="s">
        <v>1054</v>
      </c>
      <c r="B70" s="117">
        <v>2020</v>
      </c>
      <c r="C70" s="126" t="s">
        <v>180</v>
      </c>
      <c r="D70" s="186">
        <f t="shared" ref="D70:F71" si="24">D30*POP_coef_2020</f>
        <v>155.60366058204053</v>
      </c>
      <c r="E70" s="186">
        <f t="shared" si="24"/>
        <v>338.43796176593816</v>
      </c>
      <c r="F70" s="186">
        <f t="shared" si="24"/>
        <v>521.27226294983575</v>
      </c>
      <c r="G70" s="1090" t="s">
        <v>1116</v>
      </c>
      <c r="H70" s="1091"/>
      <c r="I70" s="1091"/>
      <c r="J70" s="1091"/>
      <c r="K70" s="1091"/>
      <c r="L70" s="1092"/>
      <c r="M70" s="1054" t="s">
        <v>1067</v>
      </c>
      <c r="N70" s="1054"/>
      <c r="O70" s="1054"/>
      <c r="P70" s="1054"/>
      <c r="Q70" s="1054"/>
      <c r="R70" s="1054"/>
      <c r="S70" s="1054"/>
      <c r="T70" s="1054"/>
      <c r="U70" s="1054"/>
      <c r="V70" s="1054"/>
      <c r="W70" s="1054"/>
      <c r="X70" s="1054"/>
      <c r="Y70" s="1054"/>
      <c r="Z70" s="1054"/>
      <c r="AA70" s="1054"/>
      <c r="AB70" s="1054"/>
      <c r="AC70" s="1054"/>
      <c r="AD70" s="1054"/>
      <c r="AE70" s="1054"/>
      <c r="AF70" s="1054"/>
    </row>
    <row r="71" spans="1:32">
      <c r="A71" s="142" t="s">
        <v>227</v>
      </c>
      <c r="B71" s="117">
        <v>2020</v>
      </c>
      <c r="C71" s="126" t="s">
        <v>180</v>
      </c>
      <c r="D71" s="186">
        <f t="shared" si="24"/>
        <v>435.69024962971349</v>
      </c>
      <c r="E71" s="186">
        <f t="shared" si="24"/>
        <v>657.4254659591212</v>
      </c>
      <c r="F71" s="186">
        <f t="shared" si="24"/>
        <v>886.94086531763105</v>
      </c>
      <c r="G71" s="1090" t="s">
        <v>1116</v>
      </c>
      <c r="H71" s="1091"/>
      <c r="I71" s="1091"/>
      <c r="J71" s="1091"/>
      <c r="K71" s="1091"/>
      <c r="L71" s="1092"/>
      <c r="M71" s="1054" t="s">
        <v>1067</v>
      </c>
      <c r="N71" s="1054"/>
      <c r="O71" s="1054"/>
      <c r="P71" s="1054"/>
      <c r="Q71" s="1054"/>
      <c r="R71" s="1054"/>
      <c r="S71" s="1054"/>
      <c r="T71" s="1054"/>
      <c r="U71" s="1054"/>
      <c r="V71" s="1054"/>
      <c r="W71" s="1054"/>
      <c r="X71" s="1054"/>
      <c r="Y71" s="1054"/>
      <c r="Z71" s="1054"/>
      <c r="AA71" s="1054"/>
      <c r="AB71" s="1054"/>
      <c r="AC71" s="1054"/>
      <c r="AD71" s="1054"/>
      <c r="AE71" s="1054"/>
      <c r="AF71" s="1054"/>
    </row>
    <row r="72" spans="1:32" ht="14.45" customHeight="1">
      <c r="A72" s="142" t="s">
        <v>156</v>
      </c>
      <c r="B72" s="117">
        <v>2020</v>
      </c>
      <c r="C72" s="126" t="s">
        <v>180</v>
      </c>
      <c r="D72" s="186">
        <f t="shared" ref="D72:F75" si="25">D32*Aggr_2021</f>
        <v>67.122772807787925</v>
      </c>
      <c r="E72" s="186">
        <f t="shared" si="25"/>
        <v>671.22772807787931</v>
      </c>
      <c r="F72" s="186">
        <f t="shared" si="25"/>
        <v>1141.0871377323949</v>
      </c>
      <c r="G72" s="1090" t="s">
        <v>1117</v>
      </c>
      <c r="H72" s="1091"/>
      <c r="I72" s="1091"/>
      <c r="J72" s="1091"/>
      <c r="K72" s="1091"/>
      <c r="L72" s="1092"/>
      <c r="M72" s="1054" t="s">
        <v>1070</v>
      </c>
      <c r="N72" s="1054"/>
      <c r="O72" s="1054"/>
      <c r="P72" s="1054"/>
      <c r="Q72" s="1054"/>
      <c r="R72" s="1054"/>
      <c r="S72" s="1054"/>
      <c r="T72" s="1054"/>
      <c r="U72" s="1054"/>
      <c r="V72" s="1054"/>
      <c r="W72" s="1054"/>
      <c r="X72" s="1054"/>
      <c r="Y72" s="1054"/>
      <c r="Z72" s="1054"/>
      <c r="AA72" s="1054"/>
      <c r="AB72" s="1054"/>
      <c r="AC72" s="1054"/>
      <c r="AD72" s="1054"/>
      <c r="AE72" s="1054"/>
      <c r="AF72" s="1054"/>
    </row>
    <row r="73" spans="1:32">
      <c r="A73" s="142" t="s">
        <v>159</v>
      </c>
      <c r="B73" s="117">
        <v>2020</v>
      </c>
      <c r="C73" s="126" t="s">
        <v>180</v>
      </c>
      <c r="D73" s="186">
        <f t="shared" si="25"/>
        <v>134.24554561557585</v>
      </c>
      <c r="E73" s="186">
        <f t="shared" si="25"/>
        <v>268.4910912311517</v>
      </c>
      <c r="F73" s="186">
        <f t="shared" si="25"/>
        <v>402.73663684672761</v>
      </c>
      <c r="G73" s="1090" t="s">
        <v>1117</v>
      </c>
      <c r="H73" s="1091"/>
      <c r="I73" s="1091"/>
      <c r="J73" s="1091"/>
      <c r="K73" s="1091"/>
      <c r="L73" s="1092"/>
      <c r="M73" s="1054" t="s">
        <v>1070</v>
      </c>
      <c r="N73" s="1054"/>
      <c r="O73" s="1054"/>
      <c r="P73" s="1054"/>
      <c r="Q73" s="1054"/>
      <c r="R73" s="1054"/>
      <c r="S73" s="1054"/>
      <c r="T73" s="1054"/>
      <c r="U73" s="1054"/>
      <c r="V73" s="1054"/>
      <c r="W73" s="1054"/>
      <c r="X73" s="1054"/>
      <c r="Y73" s="1054"/>
      <c r="Z73" s="1054"/>
      <c r="AA73" s="1054"/>
      <c r="AB73" s="1054"/>
      <c r="AC73" s="1054"/>
      <c r="AD73" s="1054"/>
      <c r="AE73" s="1054"/>
      <c r="AF73" s="1054"/>
    </row>
    <row r="74" spans="1:32">
      <c r="A74" s="142" t="s">
        <v>160</v>
      </c>
      <c r="B74" s="117">
        <v>2020</v>
      </c>
      <c r="C74" s="126" t="s">
        <v>180</v>
      </c>
      <c r="D74" s="186">
        <f t="shared" si="25"/>
        <v>6.7122772807787934</v>
      </c>
      <c r="E74" s="186">
        <f t="shared" si="25"/>
        <v>33.561386403893962</v>
      </c>
      <c r="F74" s="186">
        <f t="shared" si="25"/>
        <v>46.985940965451555</v>
      </c>
      <c r="G74" s="1090" t="s">
        <v>1117</v>
      </c>
      <c r="H74" s="1091"/>
      <c r="I74" s="1091"/>
      <c r="J74" s="1091"/>
      <c r="K74" s="1091"/>
      <c r="L74" s="1092"/>
      <c r="M74" s="1054" t="s">
        <v>1070</v>
      </c>
      <c r="N74" s="1054"/>
      <c r="O74" s="1054"/>
      <c r="P74" s="1054"/>
      <c r="Q74" s="1054"/>
      <c r="R74" s="1054"/>
      <c r="S74" s="1054"/>
      <c r="T74" s="1054"/>
      <c r="U74" s="1054"/>
      <c r="V74" s="1054"/>
      <c r="W74" s="1054"/>
      <c r="X74" s="1054"/>
      <c r="Y74" s="1054"/>
      <c r="Z74" s="1054"/>
      <c r="AA74" s="1054"/>
      <c r="AB74" s="1054"/>
      <c r="AC74" s="1054"/>
      <c r="AD74" s="1054"/>
      <c r="AE74" s="1054"/>
      <c r="AF74" s="1054"/>
    </row>
    <row r="75" spans="1:32">
      <c r="A75" s="142" t="s">
        <v>161</v>
      </c>
      <c r="B75" s="117">
        <v>2020</v>
      </c>
      <c r="C75" s="126" t="s">
        <v>180</v>
      </c>
      <c r="D75" s="186">
        <f t="shared" si="25"/>
        <v>16.780693201946981</v>
      </c>
      <c r="E75" s="186">
        <f t="shared" si="25"/>
        <v>33.561386403893962</v>
      </c>
      <c r="F75" s="186">
        <f t="shared" si="25"/>
        <v>67.122772807787925</v>
      </c>
      <c r="G75" s="1090" t="s">
        <v>1117</v>
      </c>
      <c r="H75" s="1091"/>
      <c r="I75" s="1091"/>
      <c r="J75" s="1091"/>
      <c r="K75" s="1091"/>
      <c r="L75" s="1092"/>
      <c r="M75" s="1054" t="s">
        <v>1070</v>
      </c>
      <c r="N75" s="1054"/>
      <c r="O75" s="1054"/>
      <c r="P75" s="1054"/>
      <c r="Q75" s="1054"/>
      <c r="R75" s="1054"/>
      <c r="S75" s="1054"/>
      <c r="T75" s="1054"/>
      <c r="U75" s="1054"/>
      <c r="V75" s="1054"/>
      <c r="W75" s="1054"/>
      <c r="X75" s="1054"/>
      <c r="Y75" s="1054"/>
      <c r="Z75" s="1054"/>
      <c r="AA75" s="1054"/>
      <c r="AB75" s="1054"/>
      <c r="AC75" s="1054"/>
      <c r="AD75" s="1054"/>
      <c r="AE75" s="1054"/>
      <c r="AF75" s="1054"/>
    </row>
    <row r="76" spans="1:32">
      <c r="A76" s="142" t="s">
        <v>314</v>
      </c>
      <c r="B76" s="117">
        <v>2020</v>
      </c>
      <c r="C76" s="126" t="s">
        <v>180</v>
      </c>
      <c r="D76" s="186">
        <f t="shared" ref="D76:F78" si="26">D36*POP_coef_2020</f>
        <v>2.0423952974271455</v>
      </c>
      <c r="E76" s="186">
        <f t="shared" si="26"/>
        <v>4.0847905948542911</v>
      </c>
      <c r="F76" s="186">
        <f t="shared" si="26"/>
        <v>8.1695811897085822</v>
      </c>
      <c r="G76" s="1090" t="s">
        <v>1116</v>
      </c>
      <c r="H76" s="1091"/>
      <c r="I76" s="1091"/>
      <c r="J76" s="1091"/>
      <c r="K76" s="1091"/>
      <c r="L76" s="1092"/>
      <c r="M76" s="1054" t="s">
        <v>1075</v>
      </c>
      <c r="N76" s="1054"/>
      <c r="O76" s="1054"/>
      <c r="P76" s="1054"/>
      <c r="Q76" s="1054"/>
      <c r="R76" s="1054"/>
      <c r="S76" s="1054"/>
      <c r="T76" s="1054"/>
      <c r="U76" s="1054"/>
      <c r="V76" s="1054"/>
      <c r="W76" s="1054"/>
      <c r="X76" s="1054"/>
      <c r="Y76" s="1054"/>
      <c r="Z76" s="1054"/>
      <c r="AA76" s="1054"/>
      <c r="AB76" s="1054"/>
      <c r="AC76" s="1054"/>
      <c r="AD76" s="1054"/>
      <c r="AE76" s="1054"/>
      <c r="AF76" s="1054"/>
    </row>
    <row r="77" spans="1:32">
      <c r="A77" s="142" t="s">
        <v>338</v>
      </c>
      <c r="B77" s="117">
        <v>2020</v>
      </c>
      <c r="C77" s="126" t="s">
        <v>180</v>
      </c>
      <c r="D77" s="186">
        <f t="shared" si="26"/>
        <v>31.120732116408107</v>
      </c>
      <c r="E77" s="186">
        <f t="shared" si="26"/>
        <v>89.472104834673303</v>
      </c>
      <c r="F77" s="186">
        <f t="shared" si="26"/>
        <v>143.93338603838748</v>
      </c>
      <c r="G77" s="1090" t="s">
        <v>1116</v>
      </c>
      <c r="H77" s="1091"/>
      <c r="I77" s="1091"/>
      <c r="J77" s="1091"/>
      <c r="K77" s="1091"/>
      <c r="L77" s="1092"/>
      <c r="M77" s="1054" t="s">
        <v>1075</v>
      </c>
      <c r="N77" s="1054"/>
      <c r="O77" s="1054"/>
      <c r="P77" s="1054"/>
      <c r="Q77" s="1054"/>
      <c r="R77" s="1054"/>
      <c r="S77" s="1054"/>
      <c r="T77" s="1054"/>
      <c r="U77" s="1054"/>
      <c r="V77" s="1054"/>
      <c r="W77" s="1054"/>
      <c r="X77" s="1054"/>
      <c r="Y77" s="1054"/>
      <c r="Z77" s="1054"/>
      <c r="AA77" s="1054"/>
      <c r="AB77" s="1054"/>
      <c r="AC77" s="1054"/>
      <c r="AD77" s="1054"/>
      <c r="AE77" s="1054"/>
      <c r="AF77" s="1054"/>
    </row>
    <row r="78" spans="1:32">
      <c r="A78" s="142" t="s">
        <v>268</v>
      </c>
      <c r="B78" s="117">
        <v>2020</v>
      </c>
      <c r="C78" s="126" t="s">
        <v>180</v>
      </c>
      <c r="D78" s="186">
        <f t="shared" si="26"/>
        <v>31.120732116408107</v>
      </c>
      <c r="E78" s="186">
        <f t="shared" si="26"/>
        <v>89.472104834673303</v>
      </c>
      <c r="F78" s="186">
        <f t="shared" si="26"/>
        <v>143.93338603838748</v>
      </c>
      <c r="G78" s="1090" t="s">
        <v>1116</v>
      </c>
      <c r="H78" s="1091"/>
      <c r="I78" s="1091"/>
      <c r="J78" s="1091"/>
      <c r="K78" s="1091"/>
      <c r="L78" s="1092"/>
      <c r="M78" s="1054" t="s">
        <v>1075</v>
      </c>
      <c r="N78" s="1054"/>
      <c r="O78" s="1054"/>
      <c r="P78" s="1054"/>
      <c r="Q78" s="1054"/>
      <c r="R78" s="1054"/>
      <c r="S78" s="1054"/>
      <c r="T78" s="1054"/>
      <c r="U78" s="1054"/>
      <c r="V78" s="1054"/>
      <c r="W78" s="1054"/>
      <c r="X78" s="1054"/>
      <c r="Y78" s="1054"/>
      <c r="Z78" s="1054"/>
      <c r="AA78" s="1054"/>
      <c r="AB78" s="1054"/>
      <c r="AC78" s="1054"/>
      <c r="AD78" s="1054"/>
      <c r="AE78" s="1054"/>
      <c r="AF78" s="1054"/>
    </row>
    <row r="79" spans="1:32">
      <c r="A79" s="142" t="s">
        <v>362</v>
      </c>
      <c r="B79" s="117">
        <v>2020</v>
      </c>
      <c r="C79" s="126" t="s">
        <v>180</v>
      </c>
      <c r="D79" s="186">
        <f>D39*OIL_GAS_2020</f>
        <v>109.84890982835886</v>
      </c>
      <c r="E79" s="186">
        <f>E39*OIL_GAS_2020</f>
        <v>219.69781965671771</v>
      </c>
      <c r="F79" s="186">
        <f>F39*OIL_GAS_2020</f>
        <v>439.39563931343542</v>
      </c>
      <c r="G79" s="1090" t="s">
        <v>1116</v>
      </c>
      <c r="H79" s="1091"/>
      <c r="I79" s="1091"/>
      <c r="J79" s="1091"/>
      <c r="K79" s="1091"/>
      <c r="L79" s="1092"/>
      <c r="M79" s="1054" t="s">
        <v>1079</v>
      </c>
      <c r="N79" s="1054"/>
      <c r="O79" s="1054"/>
      <c r="P79" s="1054"/>
      <c r="Q79" s="1054"/>
      <c r="R79" s="1054"/>
      <c r="S79" s="1054"/>
      <c r="T79" s="1054"/>
      <c r="U79" s="1054"/>
      <c r="V79" s="1054"/>
      <c r="W79" s="1054"/>
      <c r="X79" s="1054"/>
      <c r="Y79" s="1054"/>
      <c r="Z79" s="1054"/>
      <c r="AA79" s="1054"/>
      <c r="AB79" s="1054"/>
      <c r="AC79" s="1054"/>
      <c r="AD79" s="1054"/>
      <c r="AE79" s="1054"/>
      <c r="AF79" s="1054"/>
    </row>
    <row r="80" spans="1:32">
      <c r="A80" s="142" t="s">
        <v>309</v>
      </c>
      <c r="B80" s="117">
        <v>2020</v>
      </c>
      <c r="C80" s="126" t="s">
        <v>180</v>
      </c>
      <c r="D80" s="186"/>
      <c r="E80" s="383">
        <v>12105</v>
      </c>
      <c r="F80" s="186"/>
      <c r="G80" s="1020" t="s">
        <v>1118</v>
      </c>
      <c r="H80" s="1020"/>
      <c r="I80" s="1020"/>
      <c r="J80" s="1020"/>
      <c r="K80" s="1020"/>
      <c r="L80" s="1020"/>
      <c r="M80" s="1020" t="s">
        <v>1081</v>
      </c>
      <c r="N80" s="1020"/>
      <c r="O80" s="1020"/>
      <c r="P80" s="1020"/>
      <c r="Q80" s="1020"/>
      <c r="R80" s="1054"/>
      <c r="S80" s="1054"/>
      <c r="T80" s="1054"/>
      <c r="U80" s="1054"/>
      <c r="V80" s="1054"/>
      <c r="W80" s="1054"/>
      <c r="X80" s="1054"/>
      <c r="Y80" s="1054"/>
      <c r="Z80" s="1054"/>
      <c r="AA80" s="1054"/>
      <c r="AB80" s="1054"/>
      <c r="AC80" s="1054"/>
      <c r="AD80" s="1054"/>
      <c r="AE80" s="1054"/>
      <c r="AF80" s="1054"/>
    </row>
    <row r="81" spans="1:32">
      <c r="A81" s="138" t="s">
        <v>1082</v>
      </c>
      <c r="B81" s="127">
        <v>2020</v>
      </c>
      <c r="C81" s="129" t="s">
        <v>180</v>
      </c>
      <c r="D81" s="185">
        <f>SUM(D70:D80)</f>
        <v>990.28796847644583</v>
      </c>
      <c r="E81" s="185">
        <f>SUM(E70:E80)</f>
        <v>14510.431839762798</v>
      </c>
      <c r="F81" s="185">
        <f>SUM(F70:F80)</f>
        <v>3801.5776091997477</v>
      </c>
      <c r="G81" s="1021"/>
      <c r="H81" s="1021"/>
      <c r="I81" s="1021"/>
      <c r="J81" s="1021"/>
      <c r="K81" s="1021"/>
      <c r="L81" s="1021"/>
      <c r="M81" s="1054"/>
      <c r="N81" s="1054"/>
      <c r="O81" s="1054"/>
      <c r="P81" s="1054"/>
      <c r="Q81" s="1054"/>
      <c r="R81" s="1054"/>
      <c r="S81" s="1054"/>
      <c r="T81" s="1054"/>
      <c r="U81" s="1054"/>
      <c r="V81" s="1054"/>
      <c r="W81" s="1054"/>
      <c r="X81" s="1054"/>
      <c r="Y81" s="1054"/>
      <c r="Z81" s="1054"/>
      <c r="AA81" s="1054"/>
      <c r="AB81" s="1054"/>
      <c r="AC81" s="1054"/>
      <c r="AD81" s="1054"/>
      <c r="AE81" s="1054"/>
      <c r="AF81" s="1054"/>
    </row>
    <row r="82" spans="1:32">
      <c r="A82" s="893"/>
      <c r="B82" s="25"/>
      <c r="C82" s="25"/>
      <c r="D82" s="381"/>
      <c r="E82" s="381"/>
      <c r="F82" s="381"/>
      <c r="G82" s="382"/>
      <c r="H82" s="382"/>
      <c r="I82" s="382"/>
      <c r="J82" s="382"/>
      <c r="K82" s="382"/>
      <c r="L82" s="382"/>
    </row>
    <row r="83" spans="1:32">
      <c r="A83"/>
      <c r="B83" s="25"/>
      <c r="C83" s="25"/>
      <c r="D83" s="381"/>
      <c r="E83"/>
      <c r="F83"/>
      <c r="G83"/>
      <c r="H83"/>
      <c r="I83"/>
      <c r="J83"/>
      <c r="K83"/>
      <c r="L83" s="382"/>
    </row>
    <row r="84" spans="1:32" s="384" customFormat="1">
      <c r="A84" s="443"/>
      <c r="B84" s="26" t="s">
        <v>101</v>
      </c>
      <c r="C84" s="26" t="s">
        <v>131</v>
      </c>
      <c r="D84" s="381" t="s">
        <v>1119</v>
      </c>
      <c r="E84" s="443"/>
      <c r="F84" s="443"/>
      <c r="G84" s="892" t="s">
        <v>104</v>
      </c>
      <c r="H84" s="386"/>
      <c r="I84" s="386"/>
      <c r="J84" s="386"/>
      <c r="K84" s="386"/>
      <c r="L84" s="387"/>
    </row>
    <row r="85" spans="1:32" s="384" customFormat="1">
      <c r="A85" s="143" t="s">
        <v>309</v>
      </c>
      <c r="B85" s="7">
        <v>2016</v>
      </c>
      <c r="C85" s="7" t="s">
        <v>180</v>
      </c>
      <c r="D85" s="7">
        <v>18000</v>
      </c>
      <c r="E85" s="443"/>
      <c r="F85" s="443"/>
      <c r="G85" s="443" t="s">
        <v>1118</v>
      </c>
      <c r="H85" s="386"/>
      <c r="I85" s="386"/>
      <c r="J85" s="386"/>
      <c r="K85" s="386"/>
      <c r="L85" s="387"/>
    </row>
    <row r="86" spans="1:32" s="384" customFormat="1">
      <c r="A86" s="143" t="s">
        <v>309</v>
      </c>
      <c r="B86" s="7">
        <v>2019</v>
      </c>
      <c r="C86" s="7" t="s">
        <v>180</v>
      </c>
      <c r="D86" s="7">
        <v>11400</v>
      </c>
      <c r="E86" s="443"/>
      <c r="F86" s="443"/>
      <c r="G86" s="443" t="s">
        <v>1118</v>
      </c>
      <c r="H86" s="386"/>
      <c r="I86" s="386"/>
      <c r="J86" s="386"/>
      <c r="K86" s="386"/>
      <c r="L86" s="387"/>
    </row>
    <row r="87" spans="1:32" s="384" customFormat="1">
      <c r="A87" s="143" t="s">
        <v>309</v>
      </c>
      <c r="B87" s="7">
        <v>2020</v>
      </c>
      <c r="C87" s="7" t="s">
        <v>180</v>
      </c>
      <c r="D87" s="7">
        <v>12105</v>
      </c>
      <c r="E87" s="443"/>
      <c r="F87" s="443"/>
      <c r="G87" s="443" t="s">
        <v>1118</v>
      </c>
      <c r="H87" s="386"/>
      <c r="I87" s="386"/>
      <c r="J87" s="386"/>
      <c r="K87" s="386"/>
      <c r="L87" s="387"/>
    </row>
    <row r="88" spans="1:32" s="384" customFormat="1">
      <c r="A88" s="143" t="s">
        <v>309</v>
      </c>
      <c r="B88" s="7">
        <v>2021</v>
      </c>
      <c r="C88" s="7" t="s">
        <v>180</v>
      </c>
      <c r="D88" s="7">
        <v>10331</v>
      </c>
      <c r="E88" s="443"/>
      <c r="F88" s="443"/>
      <c r="G88" s="443" t="s">
        <v>1118</v>
      </c>
      <c r="H88" s="386"/>
      <c r="I88" s="386"/>
      <c r="J88" s="386"/>
      <c r="K88" s="386"/>
      <c r="L88" s="387"/>
    </row>
    <row r="89" spans="1:32" s="384" customFormat="1">
      <c r="A89" s="143" t="s">
        <v>309</v>
      </c>
      <c r="B89" s="7">
        <v>2030</v>
      </c>
      <c r="C89" s="7" t="s">
        <v>180</v>
      </c>
      <c r="D89" s="7">
        <v>100</v>
      </c>
      <c r="E89" s="443"/>
      <c r="F89" s="443"/>
      <c r="G89" s="443" t="s">
        <v>1120</v>
      </c>
      <c r="H89" s="386"/>
      <c r="I89" s="386"/>
      <c r="J89" s="386"/>
      <c r="K89" s="386"/>
      <c r="L89" s="387"/>
    </row>
    <row r="90" spans="1:32" s="384" customFormat="1">
      <c r="A90" s="143" t="s">
        <v>309</v>
      </c>
      <c r="B90" s="7">
        <v>2040</v>
      </c>
      <c r="C90" s="7" t="s">
        <v>180</v>
      </c>
      <c r="D90" s="7">
        <v>0</v>
      </c>
      <c r="E90" s="443"/>
      <c r="F90" s="443"/>
      <c r="G90" s="443" t="s">
        <v>1121</v>
      </c>
      <c r="H90" s="386"/>
      <c r="I90" s="386"/>
      <c r="J90" s="386"/>
      <c r="K90" s="386"/>
      <c r="L90" s="387"/>
    </row>
    <row r="91" spans="1:32">
      <c r="E91"/>
      <c r="F91"/>
      <c r="G91"/>
      <c r="H91"/>
      <c r="I91"/>
      <c r="J91"/>
      <c r="K91"/>
    </row>
    <row r="92" spans="1:32" ht="30" customHeight="1">
      <c r="A92" s="140" t="s">
        <v>100</v>
      </c>
      <c r="B92" s="140" t="s">
        <v>101</v>
      </c>
      <c r="C92" s="140" t="s">
        <v>131</v>
      </c>
      <c r="D92" s="190" t="s">
        <v>1083</v>
      </c>
      <c r="E92" s="190" t="s">
        <v>1084</v>
      </c>
      <c r="F92" s="190" t="s">
        <v>1085</v>
      </c>
      <c r="G92" s="190" t="s">
        <v>1086</v>
      </c>
      <c r="H92" s="190" t="s">
        <v>1087</v>
      </c>
      <c r="I92" s="190" t="s">
        <v>1088</v>
      </c>
      <c r="J92" s="190" t="s">
        <v>1089</v>
      </c>
      <c r="K92" s="190" t="s">
        <v>1090</v>
      </c>
      <c r="L92" s="190" t="s">
        <v>1091</v>
      </c>
      <c r="M92" s="190" t="s">
        <v>1092</v>
      </c>
      <c r="N92" s="190" t="s">
        <v>1093</v>
      </c>
      <c r="O92" s="190" t="s">
        <v>1094</v>
      </c>
      <c r="P92" s="190" t="s">
        <v>1095</v>
      </c>
      <c r="Q92" s="190" t="s">
        <v>1096</v>
      </c>
      <c r="R92" s="1052" t="s">
        <v>123</v>
      </c>
      <c r="S92" s="1052"/>
      <c r="T92" s="1052"/>
      <c r="U92" s="1052"/>
      <c r="V92" s="1052"/>
      <c r="W92" s="1052"/>
      <c r="X92" s="1052"/>
      <c r="Y92" s="1052"/>
      <c r="Z92" s="1052"/>
      <c r="AA92" s="1052"/>
      <c r="AB92" s="1052"/>
      <c r="AC92" s="1052"/>
      <c r="AD92" s="1052"/>
      <c r="AE92" s="1052"/>
      <c r="AF92" s="1052"/>
    </row>
    <row r="93" spans="1:32">
      <c r="A93" s="142" t="s">
        <v>1054</v>
      </c>
      <c r="B93" s="117">
        <v>2020</v>
      </c>
      <c r="C93" s="117" t="s">
        <v>180</v>
      </c>
      <c r="D93" s="192">
        <f t="shared" ref="D93:Q93" si="27">$E70*D16</f>
        <v>0</v>
      </c>
      <c r="E93" s="192">
        <f t="shared" si="27"/>
        <v>128.06283413488094</v>
      </c>
      <c r="F93" s="192">
        <f t="shared" si="27"/>
        <v>0</v>
      </c>
      <c r="G93" s="192">
        <f t="shared" si="27"/>
        <v>0</v>
      </c>
      <c r="H93" s="192">
        <f t="shared" si="27"/>
        <v>0</v>
      </c>
      <c r="I93" s="192">
        <f t="shared" si="27"/>
        <v>0</v>
      </c>
      <c r="J93" s="192">
        <f t="shared" si="27"/>
        <v>0</v>
      </c>
      <c r="K93" s="192">
        <f t="shared" si="27"/>
        <v>0</v>
      </c>
      <c r="L93" s="192">
        <f t="shared" si="27"/>
        <v>208.59994010251873</v>
      </c>
      <c r="M93" s="192">
        <f t="shared" si="27"/>
        <v>0</v>
      </c>
      <c r="N93" s="192">
        <f t="shared" si="27"/>
        <v>0.53563735841081217</v>
      </c>
      <c r="O93" s="192">
        <f t="shared" si="27"/>
        <v>0</v>
      </c>
      <c r="P93" s="192">
        <f t="shared" si="27"/>
        <v>0</v>
      </c>
      <c r="Q93" s="192">
        <f t="shared" si="27"/>
        <v>1.2395501701276763</v>
      </c>
      <c r="R93" s="1054"/>
      <c r="S93" s="1054"/>
      <c r="T93" s="1054"/>
      <c r="U93" s="1054"/>
      <c r="V93" s="1054"/>
      <c r="W93" s="1054"/>
      <c r="X93" s="1054"/>
      <c r="Y93" s="1054"/>
      <c r="Z93" s="1054"/>
      <c r="AA93" s="1054"/>
      <c r="AB93" s="1054"/>
      <c r="AC93" s="1054"/>
      <c r="AD93" s="1054"/>
      <c r="AE93" s="1054"/>
      <c r="AF93" s="1054"/>
    </row>
    <row r="94" spans="1:32">
      <c r="A94" s="142" t="s">
        <v>227</v>
      </c>
      <c r="B94" s="117">
        <v>2020</v>
      </c>
      <c r="C94" s="117" t="s">
        <v>180</v>
      </c>
      <c r="D94" s="192">
        <f t="shared" ref="D94:Q94" si="28">$E71*D17</f>
        <v>0</v>
      </c>
      <c r="E94" s="192">
        <f t="shared" si="28"/>
        <v>0</v>
      </c>
      <c r="F94" s="192">
        <f t="shared" si="28"/>
        <v>0</v>
      </c>
      <c r="G94" s="192">
        <f t="shared" si="28"/>
        <v>0</v>
      </c>
      <c r="H94" s="192">
        <f t="shared" si="28"/>
        <v>0</v>
      </c>
      <c r="I94" s="192">
        <f t="shared" si="28"/>
        <v>0</v>
      </c>
      <c r="J94" s="192">
        <f t="shared" si="28"/>
        <v>18.577900839537158</v>
      </c>
      <c r="K94" s="192">
        <f t="shared" si="28"/>
        <v>0</v>
      </c>
      <c r="L94" s="192">
        <f t="shared" si="28"/>
        <v>601.4595396800155</v>
      </c>
      <c r="M94" s="192">
        <f t="shared" si="28"/>
        <v>0</v>
      </c>
      <c r="N94" s="192">
        <f t="shared" si="28"/>
        <v>18.577900839537158</v>
      </c>
      <c r="O94" s="192">
        <f t="shared" si="28"/>
        <v>0</v>
      </c>
      <c r="P94" s="192">
        <f t="shared" si="28"/>
        <v>18.577900839537158</v>
      </c>
      <c r="Q94" s="192">
        <f t="shared" si="28"/>
        <v>0.23222376049421448</v>
      </c>
      <c r="R94" s="1054"/>
      <c r="S94" s="1054"/>
      <c r="T94" s="1054"/>
      <c r="U94" s="1054"/>
      <c r="V94" s="1054"/>
      <c r="W94" s="1054"/>
      <c r="X94" s="1054"/>
      <c r="Y94" s="1054"/>
      <c r="Z94" s="1054"/>
      <c r="AA94" s="1054"/>
      <c r="AB94" s="1054"/>
      <c r="AC94" s="1054"/>
      <c r="AD94" s="1054"/>
      <c r="AE94" s="1054"/>
      <c r="AF94" s="1054"/>
    </row>
    <row r="95" spans="1:32">
      <c r="A95" s="142" t="s">
        <v>156</v>
      </c>
      <c r="B95" s="117">
        <v>2020</v>
      </c>
      <c r="C95" s="117" t="s">
        <v>180</v>
      </c>
      <c r="D95" s="192">
        <f t="shared" ref="D95:Q95" si="29">$E72*D18</f>
        <v>67.122772807787939</v>
      </c>
      <c r="E95" s="192">
        <f t="shared" si="29"/>
        <v>67.122772807787939</v>
      </c>
      <c r="F95" s="192">
        <f t="shared" si="29"/>
        <v>67.122772807787939</v>
      </c>
      <c r="G95" s="192">
        <f t="shared" si="29"/>
        <v>0</v>
      </c>
      <c r="H95" s="192">
        <f t="shared" si="29"/>
        <v>0</v>
      </c>
      <c r="I95" s="192">
        <f t="shared" si="29"/>
        <v>67.122772807787939</v>
      </c>
      <c r="J95" s="192">
        <f t="shared" si="29"/>
        <v>0</v>
      </c>
      <c r="K95" s="192">
        <f t="shared" si="29"/>
        <v>0</v>
      </c>
      <c r="L95" s="192">
        <f t="shared" si="29"/>
        <v>67.122772807787939</v>
      </c>
      <c r="M95" s="192">
        <f t="shared" si="29"/>
        <v>0</v>
      </c>
      <c r="N95" s="192">
        <f t="shared" si="29"/>
        <v>67.122772807787939</v>
      </c>
      <c r="O95" s="192">
        <f t="shared" si="29"/>
        <v>0</v>
      </c>
      <c r="P95" s="192">
        <f t="shared" si="29"/>
        <v>67.122772807787939</v>
      </c>
      <c r="Q95" s="192">
        <f t="shared" si="29"/>
        <v>201.36831842336377</v>
      </c>
      <c r="R95" s="1054"/>
      <c r="S95" s="1054"/>
      <c r="T95" s="1054"/>
      <c r="U95" s="1054"/>
      <c r="V95" s="1054"/>
      <c r="W95" s="1054"/>
      <c r="X95" s="1054"/>
      <c r="Y95" s="1054"/>
      <c r="Z95" s="1054"/>
      <c r="AA95" s="1054"/>
      <c r="AB95" s="1054"/>
      <c r="AC95" s="1054"/>
      <c r="AD95" s="1054"/>
      <c r="AE95" s="1054"/>
      <c r="AF95" s="1054"/>
    </row>
    <row r="96" spans="1:32">
      <c r="A96" s="142" t="s">
        <v>159</v>
      </c>
      <c r="B96" s="117">
        <v>2020</v>
      </c>
      <c r="C96" s="117" t="s">
        <v>180</v>
      </c>
      <c r="D96" s="192">
        <f t="shared" ref="D96:Q96" si="30">$E73*D19</f>
        <v>0</v>
      </c>
      <c r="E96" s="192">
        <f t="shared" si="30"/>
        <v>268.4910912311517</v>
      </c>
      <c r="F96" s="192">
        <f t="shared" si="30"/>
        <v>0</v>
      </c>
      <c r="G96" s="192">
        <f t="shared" si="30"/>
        <v>0</v>
      </c>
      <c r="H96" s="192">
        <f t="shared" si="30"/>
        <v>0</v>
      </c>
      <c r="I96" s="192">
        <f t="shared" si="30"/>
        <v>0</v>
      </c>
      <c r="J96" s="192">
        <f t="shared" si="30"/>
        <v>0</v>
      </c>
      <c r="K96" s="192">
        <f t="shared" si="30"/>
        <v>0</v>
      </c>
      <c r="L96" s="192">
        <f t="shared" si="30"/>
        <v>0</v>
      </c>
      <c r="M96" s="192">
        <f t="shared" si="30"/>
        <v>0</v>
      </c>
      <c r="N96" s="192">
        <f t="shared" si="30"/>
        <v>0</v>
      </c>
      <c r="O96" s="192">
        <f t="shared" si="30"/>
        <v>0</v>
      </c>
      <c r="P96" s="192">
        <f t="shared" si="30"/>
        <v>0</v>
      </c>
      <c r="Q96" s="192">
        <f t="shared" si="30"/>
        <v>0</v>
      </c>
      <c r="R96" s="1054"/>
      <c r="S96" s="1054"/>
      <c r="T96" s="1054"/>
      <c r="U96" s="1054"/>
      <c r="V96" s="1054"/>
      <c r="W96" s="1054"/>
      <c r="X96" s="1054"/>
      <c r="Y96" s="1054"/>
      <c r="Z96" s="1054"/>
      <c r="AA96" s="1054"/>
      <c r="AB96" s="1054"/>
      <c r="AC96" s="1054"/>
      <c r="AD96" s="1054"/>
      <c r="AE96" s="1054"/>
      <c r="AF96" s="1054"/>
    </row>
    <row r="97" spans="1:32">
      <c r="A97" s="142" t="s">
        <v>160</v>
      </c>
      <c r="B97" s="117">
        <v>2020</v>
      </c>
      <c r="C97" s="117" t="s">
        <v>180</v>
      </c>
      <c r="D97" s="192">
        <f t="shared" ref="D97:Q97" si="31">$E74*D20</f>
        <v>4.1951733004867453</v>
      </c>
      <c r="E97" s="192">
        <f t="shared" si="31"/>
        <v>4.1951733004867453</v>
      </c>
      <c r="F97" s="192">
        <f t="shared" si="31"/>
        <v>0</v>
      </c>
      <c r="G97" s="192">
        <f t="shared" si="31"/>
        <v>0</v>
      </c>
      <c r="H97" s="192">
        <f t="shared" si="31"/>
        <v>0</v>
      </c>
      <c r="I97" s="192">
        <f t="shared" si="31"/>
        <v>4.1951733004867453</v>
      </c>
      <c r="J97" s="192">
        <f t="shared" si="31"/>
        <v>4.1951733004867453</v>
      </c>
      <c r="K97" s="192">
        <f t="shared" si="31"/>
        <v>0</v>
      </c>
      <c r="L97" s="192">
        <f t="shared" si="31"/>
        <v>4.1951733004867453</v>
      </c>
      <c r="M97" s="192">
        <f t="shared" si="31"/>
        <v>0</v>
      </c>
      <c r="N97" s="192">
        <f t="shared" si="31"/>
        <v>4.1951733004867453</v>
      </c>
      <c r="O97" s="192">
        <f t="shared" si="31"/>
        <v>0</v>
      </c>
      <c r="P97" s="192">
        <f t="shared" si="31"/>
        <v>4.1951733004867453</v>
      </c>
      <c r="Q97" s="192">
        <f t="shared" si="31"/>
        <v>4.1951733004867453</v>
      </c>
      <c r="R97" s="1054"/>
      <c r="S97" s="1054"/>
      <c r="T97" s="1054"/>
      <c r="U97" s="1054"/>
      <c r="V97" s="1054"/>
      <c r="W97" s="1054"/>
      <c r="X97" s="1054"/>
      <c r="Y97" s="1054"/>
      <c r="Z97" s="1054"/>
      <c r="AA97" s="1054"/>
      <c r="AB97" s="1054"/>
      <c r="AC97" s="1054"/>
      <c r="AD97" s="1054"/>
      <c r="AE97" s="1054"/>
      <c r="AF97" s="1054"/>
    </row>
    <row r="98" spans="1:32">
      <c r="A98" s="142" t="s">
        <v>161</v>
      </c>
      <c r="B98" s="117">
        <v>2020</v>
      </c>
      <c r="C98" s="117" t="s">
        <v>180</v>
      </c>
      <c r="D98" s="192">
        <f t="shared" ref="D98:Q98" si="32">$E75*D21</f>
        <v>4.1951733004867453</v>
      </c>
      <c r="E98" s="192">
        <f t="shared" si="32"/>
        <v>4.1951733004867453</v>
      </c>
      <c r="F98" s="192">
        <f t="shared" si="32"/>
        <v>0</v>
      </c>
      <c r="G98" s="192">
        <f t="shared" si="32"/>
        <v>0</v>
      </c>
      <c r="H98" s="192">
        <f t="shared" si="32"/>
        <v>0</v>
      </c>
      <c r="I98" s="192">
        <f t="shared" si="32"/>
        <v>4.1951733004867453</v>
      </c>
      <c r="J98" s="192">
        <f t="shared" si="32"/>
        <v>4.1951733004867453</v>
      </c>
      <c r="K98" s="192">
        <f t="shared" si="32"/>
        <v>0</v>
      </c>
      <c r="L98" s="192">
        <f t="shared" si="32"/>
        <v>4.1951733004867453</v>
      </c>
      <c r="M98" s="192">
        <f t="shared" si="32"/>
        <v>0</v>
      </c>
      <c r="N98" s="192">
        <f t="shared" si="32"/>
        <v>4.1951733004867453</v>
      </c>
      <c r="O98" s="192">
        <f t="shared" si="32"/>
        <v>0</v>
      </c>
      <c r="P98" s="192">
        <f t="shared" si="32"/>
        <v>4.1951733004867453</v>
      </c>
      <c r="Q98" s="192">
        <f t="shared" si="32"/>
        <v>4.1951733004867453</v>
      </c>
      <c r="R98" s="1054"/>
      <c r="S98" s="1054"/>
      <c r="T98" s="1054"/>
      <c r="U98" s="1054"/>
      <c r="V98" s="1054"/>
      <c r="W98" s="1054"/>
      <c r="X98" s="1054"/>
      <c r="Y98" s="1054"/>
      <c r="Z98" s="1054"/>
      <c r="AA98" s="1054"/>
      <c r="AB98" s="1054"/>
      <c r="AC98" s="1054"/>
      <c r="AD98" s="1054"/>
      <c r="AE98" s="1054"/>
      <c r="AF98" s="1054"/>
    </row>
    <row r="99" spans="1:32">
      <c r="A99" s="142" t="s">
        <v>314</v>
      </c>
      <c r="B99" s="117">
        <v>2020</v>
      </c>
      <c r="C99" s="117" t="s">
        <v>180</v>
      </c>
      <c r="D99" s="192">
        <f t="shared" ref="D99:Q99" si="33">$E76*D22</f>
        <v>0</v>
      </c>
      <c r="E99" s="192">
        <f t="shared" si="33"/>
        <v>0</v>
      </c>
      <c r="F99" s="192">
        <f t="shared" si="33"/>
        <v>0</v>
      </c>
      <c r="G99" s="192">
        <f t="shared" si="33"/>
        <v>0</v>
      </c>
      <c r="H99" s="192">
        <f t="shared" si="33"/>
        <v>0</v>
      </c>
      <c r="I99" s="192">
        <f t="shared" si="33"/>
        <v>0</v>
      </c>
      <c r="J99" s="192">
        <f t="shared" si="33"/>
        <v>0</v>
      </c>
      <c r="K99" s="192">
        <f t="shared" si="33"/>
        <v>0</v>
      </c>
      <c r="L99" s="192">
        <f t="shared" si="33"/>
        <v>0</v>
      </c>
      <c r="M99" s="192">
        <f t="shared" si="33"/>
        <v>0</v>
      </c>
      <c r="N99" s="192">
        <f t="shared" si="33"/>
        <v>0</v>
      </c>
      <c r="O99" s="192">
        <f t="shared" si="33"/>
        <v>0</v>
      </c>
      <c r="P99" s="192">
        <f t="shared" si="33"/>
        <v>0</v>
      </c>
      <c r="Q99" s="192">
        <f t="shared" si="33"/>
        <v>4.0847905948542911</v>
      </c>
      <c r="R99" s="1054"/>
      <c r="S99" s="1054"/>
      <c r="T99" s="1054"/>
      <c r="U99" s="1054"/>
      <c r="V99" s="1054"/>
      <c r="W99" s="1054"/>
      <c r="X99" s="1054"/>
      <c r="Y99" s="1054"/>
      <c r="Z99" s="1054"/>
      <c r="AA99" s="1054"/>
      <c r="AB99" s="1054"/>
      <c r="AC99" s="1054"/>
      <c r="AD99" s="1054"/>
      <c r="AE99" s="1054"/>
      <c r="AF99" s="1054"/>
    </row>
    <row r="100" spans="1:32">
      <c r="A100" s="142" t="s">
        <v>338</v>
      </c>
      <c r="B100" s="117">
        <v>2020</v>
      </c>
      <c r="C100" s="117" t="s">
        <v>180</v>
      </c>
      <c r="D100" s="192">
        <f t="shared" ref="D100:Q100" si="34">$E77*D23</f>
        <v>0</v>
      </c>
      <c r="E100" s="192">
        <f t="shared" si="34"/>
        <v>0</v>
      </c>
      <c r="F100" s="192">
        <f t="shared" si="34"/>
        <v>0</v>
      </c>
      <c r="G100" s="192">
        <f t="shared" si="34"/>
        <v>0</v>
      </c>
      <c r="H100" s="192">
        <f t="shared" si="34"/>
        <v>0</v>
      </c>
      <c r="I100" s="192">
        <f t="shared" si="34"/>
        <v>0</v>
      </c>
      <c r="J100" s="192">
        <f t="shared" si="34"/>
        <v>0</v>
      </c>
      <c r="K100" s="192">
        <f t="shared" si="34"/>
        <v>0</v>
      </c>
      <c r="L100" s="192">
        <f t="shared" si="34"/>
        <v>0</v>
      </c>
      <c r="M100" s="192">
        <f t="shared" si="34"/>
        <v>0</v>
      </c>
      <c r="N100" s="192">
        <f t="shared" si="34"/>
        <v>0</v>
      </c>
      <c r="O100" s="192">
        <f t="shared" si="34"/>
        <v>0</v>
      </c>
      <c r="P100" s="192">
        <f t="shared" si="34"/>
        <v>0</v>
      </c>
      <c r="Q100" s="192">
        <f t="shared" si="34"/>
        <v>89.472104834673303</v>
      </c>
      <c r="R100" s="1054"/>
      <c r="S100" s="1054"/>
      <c r="T100" s="1054"/>
      <c r="U100" s="1054"/>
      <c r="V100" s="1054"/>
      <c r="W100" s="1054"/>
      <c r="X100" s="1054"/>
      <c r="Y100" s="1054"/>
      <c r="Z100" s="1054"/>
      <c r="AA100" s="1054"/>
      <c r="AB100" s="1054"/>
      <c r="AC100" s="1054"/>
      <c r="AD100" s="1054"/>
      <c r="AE100" s="1054"/>
      <c r="AF100" s="1054"/>
    </row>
    <row r="101" spans="1:32">
      <c r="A101" s="142" t="s">
        <v>268</v>
      </c>
      <c r="B101" s="117">
        <v>2020</v>
      </c>
      <c r="C101" s="117" t="s">
        <v>180</v>
      </c>
      <c r="D101" s="192">
        <f t="shared" ref="D101:Q101" si="35">$E78*D24</f>
        <v>0</v>
      </c>
      <c r="E101" s="192">
        <f t="shared" si="35"/>
        <v>0</v>
      </c>
      <c r="F101" s="192">
        <f t="shared" si="35"/>
        <v>0</v>
      </c>
      <c r="G101" s="192">
        <f t="shared" si="35"/>
        <v>0</v>
      </c>
      <c r="H101" s="192">
        <f t="shared" si="35"/>
        <v>0</v>
      </c>
      <c r="I101" s="192">
        <f t="shared" si="35"/>
        <v>0</v>
      </c>
      <c r="J101" s="192">
        <f t="shared" si="35"/>
        <v>0</v>
      </c>
      <c r="K101" s="192">
        <f t="shared" si="35"/>
        <v>0</v>
      </c>
      <c r="L101" s="192">
        <f t="shared" si="35"/>
        <v>0</v>
      </c>
      <c r="M101" s="192">
        <f t="shared" si="35"/>
        <v>0</v>
      </c>
      <c r="N101" s="192">
        <f t="shared" si="35"/>
        <v>0</v>
      </c>
      <c r="O101" s="192">
        <f t="shared" si="35"/>
        <v>0</v>
      </c>
      <c r="P101" s="192">
        <f t="shared" si="35"/>
        <v>0</v>
      </c>
      <c r="Q101" s="192">
        <f t="shared" si="35"/>
        <v>89.472104834673303</v>
      </c>
      <c r="R101" s="1054"/>
      <c r="S101" s="1054"/>
      <c r="T101" s="1054"/>
      <c r="U101" s="1054"/>
      <c r="V101" s="1054"/>
      <c r="W101" s="1054"/>
      <c r="X101" s="1054"/>
      <c r="Y101" s="1054"/>
      <c r="Z101" s="1054"/>
      <c r="AA101" s="1054"/>
      <c r="AB101" s="1054"/>
      <c r="AC101" s="1054"/>
      <c r="AD101" s="1054"/>
      <c r="AE101" s="1054"/>
      <c r="AF101" s="1054"/>
    </row>
    <row r="102" spans="1:32">
      <c r="A102" s="142" t="s">
        <v>362</v>
      </c>
      <c r="B102" s="117">
        <v>2020</v>
      </c>
      <c r="C102" s="117" t="s">
        <v>180</v>
      </c>
      <c r="D102" s="192">
        <f t="shared" ref="D102:Q102" si="36">$E79*D25</f>
        <v>0</v>
      </c>
      <c r="E102" s="192">
        <f t="shared" si="36"/>
        <v>0</v>
      </c>
      <c r="F102" s="192">
        <f t="shared" si="36"/>
        <v>0</v>
      </c>
      <c r="G102" s="192">
        <f t="shared" si="36"/>
        <v>0</v>
      </c>
      <c r="H102" s="192">
        <f t="shared" si="36"/>
        <v>0</v>
      </c>
      <c r="I102" s="192">
        <f t="shared" si="36"/>
        <v>0</v>
      </c>
      <c r="J102" s="192">
        <f t="shared" si="36"/>
        <v>0</v>
      </c>
      <c r="K102" s="192">
        <f t="shared" si="36"/>
        <v>0</v>
      </c>
      <c r="L102" s="192">
        <f t="shared" si="36"/>
        <v>0</v>
      </c>
      <c r="M102" s="192">
        <f t="shared" si="36"/>
        <v>0</v>
      </c>
      <c r="N102" s="192">
        <f t="shared" si="36"/>
        <v>0</v>
      </c>
      <c r="O102" s="192">
        <f t="shared" si="36"/>
        <v>0</v>
      </c>
      <c r="P102" s="192">
        <f t="shared" si="36"/>
        <v>0</v>
      </c>
      <c r="Q102" s="192">
        <f t="shared" si="36"/>
        <v>219.69781965671771</v>
      </c>
      <c r="R102" s="1054"/>
      <c r="S102" s="1054"/>
      <c r="T102" s="1054"/>
      <c r="U102" s="1054"/>
      <c r="V102" s="1054"/>
      <c r="W102" s="1054"/>
      <c r="X102" s="1054"/>
      <c r="Y102" s="1054"/>
      <c r="Z102" s="1054"/>
      <c r="AA102" s="1054"/>
      <c r="AB102" s="1054"/>
      <c r="AC102" s="1054"/>
      <c r="AD102" s="1054"/>
      <c r="AE102" s="1054"/>
      <c r="AF102" s="1054"/>
    </row>
    <row r="103" spans="1:32">
      <c r="A103" s="142" t="s">
        <v>309</v>
      </c>
      <c r="B103" s="117">
        <v>2020</v>
      </c>
      <c r="C103" s="117" t="s">
        <v>180</v>
      </c>
      <c r="D103" s="192">
        <f t="shared" ref="D103:Q103" si="37">$E80*D26</f>
        <v>0</v>
      </c>
      <c r="E103" s="192">
        <f t="shared" si="37"/>
        <v>0</v>
      </c>
      <c r="F103" s="192">
        <f t="shared" si="37"/>
        <v>0</v>
      </c>
      <c r="G103" s="192">
        <f t="shared" si="37"/>
        <v>0</v>
      </c>
      <c r="H103" s="192">
        <f t="shared" si="37"/>
        <v>0</v>
      </c>
      <c r="I103" s="192">
        <f t="shared" si="37"/>
        <v>0</v>
      </c>
      <c r="J103" s="192">
        <f t="shared" si="37"/>
        <v>0</v>
      </c>
      <c r="K103" s="192">
        <f t="shared" si="37"/>
        <v>12105</v>
      </c>
      <c r="L103" s="192">
        <f t="shared" si="37"/>
        <v>0</v>
      </c>
      <c r="M103" s="192">
        <f t="shared" si="37"/>
        <v>0</v>
      </c>
      <c r="N103" s="192">
        <f t="shared" si="37"/>
        <v>0</v>
      </c>
      <c r="O103" s="192">
        <f t="shared" si="37"/>
        <v>0</v>
      </c>
      <c r="P103" s="192">
        <f t="shared" si="37"/>
        <v>0</v>
      </c>
      <c r="Q103" s="192">
        <f t="shared" si="37"/>
        <v>0</v>
      </c>
      <c r="R103" s="1054"/>
      <c r="S103" s="1054"/>
      <c r="T103" s="1054"/>
      <c r="U103" s="1054"/>
      <c r="V103" s="1054"/>
      <c r="W103" s="1054"/>
      <c r="X103" s="1054"/>
      <c r="Y103" s="1054"/>
      <c r="Z103" s="1054"/>
      <c r="AA103" s="1054"/>
      <c r="AB103" s="1054"/>
      <c r="AC103" s="1054"/>
      <c r="AD103" s="1054"/>
      <c r="AE103" s="1054"/>
      <c r="AF103" s="1054"/>
    </row>
    <row r="104" spans="1:32">
      <c r="A104" s="138" t="s">
        <v>1082</v>
      </c>
      <c r="B104" s="127">
        <v>2020</v>
      </c>
      <c r="C104" s="127" t="s">
        <v>180</v>
      </c>
      <c r="D104" s="193">
        <f>SUM(D93:D103)</f>
        <v>75.513119408761426</v>
      </c>
      <c r="E104" s="193">
        <f t="shared" ref="E104:Q104" si="38">SUM(E93:E103)</f>
        <v>472.06704477479411</v>
      </c>
      <c r="F104" s="193">
        <f t="shared" si="38"/>
        <v>67.122772807787939</v>
      </c>
      <c r="G104" s="193">
        <f t="shared" si="38"/>
        <v>0</v>
      </c>
      <c r="H104" s="193">
        <f t="shared" si="38"/>
        <v>0</v>
      </c>
      <c r="I104" s="193">
        <f t="shared" si="38"/>
        <v>75.513119408761426</v>
      </c>
      <c r="J104" s="193">
        <f t="shared" si="38"/>
        <v>26.968247440510645</v>
      </c>
      <c r="K104" s="193">
        <f t="shared" si="38"/>
        <v>12105</v>
      </c>
      <c r="L104" s="193">
        <f t="shared" si="38"/>
        <v>885.57259919129569</v>
      </c>
      <c r="M104" s="193">
        <f t="shared" si="38"/>
        <v>0</v>
      </c>
      <c r="N104" s="193">
        <f t="shared" si="38"/>
        <v>94.626657606709401</v>
      </c>
      <c r="O104" s="193">
        <f t="shared" si="38"/>
        <v>0</v>
      </c>
      <c r="P104" s="193">
        <f t="shared" si="38"/>
        <v>94.091020248298577</v>
      </c>
      <c r="Q104" s="193">
        <f t="shared" si="38"/>
        <v>613.95725887587776</v>
      </c>
      <c r="R104" s="1088"/>
      <c r="S104" s="1088"/>
      <c r="T104" s="1088"/>
      <c r="U104" s="1088"/>
      <c r="V104" s="1088"/>
      <c r="W104" s="1088"/>
      <c r="X104" s="1088"/>
      <c r="Y104" s="1088"/>
      <c r="Z104" s="1088"/>
      <c r="AA104" s="1088"/>
      <c r="AB104" s="1088"/>
      <c r="AC104" s="1088"/>
      <c r="AD104" s="1088"/>
      <c r="AE104" s="1088"/>
      <c r="AF104" s="1088"/>
    </row>
    <row r="105" spans="1:32" ht="30" customHeight="1">
      <c r="A105" s="140" t="s">
        <v>100</v>
      </c>
      <c r="B105" s="140" t="s">
        <v>101</v>
      </c>
      <c r="C105" s="140" t="s">
        <v>131</v>
      </c>
      <c r="D105" s="190" t="s">
        <v>902</v>
      </c>
      <c r="E105" s="190" t="s">
        <v>903</v>
      </c>
      <c r="F105" s="190" t="s">
        <v>904</v>
      </c>
      <c r="G105" s="190" t="s">
        <v>905</v>
      </c>
      <c r="H105" s="190" t="s">
        <v>906</v>
      </c>
      <c r="I105" s="190" t="s">
        <v>907</v>
      </c>
      <c r="J105" s="190" t="s">
        <v>908</v>
      </c>
      <c r="K105" s="190" t="s">
        <v>1097</v>
      </c>
      <c r="L105" s="190" t="s">
        <v>1098</v>
      </c>
      <c r="M105" s="190" t="s">
        <v>1099</v>
      </c>
      <c r="N105" s="190" t="s">
        <v>909</v>
      </c>
      <c r="O105" s="190" t="s">
        <v>1100</v>
      </c>
      <c r="P105" s="190" t="s">
        <v>1101</v>
      </c>
      <c r="Q105" s="190" t="s">
        <v>1102</v>
      </c>
      <c r="R105" s="1052" t="s">
        <v>123</v>
      </c>
      <c r="S105" s="1052"/>
      <c r="T105" s="1052"/>
      <c r="U105" s="1052"/>
      <c r="V105" s="1052"/>
      <c r="W105" s="1052"/>
      <c r="X105" s="1052"/>
      <c r="Y105" s="1052"/>
      <c r="Z105" s="1052"/>
      <c r="AA105" s="1052"/>
      <c r="AB105" s="1052"/>
      <c r="AC105" s="1052"/>
      <c r="AD105" s="1052"/>
      <c r="AE105" s="1052"/>
      <c r="AF105" s="1052"/>
    </row>
    <row r="106" spans="1:32">
      <c r="A106" s="138" t="s">
        <v>1103</v>
      </c>
      <c r="B106" s="117">
        <v>2020</v>
      </c>
      <c r="C106" s="117" t="s">
        <v>180</v>
      </c>
      <c r="D106" s="191">
        <f>D104/1000</f>
        <v>7.5513119408761431E-2</v>
      </c>
      <c r="E106" s="191">
        <f t="shared" ref="E106:Q106" si="39">E104/1000</f>
        <v>0.47206704477479411</v>
      </c>
      <c r="F106" s="191">
        <f t="shared" si="39"/>
        <v>6.7122772807787945E-2</v>
      </c>
      <c r="G106" s="191">
        <f t="shared" si="39"/>
        <v>0</v>
      </c>
      <c r="H106" s="191">
        <f t="shared" si="39"/>
        <v>0</v>
      </c>
      <c r="I106" s="191">
        <f t="shared" si="39"/>
        <v>7.5513119408761431E-2</v>
      </c>
      <c r="J106" s="191">
        <f t="shared" si="39"/>
        <v>2.6968247440510646E-2</v>
      </c>
      <c r="K106" s="191">
        <f t="shared" si="39"/>
        <v>12.105</v>
      </c>
      <c r="L106" s="191">
        <f t="shared" si="39"/>
        <v>0.88557259919129572</v>
      </c>
      <c r="M106" s="191">
        <f t="shared" si="39"/>
        <v>0</v>
      </c>
      <c r="N106" s="191">
        <f t="shared" si="39"/>
        <v>9.4626657606709394E-2</v>
      </c>
      <c r="O106" s="191">
        <f t="shared" si="39"/>
        <v>0</v>
      </c>
      <c r="P106" s="191">
        <f t="shared" si="39"/>
        <v>9.4091020248298574E-2</v>
      </c>
      <c r="Q106" s="191">
        <f t="shared" si="39"/>
        <v>0.61395725887587771</v>
      </c>
      <c r="R106" s="1054" t="s">
        <v>1122</v>
      </c>
      <c r="S106" s="1054"/>
      <c r="T106" s="1054"/>
      <c r="U106" s="1054"/>
      <c r="V106" s="1054"/>
      <c r="W106" s="1054"/>
      <c r="X106" s="1054"/>
      <c r="Y106" s="1054"/>
      <c r="Z106" s="1054"/>
      <c r="AA106" s="1054"/>
      <c r="AB106" s="1054"/>
      <c r="AC106" s="1054"/>
      <c r="AD106" s="1054"/>
      <c r="AE106" s="1054"/>
      <c r="AF106" s="1054"/>
    </row>
    <row r="107" spans="1:32" s="384" customFormat="1">
      <c r="A107" s="200" t="s">
        <v>1103</v>
      </c>
      <c r="B107" s="7">
        <v>2016</v>
      </c>
      <c r="C107" s="7"/>
      <c r="D107" s="894"/>
      <c r="E107" s="894"/>
      <c r="F107" s="894"/>
      <c r="G107" s="894"/>
      <c r="H107" s="894"/>
      <c r="I107" s="894"/>
      <c r="J107" s="894"/>
      <c r="K107" s="7">
        <v>18</v>
      </c>
      <c r="L107" s="894"/>
      <c r="M107" s="894"/>
      <c r="N107" s="894"/>
      <c r="O107" s="385"/>
      <c r="P107" s="385"/>
      <c r="Q107" s="385"/>
    </row>
    <row r="108" spans="1:32" s="384" customFormat="1">
      <c r="A108" s="200" t="s">
        <v>1103</v>
      </c>
      <c r="B108" s="7">
        <v>2019</v>
      </c>
      <c r="C108" s="7"/>
      <c r="D108" s="894"/>
      <c r="E108" s="894"/>
      <c r="F108" s="894"/>
      <c r="G108" s="894"/>
      <c r="H108" s="894"/>
      <c r="I108" s="894"/>
      <c r="J108" s="894"/>
      <c r="K108" s="7">
        <v>11.4</v>
      </c>
      <c r="L108" s="894"/>
      <c r="M108" s="894"/>
      <c r="N108" s="894"/>
      <c r="O108" s="385"/>
      <c r="P108" s="385"/>
      <c r="Q108" s="385"/>
    </row>
    <row r="109" spans="1:32" s="384" customFormat="1">
      <c r="A109" s="200" t="s">
        <v>1103</v>
      </c>
      <c r="B109" s="7">
        <v>2021</v>
      </c>
      <c r="C109" s="7"/>
      <c r="D109" s="894"/>
      <c r="E109" s="894"/>
      <c r="F109" s="894"/>
      <c r="G109" s="894"/>
      <c r="H109" s="894"/>
      <c r="I109" s="894"/>
      <c r="J109" s="894"/>
      <c r="K109" s="7">
        <v>10.331</v>
      </c>
      <c r="L109" s="894"/>
      <c r="M109" s="894"/>
      <c r="N109" s="894"/>
      <c r="O109" s="385"/>
      <c r="P109" s="385"/>
      <c r="Q109" s="385"/>
    </row>
    <row r="111" spans="1:32" ht="30" customHeight="1">
      <c r="A111" s="1022" t="s">
        <v>15</v>
      </c>
      <c r="B111" s="1022"/>
      <c r="C111" s="1022"/>
      <c r="D111" s="1022"/>
      <c r="E111" s="1022"/>
      <c r="F111" s="1022"/>
      <c r="G111" s="1022"/>
      <c r="H111" s="1022"/>
      <c r="I111" s="1022"/>
      <c r="J111" s="1022"/>
      <c r="K111" s="1022"/>
      <c r="L111" s="1022"/>
      <c r="M111" s="1022"/>
      <c r="N111" s="1022"/>
      <c r="O111" s="1022"/>
      <c r="P111" s="1022"/>
      <c r="Q111" s="1022"/>
      <c r="R111" s="1022"/>
      <c r="S111" s="1022"/>
      <c r="T111" s="1022"/>
      <c r="U111" s="1022"/>
      <c r="V111" s="1022"/>
      <c r="W111" s="1022"/>
      <c r="X111" s="1022"/>
      <c r="Y111" s="1022"/>
      <c r="Z111" s="1022"/>
      <c r="AA111" s="1022"/>
      <c r="AB111" s="1022"/>
      <c r="AC111" s="1022"/>
      <c r="AD111" s="1022"/>
      <c r="AE111" s="1022"/>
      <c r="AF111" s="1022"/>
    </row>
    <row r="112" spans="1:32" s="25" customFormat="1" ht="30" customHeight="1">
      <c r="A112" s="140" t="s">
        <v>129</v>
      </c>
      <c r="B112" s="1077" t="s">
        <v>130</v>
      </c>
      <c r="C112" s="1079"/>
      <c r="D112" s="140" t="s">
        <v>131</v>
      </c>
      <c r="E112" s="188" t="s">
        <v>85</v>
      </c>
      <c r="F112" s="188" t="s">
        <v>86</v>
      </c>
      <c r="G112" s="188" t="s">
        <v>87</v>
      </c>
      <c r="H112" s="188" t="s">
        <v>88</v>
      </c>
      <c r="I112" s="188" t="s">
        <v>89</v>
      </c>
      <c r="J112" s="188" t="s">
        <v>90</v>
      </c>
      <c r="K112" s="188" t="s">
        <v>91</v>
      </c>
      <c r="L112" s="188" t="s">
        <v>92</v>
      </c>
      <c r="M112" s="188" t="s">
        <v>93</v>
      </c>
      <c r="N112" s="188" t="s">
        <v>94</v>
      </c>
      <c r="O112" s="188" t="s">
        <v>95</v>
      </c>
      <c r="P112" s="188" t="s">
        <v>96</v>
      </c>
      <c r="Q112" s="188" t="s">
        <v>97</v>
      </c>
      <c r="R112" s="188" t="s">
        <v>127</v>
      </c>
      <c r="S112" s="141" t="s">
        <v>123</v>
      </c>
      <c r="T112" s="141"/>
      <c r="U112" s="141"/>
      <c r="V112" s="141"/>
      <c r="W112" s="141"/>
      <c r="X112" s="141"/>
      <c r="Y112" s="141"/>
      <c r="Z112" s="141"/>
      <c r="AA112" s="141"/>
      <c r="AB112" s="141"/>
      <c r="AC112" s="141"/>
      <c r="AD112" s="141"/>
      <c r="AE112" s="141"/>
      <c r="AF112" s="141"/>
    </row>
    <row r="113" spans="1:32">
      <c r="A113" s="142" t="s">
        <v>1103</v>
      </c>
      <c r="B113" s="1059" t="s">
        <v>1054</v>
      </c>
      <c r="C113" s="1059"/>
      <c r="D113" s="117" t="s">
        <v>920</v>
      </c>
      <c r="E113" s="130">
        <f t="shared" ref="E113:R113" si="40">IF(D$104=0, 0,D93/D$104)</f>
        <v>0</v>
      </c>
      <c r="F113" s="130">
        <f t="shared" si="40"/>
        <v>0.27128102999855674</v>
      </c>
      <c r="G113" s="130">
        <f t="shared" si="40"/>
        <v>0</v>
      </c>
      <c r="H113" s="130">
        <f t="shared" si="40"/>
        <v>0</v>
      </c>
      <c r="I113" s="130">
        <f t="shared" si="40"/>
        <v>0</v>
      </c>
      <c r="J113" s="130">
        <f t="shared" si="40"/>
        <v>0</v>
      </c>
      <c r="K113" s="130">
        <f t="shared" si="40"/>
        <v>0</v>
      </c>
      <c r="L113" s="130">
        <f t="shared" si="40"/>
        <v>0</v>
      </c>
      <c r="M113" s="130">
        <f t="shared" si="40"/>
        <v>0.23555374262145426</v>
      </c>
      <c r="N113" s="130">
        <f t="shared" si="40"/>
        <v>0</v>
      </c>
      <c r="O113" s="130">
        <f t="shared" si="40"/>
        <v>5.6605334263949885E-3</v>
      </c>
      <c r="P113" s="130">
        <f t="shared" si="40"/>
        <v>0</v>
      </c>
      <c r="Q113" s="130">
        <f t="shared" si="40"/>
        <v>0</v>
      </c>
      <c r="R113" s="130">
        <f t="shared" si="40"/>
        <v>2.0189518931614638E-3</v>
      </c>
      <c r="S113" s="187"/>
      <c r="T113" s="187"/>
      <c r="U113" s="187"/>
      <c r="V113" s="187"/>
      <c r="W113" s="187"/>
      <c r="X113" s="187"/>
      <c r="Y113" s="187"/>
      <c r="Z113" s="187"/>
      <c r="AA113" s="187"/>
      <c r="AB113" s="187"/>
      <c r="AC113" s="187"/>
      <c r="AD113" s="187"/>
      <c r="AE113" s="187"/>
      <c r="AF113" s="187"/>
    </row>
    <row r="114" spans="1:32">
      <c r="A114" s="142" t="s">
        <v>1103</v>
      </c>
      <c r="B114" s="1059" t="s">
        <v>227</v>
      </c>
      <c r="C114" s="1059"/>
      <c r="D114" s="117" t="s">
        <v>920</v>
      </c>
      <c r="E114" s="130">
        <f t="shared" ref="E114:R114" si="41">IF(D$104=0, 0,D94/D$104)</f>
        <v>0</v>
      </c>
      <c r="F114" s="130">
        <f t="shared" si="41"/>
        <v>0</v>
      </c>
      <c r="G114" s="130">
        <f t="shared" si="41"/>
        <v>0</v>
      </c>
      <c r="H114" s="130">
        <f t="shared" si="41"/>
        <v>0</v>
      </c>
      <c r="I114" s="130">
        <f t="shared" si="41"/>
        <v>0</v>
      </c>
      <c r="J114" s="130">
        <f t="shared" si="41"/>
        <v>0</v>
      </c>
      <c r="K114" s="130">
        <f t="shared" si="41"/>
        <v>0.68888053925336512</v>
      </c>
      <c r="L114" s="130">
        <f t="shared" si="41"/>
        <v>0</v>
      </c>
      <c r="M114" s="130">
        <f t="shared" si="41"/>
        <v>0.67917586906964822</v>
      </c>
      <c r="N114" s="130">
        <f t="shared" si="41"/>
        <v>0</v>
      </c>
      <c r="O114" s="130">
        <f t="shared" si="41"/>
        <v>0.19632840585737768</v>
      </c>
      <c r="P114" s="130">
        <f t="shared" si="41"/>
        <v>0</v>
      </c>
      <c r="Q114" s="130">
        <f t="shared" si="41"/>
        <v>0.19744605585646305</v>
      </c>
      <c r="R114" s="130">
        <f t="shared" si="41"/>
        <v>3.7824092334929553E-4</v>
      </c>
      <c r="S114" s="187"/>
      <c r="T114" s="187"/>
      <c r="U114" s="187"/>
      <c r="V114" s="187"/>
      <c r="W114" s="187"/>
      <c r="X114" s="187"/>
      <c r="Y114" s="187"/>
      <c r="Z114" s="187"/>
      <c r="AA114" s="187"/>
      <c r="AB114" s="187"/>
      <c r="AC114" s="187"/>
      <c r="AD114" s="187"/>
      <c r="AE114" s="187"/>
      <c r="AF114" s="187"/>
    </row>
    <row r="115" spans="1:32">
      <c r="A115" s="142" t="s">
        <v>1103</v>
      </c>
      <c r="B115" s="1059" t="s">
        <v>156</v>
      </c>
      <c r="C115" s="1059"/>
      <c r="D115" s="117" t="s">
        <v>920</v>
      </c>
      <c r="E115" s="130">
        <f t="shared" ref="E115:R115" si="42">IF(D$104=0, 0,D95/D$104)</f>
        <v>0.88888888888888895</v>
      </c>
      <c r="F115" s="130">
        <f t="shared" si="42"/>
        <v>0.14218906731735478</v>
      </c>
      <c r="G115" s="130">
        <f t="shared" si="42"/>
        <v>1</v>
      </c>
      <c r="H115" s="130">
        <f t="shared" si="42"/>
        <v>0</v>
      </c>
      <c r="I115" s="130">
        <f t="shared" si="42"/>
        <v>0</v>
      </c>
      <c r="J115" s="130">
        <f t="shared" si="42"/>
        <v>0.88888888888888895</v>
      </c>
      <c r="K115" s="130">
        <f t="shared" si="42"/>
        <v>0</v>
      </c>
      <c r="L115" s="130">
        <f t="shared" si="42"/>
        <v>0</v>
      </c>
      <c r="M115" s="130">
        <f t="shared" si="42"/>
        <v>7.5795900719019996E-2</v>
      </c>
      <c r="N115" s="130">
        <f t="shared" si="42"/>
        <v>0</v>
      </c>
      <c r="O115" s="130">
        <f t="shared" si="42"/>
        <v>0.70934316508109096</v>
      </c>
      <c r="P115" s="130">
        <f t="shared" si="42"/>
        <v>0</v>
      </c>
      <c r="Q115" s="130">
        <f t="shared" si="42"/>
        <v>0.71338128368314402</v>
      </c>
      <c r="R115" s="130">
        <f t="shared" si="42"/>
        <v>0.3279842619534431</v>
      </c>
      <c r="S115" s="187"/>
      <c r="T115" s="187"/>
      <c r="U115" s="187"/>
      <c r="V115" s="187"/>
      <c r="W115" s="187"/>
      <c r="X115" s="187"/>
      <c r="Y115" s="187"/>
      <c r="Z115" s="187"/>
      <c r="AA115" s="187"/>
      <c r="AB115" s="187"/>
      <c r="AC115" s="187"/>
      <c r="AD115" s="187"/>
      <c r="AE115" s="187"/>
      <c r="AF115" s="187"/>
    </row>
    <row r="116" spans="1:32">
      <c r="A116" s="142" t="s">
        <v>1103</v>
      </c>
      <c r="B116" s="1059" t="s">
        <v>159</v>
      </c>
      <c r="C116" s="1059"/>
      <c r="D116" s="117" t="s">
        <v>920</v>
      </c>
      <c r="E116" s="130">
        <f t="shared" ref="E116:R116" si="43">IF(D$104=0, 0,D96/D$104)</f>
        <v>0</v>
      </c>
      <c r="F116" s="130">
        <f t="shared" si="43"/>
        <v>0.56875626926941902</v>
      </c>
      <c r="G116" s="130">
        <f t="shared" si="43"/>
        <v>0</v>
      </c>
      <c r="H116" s="130">
        <f t="shared" si="43"/>
        <v>0</v>
      </c>
      <c r="I116" s="130">
        <f t="shared" si="43"/>
        <v>0</v>
      </c>
      <c r="J116" s="130">
        <f t="shared" si="43"/>
        <v>0</v>
      </c>
      <c r="K116" s="130">
        <f t="shared" si="43"/>
        <v>0</v>
      </c>
      <c r="L116" s="130">
        <f t="shared" si="43"/>
        <v>0</v>
      </c>
      <c r="M116" s="130">
        <f t="shared" si="43"/>
        <v>0</v>
      </c>
      <c r="N116" s="130">
        <f t="shared" si="43"/>
        <v>0</v>
      </c>
      <c r="O116" s="130">
        <f t="shared" si="43"/>
        <v>0</v>
      </c>
      <c r="P116" s="130">
        <f t="shared" si="43"/>
        <v>0</v>
      </c>
      <c r="Q116" s="130">
        <f t="shared" si="43"/>
        <v>0</v>
      </c>
      <c r="R116" s="130">
        <f t="shared" si="43"/>
        <v>0</v>
      </c>
      <c r="S116" s="187"/>
      <c r="T116" s="187"/>
      <c r="U116" s="187"/>
      <c r="V116" s="187"/>
      <c r="W116" s="187"/>
      <c r="X116" s="187"/>
      <c r="Y116" s="187"/>
      <c r="Z116" s="187"/>
      <c r="AA116" s="187"/>
      <c r="AB116" s="187"/>
      <c r="AC116" s="187"/>
      <c r="AD116" s="187"/>
      <c r="AE116" s="187"/>
      <c r="AF116" s="187"/>
    </row>
    <row r="117" spans="1:32">
      <c r="A117" s="142" t="s">
        <v>1103</v>
      </c>
      <c r="B117" s="1059" t="s">
        <v>160</v>
      </c>
      <c r="C117" s="1059"/>
      <c r="D117" s="117" t="s">
        <v>920</v>
      </c>
      <c r="E117" s="130">
        <f t="shared" ref="E117:R117" si="44">IF(D$104=0, 0,D97/D$104)</f>
        <v>5.5555555555555546E-2</v>
      </c>
      <c r="F117" s="130">
        <f t="shared" si="44"/>
        <v>8.8868167073346722E-3</v>
      </c>
      <c r="G117" s="130">
        <f t="shared" si="44"/>
        <v>0</v>
      </c>
      <c r="H117" s="130">
        <f t="shared" si="44"/>
        <v>0</v>
      </c>
      <c r="I117" s="130">
        <f t="shared" si="44"/>
        <v>0</v>
      </c>
      <c r="J117" s="130">
        <f t="shared" si="44"/>
        <v>5.5555555555555546E-2</v>
      </c>
      <c r="K117" s="130">
        <f t="shared" si="44"/>
        <v>0.1555597303733175</v>
      </c>
      <c r="L117" s="130">
        <f t="shared" si="44"/>
        <v>0</v>
      </c>
      <c r="M117" s="130">
        <f t="shared" si="44"/>
        <v>4.7372437949387489E-3</v>
      </c>
      <c r="N117" s="130">
        <f t="shared" si="44"/>
        <v>0</v>
      </c>
      <c r="O117" s="130">
        <f t="shared" si="44"/>
        <v>4.4333947817568178E-2</v>
      </c>
      <c r="P117" s="130">
        <f t="shared" si="44"/>
        <v>0</v>
      </c>
      <c r="Q117" s="130">
        <f t="shared" si="44"/>
        <v>4.4586330230196494E-2</v>
      </c>
      <c r="R117" s="130">
        <f t="shared" si="44"/>
        <v>6.8330054573633985E-3</v>
      </c>
      <c r="S117" s="187"/>
      <c r="T117" s="187"/>
      <c r="U117" s="187"/>
      <c r="V117" s="187"/>
      <c r="W117" s="187"/>
      <c r="X117" s="187"/>
      <c r="Y117" s="187"/>
      <c r="Z117" s="187"/>
      <c r="AA117" s="187"/>
      <c r="AB117" s="187"/>
      <c r="AC117" s="187"/>
      <c r="AD117" s="187"/>
      <c r="AE117" s="187"/>
      <c r="AF117" s="187"/>
    </row>
    <row r="118" spans="1:32">
      <c r="A118" s="142" t="s">
        <v>1103</v>
      </c>
      <c r="B118" s="1059" t="s">
        <v>161</v>
      </c>
      <c r="C118" s="1059"/>
      <c r="D118" s="117" t="s">
        <v>920</v>
      </c>
      <c r="E118" s="130">
        <f t="shared" ref="E118:R118" si="45">IF(D$104=0, 0,D98/D$104)</f>
        <v>5.5555555555555546E-2</v>
      </c>
      <c r="F118" s="130">
        <f t="shared" si="45"/>
        <v>8.8868167073346722E-3</v>
      </c>
      <c r="G118" s="130">
        <f t="shared" si="45"/>
        <v>0</v>
      </c>
      <c r="H118" s="130">
        <f t="shared" si="45"/>
        <v>0</v>
      </c>
      <c r="I118" s="130">
        <f t="shared" si="45"/>
        <v>0</v>
      </c>
      <c r="J118" s="130">
        <f t="shared" si="45"/>
        <v>5.5555555555555546E-2</v>
      </c>
      <c r="K118" s="130">
        <f t="shared" si="45"/>
        <v>0.1555597303733175</v>
      </c>
      <c r="L118" s="130">
        <f t="shared" si="45"/>
        <v>0</v>
      </c>
      <c r="M118" s="130">
        <f t="shared" si="45"/>
        <v>4.7372437949387489E-3</v>
      </c>
      <c r="N118" s="130">
        <f t="shared" si="45"/>
        <v>0</v>
      </c>
      <c r="O118" s="130">
        <f t="shared" si="45"/>
        <v>4.4333947817568178E-2</v>
      </c>
      <c r="P118" s="130">
        <f t="shared" si="45"/>
        <v>0</v>
      </c>
      <c r="Q118" s="130">
        <f t="shared" si="45"/>
        <v>4.4586330230196494E-2</v>
      </c>
      <c r="R118" s="130">
        <f t="shared" si="45"/>
        <v>6.8330054573633985E-3</v>
      </c>
      <c r="S118" s="187"/>
      <c r="T118" s="187"/>
      <c r="U118" s="187"/>
      <c r="V118" s="187"/>
      <c r="W118" s="187"/>
      <c r="X118" s="187"/>
      <c r="Y118" s="187"/>
      <c r="Z118" s="187"/>
      <c r="AA118" s="187"/>
      <c r="AB118" s="187"/>
      <c r="AC118" s="187"/>
      <c r="AD118" s="187"/>
      <c r="AE118" s="187"/>
      <c r="AF118" s="187"/>
    </row>
    <row r="119" spans="1:32">
      <c r="A119" s="142" t="s">
        <v>1103</v>
      </c>
      <c r="B119" s="1059" t="s">
        <v>314</v>
      </c>
      <c r="C119" s="1059"/>
      <c r="D119" s="117" t="s">
        <v>920</v>
      </c>
      <c r="E119" s="130">
        <f t="shared" ref="E119:R119" si="46">IF(D$104=0, 0,D99/D$104)</f>
        <v>0</v>
      </c>
      <c r="F119" s="130">
        <f t="shared" si="46"/>
        <v>0</v>
      </c>
      <c r="G119" s="130">
        <f t="shared" si="46"/>
        <v>0</v>
      </c>
      <c r="H119" s="130">
        <f t="shared" si="46"/>
        <v>0</v>
      </c>
      <c r="I119" s="130">
        <f t="shared" si="46"/>
        <v>0</v>
      </c>
      <c r="J119" s="130">
        <f t="shared" si="46"/>
        <v>0</v>
      </c>
      <c r="K119" s="130">
        <f t="shared" si="46"/>
        <v>0</v>
      </c>
      <c r="L119" s="130">
        <f t="shared" si="46"/>
        <v>0</v>
      </c>
      <c r="M119" s="130">
        <f t="shared" si="46"/>
        <v>0</v>
      </c>
      <c r="N119" s="130">
        <f t="shared" si="46"/>
        <v>0</v>
      </c>
      <c r="O119" s="130">
        <f t="shared" si="46"/>
        <v>0</v>
      </c>
      <c r="P119" s="130">
        <f t="shared" si="46"/>
        <v>0</v>
      </c>
      <c r="Q119" s="130">
        <f t="shared" si="46"/>
        <v>0</v>
      </c>
      <c r="R119" s="130">
        <f t="shared" si="46"/>
        <v>6.6532165485482164E-3</v>
      </c>
      <c r="S119" s="187"/>
      <c r="T119" s="187"/>
      <c r="U119" s="187"/>
      <c r="V119" s="187"/>
      <c r="W119" s="187"/>
      <c r="X119" s="187"/>
      <c r="Y119" s="187"/>
      <c r="Z119" s="187"/>
      <c r="AA119" s="187"/>
      <c r="AB119" s="187"/>
      <c r="AC119" s="187"/>
      <c r="AD119" s="187"/>
      <c r="AE119" s="187"/>
      <c r="AF119" s="187"/>
    </row>
    <row r="120" spans="1:32">
      <c r="A120" s="142" t="s">
        <v>1103</v>
      </c>
      <c r="B120" s="1059" t="s">
        <v>338</v>
      </c>
      <c r="C120" s="1059"/>
      <c r="D120" s="117" t="s">
        <v>920</v>
      </c>
      <c r="E120" s="130">
        <f t="shared" ref="E120:R120" si="47">IF(D$104=0, 0,D100/D$104)</f>
        <v>0</v>
      </c>
      <c r="F120" s="130">
        <f t="shared" si="47"/>
        <v>0</v>
      </c>
      <c r="G120" s="130">
        <f t="shared" si="47"/>
        <v>0</v>
      </c>
      <c r="H120" s="130">
        <f t="shared" si="47"/>
        <v>0</v>
      </c>
      <c r="I120" s="130">
        <f t="shared" si="47"/>
        <v>0</v>
      </c>
      <c r="J120" s="130">
        <f t="shared" si="47"/>
        <v>0</v>
      </c>
      <c r="K120" s="130">
        <f t="shared" si="47"/>
        <v>0</v>
      </c>
      <c r="L120" s="130">
        <f t="shared" si="47"/>
        <v>0</v>
      </c>
      <c r="M120" s="130">
        <f t="shared" si="47"/>
        <v>0</v>
      </c>
      <c r="N120" s="130">
        <f t="shared" si="47"/>
        <v>0</v>
      </c>
      <c r="O120" s="130">
        <f t="shared" si="47"/>
        <v>0</v>
      </c>
      <c r="P120" s="130">
        <f t="shared" si="47"/>
        <v>0</v>
      </c>
      <c r="Q120" s="130">
        <f t="shared" si="47"/>
        <v>0</v>
      </c>
      <c r="R120" s="130">
        <f t="shared" si="47"/>
        <v>0.14573018486415787</v>
      </c>
      <c r="S120" s="187"/>
      <c r="T120" s="187"/>
      <c r="U120" s="187"/>
      <c r="V120" s="187"/>
      <c r="W120" s="187"/>
      <c r="X120" s="187"/>
      <c r="Y120" s="187"/>
      <c r="Z120" s="187"/>
      <c r="AA120" s="187"/>
      <c r="AB120" s="187"/>
      <c r="AC120" s="187"/>
      <c r="AD120" s="187"/>
      <c r="AE120" s="187"/>
      <c r="AF120" s="187"/>
    </row>
    <row r="121" spans="1:32">
      <c r="A121" s="142" t="s">
        <v>1103</v>
      </c>
      <c r="B121" s="1059" t="s">
        <v>268</v>
      </c>
      <c r="C121" s="1059"/>
      <c r="D121" s="117" t="s">
        <v>920</v>
      </c>
      <c r="E121" s="130">
        <f t="shared" ref="E121:R121" si="48">IF(D$104=0, 0,D101/D$104)</f>
        <v>0</v>
      </c>
      <c r="F121" s="130">
        <f t="shared" si="48"/>
        <v>0</v>
      </c>
      <c r="G121" s="130">
        <f t="shared" si="48"/>
        <v>0</v>
      </c>
      <c r="H121" s="130">
        <f t="shared" si="48"/>
        <v>0</v>
      </c>
      <c r="I121" s="130">
        <f t="shared" si="48"/>
        <v>0</v>
      </c>
      <c r="J121" s="130">
        <f t="shared" si="48"/>
        <v>0</v>
      </c>
      <c r="K121" s="130">
        <f t="shared" si="48"/>
        <v>0</v>
      </c>
      <c r="L121" s="130">
        <f t="shared" si="48"/>
        <v>0</v>
      </c>
      <c r="M121" s="130">
        <f t="shared" si="48"/>
        <v>0</v>
      </c>
      <c r="N121" s="130">
        <f t="shared" si="48"/>
        <v>0</v>
      </c>
      <c r="O121" s="130">
        <f t="shared" si="48"/>
        <v>0</v>
      </c>
      <c r="P121" s="130">
        <f t="shared" si="48"/>
        <v>0</v>
      </c>
      <c r="Q121" s="130">
        <f t="shared" si="48"/>
        <v>0</v>
      </c>
      <c r="R121" s="130">
        <f t="shared" si="48"/>
        <v>0.14573018486415787</v>
      </c>
      <c r="S121" s="187"/>
      <c r="T121" s="187"/>
      <c r="U121" s="187"/>
      <c r="V121" s="187"/>
      <c r="W121" s="187"/>
      <c r="X121" s="187"/>
      <c r="Y121" s="187"/>
      <c r="Z121" s="187"/>
      <c r="AA121" s="187"/>
      <c r="AB121" s="187"/>
      <c r="AC121" s="187"/>
      <c r="AD121" s="187"/>
      <c r="AE121" s="187"/>
      <c r="AF121" s="187"/>
    </row>
    <row r="122" spans="1:32">
      <c r="A122" s="142" t="s">
        <v>1103</v>
      </c>
      <c r="B122" s="1059" t="s">
        <v>362</v>
      </c>
      <c r="C122" s="1059"/>
      <c r="D122" s="117" t="s">
        <v>920</v>
      </c>
      <c r="E122" s="130">
        <f t="shared" ref="E122:R122" si="49">IF(D$104=0, 0,D102/D$104)</f>
        <v>0</v>
      </c>
      <c r="F122" s="130">
        <f t="shared" si="49"/>
        <v>0</v>
      </c>
      <c r="G122" s="130">
        <f t="shared" si="49"/>
        <v>0</v>
      </c>
      <c r="H122" s="130">
        <f t="shared" si="49"/>
        <v>0</v>
      </c>
      <c r="I122" s="130">
        <f t="shared" si="49"/>
        <v>0</v>
      </c>
      <c r="J122" s="130">
        <f t="shared" si="49"/>
        <v>0</v>
      </c>
      <c r="K122" s="130">
        <f t="shared" si="49"/>
        <v>0</v>
      </c>
      <c r="L122" s="130">
        <f t="shared" si="49"/>
        <v>0</v>
      </c>
      <c r="M122" s="130">
        <f t="shared" si="49"/>
        <v>0</v>
      </c>
      <c r="N122" s="130">
        <f t="shared" si="49"/>
        <v>0</v>
      </c>
      <c r="O122" s="130">
        <f t="shared" si="49"/>
        <v>0</v>
      </c>
      <c r="P122" s="130">
        <f t="shared" si="49"/>
        <v>0</v>
      </c>
      <c r="Q122" s="130">
        <f t="shared" si="49"/>
        <v>0</v>
      </c>
      <c r="R122" s="130">
        <f t="shared" si="49"/>
        <v>0.3578389480384554</v>
      </c>
      <c r="S122" s="187"/>
      <c r="T122" s="187"/>
      <c r="U122" s="187"/>
      <c r="V122" s="187"/>
      <c r="W122" s="187"/>
      <c r="X122" s="187"/>
      <c r="Y122" s="187"/>
      <c r="Z122" s="187"/>
      <c r="AA122" s="187"/>
      <c r="AB122" s="187"/>
      <c r="AC122" s="187"/>
      <c r="AD122" s="187"/>
      <c r="AE122" s="187"/>
      <c r="AF122" s="187"/>
    </row>
    <row r="123" spans="1:32">
      <c r="A123" s="142" t="s">
        <v>1103</v>
      </c>
      <c r="B123" s="1059" t="s">
        <v>309</v>
      </c>
      <c r="C123" s="1059"/>
      <c r="D123" s="117" t="s">
        <v>920</v>
      </c>
      <c r="E123" s="130">
        <f t="shared" ref="E123:R123" si="50">IF(D$104=0, 0,D103/D$104)</f>
        <v>0</v>
      </c>
      <c r="F123" s="130">
        <f t="shared" si="50"/>
        <v>0</v>
      </c>
      <c r="G123" s="130">
        <f t="shared" si="50"/>
        <v>0</v>
      </c>
      <c r="H123" s="130">
        <f t="shared" si="50"/>
        <v>0</v>
      </c>
      <c r="I123" s="130">
        <f t="shared" si="50"/>
        <v>0</v>
      </c>
      <c r="J123" s="130">
        <f t="shared" si="50"/>
        <v>0</v>
      </c>
      <c r="K123" s="130">
        <f t="shared" si="50"/>
        <v>0</v>
      </c>
      <c r="L123" s="130">
        <f t="shared" si="50"/>
        <v>1</v>
      </c>
      <c r="M123" s="130">
        <f t="shared" si="50"/>
        <v>0</v>
      </c>
      <c r="N123" s="130">
        <f t="shared" si="50"/>
        <v>0</v>
      </c>
      <c r="O123" s="130">
        <f t="shared" si="50"/>
        <v>0</v>
      </c>
      <c r="P123" s="130">
        <f t="shared" si="50"/>
        <v>0</v>
      </c>
      <c r="Q123" s="130">
        <f t="shared" si="50"/>
        <v>0</v>
      </c>
      <c r="R123" s="130">
        <f t="shared" si="50"/>
        <v>0</v>
      </c>
      <c r="S123" s="187"/>
      <c r="T123" s="187"/>
      <c r="U123" s="187"/>
      <c r="V123" s="187"/>
      <c r="W123" s="187"/>
      <c r="X123" s="187"/>
      <c r="Y123" s="187"/>
      <c r="Z123" s="187"/>
      <c r="AA123" s="187"/>
      <c r="AB123" s="187"/>
      <c r="AC123" s="187"/>
      <c r="AD123" s="187"/>
      <c r="AE123" s="187"/>
      <c r="AF123" s="187"/>
    </row>
    <row r="124" spans="1:32">
      <c r="A124" s="1119" t="s">
        <v>914</v>
      </c>
      <c r="B124" s="1120"/>
      <c r="C124" s="1120"/>
      <c r="D124" s="1120"/>
      <c r="E124" s="1120"/>
      <c r="F124" s="1120"/>
      <c r="G124" s="1120"/>
      <c r="H124" s="1120"/>
      <c r="I124" s="1120"/>
      <c r="J124" s="1120"/>
      <c r="K124" s="1120"/>
      <c r="L124" s="1120"/>
      <c r="M124" s="1120"/>
      <c r="N124" s="1120"/>
      <c r="O124" s="1120"/>
      <c r="P124" s="1120"/>
      <c r="Q124" s="1120"/>
      <c r="R124" s="1120"/>
      <c r="S124" s="1120"/>
      <c r="T124" s="1120"/>
      <c r="U124" s="1120"/>
      <c r="V124" s="1120"/>
      <c r="W124" s="1120"/>
      <c r="X124" s="1120"/>
      <c r="Y124" s="1120"/>
      <c r="Z124" s="1120"/>
      <c r="AA124" s="1120"/>
      <c r="AB124" s="1120"/>
      <c r="AC124" s="1120"/>
      <c r="AD124" s="1120"/>
      <c r="AE124" s="1120"/>
      <c r="AF124" s="1120"/>
    </row>
    <row r="125" spans="1:32" ht="15" customHeight="1">
      <c r="A125" s="140" t="s">
        <v>129</v>
      </c>
      <c r="B125" s="1061" t="s">
        <v>1103</v>
      </c>
      <c r="C125" s="1062"/>
      <c r="D125" s="1061" t="s">
        <v>1103</v>
      </c>
      <c r="E125" s="1062"/>
      <c r="F125" s="1061" t="s">
        <v>1103</v>
      </c>
      <c r="G125" s="1062"/>
      <c r="H125" s="1061" t="s">
        <v>1103</v>
      </c>
      <c r="I125" s="1062"/>
      <c r="J125" s="1061" t="s">
        <v>1103</v>
      </c>
      <c r="K125" s="1062"/>
      <c r="L125" s="1061" t="s">
        <v>1103</v>
      </c>
      <c r="M125" s="1062"/>
      <c r="N125" s="1061" t="s">
        <v>1103</v>
      </c>
      <c r="O125" s="1062"/>
      <c r="P125" s="1061" t="s">
        <v>1103</v>
      </c>
      <c r="Q125" s="1062"/>
      <c r="R125" s="1061" t="s">
        <v>1103</v>
      </c>
      <c r="S125" s="1062"/>
      <c r="T125" s="1061" t="s">
        <v>1103</v>
      </c>
      <c r="U125" s="1062"/>
      <c r="V125" s="1061" t="s">
        <v>1103</v>
      </c>
      <c r="W125" s="1062"/>
      <c r="X125" s="140"/>
      <c r="Y125" s="140"/>
      <c r="Z125" s="140"/>
      <c r="AA125" s="140"/>
      <c r="AB125" s="140"/>
      <c r="AC125" s="140"/>
      <c r="AD125" s="140"/>
      <c r="AE125" s="140"/>
      <c r="AF125" s="140"/>
    </row>
    <row r="126" spans="1:32" ht="15" customHeight="1">
      <c r="A126" s="140" t="s">
        <v>130</v>
      </c>
      <c r="B126" s="1052" t="s">
        <v>354</v>
      </c>
      <c r="C126" s="1052"/>
      <c r="D126" s="1052" t="s">
        <v>227</v>
      </c>
      <c r="E126" s="1052"/>
      <c r="F126" s="1052" t="s">
        <v>156</v>
      </c>
      <c r="G126" s="1052"/>
      <c r="H126" s="1052" t="s">
        <v>159</v>
      </c>
      <c r="I126" s="1052"/>
      <c r="J126" s="1052" t="s">
        <v>160</v>
      </c>
      <c r="K126" s="1052"/>
      <c r="L126" s="1052" t="s">
        <v>161</v>
      </c>
      <c r="M126" s="1052"/>
      <c r="N126" s="1052" t="s">
        <v>314</v>
      </c>
      <c r="O126" s="1052"/>
      <c r="P126" s="1052" t="s">
        <v>338</v>
      </c>
      <c r="Q126" s="1052"/>
      <c r="R126" s="1052" t="s">
        <v>268</v>
      </c>
      <c r="S126" s="1052"/>
      <c r="T126" s="1052" t="s">
        <v>362</v>
      </c>
      <c r="U126" s="1052"/>
      <c r="V126" s="1052" t="s">
        <v>309</v>
      </c>
      <c r="W126" s="1052"/>
      <c r="X126" s="1052" t="s">
        <v>123</v>
      </c>
      <c r="Y126" s="1052"/>
      <c r="Z126" s="1052"/>
      <c r="AA126" s="1052"/>
      <c r="AB126" s="1052"/>
      <c r="AC126" s="1052"/>
      <c r="AD126" s="1052"/>
      <c r="AE126" s="1052"/>
      <c r="AF126" s="1052"/>
    </row>
    <row r="127" spans="1:32">
      <c r="A127" s="142" t="s">
        <v>85</v>
      </c>
      <c r="B127" s="1121">
        <f>E113</f>
        <v>0</v>
      </c>
      <c r="C127" s="1121"/>
      <c r="D127" s="1121">
        <f>E114</f>
        <v>0</v>
      </c>
      <c r="E127" s="1121"/>
      <c r="F127" s="1121">
        <f>E115</f>
        <v>0.88888888888888895</v>
      </c>
      <c r="G127" s="1121"/>
      <c r="H127" s="1121">
        <f>E116</f>
        <v>0</v>
      </c>
      <c r="I127" s="1121"/>
      <c r="J127" s="1121">
        <f>E117</f>
        <v>5.5555555555555546E-2</v>
      </c>
      <c r="K127" s="1121"/>
      <c r="L127" s="1121">
        <f>E118</f>
        <v>5.5555555555555546E-2</v>
      </c>
      <c r="M127" s="1121"/>
      <c r="N127" s="1121">
        <f>E119</f>
        <v>0</v>
      </c>
      <c r="O127" s="1121"/>
      <c r="P127" s="1121">
        <f>E120</f>
        <v>0</v>
      </c>
      <c r="Q127" s="1121"/>
      <c r="R127" s="1121">
        <f>E121</f>
        <v>0</v>
      </c>
      <c r="S127" s="1121"/>
      <c r="T127" s="1121">
        <f>E122</f>
        <v>0</v>
      </c>
      <c r="U127" s="1121"/>
      <c r="V127" s="1121">
        <f>E123</f>
        <v>0</v>
      </c>
      <c r="W127" s="1121"/>
      <c r="X127" s="1054" t="s">
        <v>1123</v>
      </c>
      <c r="Y127" s="1054"/>
      <c r="Z127" s="1054"/>
      <c r="AA127" s="1054"/>
      <c r="AB127" s="1054"/>
      <c r="AC127" s="1054"/>
      <c r="AD127" s="1054"/>
      <c r="AE127" s="1054"/>
      <c r="AF127" s="1054"/>
    </row>
    <row r="128" spans="1:32">
      <c r="A128" s="142" t="s">
        <v>86</v>
      </c>
      <c r="B128" s="1121">
        <f>F113</f>
        <v>0.27128102999855674</v>
      </c>
      <c r="C128" s="1121"/>
      <c r="D128" s="1121">
        <f>F114</f>
        <v>0</v>
      </c>
      <c r="E128" s="1121"/>
      <c r="F128" s="1121">
        <f>F115</f>
        <v>0.14218906731735478</v>
      </c>
      <c r="G128" s="1121"/>
      <c r="H128" s="1121">
        <f>F116</f>
        <v>0.56875626926941902</v>
      </c>
      <c r="I128" s="1121"/>
      <c r="J128" s="1121">
        <f>F117</f>
        <v>8.8868167073346722E-3</v>
      </c>
      <c r="K128" s="1121"/>
      <c r="L128" s="1121">
        <f>F118</f>
        <v>8.8868167073346722E-3</v>
      </c>
      <c r="M128" s="1121"/>
      <c r="N128" s="1121">
        <f>F119</f>
        <v>0</v>
      </c>
      <c r="O128" s="1121"/>
      <c r="P128" s="1121">
        <f>F120</f>
        <v>0</v>
      </c>
      <c r="Q128" s="1121"/>
      <c r="R128" s="1121">
        <f>F121</f>
        <v>0</v>
      </c>
      <c r="S128" s="1121"/>
      <c r="T128" s="1121">
        <f>F122</f>
        <v>0</v>
      </c>
      <c r="U128" s="1121"/>
      <c r="V128" s="1121">
        <f>F123</f>
        <v>0</v>
      </c>
      <c r="W128" s="1121"/>
      <c r="X128" s="1054" t="s">
        <v>1123</v>
      </c>
      <c r="Y128" s="1054"/>
      <c r="Z128" s="1054"/>
      <c r="AA128" s="1054"/>
      <c r="AB128" s="1054"/>
      <c r="AC128" s="1054"/>
      <c r="AD128" s="1054"/>
      <c r="AE128" s="1054"/>
      <c r="AF128" s="1054"/>
    </row>
    <row r="129" spans="1:32">
      <c r="A129" s="142" t="s">
        <v>87</v>
      </c>
      <c r="B129" s="1121">
        <f>G113</f>
        <v>0</v>
      </c>
      <c r="C129" s="1121"/>
      <c r="D129" s="1121">
        <f>G114</f>
        <v>0</v>
      </c>
      <c r="E129" s="1121"/>
      <c r="F129" s="1121">
        <f>G115</f>
        <v>1</v>
      </c>
      <c r="G129" s="1121"/>
      <c r="H129" s="1121">
        <f>G116</f>
        <v>0</v>
      </c>
      <c r="I129" s="1121"/>
      <c r="J129" s="1121">
        <f>G117</f>
        <v>0</v>
      </c>
      <c r="K129" s="1121"/>
      <c r="L129" s="1121">
        <f>G118</f>
        <v>0</v>
      </c>
      <c r="M129" s="1121"/>
      <c r="N129" s="1121">
        <f>G119</f>
        <v>0</v>
      </c>
      <c r="O129" s="1121"/>
      <c r="P129" s="1121">
        <f>G120</f>
        <v>0</v>
      </c>
      <c r="Q129" s="1121"/>
      <c r="R129" s="1121">
        <f>G121</f>
        <v>0</v>
      </c>
      <c r="S129" s="1121"/>
      <c r="T129" s="1121">
        <f>G122</f>
        <v>0</v>
      </c>
      <c r="U129" s="1121"/>
      <c r="V129" s="1121">
        <f>G123</f>
        <v>0</v>
      </c>
      <c r="W129" s="1121"/>
      <c r="X129" s="1054" t="s">
        <v>1123</v>
      </c>
      <c r="Y129" s="1054"/>
      <c r="Z129" s="1054"/>
      <c r="AA129" s="1054"/>
      <c r="AB129" s="1054"/>
      <c r="AC129" s="1054"/>
      <c r="AD129" s="1054"/>
      <c r="AE129" s="1054"/>
      <c r="AF129" s="1054"/>
    </row>
    <row r="130" spans="1:32">
      <c r="A130" s="142" t="s">
        <v>88</v>
      </c>
      <c r="B130" s="1121">
        <f>H113</f>
        <v>0</v>
      </c>
      <c r="C130" s="1121"/>
      <c r="D130" s="1121">
        <f>H114</f>
        <v>0</v>
      </c>
      <c r="E130" s="1121"/>
      <c r="F130" s="1121">
        <f>H115</f>
        <v>0</v>
      </c>
      <c r="G130" s="1121"/>
      <c r="H130" s="1121">
        <f>H116</f>
        <v>0</v>
      </c>
      <c r="I130" s="1121"/>
      <c r="J130" s="1121">
        <f>H117</f>
        <v>0</v>
      </c>
      <c r="K130" s="1121"/>
      <c r="L130" s="1121">
        <f>H118</f>
        <v>0</v>
      </c>
      <c r="M130" s="1121"/>
      <c r="N130" s="1121">
        <f>H119</f>
        <v>0</v>
      </c>
      <c r="O130" s="1121"/>
      <c r="P130" s="1121">
        <f>H120</f>
        <v>0</v>
      </c>
      <c r="Q130" s="1121"/>
      <c r="R130" s="1121">
        <f>H121</f>
        <v>0</v>
      </c>
      <c r="S130" s="1121"/>
      <c r="T130" s="1121">
        <f>H122</f>
        <v>0</v>
      </c>
      <c r="U130" s="1121"/>
      <c r="V130" s="1121">
        <f>H123</f>
        <v>0</v>
      </c>
      <c r="W130" s="1121"/>
      <c r="X130" s="1054" t="s">
        <v>1123</v>
      </c>
      <c r="Y130" s="1054"/>
      <c r="Z130" s="1054"/>
      <c r="AA130" s="1054"/>
      <c r="AB130" s="1054"/>
      <c r="AC130" s="1054"/>
      <c r="AD130" s="1054"/>
      <c r="AE130" s="1054"/>
      <c r="AF130" s="1054"/>
    </row>
    <row r="131" spans="1:32">
      <c r="A131" s="142" t="s">
        <v>89</v>
      </c>
      <c r="B131" s="1121">
        <f>I113</f>
        <v>0</v>
      </c>
      <c r="C131" s="1121"/>
      <c r="D131" s="1121">
        <f>I114</f>
        <v>0</v>
      </c>
      <c r="E131" s="1121"/>
      <c r="F131" s="1121">
        <f>I115</f>
        <v>0</v>
      </c>
      <c r="G131" s="1121"/>
      <c r="H131" s="1121">
        <f>I116</f>
        <v>0</v>
      </c>
      <c r="I131" s="1121"/>
      <c r="J131" s="1121">
        <f>I117</f>
        <v>0</v>
      </c>
      <c r="K131" s="1121"/>
      <c r="L131" s="1121">
        <f>I118</f>
        <v>0</v>
      </c>
      <c r="M131" s="1121"/>
      <c r="N131" s="1121">
        <f>I119</f>
        <v>0</v>
      </c>
      <c r="O131" s="1121"/>
      <c r="P131" s="1121">
        <f>I120</f>
        <v>0</v>
      </c>
      <c r="Q131" s="1121"/>
      <c r="R131" s="1121">
        <f>I121</f>
        <v>0</v>
      </c>
      <c r="S131" s="1121"/>
      <c r="T131" s="1121">
        <f>I122</f>
        <v>0</v>
      </c>
      <c r="U131" s="1121"/>
      <c r="V131" s="1121">
        <f>I123</f>
        <v>0</v>
      </c>
      <c r="W131" s="1121"/>
      <c r="X131" s="1054" t="s">
        <v>1123</v>
      </c>
      <c r="Y131" s="1054"/>
      <c r="Z131" s="1054"/>
      <c r="AA131" s="1054"/>
      <c r="AB131" s="1054"/>
      <c r="AC131" s="1054"/>
      <c r="AD131" s="1054"/>
      <c r="AE131" s="1054"/>
      <c r="AF131" s="1054"/>
    </row>
    <row r="132" spans="1:32">
      <c r="A132" s="142" t="s">
        <v>90</v>
      </c>
      <c r="B132" s="1121">
        <f>J113</f>
        <v>0</v>
      </c>
      <c r="C132" s="1121"/>
      <c r="D132" s="1121">
        <f>J114</f>
        <v>0</v>
      </c>
      <c r="E132" s="1121"/>
      <c r="F132" s="1121">
        <f>J115</f>
        <v>0.88888888888888895</v>
      </c>
      <c r="G132" s="1121"/>
      <c r="H132" s="1121">
        <f>J116</f>
        <v>0</v>
      </c>
      <c r="I132" s="1121"/>
      <c r="J132" s="1121">
        <f>J117</f>
        <v>5.5555555555555546E-2</v>
      </c>
      <c r="K132" s="1121"/>
      <c r="L132" s="1121">
        <f>J118</f>
        <v>5.5555555555555546E-2</v>
      </c>
      <c r="M132" s="1121"/>
      <c r="N132" s="1121">
        <f>J119</f>
        <v>0</v>
      </c>
      <c r="O132" s="1121"/>
      <c r="P132" s="1121">
        <f>J120</f>
        <v>0</v>
      </c>
      <c r="Q132" s="1121"/>
      <c r="R132" s="1121">
        <f>J121</f>
        <v>0</v>
      </c>
      <c r="S132" s="1121"/>
      <c r="T132" s="1121">
        <f>J122</f>
        <v>0</v>
      </c>
      <c r="U132" s="1121"/>
      <c r="V132" s="1121">
        <f>J123</f>
        <v>0</v>
      </c>
      <c r="W132" s="1121"/>
      <c r="X132" s="1054" t="s">
        <v>1123</v>
      </c>
      <c r="Y132" s="1054"/>
      <c r="Z132" s="1054"/>
      <c r="AA132" s="1054"/>
      <c r="AB132" s="1054"/>
      <c r="AC132" s="1054"/>
      <c r="AD132" s="1054"/>
      <c r="AE132" s="1054"/>
      <c r="AF132" s="1054"/>
    </row>
    <row r="133" spans="1:32">
      <c r="A133" s="142" t="s">
        <v>91</v>
      </c>
      <c r="B133" s="1121">
        <f>K113</f>
        <v>0</v>
      </c>
      <c r="C133" s="1121"/>
      <c r="D133" s="1121">
        <f>K114</f>
        <v>0.68888053925336512</v>
      </c>
      <c r="E133" s="1121"/>
      <c r="F133" s="1121">
        <f>K115</f>
        <v>0</v>
      </c>
      <c r="G133" s="1121"/>
      <c r="H133" s="1121">
        <f>K116</f>
        <v>0</v>
      </c>
      <c r="I133" s="1121"/>
      <c r="J133" s="1121">
        <f>K117</f>
        <v>0.1555597303733175</v>
      </c>
      <c r="K133" s="1121"/>
      <c r="L133" s="1121">
        <f>K118</f>
        <v>0.1555597303733175</v>
      </c>
      <c r="M133" s="1121"/>
      <c r="N133" s="1121">
        <f>K119</f>
        <v>0</v>
      </c>
      <c r="O133" s="1121"/>
      <c r="P133" s="1121">
        <f>K120</f>
        <v>0</v>
      </c>
      <c r="Q133" s="1121"/>
      <c r="R133" s="1121">
        <f>K121</f>
        <v>0</v>
      </c>
      <c r="S133" s="1121"/>
      <c r="T133" s="1121">
        <f>K122</f>
        <v>0</v>
      </c>
      <c r="U133" s="1121"/>
      <c r="V133" s="1121">
        <f>K123</f>
        <v>0</v>
      </c>
      <c r="W133" s="1121"/>
      <c r="X133" s="1054" t="s">
        <v>1123</v>
      </c>
      <c r="Y133" s="1054"/>
      <c r="Z133" s="1054"/>
      <c r="AA133" s="1054"/>
      <c r="AB133" s="1054"/>
      <c r="AC133" s="1054"/>
      <c r="AD133" s="1054"/>
      <c r="AE133" s="1054"/>
      <c r="AF133" s="1054"/>
    </row>
    <row r="134" spans="1:32">
      <c r="A134" s="142" t="s">
        <v>92</v>
      </c>
      <c r="B134" s="1121">
        <f>L113</f>
        <v>0</v>
      </c>
      <c r="C134" s="1121"/>
      <c r="D134" s="1121">
        <f>L114</f>
        <v>0</v>
      </c>
      <c r="E134" s="1121"/>
      <c r="F134" s="1121">
        <f>L115</f>
        <v>0</v>
      </c>
      <c r="G134" s="1121"/>
      <c r="H134" s="1121">
        <f>L116</f>
        <v>0</v>
      </c>
      <c r="I134" s="1121"/>
      <c r="J134" s="1121">
        <f>L117</f>
        <v>0</v>
      </c>
      <c r="K134" s="1121"/>
      <c r="L134" s="1121">
        <f>L118</f>
        <v>0</v>
      </c>
      <c r="M134" s="1121"/>
      <c r="N134" s="1121">
        <f>L119</f>
        <v>0</v>
      </c>
      <c r="O134" s="1121"/>
      <c r="P134" s="1121">
        <f>L120</f>
        <v>0</v>
      </c>
      <c r="Q134" s="1121"/>
      <c r="R134" s="1121">
        <f>L121</f>
        <v>0</v>
      </c>
      <c r="S134" s="1121"/>
      <c r="T134" s="1121">
        <f>L122</f>
        <v>0</v>
      </c>
      <c r="U134" s="1121"/>
      <c r="V134" s="1121">
        <f>L123</f>
        <v>1</v>
      </c>
      <c r="W134" s="1121"/>
      <c r="X134" s="1054" t="s">
        <v>1123</v>
      </c>
      <c r="Y134" s="1054"/>
      <c r="Z134" s="1054"/>
      <c r="AA134" s="1054"/>
      <c r="AB134" s="1054"/>
      <c r="AC134" s="1054"/>
      <c r="AD134" s="1054"/>
      <c r="AE134" s="1054"/>
      <c r="AF134" s="1054"/>
    </row>
    <row r="135" spans="1:32">
      <c r="A135" s="142" t="s">
        <v>93</v>
      </c>
      <c r="B135" s="1121">
        <f>M113</f>
        <v>0.23555374262145426</v>
      </c>
      <c r="C135" s="1121"/>
      <c r="D135" s="1121">
        <f>M114</f>
        <v>0.67917586906964822</v>
      </c>
      <c r="E135" s="1121"/>
      <c r="F135" s="1121">
        <f>M115</f>
        <v>7.5795900719019996E-2</v>
      </c>
      <c r="G135" s="1121"/>
      <c r="H135" s="1121">
        <f>M116</f>
        <v>0</v>
      </c>
      <c r="I135" s="1121"/>
      <c r="J135" s="1121">
        <f>M117</f>
        <v>4.7372437949387489E-3</v>
      </c>
      <c r="K135" s="1121"/>
      <c r="L135" s="1121">
        <f>M118</f>
        <v>4.7372437949387489E-3</v>
      </c>
      <c r="M135" s="1121"/>
      <c r="N135" s="1121">
        <f>M119</f>
        <v>0</v>
      </c>
      <c r="O135" s="1121"/>
      <c r="P135" s="1121">
        <f>M120</f>
        <v>0</v>
      </c>
      <c r="Q135" s="1121"/>
      <c r="R135" s="1121">
        <f>M121</f>
        <v>0</v>
      </c>
      <c r="S135" s="1121"/>
      <c r="T135" s="1121">
        <f>M122</f>
        <v>0</v>
      </c>
      <c r="U135" s="1121"/>
      <c r="V135" s="1121">
        <f>M123</f>
        <v>0</v>
      </c>
      <c r="W135" s="1121"/>
      <c r="X135" s="1054" t="s">
        <v>1123</v>
      </c>
      <c r="Y135" s="1054"/>
      <c r="Z135" s="1054"/>
      <c r="AA135" s="1054"/>
      <c r="AB135" s="1054"/>
      <c r="AC135" s="1054"/>
      <c r="AD135" s="1054"/>
      <c r="AE135" s="1054"/>
      <c r="AF135" s="1054"/>
    </row>
    <row r="136" spans="1:32">
      <c r="A136" s="142" t="s">
        <v>94</v>
      </c>
      <c r="B136" s="1121">
        <f>N113</f>
        <v>0</v>
      </c>
      <c r="C136" s="1121"/>
      <c r="D136" s="1121">
        <f>N114</f>
        <v>0</v>
      </c>
      <c r="E136" s="1121"/>
      <c r="F136" s="1121">
        <f>N115</f>
        <v>0</v>
      </c>
      <c r="G136" s="1121"/>
      <c r="H136" s="1121">
        <f>N116</f>
        <v>0</v>
      </c>
      <c r="I136" s="1121"/>
      <c r="J136" s="1121">
        <f>N117</f>
        <v>0</v>
      </c>
      <c r="K136" s="1121"/>
      <c r="L136" s="1121">
        <f>N118</f>
        <v>0</v>
      </c>
      <c r="M136" s="1121"/>
      <c r="N136" s="1121">
        <f>N119</f>
        <v>0</v>
      </c>
      <c r="O136" s="1121"/>
      <c r="P136" s="1121">
        <f>N120</f>
        <v>0</v>
      </c>
      <c r="Q136" s="1121"/>
      <c r="R136" s="1121">
        <f>N121</f>
        <v>0</v>
      </c>
      <c r="S136" s="1121"/>
      <c r="T136" s="1121">
        <f>N122</f>
        <v>0</v>
      </c>
      <c r="U136" s="1121"/>
      <c r="V136" s="1121">
        <f>N123</f>
        <v>0</v>
      </c>
      <c r="W136" s="1121"/>
      <c r="X136" s="1054" t="s">
        <v>1123</v>
      </c>
      <c r="Y136" s="1054"/>
      <c r="Z136" s="1054"/>
      <c r="AA136" s="1054"/>
      <c r="AB136" s="1054"/>
      <c r="AC136" s="1054"/>
      <c r="AD136" s="1054"/>
      <c r="AE136" s="1054"/>
      <c r="AF136" s="1054"/>
    </row>
    <row r="137" spans="1:32">
      <c r="A137" s="142" t="s">
        <v>95</v>
      </c>
      <c r="B137" s="1121">
        <f>O113</f>
        <v>5.6605334263949885E-3</v>
      </c>
      <c r="C137" s="1121"/>
      <c r="D137" s="1121">
        <f>O114</f>
        <v>0.19632840585737768</v>
      </c>
      <c r="E137" s="1121"/>
      <c r="F137" s="1121">
        <f>O115</f>
        <v>0.70934316508109096</v>
      </c>
      <c r="G137" s="1121"/>
      <c r="H137" s="1121">
        <f>O116</f>
        <v>0</v>
      </c>
      <c r="I137" s="1121"/>
      <c r="J137" s="1121">
        <f>O117</f>
        <v>4.4333947817568178E-2</v>
      </c>
      <c r="K137" s="1121"/>
      <c r="L137" s="1121">
        <f>O118</f>
        <v>4.4333947817568178E-2</v>
      </c>
      <c r="M137" s="1121"/>
      <c r="N137" s="1121">
        <f>O119</f>
        <v>0</v>
      </c>
      <c r="O137" s="1121"/>
      <c r="P137" s="1121">
        <f>O120</f>
        <v>0</v>
      </c>
      <c r="Q137" s="1121"/>
      <c r="R137" s="1121">
        <f>O121</f>
        <v>0</v>
      </c>
      <c r="S137" s="1121"/>
      <c r="T137" s="1121">
        <f>O122</f>
        <v>0</v>
      </c>
      <c r="U137" s="1121"/>
      <c r="V137" s="1121">
        <f>O123</f>
        <v>0</v>
      </c>
      <c r="W137" s="1121"/>
      <c r="X137" s="1054" t="s">
        <v>1123</v>
      </c>
      <c r="Y137" s="1054"/>
      <c r="Z137" s="1054"/>
      <c r="AA137" s="1054"/>
      <c r="AB137" s="1054"/>
      <c r="AC137" s="1054"/>
      <c r="AD137" s="1054"/>
      <c r="AE137" s="1054"/>
      <c r="AF137" s="1054"/>
    </row>
    <row r="138" spans="1:32">
      <c r="A138" s="142" t="s">
        <v>96</v>
      </c>
      <c r="B138" s="1121">
        <f>P113</f>
        <v>0</v>
      </c>
      <c r="C138" s="1121"/>
      <c r="D138" s="1121">
        <f>P114</f>
        <v>0</v>
      </c>
      <c r="E138" s="1121"/>
      <c r="F138" s="1121">
        <f>P115</f>
        <v>0</v>
      </c>
      <c r="G138" s="1121"/>
      <c r="H138" s="1121">
        <f>P116</f>
        <v>0</v>
      </c>
      <c r="I138" s="1121"/>
      <c r="J138" s="1121">
        <f>P117</f>
        <v>0</v>
      </c>
      <c r="K138" s="1121"/>
      <c r="L138" s="1121">
        <f>P118</f>
        <v>0</v>
      </c>
      <c r="M138" s="1121"/>
      <c r="N138" s="1121">
        <f>P119</f>
        <v>0</v>
      </c>
      <c r="O138" s="1121"/>
      <c r="P138" s="1121">
        <f>P120</f>
        <v>0</v>
      </c>
      <c r="Q138" s="1121"/>
      <c r="R138" s="1121">
        <f>P121</f>
        <v>0</v>
      </c>
      <c r="S138" s="1121"/>
      <c r="T138" s="1121">
        <f>P122</f>
        <v>0</v>
      </c>
      <c r="U138" s="1121"/>
      <c r="V138" s="1121">
        <f>P123</f>
        <v>0</v>
      </c>
      <c r="W138" s="1121"/>
      <c r="X138" s="1054" t="s">
        <v>1123</v>
      </c>
      <c r="Y138" s="1054"/>
      <c r="Z138" s="1054"/>
      <c r="AA138" s="1054"/>
      <c r="AB138" s="1054"/>
      <c r="AC138" s="1054"/>
      <c r="AD138" s="1054"/>
      <c r="AE138" s="1054"/>
      <c r="AF138" s="1054"/>
    </row>
    <row r="139" spans="1:32">
      <c r="A139" s="142" t="s">
        <v>97</v>
      </c>
      <c r="B139" s="1121">
        <f>Q113</f>
        <v>0</v>
      </c>
      <c r="C139" s="1121"/>
      <c r="D139" s="1121">
        <f>Q114</f>
        <v>0.19744605585646305</v>
      </c>
      <c r="E139" s="1121"/>
      <c r="F139" s="1121">
        <f>Q115</f>
        <v>0.71338128368314402</v>
      </c>
      <c r="G139" s="1121"/>
      <c r="H139" s="1121">
        <f>Q116</f>
        <v>0</v>
      </c>
      <c r="I139" s="1121"/>
      <c r="J139" s="1121">
        <f>Q117</f>
        <v>4.4586330230196494E-2</v>
      </c>
      <c r="K139" s="1121"/>
      <c r="L139" s="1121">
        <f>Q118</f>
        <v>4.4586330230196494E-2</v>
      </c>
      <c r="M139" s="1121"/>
      <c r="N139" s="1121">
        <f>Q119</f>
        <v>0</v>
      </c>
      <c r="O139" s="1121"/>
      <c r="P139" s="1121">
        <f>Q120</f>
        <v>0</v>
      </c>
      <c r="Q139" s="1121"/>
      <c r="R139" s="1121">
        <f>Q121</f>
        <v>0</v>
      </c>
      <c r="S139" s="1121"/>
      <c r="T139" s="1121">
        <f>Q122</f>
        <v>0</v>
      </c>
      <c r="U139" s="1121"/>
      <c r="V139" s="1121">
        <f>Q123</f>
        <v>0</v>
      </c>
      <c r="W139" s="1121"/>
      <c r="X139" s="1054" t="s">
        <v>1123</v>
      </c>
      <c r="Y139" s="1054"/>
      <c r="Z139" s="1054"/>
      <c r="AA139" s="1054"/>
      <c r="AB139" s="1054"/>
      <c r="AC139" s="1054"/>
      <c r="AD139" s="1054"/>
      <c r="AE139" s="1054"/>
      <c r="AF139" s="1054"/>
    </row>
    <row r="140" spans="1:32">
      <c r="A140" s="142" t="s">
        <v>127</v>
      </c>
      <c r="B140" s="1121">
        <f>R113</f>
        <v>2.0189518931614638E-3</v>
      </c>
      <c r="C140" s="1121"/>
      <c r="D140" s="1121">
        <f>R114</f>
        <v>3.7824092334929553E-4</v>
      </c>
      <c r="E140" s="1121"/>
      <c r="F140" s="1121">
        <f>R115</f>
        <v>0.3279842619534431</v>
      </c>
      <c r="G140" s="1121"/>
      <c r="H140" s="1121">
        <f>R116</f>
        <v>0</v>
      </c>
      <c r="I140" s="1121"/>
      <c r="J140" s="1121">
        <f>R117</f>
        <v>6.8330054573633985E-3</v>
      </c>
      <c r="K140" s="1121"/>
      <c r="L140" s="1121">
        <f>R118</f>
        <v>6.8330054573633985E-3</v>
      </c>
      <c r="M140" s="1121"/>
      <c r="N140" s="1121">
        <f>R119</f>
        <v>6.6532165485482164E-3</v>
      </c>
      <c r="O140" s="1121"/>
      <c r="P140" s="1121">
        <f>R120</f>
        <v>0.14573018486415787</v>
      </c>
      <c r="Q140" s="1121"/>
      <c r="R140" s="1121">
        <f>R121</f>
        <v>0.14573018486415787</v>
      </c>
      <c r="S140" s="1121"/>
      <c r="T140" s="1121">
        <f>R122</f>
        <v>0.3578389480384554</v>
      </c>
      <c r="U140" s="1121"/>
      <c r="V140" s="1121">
        <f>R123</f>
        <v>0</v>
      </c>
      <c r="W140" s="1121"/>
      <c r="X140" s="1054" t="s">
        <v>1123</v>
      </c>
      <c r="Y140" s="1054"/>
      <c r="Z140" s="1054"/>
      <c r="AA140" s="1054"/>
      <c r="AB140" s="1054"/>
      <c r="AC140" s="1054"/>
      <c r="AD140" s="1054"/>
      <c r="AE140" s="1054"/>
      <c r="AF140" s="1054"/>
    </row>
    <row r="141" spans="1:32">
      <c r="A141" s="895"/>
      <c r="B141" s="896"/>
      <c r="C141" s="896"/>
      <c r="D141" s="896"/>
      <c r="E141" s="896"/>
      <c r="F141" s="896"/>
      <c r="G141" s="896"/>
      <c r="H141" s="896"/>
      <c r="I141" s="896"/>
      <c r="J141" s="896"/>
      <c r="K141" s="896"/>
      <c r="L141" s="896"/>
      <c r="M141" s="896"/>
      <c r="N141" s="896"/>
      <c r="O141" s="896"/>
      <c r="P141" s="896"/>
      <c r="Q141" s="896"/>
      <c r="R141" s="896"/>
      <c r="S141" s="896"/>
      <c r="T141" s="896"/>
      <c r="U141" s="896"/>
      <c r="V141" s="896"/>
      <c r="W141" s="896"/>
    </row>
    <row r="142" spans="1:32" customFormat="1">
      <c r="H142" s="6"/>
      <c r="I142" s="6"/>
      <c r="J142" s="6"/>
      <c r="K142" s="6"/>
      <c r="L142" s="6"/>
      <c r="M142" s="6"/>
      <c r="N142" s="6"/>
      <c r="O142" s="6"/>
    </row>
    <row r="143" spans="1:32" customFormat="1" ht="15.75" thickBot="1">
      <c r="A143" s="415" t="s">
        <v>2009</v>
      </c>
      <c r="B143" s="224"/>
      <c r="C143" s="224"/>
      <c r="D143" s="224"/>
      <c r="E143" s="224"/>
      <c r="F143" s="224"/>
      <c r="G143" s="224"/>
      <c r="H143" s="881"/>
      <c r="I143" s="881"/>
      <c r="J143" s="881"/>
      <c r="K143" s="881"/>
      <c r="L143" s="881"/>
      <c r="M143" s="881"/>
      <c r="N143" s="881"/>
      <c r="O143" s="881"/>
      <c r="P143" s="224"/>
    </row>
    <row r="144" spans="1:32" ht="15.75" thickBot="1">
      <c r="A144" s="65" t="s">
        <v>129</v>
      </c>
      <c r="B144" s="107" t="s">
        <v>130</v>
      </c>
      <c r="C144" s="108" t="s">
        <v>131</v>
      </c>
      <c r="D144" s="109" t="s">
        <v>102</v>
      </c>
      <c r="E144" s="229" t="s">
        <v>132</v>
      </c>
      <c r="F144" s="108" t="s">
        <v>133</v>
      </c>
      <c r="G144" s="110" t="s">
        <v>104</v>
      </c>
      <c r="H144" s="111" t="s">
        <v>134</v>
      </c>
      <c r="I144" s="112" t="s">
        <v>135</v>
      </c>
      <c r="J144" s="112" t="s">
        <v>65</v>
      </c>
      <c r="K144" s="112" t="s">
        <v>67</v>
      </c>
      <c r="L144" s="112" t="s">
        <v>73</v>
      </c>
      <c r="M144" s="113" t="s">
        <v>79</v>
      </c>
      <c r="N144" s="114" t="s">
        <v>136</v>
      </c>
      <c r="O144" s="114" t="s">
        <v>137</v>
      </c>
      <c r="P144" s="115" t="s">
        <v>123</v>
      </c>
    </row>
    <row r="145" spans="1:16" ht="15.75" thickBot="1">
      <c r="A145" s="230" t="s">
        <v>309</v>
      </c>
      <c r="B145" s="230" t="s">
        <v>311</v>
      </c>
      <c r="C145" s="6" t="s">
        <v>139</v>
      </c>
      <c r="D145" s="6" t="s">
        <v>139</v>
      </c>
      <c r="E145" s="6" t="s">
        <v>150</v>
      </c>
      <c r="F145" s="6">
        <v>1</v>
      </c>
      <c r="G145" s="162"/>
      <c r="H145" s="254"/>
      <c r="I145" s="66"/>
      <c r="J145" s="66"/>
      <c r="K145" s="66"/>
      <c r="L145" s="66"/>
      <c r="M145" s="300"/>
      <c r="N145" s="411" t="str">
        <f t="shared" ref="N145:N146" si="51">IF( OR( ISBLANK(H145),ISBLANK(J145), ISBLANK(K145), ISBLANK(L145), ISBLANK(M145) ), "", 1.5*SQRT(   EXP(2.21*(H145-1)) + EXP(2.21*(J145-1)) + EXP(2.21*(K145-1)) + EXP(2.21*(L145-1)) + EXP(2.21*M145)   )/100*2.45 )</f>
        <v/>
      </c>
      <c r="O145" s="355" t="str">
        <f t="shared" ref="O145:O146" si="52">IF( OR( ISBLANK(I145),ISBLANK(J145), ISBLANK(K145), ISBLANK(L145), ISBLANK(M145) ), "", 1.5*SQRT( EXP(2.21*(I145-1)) + EXP(2.21*(J145-1)) + EXP(2.21*(K145-1)) + EXP(2.21*(L145-1)) + EXP(2.21*M145)   )/100*2.45 )</f>
        <v/>
      </c>
      <c r="P145" s="60"/>
    </row>
    <row r="146" spans="1:16" ht="15.75" thickBot="1">
      <c r="A146" s="230" t="s">
        <v>309</v>
      </c>
      <c r="B146" s="230" t="s">
        <v>312</v>
      </c>
      <c r="C146" s="6" t="s">
        <v>139</v>
      </c>
      <c r="D146" s="6" t="s">
        <v>139</v>
      </c>
      <c r="E146" s="597">
        <v>0.11</v>
      </c>
      <c r="F146" s="6">
        <v>2</v>
      </c>
      <c r="G146" s="40" t="s">
        <v>313</v>
      </c>
      <c r="H146" s="252">
        <v>2</v>
      </c>
      <c r="I146" s="10">
        <v>2</v>
      </c>
      <c r="J146" s="10">
        <v>1</v>
      </c>
      <c r="K146" s="10">
        <v>1</v>
      </c>
      <c r="L146" s="10">
        <v>1</v>
      </c>
      <c r="M146" s="298">
        <v>1</v>
      </c>
      <c r="N146" s="411">
        <f t="shared" si="51"/>
        <v>0.16933510251023262</v>
      </c>
      <c r="O146" s="355">
        <f t="shared" si="52"/>
        <v>0.16933510251023262</v>
      </c>
      <c r="P146" s="34"/>
    </row>
    <row r="147" spans="1:16" ht="15.75" thickBot="1">
      <c r="A147" s="230" t="s">
        <v>312</v>
      </c>
      <c r="B147" s="60" t="s">
        <v>232</v>
      </c>
      <c r="C147" s="6" t="s">
        <v>139</v>
      </c>
      <c r="D147" s="6" t="s">
        <v>139</v>
      </c>
      <c r="E147" s="597">
        <v>0.08</v>
      </c>
      <c r="F147" s="6">
        <v>1</v>
      </c>
      <c r="G147" s="162" t="s">
        <v>353</v>
      </c>
      <c r="H147" s="254">
        <v>2</v>
      </c>
      <c r="I147" s="66">
        <v>2</v>
      </c>
      <c r="J147" s="66">
        <v>1</v>
      </c>
      <c r="K147" s="66">
        <v>1</v>
      </c>
      <c r="L147" s="66">
        <v>1</v>
      </c>
      <c r="M147" s="300">
        <v>1</v>
      </c>
      <c r="N147" s="411">
        <f t="shared" ref="N147:N148" si="53">IF( OR( ISBLANK(H147),ISBLANK(J147), ISBLANK(K147), ISBLANK(L147), ISBLANK(M147) ), "", 1.5*SQRT(   EXP(2.21*(H147-1)) + EXP(2.21*(J147-1)) + EXP(2.21*(K147-1)) + EXP(2.21*(L147-1)) + EXP(2.21*M147)   )/100*2.45 )</f>
        <v>0.16933510251023262</v>
      </c>
      <c r="O147" s="355">
        <f t="shared" ref="O147:O150" si="54">IF( OR( ISBLANK(I147),ISBLANK(J147), ISBLANK(K147), ISBLANK(L147), ISBLANK(M147) ), "", 1.5*SQRT( EXP(2.21*(I147-1)) + EXP(2.21*(J147-1)) + EXP(2.21*(K147-1)) + EXP(2.21*(L147-1)) + EXP(2.21*M147)   )/100*2.45 )</f>
        <v>0.16933510251023262</v>
      </c>
      <c r="P147" s="60"/>
    </row>
    <row r="148" spans="1:16" ht="15.75" thickBot="1">
      <c r="A148" s="230" t="s">
        <v>312</v>
      </c>
      <c r="B148" s="34" t="s">
        <v>251</v>
      </c>
      <c r="C148" s="6" t="s">
        <v>139</v>
      </c>
      <c r="D148" s="6" t="s">
        <v>139</v>
      </c>
      <c r="E148" s="597">
        <v>0.52</v>
      </c>
      <c r="F148" s="6">
        <v>1</v>
      </c>
      <c r="G148" s="40" t="s">
        <v>353</v>
      </c>
      <c r="H148" s="252">
        <v>2</v>
      </c>
      <c r="I148" s="10">
        <v>2</v>
      </c>
      <c r="J148" s="10">
        <v>1</v>
      </c>
      <c r="K148" s="10">
        <v>1</v>
      </c>
      <c r="L148" s="10">
        <v>1</v>
      </c>
      <c r="M148" s="298">
        <v>1</v>
      </c>
      <c r="N148" s="411">
        <f t="shared" si="53"/>
        <v>0.16933510251023262</v>
      </c>
      <c r="O148" s="355">
        <f t="shared" si="54"/>
        <v>0.16933510251023262</v>
      </c>
      <c r="P148" s="34"/>
    </row>
    <row r="149" spans="1:16" ht="15.75" thickBot="1">
      <c r="A149" s="230" t="s">
        <v>312</v>
      </c>
      <c r="B149" s="7" t="s">
        <v>334</v>
      </c>
      <c r="C149" s="6" t="s">
        <v>139</v>
      </c>
      <c r="D149" s="6" t="s">
        <v>139</v>
      </c>
      <c r="E149" s="597">
        <v>0.4</v>
      </c>
      <c r="F149" s="6">
        <v>1</v>
      </c>
      <c r="G149" s="40" t="s">
        <v>353</v>
      </c>
      <c r="H149" s="252">
        <v>2</v>
      </c>
      <c r="I149" s="10">
        <v>2</v>
      </c>
      <c r="J149" s="10">
        <v>1</v>
      </c>
      <c r="K149" s="10">
        <v>1</v>
      </c>
      <c r="L149" s="10">
        <v>1</v>
      </c>
      <c r="M149" s="298">
        <v>1</v>
      </c>
      <c r="N149" s="411">
        <f t="shared" ref="N149:N150" si="55">IF( OR( ISBLANK(H149),ISBLANK(J149), ISBLANK(K149), ISBLANK(L149), ISBLANK(M149) ), "", 1.5*SQRT(   EXP(2.21*(H149-1)) + EXP(2.21*(J149-1)) + EXP(2.21*(K149-1)) + EXP(2.21*(L149-1)) + EXP(2.21*M149)   )/100*2.45 )</f>
        <v>0.16933510251023262</v>
      </c>
      <c r="O149" s="355">
        <f t="shared" si="54"/>
        <v>0.16933510251023262</v>
      </c>
      <c r="P149" s="34"/>
    </row>
    <row r="150" spans="1:16">
      <c r="A150" s="230" t="s">
        <v>311</v>
      </c>
      <c r="B150" s="7" t="s">
        <v>334</v>
      </c>
      <c r="C150" s="6" t="s">
        <v>139</v>
      </c>
      <c r="D150" s="6" t="s">
        <v>139</v>
      </c>
      <c r="E150" s="6">
        <v>1</v>
      </c>
      <c r="F150" s="6">
        <v>1</v>
      </c>
      <c r="H150" s="252"/>
      <c r="I150" s="10"/>
      <c r="J150" s="10"/>
      <c r="K150" s="10"/>
      <c r="L150" s="10"/>
      <c r="M150" s="298"/>
      <c r="N150" s="411" t="str">
        <f t="shared" si="55"/>
        <v/>
      </c>
      <c r="O150" s="355" t="str">
        <f t="shared" si="54"/>
        <v/>
      </c>
      <c r="P150" s="34"/>
    </row>
    <row r="151" spans="1:16">
      <c r="A151" s="230"/>
      <c r="B151" s="230"/>
    </row>
    <row r="152" spans="1:16">
      <c r="A152" s="1093" t="s">
        <v>986</v>
      </c>
      <c r="B152" s="1094"/>
      <c r="C152" s="1094"/>
      <c r="D152" s="1094"/>
      <c r="E152" s="1094"/>
      <c r="F152" s="1094"/>
      <c r="G152" s="1094"/>
      <c r="H152" s="1094"/>
      <c r="I152" s="1094"/>
      <c r="J152" s="1094"/>
      <c r="K152" s="1094"/>
      <c r="L152" s="1094"/>
      <c r="M152" s="1094"/>
      <c r="N152" s="1094"/>
      <c r="O152" s="1094"/>
      <c r="P152" s="1094"/>
    </row>
    <row r="153" spans="1:16">
      <c r="A153" s="1094"/>
      <c r="B153" s="1094"/>
      <c r="C153" s="1094"/>
      <c r="D153" s="1094"/>
      <c r="E153" s="1094"/>
      <c r="F153" s="1094"/>
      <c r="G153" s="1094"/>
      <c r="H153" s="1094"/>
      <c r="I153" s="1094"/>
      <c r="J153" s="1094"/>
      <c r="K153" s="1094"/>
      <c r="L153" s="1094"/>
      <c r="M153" s="1094"/>
      <c r="N153" s="1094"/>
      <c r="O153" s="1094"/>
      <c r="P153" s="1094"/>
    </row>
    <row r="154" spans="1:16">
      <c r="D154" s="6" t="s">
        <v>1124</v>
      </c>
      <c r="E154" s="6">
        <f>948/90312</f>
        <v>1.0496943927717247E-2</v>
      </c>
      <c r="F154" s="6" t="s">
        <v>1125</v>
      </c>
    </row>
    <row r="155" spans="1:16">
      <c r="A155" s="6" t="s">
        <v>1126</v>
      </c>
      <c r="D155" s="6" t="s">
        <v>1124</v>
      </c>
      <c r="E155" s="6">
        <v>1.0999999999999999E-2</v>
      </c>
      <c r="F155" s="6" t="s">
        <v>302</v>
      </c>
    </row>
    <row r="156" spans="1:16">
      <c r="A156" s="373" t="s">
        <v>1127</v>
      </c>
      <c r="D156" s="6" t="s">
        <v>1128</v>
      </c>
      <c r="E156" s="6">
        <f>10*E155</f>
        <v>0.10999999999999999</v>
      </c>
    </row>
    <row r="158" spans="1:16">
      <c r="D158" s="6">
        <f>0.15/0.11</f>
        <v>1.3636363636363635</v>
      </c>
    </row>
  </sheetData>
  <mergeCells count="394">
    <mergeCell ref="X139:AF139"/>
    <mergeCell ref="X140:AF140"/>
    <mergeCell ref="X131:AF131"/>
    <mergeCell ref="X132:AF132"/>
    <mergeCell ref="X133:AF133"/>
    <mergeCell ref="X134:AF134"/>
    <mergeCell ref="X135:AF135"/>
    <mergeCell ref="X126:AF126"/>
    <mergeCell ref="X127:AF127"/>
    <mergeCell ref="X128:AF128"/>
    <mergeCell ref="X129:AF129"/>
    <mergeCell ref="X130:AF130"/>
    <mergeCell ref="V126:W126"/>
    <mergeCell ref="T127:U127"/>
    <mergeCell ref="V127:W127"/>
    <mergeCell ref="T128:U128"/>
    <mergeCell ref="V128:W128"/>
    <mergeCell ref="X136:AF136"/>
    <mergeCell ref="X137:AF137"/>
    <mergeCell ref="X138:AF138"/>
    <mergeCell ref="T138:U138"/>
    <mergeCell ref="V138:W138"/>
    <mergeCell ref="T129:U129"/>
    <mergeCell ref="V129:W129"/>
    <mergeCell ref="T130:U130"/>
    <mergeCell ref="V130:W130"/>
    <mergeCell ref="T131:U131"/>
    <mergeCell ref="V131:W131"/>
    <mergeCell ref="T140:U140"/>
    <mergeCell ref="V140:W140"/>
    <mergeCell ref="T135:U135"/>
    <mergeCell ref="V135:W135"/>
    <mergeCell ref="T136:U136"/>
    <mergeCell ref="V136:W136"/>
    <mergeCell ref="T137:U137"/>
    <mergeCell ref="V137:W137"/>
    <mergeCell ref="T132:U132"/>
    <mergeCell ref="V132:W132"/>
    <mergeCell ref="T133:U133"/>
    <mergeCell ref="V133:W133"/>
    <mergeCell ref="T134:U134"/>
    <mergeCell ref="V134:W134"/>
    <mergeCell ref="T139:U139"/>
    <mergeCell ref="V139:W139"/>
    <mergeCell ref="J140:K140"/>
    <mergeCell ref="L140:M140"/>
    <mergeCell ref="N140:O140"/>
    <mergeCell ref="P140:Q140"/>
    <mergeCell ref="R140:S140"/>
    <mergeCell ref="J139:K139"/>
    <mergeCell ref="L139:M139"/>
    <mergeCell ref="N139:O139"/>
    <mergeCell ref="P139:Q139"/>
    <mergeCell ref="R139:S139"/>
    <mergeCell ref="J138:K138"/>
    <mergeCell ref="L138:M138"/>
    <mergeCell ref="N138:O138"/>
    <mergeCell ref="P138:Q138"/>
    <mergeCell ref="R138:S138"/>
    <mergeCell ref="J137:K137"/>
    <mergeCell ref="L137:M137"/>
    <mergeCell ref="N137:O137"/>
    <mergeCell ref="P137:Q137"/>
    <mergeCell ref="R137:S137"/>
    <mergeCell ref="J136:K136"/>
    <mergeCell ref="L136:M136"/>
    <mergeCell ref="N136:O136"/>
    <mergeCell ref="P136:Q136"/>
    <mergeCell ref="R136:S136"/>
    <mergeCell ref="J135:K135"/>
    <mergeCell ref="L135:M135"/>
    <mergeCell ref="N135:O135"/>
    <mergeCell ref="P135:Q135"/>
    <mergeCell ref="R135:S135"/>
    <mergeCell ref="J134:K134"/>
    <mergeCell ref="L134:M134"/>
    <mergeCell ref="N134:O134"/>
    <mergeCell ref="P134:Q134"/>
    <mergeCell ref="R134:S134"/>
    <mergeCell ref="J133:K133"/>
    <mergeCell ref="L133:M133"/>
    <mergeCell ref="N133:O133"/>
    <mergeCell ref="P133:Q133"/>
    <mergeCell ref="R133:S133"/>
    <mergeCell ref="J132:K132"/>
    <mergeCell ref="L132:M132"/>
    <mergeCell ref="N132:O132"/>
    <mergeCell ref="P132:Q132"/>
    <mergeCell ref="R132:S132"/>
    <mergeCell ref="J131:K131"/>
    <mergeCell ref="L131:M131"/>
    <mergeCell ref="N131:O131"/>
    <mergeCell ref="P131:Q131"/>
    <mergeCell ref="R131:S131"/>
    <mergeCell ref="L128:M128"/>
    <mergeCell ref="N128:O128"/>
    <mergeCell ref="P128:Q128"/>
    <mergeCell ref="R128:S128"/>
    <mergeCell ref="J129:K129"/>
    <mergeCell ref="L129:M129"/>
    <mergeCell ref="N129:O129"/>
    <mergeCell ref="P129:Q129"/>
    <mergeCell ref="R129:S129"/>
    <mergeCell ref="J128:K128"/>
    <mergeCell ref="D139:E139"/>
    <mergeCell ref="F139:G139"/>
    <mergeCell ref="H139:I139"/>
    <mergeCell ref="D140:E140"/>
    <mergeCell ref="F140:G140"/>
    <mergeCell ref="H140:I140"/>
    <mergeCell ref="D137:E137"/>
    <mergeCell ref="F137:G137"/>
    <mergeCell ref="H137:I137"/>
    <mergeCell ref="D138:E138"/>
    <mergeCell ref="F138:G138"/>
    <mergeCell ref="H138:I138"/>
    <mergeCell ref="B140:C140"/>
    <mergeCell ref="D126:E126"/>
    <mergeCell ref="F126:G126"/>
    <mergeCell ref="H126:I126"/>
    <mergeCell ref="D127:E127"/>
    <mergeCell ref="F127:G127"/>
    <mergeCell ref="H127:I127"/>
    <mergeCell ref="D128:E128"/>
    <mergeCell ref="F128:G128"/>
    <mergeCell ref="H128:I128"/>
    <mergeCell ref="D129:E129"/>
    <mergeCell ref="F129:G129"/>
    <mergeCell ref="H129:I129"/>
    <mergeCell ref="D130:E130"/>
    <mergeCell ref="F130:G130"/>
    <mergeCell ref="H130:I130"/>
    <mergeCell ref="B135:C135"/>
    <mergeCell ref="B136:C136"/>
    <mergeCell ref="D135:E135"/>
    <mergeCell ref="F135:G135"/>
    <mergeCell ref="H135:I135"/>
    <mergeCell ref="D136:E136"/>
    <mergeCell ref="F136:G136"/>
    <mergeCell ref="H136:I136"/>
    <mergeCell ref="B139:C139"/>
    <mergeCell ref="B130:C130"/>
    <mergeCell ref="B131:C131"/>
    <mergeCell ref="B132:C132"/>
    <mergeCell ref="B133:C133"/>
    <mergeCell ref="B134:C134"/>
    <mergeCell ref="B126:C126"/>
    <mergeCell ref="B127:C127"/>
    <mergeCell ref="B128:C128"/>
    <mergeCell ref="B129:C129"/>
    <mergeCell ref="J127:K127"/>
    <mergeCell ref="L127:M127"/>
    <mergeCell ref="N127:O127"/>
    <mergeCell ref="P127:Q127"/>
    <mergeCell ref="R127:S127"/>
    <mergeCell ref="B137:C137"/>
    <mergeCell ref="B138:C138"/>
    <mergeCell ref="D131:E131"/>
    <mergeCell ref="F131:G131"/>
    <mergeCell ref="H131:I131"/>
    <mergeCell ref="D132:E132"/>
    <mergeCell ref="F132:G132"/>
    <mergeCell ref="H132:I132"/>
    <mergeCell ref="D133:E133"/>
    <mergeCell ref="F133:G133"/>
    <mergeCell ref="H133:I133"/>
    <mergeCell ref="D134:E134"/>
    <mergeCell ref="F134:G134"/>
    <mergeCell ref="H134:I134"/>
    <mergeCell ref="J130:K130"/>
    <mergeCell ref="L130:M130"/>
    <mergeCell ref="N130:O130"/>
    <mergeCell ref="P130:Q130"/>
    <mergeCell ref="R130:S130"/>
    <mergeCell ref="B123:C123"/>
    <mergeCell ref="B114:C114"/>
    <mergeCell ref="B115:C115"/>
    <mergeCell ref="B116:C116"/>
    <mergeCell ref="B117:C117"/>
    <mergeCell ref="B118:C118"/>
    <mergeCell ref="J126:K126"/>
    <mergeCell ref="L126:M126"/>
    <mergeCell ref="N126:O126"/>
    <mergeCell ref="A124:AF124"/>
    <mergeCell ref="T125:U125"/>
    <mergeCell ref="V125:W125"/>
    <mergeCell ref="B125:C125"/>
    <mergeCell ref="D125:E125"/>
    <mergeCell ref="F125:G125"/>
    <mergeCell ref="H125:I125"/>
    <mergeCell ref="J125:K125"/>
    <mergeCell ref="L125:M125"/>
    <mergeCell ref="N125:O125"/>
    <mergeCell ref="P125:Q125"/>
    <mergeCell ref="R125:S125"/>
    <mergeCell ref="P126:Q126"/>
    <mergeCell ref="R126:S126"/>
    <mergeCell ref="T126:U126"/>
    <mergeCell ref="B112:C112"/>
    <mergeCell ref="B113:C113"/>
    <mergeCell ref="A111:AF111"/>
    <mergeCell ref="R105:AF105"/>
    <mergeCell ref="R106:AF106"/>
    <mergeCell ref="B119:C119"/>
    <mergeCell ref="B120:C120"/>
    <mergeCell ref="B121:C121"/>
    <mergeCell ref="B122:C122"/>
    <mergeCell ref="R101:AF101"/>
    <mergeCell ref="R102:AF102"/>
    <mergeCell ref="R93:AF93"/>
    <mergeCell ref="R94:AF94"/>
    <mergeCell ref="R95:AF95"/>
    <mergeCell ref="R96:AF96"/>
    <mergeCell ref="R97:AF97"/>
    <mergeCell ref="R103:AF103"/>
    <mergeCell ref="R104:AF104"/>
    <mergeCell ref="R98:AF98"/>
    <mergeCell ref="R99:AF99"/>
    <mergeCell ref="R100:AF100"/>
    <mergeCell ref="R69:AF69"/>
    <mergeCell ref="R70:AF70"/>
    <mergeCell ref="A61:A62"/>
    <mergeCell ref="A63:A64"/>
    <mergeCell ref="A65:A66"/>
    <mergeCell ref="J65:K66"/>
    <mergeCell ref="B61:B62"/>
    <mergeCell ref="B63:B64"/>
    <mergeCell ref="B65:B66"/>
    <mergeCell ref="E61:E62"/>
    <mergeCell ref="E63:E64"/>
    <mergeCell ref="G69:L69"/>
    <mergeCell ref="G70:L70"/>
    <mergeCell ref="R81:AF81"/>
    <mergeCell ref="R71:AF71"/>
    <mergeCell ref="R72:AF72"/>
    <mergeCell ref="R74:AF74"/>
    <mergeCell ref="R75:AF75"/>
    <mergeCell ref="R76:AF76"/>
    <mergeCell ref="R77:AF77"/>
    <mergeCell ref="M71:Q71"/>
    <mergeCell ref="R92:AF92"/>
    <mergeCell ref="R73:AF73"/>
    <mergeCell ref="R78:AF78"/>
    <mergeCell ref="G81:L81"/>
    <mergeCell ref="G79:L79"/>
    <mergeCell ref="G80:L80"/>
    <mergeCell ref="G77:L77"/>
    <mergeCell ref="G78:L78"/>
    <mergeCell ref="G75:L75"/>
    <mergeCell ref="G76:L76"/>
    <mergeCell ref="G72:L72"/>
    <mergeCell ref="G73:L73"/>
    <mergeCell ref="R43:AF43"/>
    <mergeCell ref="R44:AF44"/>
    <mergeCell ref="R45:AF45"/>
    <mergeCell ref="R46:AF46"/>
    <mergeCell ref="R52:AF52"/>
    <mergeCell ref="R53:AF53"/>
    <mergeCell ref="E65:E66"/>
    <mergeCell ref="F61:I62"/>
    <mergeCell ref="F63:I64"/>
    <mergeCell ref="F65:I66"/>
    <mergeCell ref="J61:K62"/>
    <mergeCell ref="J63:K64"/>
    <mergeCell ref="R54:AF54"/>
    <mergeCell ref="R55:AF55"/>
    <mergeCell ref="A59:AF59"/>
    <mergeCell ref="R56:AF56"/>
    <mergeCell ref="R57:AF57"/>
    <mergeCell ref="R47:AF47"/>
    <mergeCell ref="R48:AF48"/>
    <mergeCell ref="R49:AF49"/>
    <mergeCell ref="R50:AF50"/>
    <mergeCell ref="R51:AF51"/>
    <mergeCell ref="R37:AF37"/>
    <mergeCell ref="R38:AF38"/>
    <mergeCell ref="R39:AF39"/>
    <mergeCell ref="R40:AF40"/>
    <mergeCell ref="R41:AF41"/>
    <mergeCell ref="J38:L38"/>
    <mergeCell ref="J39:L39"/>
    <mergeCell ref="J40:L40"/>
    <mergeCell ref="J41:L41"/>
    <mergeCell ref="M38:Q38"/>
    <mergeCell ref="M39:Q39"/>
    <mergeCell ref="M40:Q40"/>
    <mergeCell ref="M41:Q41"/>
    <mergeCell ref="J37:L37"/>
    <mergeCell ref="M37:Q37"/>
    <mergeCell ref="U9:V9"/>
    <mergeCell ref="U10:V10"/>
    <mergeCell ref="R2:T2"/>
    <mergeCell ref="R3:T3"/>
    <mergeCell ref="R10:T10"/>
    <mergeCell ref="R11:T11"/>
    <mergeCell ref="R12:T12"/>
    <mergeCell ref="R13:T13"/>
    <mergeCell ref="R4:T4"/>
    <mergeCell ref="R5:T5"/>
    <mergeCell ref="R6:T6"/>
    <mergeCell ref="R7:T7"/>
    <mergeCell ref="A1:AF1"/>
    <mergeCell ref="U3:V3"/>
    <mergeCell ref="W3:AF3"/>
    <mergeCell ref="U4:V4"/>
    <mergeCell ref="W4:AF4"/>
    <mergeCell ref="U5:V5"/>
    <mergeCell ref="W5:AF5"/>
    <mergeCell ref="U6:V6"/>
    <mergeCell ref="W6:AF6"/>
    <mergeCell ref="R31:AF31"/>
    <mergeCell ref="J30:L30"/>
    <mergeCell ref="J36:L36"/>
    <mergeCell ref="G29:L29"/>
    <mergeCell ref="G30:I30"/>
    <mergeCell ref="G31:I31"/>
    <mergeCell ref="G32:I32"/>
    <mergeCell ref="G33:I33"/>
    <mergeCell ref="G34:I34"/>
    <mergeCell ref="G35:I35"/>
    <mergeCell ref="G36:I36"/>
    <mergeCell ref="J31:L31"/>
    <mergeCell ref="J32:L32"/>
    <mergeCell ref="J33:L33"/>
    <mergeCell ref="J34:L34"/>
    <mergeCell ref="J35:L35"/>
    <mergeCell ref="R33:AF33"/>
    <mergeCell ref="R34:AF34"/>
    <mergeCell ref="M31:Q31"/>
    <mergeCell ref="M32:Q32"/>
    <mergeCell ref="M33:Q33"/>
    <mergeCell ref="M34:Q34"/>
    <mergeCell ref="M35:Q35"/>
    <mergeCell ref="M36:Q36"/>
    <mergeCell ref="R17:AF17"/>
    <mergeCell ref="R23:AF23"/>
    <mergeCell ref="R24:AF24"/>
    <mergeCell ref="R25:AF25"/>
    <mergeCell ref="A28:AF28"/>
    <mergeCell ref="R18:AF18"/>
    <mergeCell ref="R19:AF19"/>
    <mergeCell ref="R29:AF29"/>
    <mergeCell ref="R30:AF30"/>
    <mergeCell ref="R26:AF26"/>
    <mergeCell ref="M29:Q29"/>
    <mergeCell ref="M30:Q30"/>
    <mergeCell ref="A152:P153"/>
    <mergeCell ref="R32:AF32"/>
    <mergeCell ref="R8:T8"/>
    <mergeCell ref="R9:T9"/>
    <mergeCell ref="U7:V7"/>
    <mergeCell ref="U2:AF2"/>
    <mergeCell ref="W7:AF7"/>
    <mergeCell ref="U8:V8"/>
    <mergeCell ref="W8:AF8"/>
    <mergeCell ref="W9:AF9"/>
    <mergeCell ref="W10:AF10"/>
    <mergeCell ref="R35:AF35"/>
    <mergeCell ref="R36:AF36"/>
    <mergeCell ref="U11:V11"/>
    <mergeCell ref="W11:AF11"/>
    <mergeCell ref="U12:V12"/>
    <mergeCell ref="W12:AF12"/>
    <mergeCell ref="U13:V13"/>
    <mergeCell ref="W13:AF13"/>
    <mergeCell ref="R20:AF20"/>
    <mergeCell ref="R21:AF21"/>
    <mergeCell ref="R22:AF22"/>
    <mergeCell ref="R15:AF15"/>
    <mergeCell ref="R16:AF16"/>
    <mergeCell ref="G38:I38"/>
    <mergeCell ref="M80:Q80"/>
    <mergeCell ref="M81:Q81"/>
    <mergeCell ref="F60:I60"/>
    <mergeCell ref="J60:K60"/>
    <mergeCell ref="G39:I39"/>
    <mergeCell ref="G40:I40"/>
    <mergeCell ref="G41:I41"/>
    <mergeCell ref="G37:I37"/>
    <mergeCell ref="M72:Q72"/>
    <mergeCell ref="M73:Q73"/>
    <mergeCell ref="M74:Q74"/>
    <mergeCell ref="M75:Q75"/>
    <mergeCell ref="M76:Q76"/>
    <mergeCell ref="M77:Q77"/>
    <mergeCell ref="M78:Q78"/>
    <mergeCell ref="M79:Q79"/>
    <mergeCell ref="G71:L71"/>
    <mergeCell ref="G74:L74"/>
    <mergeCell ref="A68:AF68"/>
    <mergeCell ref="R79:AF79"/>
    <mergeCell ref="R80:AF80"/>
    <mergeCell ref="M69:Q69"/>
    <mergeCell ref="M70:Q70"/>
  </mergeCells>
  <conditionalFormatting sqref="H145:M146">
    <cfRule type="dataBar" priority="4">
      <dataBar>
        <cfvo type="min"/>
        <cfvo type="num" val="4"/>
        <color rgb="FFFFC000"/>
      </dataBar>
      <extLst>
        <ext xmlns:x14="http://schemas.microsoft.com/office/spreadsheetml/2009/9/main" uri="{B025F937-C7B1-47D3-B67F-A62EFF666E3E}">
          <x14:id>{1B4CB3B5-0365-4114-B2CD-71549AB8F77C}</x14:id>
        </ext>
      </extLst>
    </cfRule>
  </conditionalFormatting>
  <conditionalFormatting sqref="H145:M150">
    <cfRule type="cellIs" dxfId="57" priority="3" stopIfTrue="1" operator="notBetween">
      <formula>1</formula>
      <formula>4</formula>
    </cfRule>
  </conditionalFormatting>
  <conditionalFormatting sqref="H147:M150">
    <cfRule type="dataBar" priority="10">
      <dataBar>
        <cfvo type="min"/>
        <cfvo type="num" val="4"/>
        <color rgb="FFFFC000"/>
      </dataBar>
      <extLst>
        <ext xmlns:x14="http://schemas.microsoft.com/office/spreadsheetml/2009/9/main" uri="{B025F937-C7B1-47D3-B67F-A62EFF666E3E}">
          <x14:id>{3ED01DE4-621F-4202-AD21-E1BDF27FA1A3}</x14:id>
        </ext>
      </extLst>
    </cfRule>
  </conditionalFormatting>
  <conditionalFormatting sqref="H145:O150">
    <cfRule type="containsBlanks" dxfId="56" priority="1">
      <formula>LEN(TRIM(H145))=0</formula>
    </cfRule>
  </conditionalFormatting>
  <conditionalFormatting sqref="N145:N146">
    <cfRule type="dataBar" priority="5">
      <dataBar>
        <cfvo type="min"/>
        <cfvo type="max"/>
        <color rgb="FF3FCDFF"/>
      </dataBar>
      <extLst>
        <ext xmlns:x14="http://schemas.microsoft.com/office/spreadsheetml/2009/9/main" uri="{B025F937-C7B1-47D3-B67F-A62EFF666E3E}">
          <x14:id>{77A1D4E7-D93B-4DD6-9B46-8A5732EE2DDC}</x14:id>
        </ext>
      </extLst>
    </cfRule>
  </conditionalFormatting>
  <conditionalFormatting sqref="N147:N150">
    <cfRule type="dataBar" priority="11">
      <dataBar>
        <cfvo type="min"/>
        <cfvo type="max"/>
        <color rgb="FF3FCDFF"/>
      </dataBar>
      <extLst>
        <ext xmlns:x14="http://schemas.microsoft.com/office/spreadsheetml/2009/9/main" uri="{B025F937-C7B1-47D3-B67F-A62EFF666E3E}">
          <x14:id>{112F89E4-B755-4065-955D-5EE734A0A42E}</x14:id>
        </ext>
      </extLst>
    </cfRule>
  </conditionalFormatting>
  <conditionalFormatting sqref="O145:O146">
    <cfRule type="dataBar" priority="6">
      <dataBar>
        <cfvo type="min"/>
        <cfvo type="max"/>
        <color rgb="FF3FCDFF"/>
      </dataBar>
      <extLst>
        <ext xmlns:x14="http://schemas.microsoft.com/office/spreadsheetml/2009/9/main" uri="{B025F937-C7B1-47D3-B67F-A62EFF666E3E}">
          <x14:id>{EE0CE28F-F7CD-4587-B3CC-954879C50A62}</x14:id>
        </ext>
      </extLst>
    </cfRule>
  </conditionalFormatting>
  <conditionalFormatting sqref="O147:O150">
    <cfRule type="dataBar" priority="12">
      <dataBar>
        <cfvo type="min"/>
        <cfvo type="max"/>
        <color rgb="FF3FCDFF"/>
      </dataBar>
      <extLst>
        <ext xmlns:x14="http://schemas.microsoft.com/office/spreadsheetml/2009/9/main" uri="{B025F937-C7B1-47D3-B67F-A62EFF666E3E}">
          <x14:id>{AD36CF80-2C7B-4FB2-9456-79982E8CC848}</x14:id>
        </ext>
      </extLst>
    </cfRule>
  </conditionalFormatting>
  <conditionalFormatting sqref="P142:P143">
    <cfRule type="containsText" dxfId="55" priority="25" operator="containsText" text="Actual TC">
      <formula>NOT(ISERROR(SEARCH("Actual TC",P142)))</formula>
    </cfRule>
  </conditionalFormatting>
  <conditionalFormatting sqref="P145:P150">
    <cfRule type="containsText" dxfId="54" priority="2" operator="containsText" text="Actual TC">
      <formula>NOT(ISERROR(SEARCH("Actual TC",P145)))</formula>
    </cfRule>
  </conditionalFormatting>
  <hyperlinks>
    <hyperlink ref="F61" r:id="rId1" display="https://ec.europa.eu/eurostat/databrowser/view/DEMO_GIND__custom_2733962/bookmark/table?lang=en&amp;bookmarkId=7084ed24-6b91-4cf3-b90d-d47565593505" xr:uid="{899404BD-6CBF-4671-8182-9EE48B8467E5}"/>
    <hyperlink ref="F63" r:id="rId2" xr:uid="{FEC23BC6-CAB1-4640-A64D-26027AF682D2}"/>
    <hyperlink ref="J30:J35" r:id="rId3" display="https://echa.europa.eu/documents/10162/827ab66d-8f59-9076-e000-064274ba5b5e" xr:uid="{3CBF204C-307D-457A-8BF5-E763036E7127}"/>
    <hyperlink ref="F65" r:id="rId4" xr:uid="{F3449E7A-706B-4264-BDBF-66DEB0856463}"/>
    <hyperlink ref="J40" r:id="rId5" display="https://echa.europa.eu/documents/10162/827ab66d-8f59-9076-e000-064274ba5b5e" xr:uid="{E41BEBF4-EE17-4705-8A85-6F62630EF0A2}"/>
    <hyperlink ref="J36" r:id="rId6" display="https://echa.europa.eu/documents/10162/827ab66d-8f59-9076-e000-064274ba5b5e" xr:uid="{837CAF38-4BC0-4E36-9E4E-BC3392A4FC0C}"/>
    <hyperlink ref="J37" r:id="rId7" display="https://echa.europa.eu/documents/10162/827ab66d-8f59-9076-e000-064274ba5b5e" xr:uid="{5EEB6160-F857-4340-8D52-908D71A3DD94}"/>
    <hyperlink ref="J38" r:id="rId8" display="https://echa.europa.eu/documents/10162/827ab66d-8f59-9076-e000-064274ba5b5e" xr:uid="{A20979B8-8665-461C-BA90-3C8648F0B8DD}"/>
    <hyperlink ref="J39" r:id="rId9" display="https://echa.europa.eu/documents/10162/827ab66d-8f59-9076-e000-064274ba5b5e" xr:uid="{11E4BDE3-6877-4AE6-91C4-F80F6E74BAE0}"/>
    <hyperlink ref="A156" r:id="rId10" display="https://www.eerstekamer.nl/overig/20190220/verwerking_van_kunstgras_huidige/document" xr:uid="{422F6AFD-0109-407F-B65F-FFE070F84283}"/>
  </hyperlinks>
  <pageMargins left="0.7" right="0.7" top="0.75" bottom="0.75" header="0.3" footer="0.3"/>
  <pageSetup orientation="portrait" r:id="rId11"/>
  <extLst>
    <ext xmlns:x14="http://schemas.microsoft.com/office/spreadsheetml/2009/9/main" uri="{78C0D931-6437-407d-A8EE-F0AAD7539E65}">
      <x14:conditionalFormattings>
        <x14:conditionalFormatting xmlns:xm="http://schemas.microsoft.com/office/excel/2006/main">
          <x14:cfRule type="dataBar" id="{1B4CB3B5-0365-4114-B2CD-71549AB8F77C}">
            <x14:dataBar minLength="0" maxLength="100" gradient="0">
              <x14:cfvo type="autoMin"/>
              <x14:cfvo type="num">
                <xm:f>4</xm:f>
              </x14:cfvo>
              <x14:negativeFillColor rgb="FFFF0000"/>
              <x14:axisColor rgb="FF000000"/>
            </x14:dataBar>
          </x14:cfRule>
          <xm:sqref>H145:M146</xm:sqref>
        </x14:conditionalFormatting>
        <x14:conditionalFormatting xmlns:xm="http://schemas.microsoft.com/office/excel/2006/main">
          <x14:cfRule type="dataBar" id="{3ED01DE4-621F-4202-AD21-E1BDF27FA1A3}">
            <x14:dataBar minLength="0" maxLength="100" gradient="0">
              <x14:cfvo type="autoMin"/>
              <x14:cfvo type="num">
                <xm:f>4</xm:f>
              </x14:cfvo>
              <x14:negativeFillColor rgb="FFFF0000"/>
              <x14:axisColor rgb="FF000000"/>
            </x14:dataBar>
          </x14:cfRule>
          <xm:sqref>H147:M150</xm:sqref>
        </x14:conditionalFormatting>
        <x14:conditionalFormatting xmlns:xm="http://schemas.microsoft.com/office/excel/2006/main">
          <x14:cfRule type="dataBar" id="{77A1D4E7-D93B-4DD6-9B46-8A5732EE2DDC}">
            <x14:dataBar minLength="0" maxLength="100" gradient="0">
              <x14:cfvo type="autoMin"/>
              <x14:cfvo type="autoMax"/>
              <x14:negativeFillColor rgb="FFFF0000"/>
              <x14:axisColor rgb="FF000000"/>
            </x14:dataBar>
          </x14:cfRule>
          <xm:sqref>N145:N146</xm:sqref>
        </x14:conditionalFormatting>
        <x14:conditionalFormatting xmlns:xm="http://schemas.microsoft.com/office/excel/2006/main">
          <x14:cfRule type="dataBar" id="{112F89E4-B755-4065-955D-5EE734A0A42E}">
            <x14:dataBar minLength="0" maxLength="100" gradient="0">
              <x14:cfvo type="autoMin"/>
              <x14:cfvo type="autoMax"/>
              <x14:negativeFillColor rgb="FFFF0000"/>
              <x14:axisColor rgb="FF000000"/>
            </x14:dataBar>
          </x14:cfRule>
          <xm:sqref>N147:N150</xm:sqref>
        </x14:conditionalFormatting>
        <x14:conditionalFormatting xmlns:xm="http://schemas.microsoft.com/office/excel/2006/main">
          <x14:cfRule type="dataBar" id="{EE0CE28F-F7CD-4587-B3CC-954879C50A62}">
            <x14:dataBar minLength="0" maxLength="100" gradient="0">
              <x14:cfvo type="autoMin"/>
              <x14:cfvo type="autoMax"/>
              <x14:negativeFillColor rgb="FFFF0000"/>
              <x14:axisColor rgb="FF000000"/>
            </x14:dataBar>
          </x14:cfRule>
          <xm:sqref>O145:O146</xm:sqref>
        </x14:conditionalFormatting>
        <x14:conditionalFormatting xmlns:xm="http://schemas.microsoft.com/office/excel/2006/main">
          <x14:cfRule type="dataBar" id="{AD36CF80-2C7B-4FB2-9456-79982E8CC848}">
            <x14:dataBar minLength="0" maxLength="100" gradient="0">
              <x14:cfvo type="autoMin"/>
              <x14:cfvo type="autoMax"/>
              <x14:negativeFillColor rgb="FFFF0000"/>
              <x14:axisColor rgb="FF000000"/>
            </x14:dataBar>
          </x14:cfRule>
          <xm:sqref>O147:O150</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EBB9F-0909-4120-811D-3CD5D2A8FB51}">
  <sheetPr>
    <tabColor theme="8"/>
  </sheetPr>
  <dimension ref="A1:AN333"/>
  <sheetViews>
    <sheetView zoomScale="80" zoomScaleNormal="80" workbookViewId="0">
      <selection activeCell="A276" sqref="A276"/>
    </sheetView>
  </sheetViews>
  <sheetFormatPr defaultColWidth="8.85546875" defaultRowHeight="15"/>
  <cols>
    <col min="1" max="1" width="50.7109375" style="6" customWidth="1"/>
    <col min="2" max="2" width="41.42578125" style="6" customWidth="1"/>
    <col min="3" max="5" width="20.7109375" style="6" customWidth="1"/>
    <col min="6" max="6" width="36" style="6" customWidth="1"/>
    <col min="7" max="14" width="20.7109375" style="6" customWidth="1"/>
    <col min="15" max="15" width="19.42578125" style="6" customWidth="1"/>
    <col min="16" max="16" width="28.140625" style="6" customWidth="1"/>
    <col min="17" max="17" width="8.85546875" style="6"/>
    <col min="18" max="18" width="86.28515625" style="6" customWidth="1"/>
    <col min="19" max="25" width="8.85546875" style="6"/>
    <col min="26" max="26" width="85.28515625" style="6" bestFit="1" customWidth="1"/>
    <col min="27" max="27" width="8.85546875" style="6"/>
    <col min="28" max="29" width="8.85546875" style="6" customWidth="1"/>
    <col min="30" max="36" width="8.85546875" style="6"/>
    <col min="37" max="37" width="85.28515625" style="6" bestFit="1" customWidth="1"/>
    <col min="38" max="16384" width="8.85546875" style="6"/>
  </cols>
  <sheetData>
    <row r="1" spans="1:40" s="131" customFormat="1" ht="30" customHeight="1">
      <c r="A1" s="1022" t="s">
        <v>799</v>
      </c>
      <c r="B1" s="1022"/>
      <c r="C1" s="1022"/>
      <c r="D1" s="1022"/>
      <c r="E1" s="1022"/>
      <c r="F1" s="1022"/>
      <c r="G1" s="1022"/>
      <c r="H1" s="1022"/>
      <c r="I1" s="1022"/>
      <c r="J1" s="1022"/>
      <c r="K1" s="1022"/>
      <c r="L1" s="1022"/>
      <c r="M1" s="1022"/>
      <c r="N1" s="1022"/>
      <c r="O1" s="1022"/>
      <c r="P1" s="1022"/>
      <c r="Q1" s="1022"/>
      <c r="R1" s="1022"/>
    </row>
    <row r="2" spans="1:40" ht="15" customHeight="1">
      <c r="A2" s="1052" t="s">
        <v>100</v>
      </c>
      <c r="B2" s="1129" t="s">
        <v>101</v>
      </c>
      <c r="C2" s="1129" t="s">
        <v>131</v>
      </c>
      <c r="D2" s="1129" t="s">
        <v>102</v>
      </c>
      <c r="E2" s="182" t="s">
        <v>1129</v>
      </c>
      <c r="F2" s="182" t="s">
        <v>1130</v>
      </c>
      <c r="G2" s="1129" t="s">
        <v>1049</v>
      </c>
      <c r="H2" s="1129" t="s">
        <v>800</v>
      </c>
      <c r="I2" s="1034" t="s">
        <v>104</v>
      </c>
      <c r="J2" s="1034"/>
      <c r="K2" s="1034"/>
      <c r="L2" s="1034"/>
      <c r="M2" s="1034"/>
      <c r="N2" s="1034"/>
      <c r="O2" s="1034"/>
    </row>
    <row r="3" spans="1:40" ht="15" customHeight="1">
      <c r="A3" s="1052"/>
      <c r="B3" s="1080"/>
      <c r="C3" s="1080"/>
      <c r="D3" s="1080"/>
      <c r="E3" s="182" t="s">
        <v>1131</v>
      </c>
      <c r="F3" s="182" t="s">
        <v>1131</v>
      </c>
      <c r="G3" s="1080"/>
      <c r="H3" s="1080"/>
      <c r="I3" s="1034"/>
      <c r="J3" s="1034"/>
      <c r="K3" s="1034"/>
      <c r="L3" s="1034"/>
      <c r="M3" s="1034"/>
      <c r="N3" s="1034"/>
      <c r="O3" s="1034"/>
    </row>
    <row r="4" spans="1:40">
      <c r="A4" s="142" t="s">
        <v>39</v>
      </c>
      <c r="B4" s="117" t="s">
        <v>884</v>
      </c>
      <c r="C4" s="117" t="s">
        <v>884</v>
      </c>
      <c r="D4" s="9" t="s">
        <v>85</v>
      </c>
      <c r="E4" s="116">
        <v>2885.0686350860101</v>
      </c>
      <c r="F4" s="116">
        <v>2909.4280502461302</v>
      </c>
      <c r="G4" s="116">
        <f t="shared" ref="G4:G11" si="0">SUM(E4:F4)</f>
        <v>5794.4966853321403</v>
      </c>
      <c r="H4" s="128">
        <f t="shared" ref="H4:H11" si="1">G4/$G$12</f>
        <v>0.32347542902537302</v>
      </c>
      <c r="I4" s="1021" t="s">
        <v>1132</v>
      </c>
      <c r="J4" s="1021"/>
      <c r="K4" s="1021"/>
      <c r="L4" s="1021"/>
      <c r="M4" s="1021"/>
      <c r="N4" s="1021"/>
      <c r="O4" s="1021"/>
    </row>
    <row r="5" spans="1:40">
      <c r="A5" s="142" t="s">
        <v>39</v>
      </c>
      <c r="B5" s="117" t="s">
        <v>884</v>
      </c>
      <c r="C5" s="117" t="s">
        <v>884</v>
      </c>
      <c r="D5" s="9" t="s">
        <v>86</v>
      </c>
      <c r="E5" s="116">
        <v>2233.3084179234902</v>
      </c>
      <c r="F5" s="116">
        <v>1065.7029273794899</v>
      </c>
      <c r="G5" s="116">
        <f t="shared" si="0"/>
        <v>3299.0113453029799</v>
      </c>
      <c r="H5" s="128">
        <f t="shared" si="1"/>
        <v>0.18416597130563128</v>
      </c>
      <c r="I5" s="1021" t="s">
        <v>1133</v>
      </c>
      <c r="J5" s="1021"/>
      <c r="K5" s="1021"/>
      <c r="L5" s="1021"/>
      <c r="M5" s="1021"/>
      <c r="N5" s="1021"/>
      <c r="O5" s="1021"/>
    </row>
    <row r="6" spans="1:40">
      <c r="A6" s="142" t="s">
        <v>39</v>
      </c>
      <c r="B6" s="117" t="s">
        <v>884</v>
      </c>
      <c r="C6" s="117" t="s">
        <v>884</v>
      </c>
      <c r="D6" s="9" t="s">
        <v>87</v>
      </c>
      <c r="E6" s="116">
        <v>1851.11319573223</v>
      </c>
      <c r="F6" s="116">
        <v>1924.8758026412299</v>
      </c>
      <c r="G6" s="116">
        <f t="shared" si="0"/>
        <v>3775.9889983734602</v>
      </c>
      <c r="H6" s="128">
        <f t="shared" si="1"/>
        <v>0.21079305547552157</v>
      </c>
      <c r="I6" s="1021" t="s">
        <v>1133</v>
      </c>
      <c r="J6" s="1021"/>
      <c r="K6" s="1021"/>
      <c r="L6" s="1021"/>
      <c r="M6" s="1021"/>
      <c r="N6" s="1021"/>
      <c r="O6" s="1021"/>
    </row>
    <row r="7" spans="1:40">
      <c r="A7" s="142" t="s">
        <v>39</v>
      </c>
      <c r="B7" s="117" t="s">
        <v>884</v>
      </c>
      <c r="C7" s="117" t="s">
        <v>884</v>
      </c>
      <c r="D7" s="9" t="s">
        <v>88</v>
      </c>
      <c r="E7" s="116">
        <v>345.54532634631101</v>
      </c>
      <c r="F7" s="116">
        <v>329.843858813324</v>
      </c>
      <c r="G7" s="116">
        <f t="shared" si="0"/>
        <v>675.38918515963496</v>
      </c>
      <c r="H7" s="128">
        <f t="shared" si="1"/>
        <v>3.7703327535183018E-2</v>
      </c>
      <c r="I7" s="1021" t="s">
        <v>1133</v>
      </c>
      <c r="J7" s="1021"/>
      <c r="K7" s="1021"/>
      <c r="L7" s="1021"/>
      <c r="M7" s="1021"/>
      <c r="N7" s="1021"/>
      <c r="O7" s="1021"/>
    </row>
    <row r="8" spans="1:40">
      <c r="A8" s="142" t="s">
        <v>39</v>
      </c>
      <c r="B8" s="117" t="s">
        <v>884</v>
      </c>
      <c r="C8" s="117" t="s">
        <v>884</v>
      </c>
      <c r="D8" s="9" t="s">
        <v>89</v>
      </c>
      <c r="E8" s="116">
        <v>123.549106802057</v>
      </c>
      <c r="F8" s="116">
        <v>117.935075468761</v>
      </c>
      <c r="G8" s="116">
        <f t="shared" si="0"/>
        <v>241.484182270818</v>
      </c>
      <c r="H8" s="128">
        <f t="shared" si="1"/>
        <v>1.3480756604905492E-2</v>
      </c>
      <c r="I8" s="1021" t="s">
        <v>1133</v>
      </c>
      <c r="J8" s="1021"/>
      <c r="K8" s="1021"/>
      <c r="L8" s="1021"/>
      <c r="M8" s="1021"/>
      <c r="N8" s="1021"/>
      <c r="O8" s="1021"/>
    </row>
    <row r="9" spans="1:40">
      <c r="A9" s="142" t="s">
        <v>39</v>
      </c>
      <c r="B9" s="117" t="s">
        <v>884</v>
      </c>
      <c r="C9" s="117" t="s">
        <v>884</v>
      </c>
      <c r="D9" s="9" t="s">
        <v>90</v>
      </c>
      <c r="E9" s="116">
        <v>196.41778061564401</v>
      </c>
      <c r="F9" s="116">
        <v>188.361759836734</v>
      </c>
      <c r="G9" s="116">
        <f t="shared" si="0"/>
        <v>384.779540452378</v>
      </c>
      <c r="H9" s="128">
        <f t="shared" si="1"/>
        <v>2.148016189966712E-2</v>
      </c>
      <c r="I9" s="1021" t="s">
        <v>1133</v>
      </c>
      <c r="J9" s="1021"/>
      <c r="K9" s="1021"/>
      <c r="L9" s="1021"/>
      <c r="M9" s="1021"/>
      <c r="N9" s="1021"/>
      <c r="O9" s="1021"/>
    </row>
    <row r="10" spans="1:40">
      <c r="A10" s="142" t="s">
        <v>39</v>
      </c>
      <c r="B10" s="117" t="s">
        <v>884</v>
      </c>
      <c r="C10" s="117" t="s">
        <v>884</v>
      </c>
      <c r="D10" s="9" t="s">
        <v>91</v>
      </c>
      <c r="E10" s="116">
        <v>1778.68411129328</v>
      </c>
      <c r="F10" s="116">
        <v>1508.5460067608601</v>
      </c>
      <c r="G10" s="116">
        <f t="shared" si="0"/>
        <v>3287.2301180541399</v>
      </c>
      <c r="H10" s="128">
        <f t="shared" si="1"/>
        <v>0.18350828906924124</v>
      </c>
      <c r="I10" s="1021" t="s">
        <v>1133</v>
      </c>
      <c r="J10" s="1021"/>
      <c r="K10" s="1021"/>
      <c r="L10" s="1021"/>
      <c r="M10" s="1021"/>
      <c r="N10" s="1021"/>
      <c r="O10" s="1021"/>
    </row>
    <row r="11" spans="1:40">
      <c r="A11" s="142" t="s">
        <v>39</v>
      </c>
      <c r="B11" s="117" t="s">
        <v>884</v>
      </c>
      <c r="C11" s="117" t="s">
        <v>884</v>
      </c>
      <c r="D11" s="9" t="s">
        <v>98</v>
      </c>
      <c r="E11" s="116">
        <v>201.416771483639</v>
      </c>
      <c r="F11" s="116">
        <v>253.45458432209401</v>
      </c>
      <c r="G11" s="116">
        <f t="shared" si="0"/>
        <v>454.871355805733</v>
      </c>
      <c r="H11" s="128">
        <f t="shared" si="1"/>
        <v>2.5393009084477291E-2</v>
      </c>
      <c r="I11" s="1021" t="s">
        <v>1133</v>
      </c>
      <c r="J11" s="1021"/>
      <c r="K11" s="1021"/>
      <c r="L11" s="1021"/>
      <c r="M11" s="1021"/>
      <c r="N11" s="1021"/>
      <c r="O11" s="1021"/>
    </row>
    <row r="12" spans="1:40">
      <c r="A12" s="142" t="s">
        <v>39</v>
      </c>
      <c r="B12" s="117" t="s">
        <v>884</v>
      </c>
      <c r="C12" s="117" t="s">
        <v>884</v>
      </c>
      <c r="D12" s="9" t="s">
        <v>1049</v>
      </c>
      <c r="E12" s="132">
        <f>SUM(E4:E11)</f>
        <v>9615.1033452826632</v>
      </c>
      <c r="F12" s="132">
        <f>SUM(F4:F11)</f>
        <v>8298.1480654686238</v>
      </c>
      <c r="G12" s="132">
        <f t="shared" ref="G12:H12" si="2">SUM(G4:G11)</f>
        <v>17913.251410751283</v>
      </c>
      <c r="H12" s="133">
        <f t="shared" si="2"/>
        <v>1</v>
      </c>
      <c r="I12" s="1021"/>
      <c r="J12" s="1021"/>
      <c r="K12" s="1021"/>
      <c r="L12" s="1021"/>
      <c r="M12" s="1021"/>
      <c r="N12" s="1021"/>
      <c r="O12" s="1021"/>
    </row>
    <row r="13" spans="1:40">
      <c r="B13" s="25"/>
      <c r="C13" s="134"/>
      <c r="D13" s="134"/>
      <c r="E13" s="134"/>
      <c r="F13" s="135"/>
    </row>
    <row r="14" spans="1:40" s="131" customFormat="1" ht="30" customHeight="1">
      <c r="A14" s="1022" t="s">
        <v>767</v>
      </c>
      <c r="B14" s="1022"/>
      <c r="C14" s="1022"/>
      <c r="D14" s="1022"/>
      <c r="E14" s="1022"/>
      <c r="F14" s="1022"/>
      <c r="G14" s="1022"/>
      <c r="H14" s="1022"/>
      <c r="I14" s="1022"/>
      <c r="J14" s="1022"/>
      <c r="K14" s="1022"/>
      <c r="L14" s="1022"/>
      <c r="M14" s="1022"/>
      <c r="N14" s="1022"/>
      <c r="O14" s="1022"/>
      <c r="P14" s="1022"/>
      <c r="Q14" s="1022"/>
      <c r="R14" s="1022"/>
      <c r="U14" s="388" t="s">
        <v>767</v>
      </c>
      <c r="V14" s="388"/>
      <c r="W14" s="388"/>
      <c r="X14" s="388"/>
      <c r="Y14" s="388"/>
      <c r="Z14" s="388"/>
      <c r="AA14" s="388"/>
      <c r="AB14" s="388"/>
      <c r="AC14" s="388"/>
      <c r="AD14"/>
      <c r="AE14"/>
      <c r="AF14" s="388" t="s">
        <v>1134</v>
      </c>
      <c r="AG14" s="388"/>
      <c r="AH14" s="388"/>
      <c r="AI14" s="388"/>
      <c r="AJ14" s="388"/>
      <c r="AK14" s="388"/>
      <c r="AL14" s="388"/>
      <c r="AM14" s="388"/>
      <c r="AN14" s="388"/>
    </row>
    <row r="15" spans="1:40" ht="30" customHeight="1">
      <c r="A15" s="140" t="s">
        <v>100</v>
      </c>
      <c r="B15" s="140" t="s">
        <v>101</v>
      </c>
      <c r="C15" s="140" t="s">
        <v>131</v>
      </c>
      <c r="D15" s="140" t="s">
        <v>102</v>
      </c>
      <c r="E15" s="140" t="s">
        <v>894</v>
      </c>
      <c r="F15" s="1052" t="s">
        <v>104</v>
      </c>
      <c r="G15" s="1052"/>
      <c r="H15" s="1052"/>
      <c r="I15" s="1052"/>
      <c r="U15" s="140" t="s">
        <v>100</v>
      </c>
      <c r="V15" s="140" t="s">
        <v>101</v>
      </c>
      <c r="W15" s="140" t="s">
        <v>131</v>
      </c>
      <c r="X15" s="140" t="s">
        <v>102</v>
      </c>
      <c r="Y15" s="140" t="s">
        <v>894</v>
      </c>
      <c r="Z15" s="1052" t="s">
        <v>104</v>
      </c>
      <c r="AA15" s="1052"/>
      <c r="AB15" s="1052"/>
      <c r="AC15" s="1052"/>
      <c r="AF15" s="140" t="s">
        <v>100</v>
      </c>
      <c r="AG15" s="140" t="s">
        <v>101</v>
      </c>
      <c r="AH15" s="140" t="s">
        <v>131</v>
      </c>
      <c r="AI15" s="140" t="s">
        <v>102</v>
      </c>
      <c r="AJ15" s="140" t="s">
        <v>894</v>
      </c>
      <c r="AK15" s="1052" t="s">
        <v>104</v>
      </c>
      <c r="AL15" s="1052"/>
      <c r="AM15" s="1052"/>
      <c r="AN15" s="1052"/>
    </row>
    <row r="16" spans="1:40">
      <c r="A16" s="143" t="s">
        <v>39</v>
      </c>
      <c r="B16" s="117">
        <v>2020</v>
      </c>
      <c r="C16" s="117" t="s">
        <v>180</v>
      </c>
      <c r="D16" s="117" t="s">
        <v>955</v>
      </c>
      <c r="E16" s="130">
        <v>554</v>
      </c>
      <c r="F16" s="1128" t="s">
        <v>1135</v>
      </c>
      <c r="G16" s="1128"/>
      <c r="H16" s="1128"/>
      <c r="I16" s="1128"/>
      <c r="U16" s="143" t="s">
        <v>39</v>
      </c>
      <c r="V16" s="117">
        <v>2021</v>
      </c>
      <c r="W16" s="117" t="s">
        <v>180</v>
      </c>
      <c r="X16" s="117" t="s">
        <v>955</v>
      </c>
      <c r="Y16" s="130">
        <f>545828/1000</f>
        <v>545.82799999999997</v>
      </c>
      <c r="Z16" s="1128" t="s">
        <v>1135</v>
      </c>
      <c r="AA16" s="1128"/>
      <c r="AB16" s="1128"/>
      <c r="AC16" s="1128"/>
      <c r="AF16" s="143" t="s">
        <v>39</v>
      </c>
      <c r="AG16" s="117">
        <v>2021</v>
      </c>
      <c r="AH16" s="117" t="s">
        <v>182</v>
      </c>
      <c r="AI16" s="117" t="s">
        <v>955</v>
      </c>
      <c r="AJ16" s="130">
        <f>16051604/1000</f>
        <v>16051.603999999999</v>
      </c>
      <c r="AK16" s="1128" t="s">
        <v>1135</v>
      </c>
      <c r="AL16" s="1128"/>
      <c r="AM16" s="1128"/>
      <c r="AN16" s="1128"/>
    </row>
    <row r="17" spans="1:40">
      <c r="U17" s="143" t="s">
        <v>39</v>
      </c>
      <c r="V17" s="6">
        <v>2020</v>
      </c>
      <c r="W17" s="117" t="s">
        <v>180</v>
      </c>
      <c r="X17" s="117" t="s">
        <v>955</v>
      </c>
      <c r="Y17" s="117">
        <f>554000/1000</f>
        <v>554</v>
      </c>
      <c r="Z17" s="1128" t="s">
        <v>1135</v>
      </c>
      <c r="AA17" s="1128"/>
      <c r="AB17" s="1128"/>
      <c r="AC17" s="1128"/>
      <c r="AF17" s="143" t="s">
        <v>39</v>
      </c>
      <c r="AG17" s="6">
        <v>2020</v>
      </c>
      <c r="AH17" s="117" t="s">
        <v>182</v>
      </c>
      <c r="AI17" s="117" t="s">
        <v>955</v>
      </c>
      <c r="AJ17" s="117">
        <f>15453665/1000</f>
        <v>15453.665000000001</v>
      </c>
      <c r="AK17" s="1128" t="s">
        <v>1135</v>
      </c>
      <c r="AL17" s="1128"/>
      <c r="AM17" s="1128"/>
      <c r="AN17" s="1128"/>
    </row>
    <row r="18" spans="1:40" ht="30" customHeight="1">
      <c r="A18" s="140" t="s">
        <v>100</v>
      </c>
      <c r="B18" s="140" t="s">
        <v>101</v>
      </c>
      <c r="C18" s="140" t="s">
        <v>131</v>
      </c>
      <c r="D18" s="140" t="s">
        <v>102</v>
      </c>
      <c r="E18" s="140" t="s">
        <v>894</v>
      </c>
      <c r="F18" s="1052" t="s">
        <v>104</v>
      </c>
      <c r="G18" s="1052"/>
      <c r="H18" s="1052"/>
      <c r="I18" s="1052"/>
      <c r="U18" s="143" t="s">
        <v>39</v>
      </c>
      <c r="V18" s="117">
        <v>2019</v>
      </c>
      <c r="W18" s="117" t="s">
        <v>180</v>
      </c>
      <c r="X18" s="117" t="s">
        <v>955</v>
      </c>
      <c r="Y18" s="117">
        <v>523</v>
      </c>
      <c r="Z18" s="1128" t="s">
        <v>1135</v>
      </c>
      <c r="AA18" s="1128"/>
      <c r="AB18" s="1128"/>
      <c r="AC18" s="1128"/>
      <c r="AF18" s="143" t="s">
        <v>39</v>
      </c>
      <c r="AG18" s="117">
        <v>2019</v>
      </c>
      <c r="AH18" s="117" t="s">
        <v>182</v>
      </c>
      <c r="AI18" s="117" t="s">
        <v>955</v>
      </c>
      <c r="AJ18" s="117">
        <f>15262788/1000</f>
        <v>15262.788</v>
      </c>
      <c r="AK18" s="1128" t="s">
        <v>1135</v>
      </c>
      <c r="AL18" s="1128"/>
      <c r="AM18" s="1128"/>
      <c r="AN18" s="1128"/>
    </row>
    <row r="19" spans="1:40">
      <c r="A19" s="143" t="s">
        <v>39</v>
      </c>
      <c r="B19" s="117">
        <v>2020</v>
      </c>
      <c r="C19" s="117" t="s">
        <v>180</v>
      </c>
      <c r="D19" s="9" t="s">
        <v>85</v>
      </c>
      <c r="E19" s="136">
        <f t="shared" ref="E19:E26" si="3">H4*$E$16</f>
        <v>179.20538768005665</v>
      </c>
      <c r="F19" s="1054" t="s">
        <v>1136</v>
      </c>
      <c r="G19" s="1054"/>
      <c r="H19" s="1054"/>
      <c r="I19" s="1054"/>
      <c r="U19" s="143" t="s">
        <v>39</v>
      </c>
      <c r="V19" s="6">
        <v>2018</v>
      </c>
      <c r="W19" s="117" t="s">
        <v>180</v>
      </c>
      <c r="X19" s="117" t="s">
        <v>955</v>
      </c>
      <c r="Y19" s="117">
        <v>523</v>
      </c>
      <c r="Z19" s="1128" t="s">
        <v>1135</v>
      </c>
      <c r="AA19" s="1128"/>
      <c r="AB19" s="1128"/>
      <c r="AC19" s="1128"/>
      <c r="AF19" s="143" t="s">
        <v>39</v>
      </c>
      <c r="AG19" s="6">
        <v>2018</v>
      </c>
      <c r="AH19" s="117" t="s">
        <v>182</v>
      </c>
      <c r="AI19" s="117" t="s">
        <v>955</v>
      </c>
      <c r="AJ19" s="117">
        <f>14817435/1000</f>
        <v>14817.434999999999</v>
      </c>
      <c r="AK19" s="1128" t="s">
        <v>1135</v>
      </c>
      <c r="AL19" s="1128"/>
      <c r="AM19" s="1128"/>
      <c r="AN19" s="1128"/>
    </row>
    <row r="20" spans="1:40">
      <c r="A20" s="143" t="s">
        <v>39</v>
      </c>
      <c r="B20" s="117">
        <v>2020</v>
      </c>
      <c r="C20" s="117" t="s">
        <v>180</v>
      </c>
      <c r="D20" s="9" t="s">
        <v>86</v>
      </c>
      <c r="E20" s="136">
        <f t="shared" si="3"/>
        <v>102.02794810331973</v>
      </c>
      <c r="F20" s="1054" t="s">
        <v>1136</v>
      </c>
      <c r="G20" s="1054"/>
      <c r="H20" s="1054"/>
      <c r="I20" s="1054"/>
      <c r="U20" s="143" t="s">
        <v>39</v>
      </c>
      <c r="V20" s="117">
        <v>2017</v>
      </c>
      <c r="W20" s="117" t="s">
        <v>180</v>
      </c>
      <c r="X20" s="117" t="s">
        <v>955</v>
      </c>
      <c r="Y20" s="117">
        <v>512</v>
      </c>
      <c r="Z20" s="1128" t="s">
        <v>1135</v>
      </c>
      <c r="AA20" s="1128"/>
      <c r="AB20" s="1128"/>
      <c r="AC20" s="1128"/>
      <c r="AF20" s="143" t="s">
        <v>39</v>
      </c>
      <c r="AG20" s="117">
        <v>2017</v>
      </c>
      <c r="AH20" s="117" t="s">
        <v>182</v>
      </c>
      <c r="AI20" s="117" t="s">
        <v>955</v>
      </c>
      <c r="AJ20" s="117">
        <f>14551775/1000</f>
        <v>14551.775</v>
      </c>
      <c r="AK20" s="1128" t="s">
        <v>1135</v>
      </c>
      <c r="AL20" s="1128"/>
      <c r="AM20" s="1128"/>
      <c r="AN20" s="1128"/>
    </row>
    <row r="21" spans="1:40">
      <c r="A21" s="143" t="s">
        <v>39</v>
      </c>
      <c r="B21" s="117">
        <v>2020</v>
      </c>
      <c r="C21" s="117" t="s">
        <v>180</v>
      </c>
      <c r="D21" s="9" t="s">
        <v>87</v>
      </c>
      <c r="E21" s="136">
        <f t="shared" si="3"/>
        <v>116.77935273343896</v>
      </c>
      <c r="F21" s="1054" t="s">
        <v>1136</v>
      </c>
      <c r="G21" s="1054"/>
      <c r="H21" s="1054"/>
      <c r="I21" s="1054"/>
      <c r="U21"/>
      <c r="V21"/>
      <c r="W21"/>
      <c r="X21"/>
      <c r="Y21"/>
      <c r="Z21" s="1020"/>
      <c r="AA21" s="1020"/>
      <c r="AB21" s="1020"/>
      <c r="AC21" s="1020"/>
      <c r="AF21"/>
      <c r="AG21"/>
      <c r="AH21"/>
      <c r="AI21"/>
      <c r="AJ21"/>
      <c r="AK21" s="1020"/>
      <c r="AL21" s="1020"/>
      <c r="AM21" s="1020"/>
      <c r="AN21" s="1020"/>
    </row>
    <row r="22" spans="1:40">
      <c r="A22" s="143" t="s">
        <v>39</v>
      </c>
      <c r="B22" s="117">
        <v>2020</v>
      </c>
      <c r="C22" s="117" t="s">
        <v>180</v>
      </c>
      <c r="D22" s="9" t="s">
        <v>88</v>
      </c>
      <c r="E22" s="136">
        <f t="shared" si="3"/>
        <v>20.887643454491393</v>
      </c>
      <c r="F22" s="1054" t="s">
        <v>1136</v>
      </c>
      <c r="G22" s="1054"/>
      <c r="H22" s="1054"/>
      <c r="I22" s="1054"/>
      <c r="U22" s="140" t="s">
        <v>100</v>
      </c>
      <c r="V22" s="140" t="s">
        <v>101</v>
      </c>
      <c r="W22" s="140" t="s">
        <v>131</v>
      </c>
      <c r="X22" s="140" t="s">
        <v>102</v>
      </c>
      <c r="Y22" s="140" t="s">
        <v>894</v>
      </c>
      <c r="Z22" s="140" t="s">
        <v>104</v>
      </c>
      <c r="AA22" s="140"/>
      <c r="AB22" s="140"/>
      <c r="AC22" s="140"/>
      <c r="AF22" s="140" t="s">
        <v>100</v>
      </c>
      <c r="AG22" s="140" t="s">
        <v>101</v>
      </c>
      <c r="AH22" s="140" t="s">
        <v>131</v>
      </c>
      <c r="AI22" s="140" t="s">
        <v>102</v>
      </c>
      <c r="AJ22" s="140" t="s">
        <v>894</v>
      </c>
      <c r="AK22" s="140" t="s">
        <v>104</v>
      </c>
      <c r="AL22" s="140"/>
      <c r="AM22" s="140"/>
      <c r="AN22" s="140"/>
    </row>
    <row r="23" spans="1:40">
      <c r="A23" s="143" t="s">
        <v>39</v>
      </c>
      <c r="B23" s="117">
        <v>2020</v>
      </c>
      <c r="C23" s="117" t="s">
        <v>180</v>
      </c>
      <c r="D23" s="9" t="s">
        <v>89</v>
      </c>
      <c r="E23" s="136">
        <f t="shared" si="3"/>
        <v>7.4683391591176429</v>
      </c>
      <c r="F23" s="1054" t="s">
        <v>1136</v>
      </c>
      <c r="G23" s="1054"/>
      <c r="H23" s="1054"/>
      <c r="I23" s="1054"/>
      <c r="U23" s="143" t="s">
        <v>39</v>
      </c>
      <c r="V23" s="117">
        <v>2021</v>
      </c>
      <c r="W23" s="117" t="s">
        <v>180</v>
      </c>
      <c r="X23" s="9" t="s">
        <v>85</v>
      </c>
      <c r="Y23" s="136">
        <f>Y16*H4</f>
        <v>176.5619464740613</v>
      </c>
      <c r="Z23" s="117" t="s">
        <v>1136</v>
      </c>
      <c r="AA23" s="117"/>
      <c r="AB23" s="117"/>
      <c r="AC23" s="117"/>
      <c r="AF23" s="143" t="s">
        <v>39</v>
      </c>
      <c r="AG23" s="117">
        <v>2021</v>
      </c>
      <c r="AH23" s="117" t="s">
        <v>182</v>
      </c>
      <c r="AI23" s="9" t="s">
        <v>85</v>
      </c>
      <c r="AJ23" s="136">
        <f>AJ16*H4</f>
        <v>5192.2994904453935</v>
      </c>
      <c r="AK23" s="117" t="s">
        <v>1136</v>
      </c>
      <c r="AL23" s="117"/>
      <c r="AM23" s="117"/>
      <c r="AN23" s="117"/>
    </row>
    <row r="24" spans="1:40">
      <c r="A24" s="143" t="s">
        <v>39</v>
      </c>
      <c r="B24" s="117">
        <v>2020</v>
      </c>
      <c r="C24" s="117" t="s">
        <v>180</v>
      </c>
      <c r="D24" s="9" t="s">
        <v>90</v>
      </c>
      <c r="E24" s="136">
        <f t="shared" si="3"/>
        <v>11.900009692415585</v>
      </c>
      <c r="F24" s="1054" t="s">
        <v>1136</v>
      </c>
      <c r="G24" s="1054"/>
      <c r="H24" s="1054"/>
      <c r="I24" s="1054"/>
      <c r="U24" s="143" t="s">
        <v>39</v>
      </c>
      <c r="V24" s="117">
        <v>2021</v>
      </c>
      <c r="W24" s="117" t="s">
        <v>180</v>
      </c>
      <c r="X24" s="9" t="s">
        <v>86</v>
      </c>
      <c r="Y24" s="136">
        <f>Y16*H5</f>
        <v>100.52294378581011</v>
      </c>
      <c r="Z24" s="117" t="s">
        <v>1136</v>
      </c>
      <c r="AA24" s="117"/>
      <c r="AB24" s="117"/>
      <c r="AC24" s="117"/>
      <c r="AF24" s="143" t="s">
        <v>39</v>
      </c>
      <c r="AG24" s="117">
        <v>2021</v>
      </c>
      <c r="AH24" s="117" t="s">
        <v>182</v>
      </c>
      <c r="AI24" s="9" t="s">
        <v>86</v>
      </c>
      <c r="AJ24" s="136">
        <f>AJ16*H5</f>
        <v>2956.1592416733561</v>
      </c>
      <c r="AK24" s="117" t="s">
        <v>1136</v>
      </c>
      <c r="AL24" s="117"/>
      <c r="AM24" s="117"/>
      <c r="AN24" s="117"/>
    </row>
    <row r="25" spans="1:40">
      <c r="A25" s="143" t="s">
        <v>39</v>
      </c>
      <c r="B25" s="117">
        <v>2020</v>
      </c>
      <c r="C25" s="117" t="s">
        <v>180</v>
      </c>
      <c r="D25" s="9" t="s">
        <v>91</v>
      </c>
      <c r="E25" s="136">
        <f t="shared" si="3"/>
        <v>101.66359214435965</v>
      </c>
      <c r="F25" s="1054" t="s">
        <v>1136</v>
      </c>
      <c r="G25" s="1054"/>
      <c r="H25" s="1054"/>
      <c r="I25" s="1054"/>
      <c r="U25" s="143" t="s">
        <v>39</v>
      </c>
      <c r="V25" s="117">
        <v>2021</v>
      </c>
      <c r="W25" s="117" t="s">
        <v>180</v>
      </c>
      <c r="X25" s="9" t="s">
        <v>87</v>
      </c>
      <c r="Y25" s="136">
        <f>Y16*H6</f>
        <v>115.05675188409299</v>
      </c>
      <c r="Z25" s="117" t="s">
        <v>1136</v>
      </c>
      <c r="AA25" s="117"/>
      <c r="AB25" s="117"/>
      <c r="AC25" s="117"/>
      <c r="AF25" s="143" t="s">
        <v>39</v>
      </c>
      <c r="AG25" s="117">
        <v>2021</v>
      </c>
      <c r="AH25" s="117" t="s">
        <v>182</v>
      </c>
      <c r="AI25" s="9" t="s">
        <v>87</v>
      </c>
      <c r="AJ25" s="136">
        <f>AJ16*H6</f>
        <v>3383.566652443104</v>
      </c>
      <c r="AK25" s="117" t="s">
        <v>1136</v>
      </c>
      <c r="AL25" s="117"/>
      <c r="AM25" s="117"/>
      <c r="AN25" s="117"/>
    </row>
    <row r="26" spans="1:40">
      <c r="A26" s="143" t="s">
        <v>39</v>
      </c>
      <c r="B26" s="117">
        <v>2020</v>
      </c>
      <c r="C26" s="117" t="s">
        <v>180</v>
      </c>
      <c r="D26" s="9" t="s">
        <v>98</v>
      </c>
      <c r="E26" s="136">
        <f t="shared" si="3"/>
        <v>14.06772703280042</v>
      </c>
      <c r="F26" s="1054" t="s">
        <v>1136</v>
      </c>
      <c r="G26" s="1054"/>
      <c r="H26" s="1054"/>
      <c r="I26" s="1054"/>
      <c r="U26" s="143" t="s">
        <v>39</v>
      </c>
      <c r="V26" s="117">
        <v>2021</v>
      </c>
      <c r="W26" s="117" t="s">
        <v>180</v>
      </c>
      <c r="X26" s="9" t="s">
        <v>88</v>
      </c>
      <c r="Y26" s="136">
        <f>Y16*H7</f>
        <v>20.579531861873875</v>
      </c>
      <c r="Z26" s="117" t="s">
        <v>1136</v>
      </c>
      <c r="AA26" s="117"/>
      <c r="AB26" s="117"/>
      <c r="AC26" s="117"/>
      <c r="AF26" s="143" t="s">
        <v>39</v>
      </c>
      <c r="AG26" s="117">
        <v>2021</v>
      </c>
      <c r="AH26" s="117" t="s">
        <v>182</v>
      </c>
      <c r="AI26" s="9" t="s">
        <v>88</v>
      </c>
      <c r="AJ26" s="136">
        <f>AJ16*H7</f>
        <v>605.19888307705389</v>
      </c>
      <c r="AK26" s="117" t="s">
        <v>1136</v>
      </c>
      <c r="AL26" s="117"/>
      <c r="AM26" s="117"/>
      <c r="AN26" s="117"/>
    </row>
    <row r="27" spans="1:40">
      <c r="B27" s="7"/>
      <c r="D27" s="26"/>
      <c r="E27" s="106"/>
      <c r="U27" s="143" t="s">
        <v>39</v>
      </c>
      <c r="V27" s="117">
        <v>2021</v>
      </c>
      <c r="W27" s="117" t="s">
        <v>180</v>
      </c>
      <c r="X27" s="9" t="s">
        <v>89</v>
      </c>
      <c r="Y27" s="136">
        <f>Y16*H8</f>
        <v>7.3581744161423543</v>
      </c>
      <c r="Z27" s="117" t="s">
        <v>1136</v>
      </c>
      <c r="AA27" s="117"/>
      <c r="AB27" s="117"/>
      <c r="AC27" s="117"/>
      <c r="AF27" s="143" t="s">
        <v>39</v>
      </c>
      <c r="AG27" s="117">
        <v>2021</v>
      </c>
      <c r="AH27" s="117" t="s">
        <v>182</v>
      </c>
      <c r="AI27" s="9" t="s">
        <v>89</v>
      </c>
      <c r="AJ27" s="136">
        <f>AJ16*H8</f>
        <v>216.38776664232742</v>
      </c>
      <c r="AK27" s="117" t="s">
        <v>1136</v>
      </c>
      <c r="AL27" s="117"/>
      <c r="AM27" s="117"/>
      <c r="AN27" s="117"/>
    </row>
    <row r="28" spans="1:40" s="131" customFormat="1" ht="30" customHeight="1">
      <c r="A28" s="1125" t="s">
        <v>785</v>
      </c>
      <c r="B28" s="1126"/>
      <c r="C28" s="1126"/>
      <c r="D28" s="1126"/>
      <c r="E28" s="1126"/>
      <c r="F28" s="1126"/>
      <c r="G28" s="1126"/>
      <c r="H28" s="1126"/>
      <c r="I28" s="1126"/>
      <c r="J28" s="1126"/>
      <c r="K28" s="1126"/>
      <c r="L28" s="1126"/>
      <c r="M28" s="1126"/>
      <c r="N28" s="1126"/>
      <c r="O28" s="1126"/>
      <c r="P28" s="1126"/>
      <c r="Q28" s="1126"/>
      <c r="R28" s="1127"/>
      <c r="U28" s="143" t="s">
        <v>39</v>
      </c>
      <c r="V28" s="117">
        <v>2021</v>
      </c>
      <c r="W28" s="117" t="s">
        <v>180</v>
      </c>
      <c r="X28" s="9" t="s">
        <v>90</v>
      </c>
      <c r="Y28" s="136">
        <f>Y16*H9</f>
        <v>11.724473809371505</v>
      </c>
      <c r="Z28" s="117" t="s">
        <v>1136</v>
      </c>
      <c r="AA28" s="117"/>
      <c r="AB28" s="117"/>
      <c r="AC28" s="117"/>
      <c r="AF28" s="143" t="s">
        <v>39</v>
      </c>
      <c r="AG28" s="117">
        <v>2021</v>
      </c>
      <c r="AH28" s="117" t="s">
        <v>182</v>
      </c>
      <c r="AI28" s="9" t="s">
        <v>90</v>
      </c>
      <c r="AJ28" s="136">
        <f>AJ16*H9</f>
        <v>344.79105266934431</v>
      </c>
      <c r="AK28" s="117" t="s">
        <v>1136</v>
      </c>
      <c r="AL28" s="117"/>
      <c r="AM28" s="117"/>
      <c r="AN28" s="117"/>
    </row>
    <row r="29" spans="1:40" ht="30" customHeight="1">
      <c r="A29" s="140" t="s">
        <v>100</v>
      </c>
      <c r="B29" s="140" t="s">
        <v>101</v>
      </c>
      <c r="C29" s="140" t="s">
        <v>131</v>
      </c>
      <c r="D29" s="140" t="s">
        <v>102</v>
      </c>
      <c r="E29" s="140" t="s">
        <v>894</v>
      </c>
      <c r="F29" s="1052" t="s">
        <v>104</v>
      </c>
      <c r="G29" s="1052"/>
      <c r="H29" s="1052"/>
      <c r="I29" s="1052"/>
      <c r="U29" s="143" t="s">
        <v>39</v>
      </c>
      <c r="V29" s="117">
        <v>2021</v>
      </c>
      <c r="W29" s="117" t="s">
        <v>180</v>
      </c>
      <c r="X29" s="9" t="s">
        <v>91</v>
      </c>
      <c r="Y29" s="136">
        <f>Y16*H10</f>
        <v>100.1639624060858</v>
      </c>
      <c r="Z29" s="117" t="s">
        <v>1136</v>
      </c>
      <c r="AA29" s="117"/>
      <c r="AB29" s="117"/>
      <c r="AC29" s="117"/>
      <c r="AF29" s="143" t="s">
        <v>39</v>
      </c>
      <c r="AG29" s="117">
        <v>2021</v>
      </c>
      <c r="AH29" s="117" t="s">
        <v>182</v>
      </c>
      <c r="AI29" s="9" t="s">
        <v>91</v>
      </c>
      <c r="AJ29" s="136">
        <f>AJ16*H10</f>
        <v>2945.6023868569887</v>
      </c>
      <c r="AK29" s="117" t="s">
        <v>1136</v>
      </c>
      <c r="AL29" s="117"/>
      <c r="AM29" s="117"/>
      <c r="AN29" s="117"/>
    </row>
    <row r="30" spans="1:40">
      <c r="A30" s="143" t="s">
        <v>39</v>
      </c>
      <c r="B30" s="117">
        <v>2020</v>
      </c>
      <c r="C30" s="117" t="s">
        <v>182</v>
      </c>
      <c r="D30" s="117" t="s">
        <v>955</v>
      </c>
      <c r="E30" s="117">
        <v>15458.25</v>
      </c>
      <c r="F30" s="1128" t="s">
        <v>1137</v>
      </c>
      <c r="G30" s="1128"/>
      <c r="H30" s="1128"/>
      <c r="I30" s="1128"/>
      <c r="U30" s="143" t="s">
        <v>39</v>
      </c>
      <c r="V30" s="117">
        <v>2021</v>
      </c>
      <c r="W30" s="117" t="s">
        <v>180</v>
      </c>
      <c r="X30" s="9" t="s">
        <v>98</v>
      </c>
      <c r="Y30" s="136">
        <f>Y16*H11</f>
        <v>13.860215362562069</v>
      </c>
      <c r="Z30" s="117" t="s">
        <v>1136</v>
      </c>
      <c r="AA30" s="117"/>
      <c r="AB30" s="117"/>
      <c r="AC30" s="117"/>
      <c r="AF30" s="143" t="s">
        <v>39</v>
      </c>
      <c r="AG30" s="117">
        <v>2021</v>
      </c>
      <c r="AH30" s="117" t="s">
        <v>182</v>
      </c>
      <c r="AI30" s="9" t="s">
        <v>98</v>
      </c>
      <c r="AJ30" s="136">
        <f>AJ16*H11</f>
        <v>407.59852619243202</v>
      </c>
      <c r="AK30" s="117" t="s">
        <v>1136</v>
      </c>
      <c r="AL30" s="117"/>
      <c r="AM30" s="117"/>
      <c r="AN30" s="117"/>
    </row>
    <row r="31" spans="1:40">
      <c r="U31" s="143" t="s">
        <v>39</v>
      </c>
      <c r="V31" s="117">
        <v>2020</v>
      </c>
      <c r="W31" s="117" t="s">
        <v>180</v>
      </c>
      <c r="X31" s="9" t="s">
        <v>85</v>
      </c>
      <c r="Y31" s="136">
        <f>Y17*H4</f>
        <v>179.20538768005665</v>
      </c>
      <c r="Z31" s="117" t="s">
        <v>1136</v>
      </c>
      <c r="AA31" s="117"/>
      <c r="AB31" s="117"/>
      <c r="AC31" s="117"/>
      <c r="AF31" s="143" t="s">
        <v>39</v>
      </c>
      <c r="AG31" s="117">
        <v>2020</v>
      </c>
      <c r="AH31" s="117" t="s">
        <v>182</v>
      </c>
      <c r="AI31" s="9" t="s">
        <v>85</v>
      </c>
      <c r="AJ31" s="136">
        <f>AJ17*H4</f>
        <v>4998.880915889391</v>
      </c>
      <c r="AK31" s="117" t="s">
        <v>1136</v>
      </c>
      <c r="AL31" s="117"/>
      <c r="AM31" s="117"/>
      <c r="AN31" s="117"/>
    </row>
    <row r="32" spans="1:40" ht="30" customHeight="1">
      <c r="A32" s="140" t="s">
        <v>100</v>
      </c>
      <c r="B32" s="140" t="s">
        <v>101</v>
      </c>
      <c r="C32" s="140" t="s">
        <v>131</v>
      </c>
      <c r="D32" s="140" t="s">
        <v>102</v>
      </c>
      <c r="E32" s="140" t="s">
        <v>894</v>
      </c>
      <c r="F32" s="1052" t="s">
        <v>104</v>
      </c>
      <c r="G32" s="1052"/>
      <c r="H32" s="1052"/>
      <c r="I32" s="1052"/>
      <c r="U32" s="143" t="s">
        <v>39</v>
      </c>
      <c r="V32" s="117">
        <v>2020</v>
      </c>
      <c r="W32" s="117" t="s">
        <v>180</v>
      </c>
      <c r="X32" s="9" t="s">
        <v>86</v>
      </c>
      <c r="Y32" s="136">
        <f>Y17*H5</f>
        <v>102.02794810331973</v>
      </c>
      <c r="Z32" s="117" t="s">
        <v>1136</v>
      </c>
      <c r="AA32" s="117"/>
      <c r="AB32" s="117"/>
      <c r="AC32" s="117"/>
      <c r="AF32" s="143" t="s">
        <v>39</v>
      </c>
      <c r="AG32" s="117">
        <v>2020</v>
      </c>
      <c r="AH32" s="117" t="s">
        <v>182</v>
      </c>
      <c r="AI32" s="9" t="s">
        <v>86</v>
      </c>
      <c r="AJ32" s="136">
        <f>AJ17*H5</f>
        <v>2846.0392249568386</v>
      </c>
      <c r="AK32" s="117" t="s">
        <v>1136</v>
      </c>
      <c r="AL32" s="117"/>
      <c r="AM32" s="117"/>
      <c r="AN32" s="117"/>
    </row>
    <row r="33" spans="1:40">
      <c r="A33" s="143" t="s">
        <v>39</v>
      </c>
      <c r="B33" s="117">
        <v>2020</v>
      </c>
      <c r="C33" s="117" t="s">
        <v>182</v>
      </c>
      <c r="D33" s="9" t="s">
        <v>85</v>
      </c>
      <c r="E33" s="136">
        <f t="shared" ref="E33:E40" si="4">H4*$E$30</f>
        <v>5000.3640507314722</v>
      </c>
      <c r="F33" s="1054" t="s">
        <v>1136</v>
      </c>
      <c r="G33" s="1054"/>
      <c r="H33" s="1054"/>
      <c r="I33" s="1054"/>
      <c r="U33" s="143" t="s">
        <v>39</v>
      </c>
      <c r="V33" s="117">
        <v>2020</v>
      </c>
      <c r="W33" s="117" t="s">
        <v>180</v>
      </c>
      <c r="X33" s="9" t="s">
        <v>87</v>
      </c>
      <c r="Y33" s="136">
        <f>Y17*H6</f>
        <v>116.77935273343896</v>
      </c>
      <c r="Z33" s="117" t="s">
        <v>1136</v>
      </c>
      <c r="AA33" s="117"/>
      <c r="AB33" s="117"/>
      <c r="AC33" s="117"/>
      <c r="AF33" s="143" t="s">
        <v>39</v>
      </c>
      <c r="AG33" s="117">
        <v>2020</v>
      </c>
      <c r="AH33" s="117" t="s">
        <v>182</v>
      </c>
      <c r="AI33" s="9" t="s">
        <v>87</v>
      </c>
      <c r="AJ33" s="136">
        <f>AJ17*H6</f>
        <v>3257.5252636451264</v>
      </c>
      <c r="AK33" s="117" t="s">
        <v>1136</v>
      </c>
      <c r="AL33" s="117"/>
      <c r="AM33" s="117"/>
      <c r="AN33" s="117"/>
    </row>
    <row r="34" spans="1:40">
      <c r="A34" s="143" t="s">
        <v>39</v>
      </c>
      <c r="B34" s="117">
        <v>2020</v>
      </c>
      <c r="C34" s="117" t="s">
        <v>182</v>
      </c>
      <c r="D34" s="9" t="s">
        <v>86</v>
      </c>
      <c r="E34" s="136">
        <f t="shared" si="4"/>
        <v>2846.8836259352747</v>
      </c>
      <c r="F34" s="1054" t="s">
        <v>1136</v>
      </c>
      <c r="G34" s="1054"/>
      <c r="H34" s="1054"/>
      <c r="I34" s="1054"/>
      <c r="U34" s="143" t="s">
        <v>39</v>
      </c>
      <c r="V34" s="117">
        <v>2020</v>
      </c>
      <c r="W34" s="117" t="s">
        <v>180</v>
      </c>
      <c r="X34" s="9" t="s">
        <v>88</v>
      </c>
      <c r="Y34" s="136">
        <f>Y17*H7</f>
        <v>20.887643454491393</v>
      </c>
      <c r="Z34" s="117" t="s">
        <v>1136</v>
      </c>
      <c r="AA34" s="117"/>
      <c r="AB34" s="117"/>
      <c r="AC34" s="117"/>
      <c r="AF34" s="143" t="s">
        <v>39</v>
      </c>
      <c r="AG34" s="117">
        <v>2020</v>
      </c>
      <c r="AH34" s="117" t="s">
        <v>182</v>
      </c>
      <c r="AI34" s="9" t="s">
        <v>88</v>
      </c>
      <c r="AJ34" s="136">
        <f>AJ17*H7</f>
        <v>582.65459311399411</v>
      </c>
      <c r="AK34" s="117" t="s">
        <v>1136</v>
      </c>
      <c r="AL34" s="117"/>
      <c r="AM34" s="117"/>
      <c r="AN34" s="117"/>
    </row>
    <row r="35" spans="1:40">
      <c r="A35" s="143" t="s">
        <v>39</v>
      </c>
      <c r="B35" s="117">
        <v>2020</v>
      </c>
      <c r="C35" s="117" t="s">
        <v>182</v>
      </c>
      <c r="D35" s="9" t="s">
        <v>87</v>
      </c>
      <c r="E35" s="136">
        <f t="shared" si="4"/>
        <v>3258.4917498044815</v>
      </c>
      <c r="F35" s="1054" t="s">
        <v>1136</v>
      </c>
      <c r="G35" s="1054"/>
      <c r="H35" s="1054"/>
      <c r="I35" s="1054"/>
      <c r="U35" s="143" t="s">
        <v>39</v>
      </c>
      <c r="V35" s="117">
        <v>2020</v>
      </c>
      <c r="W35" s="117" t="s">
        <v>180</v>
      </c>
      <c r="X35" s="9" t="s">
        <v>89</v>
      </c>
      <c r="Y35" s="136">
        <f>Y17*H8</f>
        <v>7.4683391591176429</v>
      </c>
      <c r="Z35" s="117" t="s">
        <v>1136</v>
      </c>
      <c r="AA35" s="117"/>
      <c r="AB35" s="117"/>
      <c r="AC35" s="117"/>
      <c r="AF35" s="143" t="s">
        <v>39</v>
      </c>
      <c r="AG35" s="117">
        <v>2020</v>
      </c>
      <c r="AH35" s="117" t="s">
        <v>182</v>
      </c>
      <c r="AI35" s="9" t="s">
        <v>89</v>
      </c>
      <c r="AJ35" s="136">
        <f>AJ17*H8</f>
        <v>208.32709651874683</v>
      </c>
      <c r="AK35" s="117" t="s">
        <v>1136</v>
      </c>
      <c r="AL35" s="117"/>
      <c r="AM35" s="117"/>
      <c r="AN35" s="117"/>
    </row>
    <row r="36" spans="1:40">
      <c r="A36" s="143" t="s">
        <v>39</v>
      </c>
      <c r="B36" s="117">
        <v>2020</v>
      </c>
      <c r="C36" s="117" t="s">
        <v>182</v>
      </c>
      <c r="D36" s="9" t="s">
        <v>88</v>
      </c>
      <c r="E36" s="136">
        <f t="shared" si="4"/>
        <v>582.82746287074292</v>
      </c>
      <c r="F36" s="1054" t="s">
        <v>1136</v>
      </c>
      <c r="G36" s="1054"/>
      <c r="H36" s="1054"/>
      <c r="I36" s="1054"/>
      <c r="U36" s="143" t="s">
        <v>39</v>
      </c>
      <c r="V36" s="117">
        <v>2020</v>
      </c>
      <c r="W36" s="117" t="s">
        <v>180</v>
      </c>
      <c r="X36" s="9" t="s">
        <v>90</v>
      </c>
      <c r="Y36" s="136">
        <f>Y17*H9</f>
        <v>11.900009692415585</v>
      </c>
      <c r="Z36" s="117" t="s">
        <v>1136</v>
      </c>
      <c r="AA36" s="117"/>
      <c r="AB36" s="117"/>
      <c r="AC36" s="117"/>
      <c r="AF36" s="143" t="s">
        <v>39</v>
      </c>
      <c r="AG36" s="117">
        <v>2020</v>
      </c>
      <c r="AH36" s="117" t="s">
        <v>182</v>
      </c>
      <c r="AI36" s="9" t="s">
        <v>90</v>
      </c>
      <c r="AJ36" s="136">
        <f>AJ17*H9</f>
        <v>331.94722614321932</v>
      </c>
      <c r="AK36" s="117" t="s">
        <v>1136</v>
      </c>
      <c r="AL36" s="117"/>
      <c r="AM36" s="117"/>
      <c r="AN36" s="117"/>
    </row>
    <row r="37" spans="1:40">
      <c r="A37" s="143" t="s">
        <v>39</v>
      </c>
      <c r="B37" s="117">
        <v>2020</v>
      </c>
      <c r="C37" s="117" t="s">
        <v>182</v>
      </c>
      <c r="D37" s="9" t="s">
        <v>89</v>
      </c>
      <c r="E37" s="136">
        <f t="shared" si="4"/>
        <v>208.38890578778032</v>
      </c>
      <c r="F37" s="1054" t="s">
        <v>1136</v>
      </c>
      <c r="G37" s="1054"/>
      <c r="H37" s="1054"/>
      <c r="I37" s="1054"/>
      <c r="U37" s="143" t="s">
        <v>39</v>
      </c>
      <c r="V37" s="117">
        <v>2020</v>
      </c>
      <c r="W37" s="117" t="s">
        <v>180</v>
      </c>
      <c r="X37" s="9" t="s">
        <v>91</v>
      </c>
      <c r="Y37" s="136">
        <f>Y17*H10</f>
        <v>101.66359214435965</v>
      </c>
      <c r="Z37" s="117" t="s">
        <v>1136</v>
      </c>
      <c r="AA37" s="117"/>
      <c r="AB37" s="117"/>
      <c r="AC37" s="117"/>
      <c r="AF37" s="143" t="s">
        <v>39</v>
      </c>
      <c r="AG37" s="117">
        <v>2020</v>
      </c>
      <c r="AH37" s="117" t="s">
        <v>182</v>
      </c>
      <c r="AI37" s="9" t="s">
        <v>91</v>
      </c>
      <c r="AJ37" s="136">
        <f>AJ17*H10</f>
        <v>2835.8756239992163</v>
      </c>
      <c r="AK37" s="117" t="s">
        <v>1136</v>
      </c>
      <c r="AL37" s="117"/>
      <c r="AM37" s="117"/>
      <c r="AN37" s="117"/>
    </row>
    <row r="38" spans="1:40">
      <c r="A38" s="143" t="s">
        <v>39</v>
      </c>
      <c r="B38" s="117">
        <v>2020</v>
      </c>
      <c r="C38" s="117" t="s">
        <v>182</v>
      </c>
      <c r="D38" s="9" t="s">
        <v>90</v>
      </c>
      <c r="E38" s="136">
        <f t="shared" si="4"/>
        <v>332.04571268552922</v>
      </c>
      <c r="F38" s="1054" t="s">
        <v>1136</v>
      </c>
      <c r="G38" s="1054"/>
      <c r="H38" s="1054"/>
      <c r="I38" s="1054"/>
      <c r="U38" s="143" t="s">
        <v>39</v>
      </c>
      <c r="V38" s="117">
        <v>2020</v>
      </c>
      <c r="W38" s="117" t="s">
        <v>180</v>
      </c>
      <c r="X38" s="9" t="s">
        <v>98</v>
      </c>
      <c r="Y38" s="136">
        <f>Y17*H11</f>
        <v>14.06772703280042</v>
      </c>
      <c r="Z38" s="117" t="s">
        <v>1136</v>
      </c>
      <c r="AA38" s="117"/>
      <c r="AB38" s="117"/>
      <c r="AC38" s="117"/>
      <c r="AF38" s="143" t="s">
        <v>39</v>
      </c>
      <c r="AG38" s="117">
        <v>2020</v>
      </c>
      <c r="AH38" s="117" t="s">
        <v>182</v>
      </c>
      <c r="AI38" s="9" t="s">
        <v>98</v>
      </c>
      <c r="AJ38" s="136">
        <f>AJ17*H11</f>
        <v>392.41505573346876</v>
      </c>
      <c r="AK38" s="117" t="s">
        <v>1136</v>
      </c>
      <c r="AL38" s="117"/>
      <c r="AM38" s="117"/>
      <c r="AN38" s="117"/>
    </row>
    <row r="39" spans="1:40">
      <c r="A39" s="143" t="s">
        <v>39</v>
      </c>
      <c r="B39" s="117">
        <v>2020</v>
      </c>
      <c r="C39" s="117" t="s">
        <v>182</v>
      </c>
      <c r="D39" s="9" t="s">
        <v>91</v>
      </c>
      <c r="E39" s="136">
        <f t="shared" si="4"/>
        <v>2836.7170095045985</v>
      </c>
      <c r="F39" s="1054" t="s">
        <v>1136</v>
      </c>
      <c r="G39" s="1054"/>
      <c r="H39" s="1054"/>
      <c r="I39" s="1054"/>
      <c r="U39" s="143" t="s">
        <v>39</v>
      </c>
      <c r="V39" s="117">
        <v>2019</v>
      </c>
      <c r="W39" s="117" t="s">
        <v>180</v>
      </c>
      <c r="X39" s="9" t="s">
        <v>85</v>
      </c>
      <c r="Y39" s="136">
        <f>Y18*H4</f>
        <v>169.17764938027008</v>
      </c>
      <c r="Z39" s="117" t="s">
        <v>1136</v>
      </c>
      <c r="AA39" s="117"/>
      <c r="AB39" s="117"/>
      <c r="AC39" s="117"/>
      <c r="AF39" s="143" t="s">
        <v>39</v>
      </c>
      <c r="AG39" s="117">
        <v>2019</v>
      </c>
      <c r="AH39" s="117" t="s">
        <v>182</v>
      </c>
      <c r="AI39" s="9" t="s">
        <v>85</v>
      </c>
      <c r="AJ39" s="136">
        <f>AJ18*H4</f>
        <v>4937.1368964233152</v>
      </c>
      <c r="AK39" s="117" t="s">
        <v>1136</v>
      </c>
      <c r="AL39" s="117"/>
      <c r="AM39" s="117"/>
      <c r="AN39" s="117"/>
    </row>
    <row r="40" spans="1:40">
      <c r="A40" s="143" t="s">
        <v>39</v>
      </c>
      <c r="B40" s="117">
        <v>2020</v>
      </c>
      <c r="C40" s="117" t="s">
        <v>182</v>
      </c>
      <c r="D40" s="9" t="s">
        <v>98</v>
      </c>
      <c r="E40" s="136">
        <f t="shared" si="4"/>
        <v>392.53148268012109</v>
      </c>
      <c r="F40" s="1054" t="s">
        <v>1136</v>
      </c>
      <c r="G40" s="1054"/>
      <c r="H40" s="1054"/>
      <c r="I40" s="1054"/>
      <c r="U40" s="143" t="s">
        <v>39</v>
      </c>
      <c r="V40" s="117">
        <v>2019</v>
      </c>
      <c r="W40" s="117" t="s">
        <v>180</v>
      </c>
      <c r="X40" s="9" t="s">
        <v>86</v>
      </c>
      <c r="Y40" s="136">
        <f>Y18*H5</f>
        <v>96.318802992845164</v>
      </c>
      <c r="Z40" s="117" t="s">
        <v>1136</v>
      </c>
      <c r="AA40" s="117"/>
      <c r="AB40" s="117"/>
      <c r="AC40" s="117"/>
      <c r="AF40" s="143" t="s">
        <v>39</v>
      </c>
      <c r="AG40" s="117">
        <v>2019</v>
      </c>
      <c r="AH40" s="117" t="s">
        <v>182</v>
      </c>
      <c r="AI40" s="9" t="s">
        <v>86</v>
      </c>
      <c r="AJ40" s="136">
        <f>AJ18*H5</f>
        <v>2810.8861768519337</v>
      </c>
      <c r="AK40" s="117" t="s">
        <v>1136</v>
      </c>
      <c r="AL40" s="117"/>
      <c r="AM40" s="117"/>
      <c r="AN40" s="117"/>
    </row>
    <row r="41" spans="1:40">
      <c r="U41" s="143" t="s">
        <v>39</v>
      </c>
      <c r="V41" s="117">
        <v>2019</v>
      </c>
      <c r="W41" s="117" t="s">
        <v>180</v>
      </c>
      <c r="X41" s="9" t="s">
        <v>87</v>
      </c>
      <c r="Y41" s="136">
        <f>Y18*H6</f>
        <v>110.24476801369778</v>
      </c>
      <c r="Z41" s="117" t="s">
        <v>1136</v>
      </c>
      <c r="AA41" s="117"/>
      <c r="AB41" s="117"/>
      <c r="AC41" s="117"/>
      <c r="AF41" s="143" t="s">
        <v>39</v>
      </c>
      <c r="AG41" s="117">
        <v>2019</v>
      </c>
      <c r="AH41" s="117" t="s">
        <v>182</v>
      </c>
      <c r="AI41" s="9" t="s">
        <v>87</v>
      </c>
      <c r="AJ41" s="136">
        <f>AJ18*H6</f>
        <v>3217.2897175951252</v>
      </c>
      <c r="AK41" s="117" t="s">
        <v>1136</v>
      </c>
      <c r="AL41" s="117"/>
      <c r="AM41" s="117"/>
      <c r="AN41" s="117"/>
    </row>
    <row r="42" spans="1:40" ht="30" customHeight="1">
      <c r="A42" s="1125" t="s">
        <v>15</v>
      </c>
      <c r="B42" s="1126"/>
      <c r="C42" s="1126"/>
      <c r="D42" s="1126"/>
      <c r="E42" s="1126"/>
      <c r="F42" s="1126"/>
      <c r="G42" s="1126"/>
      <c r="H42" s="1126"/>
      <c r="I42" s="1126"/>
      <c r="J42" s="1126"/>
      <c r="K42" s="1126"/>
      <c r="L42" s="1126"/>
      <c r="M42" s="1126"/>
      <c r="N42" s="1126"/>
      <c r="O42" s="1126"/>
      <c r="P42" s="1126"/>
      <c r="Q42" s="1126"/>
      <c r="R42" s="1127"/>
      <c r="U42" s="143" t="s">
        <v>39</v>
      </c>
      <c r="V42" s="117">
        <v>2019</v>
      </c>
      <c r="W42" s="117" t="s">
        <v>180</v>
      </c>
      <c r="X42" s="9" t="s">
        <v>88</v>
      </c>
      <c r="Y42" s="136">
        <f>Y18*H7</f>
        <v>19.71884030090072</v>
      </c>
      <c r="Z42" s="117" t="s">
        <v>1136</v>
      </c>
      <c r="AA42" s="117"/>
      <c r="AB42" s="117"/>
      <c r="AC42" s="117"/>
      <c r="AF42" s="143" t="s">
        <v>39</v>
      </c>
      <c r="AG42" s="117">
        <v>2019</v>
      </c>
      <c r="AH42" s="117" t="s">
        <v>182</v>
      </c>
      <c r="AI42" s="9" t="s">
        <v>88</v>
      </c>
      <c r="AJ42" s="136">
        <f>AJ18*H7</f>
        <v>575.45789506406095</v>
      </c>
      <c r="AK42" s="117" t="s">
        <v>1136</v>
      </c>
      <c r="AL42" s="117"/>
      <c r="AM42" s="117"/>
      <c r="AN42" s="117"/>
    </row>
    <row r="43" spans="1:40" ht="30" customHeight="1" thickBot="1">
      <c r="A43" s="1136" t="s">
        <v>1138</v>
      </c>
      <c r="B43" s="1137"/>
      <c r="C43" s="1137"/>
      <c r="D43" s="1137"/>
      <c r="E43" s="1137"/>
      <c r="F43" s="1137"/>
      <c r="G43" s="1137"/>
      <c r="H43" s="1137"/>
      <c r="I43" s="1137"/>
      <c r="J43" s="1137"/>
      <c r="K43" s="1137"/>
      <c r="L43" s="1137"/>
      <c r="M43" s="1137"/>
      <c r="N43" s="1137"/>
      <c r="O43" s="1137"/>
      <c r="P43" s="1137"/>
      <c r="Q43" s="1137"/>
      <c r="R43" s="1138"/>
      <c r="U43" s="143" t="s">
        <v>39</v>
      </c>
      <c r="V43" s="117">
        <v>2019</v>
      </c>
      <c r="W43" s="117" t="s">
        <v>180</v>
      </c>
      <c r="X43" s="9" t="s">
        <v>89</v>
      </c>
      <c r="Y43" s="136">
        <f>Y18*H8</f>
        <v>7.0504357043655723</v>
      </c>
      <c r="Z43" s="117" t="s">
        <v>1136</v>
      </c>
      <c r="AA43" s="117"/>
      <c r="AB43" s="117"/>
      <c r="AC43" s="117"/>
      <c r="AF43" s="143" t="s">
        <v>39</v>
      </c>
      <c r="AG43" s="117">
        <v>2019</v>
      </c>
      <c r="AH43" s="117" t="s">
        <v>182</v>
      </c>
      <c r="AI43" s="9" t="s">
        <v>89</v>
      </c>
      <c r="AJ43" s="136">
        <f>AJ18*H8</f>
        <v>205.7539301402723</v>
      </c>
      <c r="AK43" s="117" t="s">
        <v>1136</v>
      </c>
      <c r="AL43" s="117"/>
      <c r="AM43" s="117"/>
      <c r="AN43" s="117"/>
    </row>
    <row r="44" spans="1:40" s="2" customFormat="1" ht="30" customHeight="1">
      <c r="A44" s="65" t="s">
        <v>129</v>
      </c>
      <c r="B44" s="107" t="s">
        <v>130</v>
      </c>
      <c r="C44" s="108" t="s">
        <v>131</v>
      </c>
      <c r="D44" s="109" t="s">
        <v>102</v>
      </c>
      <c r="E44" s="229" t="s">
        <v>132</v>
      </c>
      <c r="F44" s="108" t="s">
        <v>133</v>
      </c>
      <c r="G44" s="110" t="s">
        <v>104</v>
      </c>
      <c r="H44" s="111" t="s">
        <v>134</v>
      </c>
      <c r="I44" s="112" t="s">
        <v>135</v>
      </c>
      <c r="J44" s="112" t="s">
        <v>65</v>
      </c>
      <c r="K44" s="112" t="s">
        <v>67</v>
      </c>
      <c r="L44" s="112" t="s">
        <v>73</v>
      </c>
      <c r="M44" s="113" t="s">
        <v>79</v>
      </c>
      <c r="N44" s="114" t="s">
        <v>106</v>
      </c>
      <c r="O44" s="115" t="s">
        <v>123</v>
      </c>
      <c r="P44" s="6"/>
      <c r="Q44" s="6"/>
      <c r="U44" s="143" t="s">
        <v>39</v>
      </c>
      <c r="V44" s="117">
        <v>2019</v>
      </c>
      <c r="W44" s="117" t="s">
        <v>180</v>
      </c>
      <c r="X44" s="9" t="s">
        <v>90</v>
      </c>
      <c r="Y44" s="136">
        <f>Y18*H9</f>
        <v>11.234124673525903</v>
      </c>
      <c r="Z44" s="117" t="s">
        <v>1136</v>
      </c>
      <c r="AA44" s="117"/>
      <c r="AB44" s="117"/>
      <c r="AC44" s="117"/>
      <c r="AF44" s="143" t="s">
        <v>39</v>
      </c>
      <c r="AG44" s="117">
        <v>2019</v>
      </c>
      <c r="AH44" s="117" t="s">
        <v>182</v>
      </c>
      <c r="AI44" s="9" t="s">
        <v>90</v>
      </c>
      <c r="AJ44" s="136">
        <f>AJ18*H9</f>
        <v>327.84715728029653</v>
      </c>
      <c r="AK44" s="117" t="s">
        <v>1136</v>
      </c>
      <c r="AL44" s="117"/>
      <c r="AM44" s="117"/>
      <c r="AN44" s="117"/>
    </row>
    <row r="45" spans="1:40" s="2" customFormat="1">
      <c r="A45" s="152" t="s">
        <v>39</v>
      </c>
      <c r="B45" s="34" t="s">
        <v>237</v>
      </c>
      <c r="C45" s="40" t="s">
        <v>139</v>
      </c>
      <c r="D45" s="34" t="s">
        <v>86</v>
      </c>
      <c r="E45" s="313">
        <v>0.1638</v>
      </c>
      <c r="F45" s="314">
        <v>1</v>
      </c>
      <c r="G45" s="40" t="s">
        <v>140</v>
      </c>
      <c r="H45" s="252">
        <v>2</v>
      </c>
      <c r="I45" s="10">
        <v>2</v>
      </c>
      <c r="J45" s="10">
        <v>2</v>
      </c>
      <c r="K45" s="10">
        <v>1</v>
      </c>
      <c r="L45" s="10">
        <v>1</v>
      </c>
      <c r="M45" s="298">
        <v>2</v>
      </c>
      <c r="N45" s="303"/>
      <c r="O45" s="34"/>
      <c r="P45" s="6"/>
      <c r="Q45" s="6"/>
      <c r="U45" s="143" t="s">
        <v>39</v>
      </c>
      <c r="V45" s="117">
        <v>2019</v>
      </c>
      <c r="W45" s="117" t="s">
        <v>180</v>
      </c>
      <c r="X45" s="9" t="s">
        <v>91</v>
      </c>
      <c r="Y45" s="136">
        <f>Y18*H10</f>
        <v>95.974835183213173</v>
      </c>
      <c r="Z45" s="117" t="s">
        <v>1136</v>
      </c>
      <c r="AA45" s="117"/>
      <c r="AB45" s="117"/>
      <c r="AC45" s="117"/>
      <c r="AF45" s="143" t="s">
        <v>39</v>
      </c>
      <c r="AG45" s="117">
        <v>2019</v>
      </c>
      <c r="AH45" s="117" t="s">
        <v>182</v>
      </c>
      <c r="AI45" s="9" t="s">
        <v>91</v>
      </c>
      <c r="AJ45" s="136">
        <f>AJ18*H10</f>
        <v>2800.8481123065467</v>
      </c>
      <c r="AK45" s="117" t="s">
        <v>1136</v>
      </c>
      <c r="AL45" s="117"/>
      <c r="AM45" s="117"/>
      <c r="AN45" s="117"/>
    </row>
    <row r="46" spans="1:40" s="2" customFormat="1">
      <c r="A46" s="152" t="s">
        <v>39</v>
      </c>
      <c r="B46" s="34" t="s">
        <v>236</v>
      </c>
      <c r="C46" s="40" t="s">
        <v>139</v>
      </c>
      <c r="D46" s="34" t="s">
        <v>86</v>
      </c>
      <c r="E46" s="313">
        <v>1.2200000000000001E-2</v>
      </c>
      <c r="F46" s="314">
        <v>1</v>
      </c>
      <c r="G46" s="40" t="s">
        <v>140</v>
      </c>
      <c r="H46" s="252">
        <v>2</v>
      </c>
      <c r="I46" s="10">
        <v>2</v>
      </c>
      <c r="J46" s="10">
        <v>2</v>
      </c>
      <c r="K46" s="10">
        <v>1</v>
      </c>
      <c r="L46" s="10">
        <v>1</v>
      </c>
      <c r="M46" s="298">
        <v>2</v>
      </c>
      <c r="N46" s="303"/>
      <c r="O46" s="34"/>
      <c r="P46" s="6"/>
      <c r="Q46" s="6"/>
      <c r="U46" s="143" t="s">
        <v>39</v>
      </c>
      <c r="V46" s="117">
        <v>2019</v>
      </c>
      <c r="W46" s="117" t="s">
        <v>180</v>
      </c>
      <c r="X46" s="9" t="s">
        <v>98</v>
      </c>
      <c r="Y46" s="136">
        <f>Y18*H11</f>
        <v>13.280543751181623</v>
      </c>
      <c r="Z46" s="117" t="s">
        <v>1136</v>
      </c>
      <c r="AA46" s="117"/>
      <c r="AB46" s="117"/>
      <c r="AC46" s="117"/>
      <c r="AF46" s="143" t="s">
        <v>39</v>
      </c>
      <c r="AG46" s="117">
        <v>2019</v>
      </c>
      <c r="AH46" s="117" t="s">
        <v>182</v>
      </c>
      <c r="AI46" s="9" t="s">
        <v>98</v>
      </c>
      <c r="AJ46" s="136">
        <f>AJ18*H11</f>
        <v>387.56811433845098</v>
      </c>
      <c r="AK46" s="117" t="s">
        <v>1136</v>
      </c>
      <c r="AL46" s="117"/>
      <c r="AM46" s="117"/>
      <c r="AN46" s="117"/>
    </row>
    <row r="47" spans="1:40" s="2" customFormat="1">
      <c r="A47" s="152" t="s">
        <v>39</v>
      </c>
      <c r="B47" s="34" t="s">
        <v>203</v>
      </c>
      <c r="C47" s="40" t="s">
        <v>139</v>
      </c>
      <c r="D47" s="34" t="s">
        <v>86</v>
      </c>
      <c r="E47" s="313">
        <v>8.3099999999999993E-2</v>
      </c>
      <c r="F47" s="314">
        <v>1</v>
      </c>
      <c r="G47" s="40" t="s">
        <v>140</v>
      </c>
      <c r="H47" s="252">
        <v>2</v>
      </c>
      <c r="I47" s="10">
        <v>2</v>
      </c>
      <c r="J47" s="10">
        <v>2</v>
      </c>
      <c r="K47" s="10">
        <v>1</v>
      </c>
      <c r="L47" s="10">
        <v>1</v>
      </c>
      <c r="M47" s="298">
        <v>2</v>
      </c>
      <c r="N47" s="303"/>
      <c r="O47" s="34"/>
      <c r="P47" s="6"/>
      <c r="Q47" s="6"/>
      <c r="U47" s="143" t="s">
        <v>39</v>
      </c>
      <c r="V47" s="117">
        <v>2018</v>
      </c>
      <c r="W47" s="117" t="s">
        <v>180</v>
      </c>
      <c r="X47" s="9" t="s">
        <v>85</v>
      </c>
      <c r="Y47" s="136">
        <f>Y19*H4</f>
        <v>169.17764938027008</v>
      </c>
      <c r="Z47" s="117" t="s">
        <v>1136</v>
      </c>
      <c r="AA47" s="117"/>
      <c r="AB47" s="117"/>
      <c r="AC47" s="117"/>
      <c r="AF47" s="143" t="s">
        <v>39</v>
      </c>
      <c r="AG47" s="117">
        <v>2018</v>
      </c>
      <c r="AH47" s="117" t="s">
        <v>182</v>
      </c>
      <c r="AI47" s="9" t="s">
        <v>85</v>
      </c>
      <c r="AJ47" s="136">
        <f>AJ19*H4</f>
        <v>4793.0761436805778</v>
      </c>
      <c r="AK47" s="117" t="s">
        <v>1136</v>
      </c>
      <c r="AL47" s="117"/>
      <c r="AM47" s="117"/>
      <c r="AN47" s="117"/>
    </row>
    <row r="48" spans="1:40" s="2" customFormat="1">
      <c r="A48" s="152" t="s">
        <v>39</v>
      </c>
      <c r="B48" s="34" t="s">
        <v>235</v>
      </c>
      <c r="C48" s="40" t="s">
        <v>139</v>
      </c>
      <c r="D48" s="34" t="s">
        <v>86</v>
      </c>
      <c r="E48" s="313">
        <v>0</v>
      </c>
      <c r="F48" s="314">
        <v>1</v>
      </c>
      <c r="G48" s="40" t="s">
        <v>140</v>
      </c>
      <c r="H48" s="252"/>
      <c r="I48" s="10"/>
      <c r="J48" s="10"/>
      <c r="K48" s="10"/>
      <c r="L48" s="10"/>
      <c r="M48" s="298"/>
      <c r="N48" s="303"/>
      <c r="O48" s="34"/>
      <c r="P48" s="6"/>
      <c r="Q48" s="6"/>
      <c r="U48" s="143" t="s">
        <v>39</v>
      </c>
      <c r="V48" s="117">
        <v>2018</v>
      </c>
      <c r="W48" s="117" t="s">
        <v>180</v>
      </c>
      <c r="X48" s="9" t="s">
        <v>86</v>
      </c>
      <c r="Y48" s="136">
        <f>Y19*H5</f>
        <v>96.318802992845164</v>
      </c>
      <c r="Z48" s="117" t="s">
        <v>1136</v>
      </c>
      <c r="AA48" s="117"/>
      <c r="AB48" s="117"/>
      <c r="AC48" s="117"/>
      <c r="AF48" s="143" t="s">
        <v>39</v>
      </c>
      <c r="AG48" s="117">
        <v>2018</v>
      </c>
      <c r="AH48" s="117" t="s">
        <v>182</v>
      </c>
      <c r="AI48" s="9" t="s">
        <v>86</v>
      </c>
      <c r="AJ48" s="136">
        <f>AJ19*H5</f>
        <v>2728.8673090330567</v>
      </c>
      <c r="AK48" s="117" t="s">
        <v>1136</v>
      </c>
      <c r="AL48" s="117"/>
      <c r="AM48" s="117"/>
      <c r="AN48" s="117"/>
    </row>
    <row r="49" spans="1:40" s="2" customFormat="1">
      <c r="A49" s="152" t="s">
        <v>39</v>
      </c>
      <c r="B49" s="34" t="s">
        <v>202</v>
      </c>
      <c r="C49" s="40" t="s">
        <v>139</v>
      </c>
      <c r="D49" s="34" t="s">
        <v>86</v>
      </c>
      <c r="E49" s="313">
        <v>6.8500000000000005E-2</v>
      </c>
      <c r="F49" s="314">
        <v>1</v>
      </c>
      <c r="G49" s="40" t="s">
        <v>140</v>
      </c>
      <c r="H49" s="252">
        <v>2</v>
      </c>
      <c r="I49" s="10">
        <v>2</v>
      </c>
      <c r="J49" s="10">
        <v>2</v>
      </c>
      <c r="K49" s="10">
        <v>1</v>
      </c>
      <c r="L49" s="10">
        <v>1</v>
      </c>
      <c r="M49" s="298">
        <v>2</v>
      </c>
      <c r="N49" s="303"/>
      <c r="O49" s="34"/>
      <c r="P49" s="6"/>
      <c r="Q49" s="6"/>
      <c r="U49" s="143" t="s">
        <v>39</v>
      </c>
      <c r="V49" s="117">
        <v>2018</v>
      </c>
      <c r="W49" s="117" t="s">
        <v>180</v>
      </c>
      <c r="X49" s="9" t="s">
        <v>87</v>
      </c>
      <c r="Y49" s="136">
        <f>Y19*H6</f>
        <v>110.24476801369778</v>
      </c>
      <c r="Z49" s="117" t="s">
        <v>1136</v>
      </c>
      <c r="AA49" s="117"/>
      <c r="AB49" s="117"/>
      <c r="AC49" s="117"/>
      <c r="AF49" s="143" t="s">
        <v>39</v>
      </c>
      <c r="AG49" s="117">
        <v>2018</v>
      </c>
      <c r="AH49" s="117" t="s">
        <v>182</v>
      </c>
      <c r="AI49" s="9" t="s">
        <v>87</v>
      </c>
      <c r="AJ49" s="136">
        <f>AJ19*H6</f>
        <v>3123.4123979599349</v>
      </c>
      <c r="AK49" s="117" t="s">
        <v>1136</v>
      </c>
      <c r="AL49" s="117"/>
      <c r="AM49" s="117"/>
      <c r="AN49" s="117"/>
    </row>
    <row r="50" spans="1:40" s="2" customFormat="1">
      <c r="A50" s="152" t="s">
        <v>39</v>
      </c>
      <c r="B50" s="34" t="s">
        <v>201</v>
      </c>
      <c r="C50" s="40" t="s">
        <v>139</v>
      </c>
      <c r="D50" s="34" t="s">
        <v>86</v>
      </c>
      <c r="E50" s="313">
        <v>0.38629999999999998</v>
      </c>
      <c r="F50" s="314">
        <v>1</v>
      </c>
      <c r="G50" s="40" t="s">
        <v>140</v>
      </c>
      <c r="H50" s="252">
        <v>2</v>
      </c>
      <c r="I50" s="10">
        <v>2</v>
      </c>
      <c r="J50" s="10">
        <v>2</v>
      </c>
      <c r="K50" s="10">
        <v>1</v>
      </c>
      <c r="L50" s="10">
        <v>1</v>
      </c>
      <c r="M50" s="298">
        <v>2</v>
      </c>
      <c r="N50" s="303"/>
      <c r="O50" s="34"/>
      <c r="P50" s="6"/>
      <c r="Q50" s="6"/>
      <c r="U50" s="143" t="s">
        <v>39</v>
      </c>
      <c r="V50" s="117">
        <v>2018</v>
      </c>
      <c r="W50" s="117" t="s">
        <v>180</v>
      </c>
      <c r="X50" s="9" t="s">
        <v>88</v>
      </c>
      <c r="Y50" s="136">
        <f>Y19*H7</f>
        <v>19.71884030090072</v>
      </c>
      <c r="Z50" s="117" t="s">
        <v>1136</v>
      </c>
      <c r="AA50" s="117"/>
      <c r="AB50" s="117"/>
      <c r="AC50" s="117"/>
      <c r="AF50" s="143" t="s">
        <v>39</v>
      </c>
      <c r="AG50" s="117">
        <v>2018</v>
      </c>
      <c r="AH50" s="117" t="s">
        <v>182</v>
      </c>
      <c r="AI50" s="9" t="s">
        <v>88</v>
      </c>
      <c r="AJ50" s="136">
        <f>AJ19*H7</f>
        <v>558.66660503628452</v>
      </c>
      <c r="AK50" s="117" t="s">
        <v>1136</v>
      </c>
      <c r="AL50" s="117"/>
      <c r="AM50" s="117"/>
      <c r="AN50" s="117"/>
    </row>
    <row r="51" spans="1:40" s="2" customFormat="1">
      <c r="A51" s="152" t="s">
        <v>39</v>
      </c>
      <c r="B51" s="34" t="s">
        <v>200</v>
      </c>
      <c r="C51" s="40" t="s">
        <v>139</v>
      </c>
      <c r="D51" s="34" t="s">
        <v>86</v>
      </c>
      <c r="E51" s="313">
        <v>0.27379999999999999</v>
      </c>
      <c r="F51" s="314">
        <v>1</v>
      </c>
      <c r="G51" s="40" t="s">
        <v>140</v>
      </c>
      <c r="H51" s="252">
        <v>2</v>
      </c>
      <c r="I51" s="10">
        <v>2</v>
      </c>
      <c r="J51" s="10">
        <v>2</v>
      </c>
      <c r="K51" s="10">
        <v>1</v>
      </c>
      <c r="L51" s="10">
        <v>1</v>
      </c>
      <c r="M51" s="298">
        <v>2</v>
      </c>
      <c r="N51" s="303"/>
      <c r="O51" s="34"/>
      <c r="P51" s="6"/>
      <c r="Q51" s="6"/>
      <c r="U51" s="143" t="s">
        <v>39</v>
      </c>
      <c r="V51" s="117">
        <v>2018</v>
      </c>
      <c r="W51" s="117" t="s">
        <v>180</v>
      </c>
      <c r="X51" s="9" t="s">
        <v>89</v>
      </c>
      <c r="Y51" s="136">
        <f>Y19*H8</f>
        <v>7.0504357043655723</v>
      </c>
      <c r="Z51" s="117" t="s">
        <v>1136</v>
      </c>
      <c r="AA51" s="117"/>
      <c r="AB51" s="117"/>
      <c r="AC51" s="117"/>
      <c r="AF51" s="143" t="s">
        <v>39</v>
      </c>
      <c r="AG51" s="117">
        <v>2018</v>
      </c>
      <c r="AH51" s="117" t="s">
        <v>182</v>
      </c>
      <c r="AI51" s="9" t="s">
        <v>89</v>
      </c>
      <c r="AJ51" s="136">
        <f>AJ19*H8</f>
        <v>199.7502347440078</v>
      </c>
      <c r="AK51" s="117" t="s">
        <v>1136</v>
      </c>
      <c r="AL51" s="117"/>
      <c r="AM51" s="117"/>
      <c r="AN51" s="117"/>
    </row>
    <row r="52" spans="1:40" s="2" customFormat="1">
      <c r="A52" s="152" t="s">
        <v>39</v>
      </c>
      <c r="B52" s="34" t="s">
        <v>183</v>
      </c>
      <c r="C52" s="40" t="s">
        <v>139</v>
      </c>
      <c r="D52" s="34" t="s">
        <v>86</v>
      </c>
      <c r="E52" s="313">
        <v>0</v>
      </c>
      <c r="F52" s="314">
        <v>1</v>
      </c>
      <c r="G52" s="40" t="s">
        <v>140</v>
      </c>
      <c r="H52" s="252"/>
      <c r="I52" s="10"/>
      <c r="J52" s="10"/>
      <c r="K52" s="10"/>
      <c r="L52" s="10"/>
      <c r="M52" s="298"/>
      <c r="N52" s="303"/>
      <c r="O52" s="34"/>
      <c r="P52" s="6"/>
      <c r="Q52" s="6"/>
      <c r="U52" s="143" t="s">
        <v>39</v>
      </c>
      <c r="V52" s="117">
        <v>2018</v>
      </c>
      <c r="W52" s="117" t="s">
        <v>180</v>
      </c>
      <c r="X52" s="9" t="s">
        <v>90</v>
      </c>
      <c r="Y52" s="136">
        <f>Y19*H9</f>
        <v>11.234124673525903</v>
      </c>
      <c r="Z52" s="117" t="s">
        <v>1136</v>
      </c>
      <c r="AA52" s="117"/>
      <c r="AB52" s="117"/>
      <c r="AC52" s="117"/>
      <c r="AF52" s="143" t="s">
        <v>39</v>
      </c>
      <c r="AG52" s="117">
        <v>2018</v>
      </c>
      <c r="AH52" s="117" t="s">
        <v>182</v>
      </c>
      <c r="AI52" s="9" t="s">
        <v>90</v>
      </c>
      <c r="AJ52" s="136">
        <f>AJ19*H9</f>
        <v>318.28090273779407</v>
      </c>
      <c r="AK52" s="117" t="s">
        <v>1136</v>
      </c>
      <c r="AL52" s="117"/>
      <c r="AM52" s="117"/>
      <c r="AN52" s="117"/>
    </row>
    <row r="53" spans="1:40" s="2" customFormat="1">
      <c r="A53" s="152" t="s">
        <v>39</v>
      </c>
      <c r="B53" s="34" t="s">
        <v>142</v>
      </c>
      <c r="C53" s="40" t="s">
        <v>139</v>
      </c>
      <c r="D53" s="34" t="s">
        <v>86</v>
      </c>
      <c r="E53" s="313">
        <v>0</v>
      </c>
      <c r="F53" s="314">
        <v>1</v>
      </c>
      <c r="G53" s="40" t="s">
        <v>140</v>
      </c>
      <c r="H53" s="252"/>
      <c r="I53" s="10"/>
      <c r="J53" s="10"/>
      <c r="K53" s="10"/>
      <c r="L53" s="10"/>
      <c r="M53" s="298"/>
      <c r="N53" s="303"/>
      <c r="O53" s="34"/>
      <c r="P53" s="6"/>
      <c r="Q53" s="6"/>
      <c r="U53" s="143" t="s">
        <v>39</v>
      </c>
      <c r="V53" s="117">
        <v>2018</v>
      </c>
      <c r="W53" s="117" t="s">
        <v>180</v>
      </c>
      <c r="X53" s="9" t="s">
        <v>91</v>
      </c>
      <c r="Y53" s="136">
        <f>Y19*H10</f>
        <v>95.974835183213173</v>
      </c>
      <c r="Z53" s="117" t="s">
        <v>1136</v>
      </c>
      <c r="AA53" s="117"/>
      <c r="AB53" s="117"/>
      <c r="AC53" s="117"/>
      <c r="AF53" s="143" t="s">
        <v>39</v>
      </c>
      <c r="AG53" s="117">
        <v>2018</v>
      </c>
      <c r="AH53" s="117" t="s">
        <v>182</v>
      </c>
      <c r="AI53" s="9" t="s">
        <v>91</v>
      </c>
      <c r="AJ53" s="136">
        <f>AJ19*H10</f>
        <v>2719.1221452446925</v>
      </c>
      <c r="AK53" s="117" t="s">
        <v>1136</v>
      </c>
      <c r="AL53" s="117"/>
      <c r="AM53" s="117"/>
      <c r="AN53" s="117"/>
    </row>
    <row r="54" spans="1:40" s="2" customFormat="1">
      <c r="A54" s="152" t="s">
        <v>39</v>
      </c>
      <c r="B54" s="34" t="s">
        <v>138</v>
      </c>
      <c r="C54" s="40" t="s">
        <v>139</v>
      </c>
      <c r="D54" s="34" t="s">
        <v>86</v>
      </c>
      <c r="E54" s="313">
        <v>1.2200000000000001E-2</v>
      </c>
      <c r="F54" s="314">
        <v>1</v>
      </c>
      <c r="G54" s="40" t="s">
        <v>140</v>
      </c>
      <c r="H54" s="252">
        <v>2</v>
      </c>
      <c r="I54" s="10">
        <v>2</v>
      </c>
      <c r="J54" s="10">
        <v>2</v>
      </c>
      <c r="K54" s="10">
        <v>1</v>
      </c>
      <c r="L54" s="10">
        <v>1</v>
      </c>
      <c r="M54" s="298">
        <v>2</v>
      </c>
      <c r="N54" s="303"/>
      <c r="O54" s="34"/>
      <c r="P54" s="6"/>
      <c r="Q54" s="6"/>
      <c r="U54" s="143" t="s">
        <v>39</v>
      </c>
      <c r="V54" s="117">
        <v>2018</v>
      </c>
      <c r="W54" s="117" t="s">
        <v>180</v>
      </c>
      <c r="X54" s="9" t="s">
        <v>98</v>
      </c>
      <c r="Y54" s="136">
        <f>Y19*H11</f>
        <v>13.280543751181623</v>
      </c>
      <c r="Z54" s="117" t="s">
        <v>1136</v>
      </c>
      <c r="AA54" s="117"/>
      <c r="AB54" s="117"/>
      <c r="AC54" s="117"/>
      <c r="AF54" s="143" t="s">
        <v>39</v>
      </c>
      <c r="AG54" s="117">
        <v>2018</v>
      </c>
      <c r="AH54" s="117" t="s">
        <v>182</v>
      </c>
      <c r="AI54" s="9" t="s">
        <v>98</v>
      </c>
      <c r="AJ54" s="136">
        <f>AJ19*H11</f>
        <v>376.25926156365176</v>
      </c>
      <c r="AK54" s="117" t="s">
        <v>1136</v>
      </c>
      <c r="AL54" s="117"/>
      <c r="AM54" s="117"/>
      <c r="AN54" s="117"/>
    </row>
    <row r="55" spans="1:40" ht="30" customHeight="1">
      <c r="A55" s="334"/>
      <c r="B55" s="335"/>
      <c r="C55" s="335"/>
      <c r="D55" s="335"/>
      <c r="E55" s="336"/>
      <c r="F55" s="337"/>
      <c r="G55" s="338"/>
      <c r="H55" s="335"/>
      <c r="I55" s="335"/>
      <c r="J55" s="335"/>
      <c r="K55" s="335"/>
      <c r="L55" s="335"/>
      <c r="M55" s="335"/>
      <c r="N55" s="335"/>
      <c r="O55" s="339"/>
      <c r="P55" s="339"/>
      <c r="Q55" s="339"/>
      <c r="R55" s="339"/>
      <c r="U55" s="143" t="s">
        <v>39</v>
      </c>
      <c r="V55" s="117">
        <v>2017</v>
      </c>
      <c r="W55" s="117" t="s">
        <v>180</v>
      </c>
      <c r="X55" s="9" t="s">
        <v>85</v>
      </c>
      <c r="Y55" s="136">
        <f>Y20*H4</f>
        <v>165.61941966099099</v>
      </c>
      <c r="Z55" s="117" t="s">
        <v>1136</v>
      </c>
      <c r="AA55" s="117"/>
      <c r="AB55" s="117"/>
      <c r="AC55" s="117"/>
      <c r="AF55" s="143" t="s">
        <v>39</v>
      </c>
      <c r="AG55" s="117">
        <v>2017</v>
      </c>
      <c r="AH55" s="117" t="s">
        <v>182</v>
      </c>
      <c r="AI55" s="9" t="s">
        <v>85</v>
      </c>
      <c r="AJ55" s="136">
        <f>AJ20*H4</f>
        <v>4707.1416612056973</v>
      </c>
      <c r="AK55" s="117" t="s">
        <v>1136</v>
      </c>
      <c r="AL55" s="117"/>
      <c r="AM55" s="117"/>
      <c r="AN55" s="117"/>
    </row>
    <row r="56" spans="1:40" s="2" customFormat="1">
      <c r="A56" s="152" t="s">
        <v>39</v>
      </c>
      <c r="B56" s="34" t="s">
        <v>237</v>
      </c>
      <c r="C56" s="40" t="s">
        <v>139</v>
      </c>
      <c r="D56" s="34"/>
      <c r="E56" s="313"/>
      <c r="F56" s="314">
        <v>1</v>
      </c>
      <c r="G56" s="40" t="s">
        <v>140</v>
      </c>
      <c r="H56" s="252">
        <v>2</v>
      </c>
      <c r="I56" s="10">
        <v>2</v>
      </c>
      <c r="J56" s="10">
        <v>2</v>
      </c>
      <c r="K56" s="10">
        <v>1</v>
      </c>
      <c r="L56" s="10">
        <v>1</v>
      </c>
      <c r="M56" s="298">
        <v>2</v>
      </c>
      <c r="N56" s="303"/>
      <c r="O56" s="34"/>
      <c r="P56" s="6"/>
      <c r="Q56" s="6"/>
      <c r="U56" s="143" t="s">
        <v>39</v>
      </c>
      <c r="V56" s="117">
        <v>2017</v>
      </c>
      <c r="W56" s="117" t="s">
        <v>180</v>
      </c>
      <c r="X56" s="9" t="s">
        <v>86</v>
      </c>
      <c r="Y56" s="136">
        <f>Y20*H5</f>
        <v>94.292977308483216</v>
      </c>
      <c r="Z56" s="117" t="s">
        <v>1136</v>
      </c>
      <c r="AA56" s="117"/>
      <c r="AB56" s="117"/>
      <c r="AC56" s="117"/>
      <c r="AF56" s="143" t="s">
        <v>39</v>
      </c>
      <c r="AG56" s="117">
        <v>2017</v>
      </c>
      <c r="AH56" s="117" t="s">
        <v>182</v>
      </c>
      <c r="AI56" s="9" t="s">
        <v>86</v>
      </c>
      <c r="AJ56" s="136">
        <f>AJ20*H5</f>
        <v>2679.9417770960026</v>
      </c>
      <c r="AK56" s="117" t="s">
        <v>1136</v>
      </c>
      <c r="AL56" s="117"/>
      <c r="AM56" s="117"/>
      <c r="AN56" s="117"/>
    </row>
    <row r="57" spans="1:40" s="2" customFormat="1">
      <c r="A57" s="152" t="s">
        <v>39</v>
      </c>
      <c r="B57" s="34" t="s">
        <v>236</v>
      </c>
      <c r="C57" s="40" t="s">
        <v>139</v>
      </c>
      <c r="D57" s="34"/>
      <c r="E57" s="313"/>
      <c r="F57" s="314">
        <v>1</v>
      </c>
      <c r="G57" s="40" t="s">
        <v>140</v>
      </c>
      <c r="H57" s="252">
        <v>2</v>
      </c>
      <c r="I57" s="10">
        <v>2</v>
      </c>
      <c r="J57" s="10">
        <v>2</v>
      </c>
      <c r="K57" s="10">
        <v>1</v>
      </c>
      <c r="L57" s="10">
        <v>1</v>
      </c>
      <c r="M57" s="298">
        <v>2</v>
      </c>
      <c r="N57" s="303"/>
      <c r="O57" s="34"/>
      <c r="P57" s="6"/>
      <c r="Q57" s="6"/>
      <c r="U57" s="143" t="s">
        <v>39</v>
      </c>
      <c r="V57" s="117">
        <v>2017</v>
      </c>
      <c r="W57" s="117" t="s">
        <v>180</v>
      </c>
      <c r="X57" s="9" t="s">
        <v>87</v>
      </c>
      <c r="Y57" s="136">
        <f>Y20*H6</f>
        <v>107.92604440346705</v>
      </c>
      <c r="Z57" s="117" t="s">
        <v>1136</v>
      </c>
      <c r="AA57" s="117"/>
      <c r="AB57" s="117"/>
      <c r="AC57" s="117"/>
      <c r="AF57" s="143" t="s">
        <v>39</v>
      </c>
      <c r="AG57" s="117">
        <v>2017</v>
      </c>
      <c r="AH57" s="117" t="s">
        <v>182</v>
      </c>
      <c r="AI57" s="9" t="s">
        <v>87</v>
      </c>
      <c r="AJ57" s="136">
        <f>AJ20*H6</f>
        <v>3067.413114842308</v>
      </c>
      <c r="AK57" s="117" t="s">
        <v>1136</v>
      </c>
      <c r="AL57" s="117"/>
      <c r="AM57" s="117"/>
      <c r="AN57" s="117"/>
    </row>
    <row r="58" spans="1:40" s="2" customFormat="1">
      <c r="A58" s="152" t="s">
        <v>39</v>
      </c>
      <c r="B58" s="34" t="s">
        <v>203</v>
      </c>
      <c r="C58" s="40" t="s">
        <v>139</v>
      </c>
      <c r="D58" s="34"/>
      <c r="E58" s="313"/>
      <c r="F58" s="314">
        <v>1</v>
      </c>
      <c r="G58" s="40" t="s">
        <v>140</v>
      </c>
      <c r="H58" s="252">
        <v>2</v>
      </c>
      <c r="I58" s="10">
        <v>2</v>
      </c>
      <c r="J58" s="10">
        <v>2</v>
      </c>
      <c r="K58" s="10">
        <v>1</v>
      </c>
      <c r="L58" s="10">
        <v>1</v>
      </c>
      <c r="M58" s="298">
        <v>2</v>
      </c>
      <c r="N58" s="303"/>
      <c r="O58" s="34"/>
      <c r="P58" s="6"/>
      <c r="Q58" s="6"/>
      <c r="U58" s="143" t="s">
        <v>39</v>
      </c>
      <c r="V58" s="117">
        <v>2017</v>
      </c>
      <c r="W58" s="117" t="s">
        <v>180</v>
      </c>
      <c r="X58" s="9" t="s">
        <v>88</v>
      </c>
      <c r="Y58" s="136">
        <f>Y20*H7</f>
        <v>19.304103698013705</v>
      </c>
      <c r="Z58" s="117" t="s">
        <v>1136</v>
      </c>
      <c r="AA58" s="117"/>
      <c r="AB58" s="117"/>
      <c r="AC58" s="117"/>
      <c r="AF58" s="143" t="s">
        <v>39</v>
      </c>
      <c r="AG58" s="117">
        <v>2017</v>
      </c>
      <c r="AH58" s="117" t="s">
        <v>182</v>
      </c>
      <c r="AI58" s="9" t="s">
        <v>88</v>
      </c>
      <c r="AJ58" s="136">
        <f>AJ20*H7</f>
        <v>548.65033904328789</v>
      </c>
      <c r="AK58" s="117" t="s">
        <v>1136</v>
      </c>
      <c r="AL58" s="117"/>
      <c r="AM58" s="117"/>
      <c r="AN58" s="117"/>
    </row>
    <row r="59" spans="1:40" s="2" customFormat="1">
      <c r="A59" s="152" t="s">
        <v>39</v>
      </c>
      <c r="B59" s="34" t="s">
        <v>235</v>
      </c>
      <c r="C59" s="40" t="s">
        <v>139</v>
      </c>
      <c r="D59" s="34"/>
      <c r="E59" s="313"/>
      <c r="F59" s="314">
        <v>1</v>
      </c>
      <c r="G59" s="40" t="s">
        <v>140</v>
      </c>
      <c r="H59" s="252"/>
      <c r="I59" s="10"/>
      <c r="J59" s="10"/>
      <c r="K59" s="10"/>
      <c r="L59" s="10"/>
      <c r="M59" s="298"/>
      <c r="N59" s="303"/>
      <c r="O59" s="34"/>
      <c r="P59" s="6"/>
      <c r="Q59" s="6"/>
      <c r="U59" s="143" t="s">
        <v>39</v>
      </c>
      <c r="V59" s="117">
        <v>2017</v>
      </c>
      <c r="W59" s="117" t="s">
        <v>180</v>
      </c>
      <c r="X59" s="9" t="s">
        <v>89</v>
      </c>
      <c r="Y59" s="136">
        <f>Y20*H8</f>
        <v>6.9021473817116119</v>
      </c>
      <c r="Z59" s="117" t="s">
        <v>1136</v>
      </c>
      <c r="AA59" s="117"/>
      <c r="AB59" s="117"/>
      <c r="AC59" s="117"/>
      <c r="AF59" s="143" t="s">
        <v>39</v>
      </c>
      <c r="AG59" s="117">
        <v>2017</v>
      </c>
      <c r="AH59" s="117" t="s">
        <v>182</v>
      </c>
      <c r="AI59" s="9" t="s">
        <v>89</v>
      </c>
      <c r="AJ59" s="136">
        <f>AJ20*H8</f>
        <v>196.16893694434862</v>
      </c>
      <c r="AK59" s="117" t="s">
        <v>1136</v>
      </c>
      <c r="AL59" s="117"/>
      <c r="AM59" s="117"/>
      <c r="AN59" s="117"/>
    </row>
    <row r="60" spans="1:40" s="2" customFormat="1">
      <c r="A60" s="152" t="s">
        <v>39</v>
      </c>
      <c r="B60" s="34" t="s">
        <v>202</v>
      </c>
      <c r="C60" s="40" t="s">
        <v>139</v>
      </c>
      <c r="D60" s="34"/>
      <c r="E60" s="313"/>
      <c r="F60" s="314">
        <v>1</v>
      </c>
      <c r="G60" s="40" t="s">
        <v>140</v>
      </c>
      <c r="H60" s="252">
        <v>2</v>
      </c>
      <c r="I60" s="10">
        <v>2</v>
      </c>
      <c r="J60" s="10">
        <v>2</v>
      </c>
      <c r="K60" s="10">
        <v>1</v>
      </c>
      <c r="L60" s="10">
        <v>1</v>
      </c>
      <c r="M60" s="298">
        <v>2</v>
      </c>
      <c r="N60" s="303"/>
      <c r="O60" s="34"/>
      <c r="P60" s="6"/>
      <c r="Q60" s="6"/>
      <c r="U60" s="143" t="s">
        <v>39</v>
      </c>
      <c r="V60" s="117">
        <v>2017</v>
      </c>
      <c r="W60" s="117" t="s">
        <v>180</v>
      </c>
      <c r="X60" s="9" t="s">
        <v>90</v>
      </c>
      <c r="Y60" s="136">
        <f>Y20*H9</f>
        <v>10.997842892629565</v>
      </c>
      <c r="Z60" s="117" t="s">
        <v>1136</v>
      </c>
      <c r="AA60" s="117"/>
      <c r="AB60" s="117"/>
      <c r="AC60" s="117"/>
      <c r="AF60" s="143" t="s">
        <v>39</v>
      </c>
      <c r="AG60" s="117">
        <v>2017</v>
      </c>
      <c r="AH60" s="117" t="s">
        <v>182</v>
      </c>
      <c r="AI60" s="9" t="s">
        <v>90</v>
      </c>
      <c r="AJ60" s="136">
        <f>AJ20*H9</f>
        <v>312.57448292752849</v>
      </c>
      <c r="AK60" s="117" t="s">
        <v>1136</v>
      </c>
      <c r="AL60" s="117"/>
      <c r="AM60" s="117"/>
      <c r="AN60" s="117"/>
    </row>
    <row r="61" spans="1:40" s="2" customFormat="1">
      <c r="A61" s="152" t="s">
        <v>39</v>
      </c>
      <c r="B61" s="34" t="s">
        <v>201</v>
      </c>
      <c r="C61" s="40" t="s">
        <v>139</v>
      </c>
      <c r="D61" s="34"/>
      <c r="E61" s="313"/>
      <c r="F61" s="314">
        <v>1</v>
      </c>
      <c r="G61" s="40" t="s">
        <v>140</v>
      </c>
      <c r="H61" s="252">
        <v>2</v>
      </c>
      <c r="I61" s="10">
        <v>2</v>
      </c>
      <c r="J61" s="10">
        <v>2</v>
      </c>
      <c r="K61" s="10">
        <v>1</v>
      </c>
      <c r="L61" s="10">
        <v>1</v>
      </c>
      <c r="M61" s="298">
        <v>2</v>
      </c>
      <c r="N61" s="303"/>
      <c r="O61" s="34"/>
      <c r="P61" s="6"/>
      <c r="Q61" s="6"/>
      <c r="U61" s="143" t="s">
        <v>39</v>
      </c>
      <c r="V61" s="117">
        <v>2017</v>
      </c>
      <c r="W61" s="117" t="s">
        <v>180</v>
      </c>
      <c r="X61" s="9" t="s">
        <v>91</v>
      </c>
      <c r="Y61" s="136">
        <f>Y20*H10</f>
        <v>93.956244003451516</v>
      </c>
      <c r="Z61" s="1054" t="s">
        <v>1136</v>
      </c>
      <c r="AA61" s="1054"/>
      <c r="AB61" s="1054"/>
      <c r="AC61" s="1054"/>
      <c r="AF61" s="143" t="s">
        <v>39</v>
      </c>
      <c r="AG61" s="117">
        <v>2017</v>
      </c>
      <c r="AH61" s="117" t="s">
        <v>182</v>
      </c>
      <c r="AI61" s="9" t="s">
        <v>91</v>
      </c>
      <c r="AJ61" s="136">
        <f>AJ20*H10</f>
        <v>2670.371333170558</v>
      </c>
      <c r="AK61" s="1054" t="s">
        <v>1136</v>
      </c>
      <c r="AL61" s="1054"/>
      <c r="AM61" s="1054"/>
      <c r="AN61" s="1054"/>
    </row>
    <row r="62" spans="1:40" s="2" customFormat="1">
      <c r="A62" s="152" t="s">
        <v>39</v>
      </c>
      <c r="B62" s="34" t="s">
        <v>200</v>
      </c>
      <c r="C62" s="40" t="s">
        <v>139</v>
      </c>
      <c r="D62" s="34"/>
      <c r="E62" s="313"/>
      <c r="F62" s="314">
        <v>1</v>
      </c>
      <c r="G62" s="40" t="s">
        <v>140</v>
      </c>
      <c r="H62" s="252">
        <v>2</v>
      </c>
      <c r="I62" s="10">
        <v>2</v>
      </c>
      <c r="J62" s="10">
        <v>2</v>
      </c>
      <c r="K62" s="10">
        <v>1</v>
      </c>
      <c r="L62" s="10">
        <v>1</v>
      </c>
      <c r="M62" s="298">
        <v>2</v>
      </c>
      <c r="N62" s="303"/>
      <c r="O62" s="34"/>
      <c r="P62" s="6"/>
      <c r="Q62" s="6"/>
      <c r="U62" s="143" t="s">
        <v>39</v>
      </c>
      <c r="V62" s="117">
        <v>2017</v>
      </c>
      <c r="W62" s="117" t="s">
        <v>180</v>
      </c>
      <c r="X62" s="9" t="s">
        <v>98</v>
      </c>
      <c r="Y62" s="136">
        <f>Y20*H11</f>
        <v>13.001220651252373</v>
      </c>
      <c r="Z62" s="1054" t="s">
        <v>1136</v>
      </c>
      <c r="AA62" s="1054"/>
      <c r="AB62" s="1054"/>
      <c r="AC62" s="1054"/>
      <c r="AF62" s="143" t="s">
        <v>39</v>
      </c>
      <c r="AG62" s="117">
        <v>2017</v>
      </c>
      <c r="AH62" s="117" t="s">
        <v>182</v>
      </c>
      <c r="AI62" s="9" t="s">
        <v>98</v>
      </c>
      <c r="AJ62" s="136">
        <f>AJ20*H11</f>
        <v>369.51335477026953</v>
      </c>
      <c r="AK62" s="1054" t="s">
        <v>1136</v>
      </c>
      <c r="AL62" s="1054"/>
      <c r="AM62" s="1054"/>
      <c r="AN62" s="1054"/>
    </row>
    <row r="63" spans="1:40" s="2" customFormat="1">
      <c r="A63" s="152" t="s">
        <v>39</v>
      </c>
      <c r="B63" s="34" t="s">
        <v>183</v>
      </c>
      <c r="C63" s="40" t="s">
        <v>139</v>
      </c>
      <c r="D63" s="34"/>
      <c r="E63" s="313"/>
      <c r="F63" s="314">
        <v>1</v>
      </c>
      <c r="G63" s="40" t="s">
        <v>140</v>
      </c>
      <c r="H63" s="252"/>
      <c r="I63" s="10"/>
      <c r="J63" s="10"/>
      <c r="K63" s="10"/>
      <c r="L63" s="10"/>
      <c r="M63" s="298"/>
      <c r="N63" s="303"/>
      <c r="O63" s="34"/>
      <c r="P63" s="6"/>
      <c r="Q63" s="6"/>
    </row>
    <row r="64" spans="1:40" s="2" customFormat="1">
      <c r="A64" s="152" t="s">
        <v>39</v>
      </c>
      <c r="B64" s="34" t="s">
        <v>142</v>
      </c>
      <c r="C64" s="40" t="s">
        <v>139</v>
      </c>
      <c r="D64" s="34"/>
      <c r="E64" s="313"/>
      <c r="F64" s="314">
        <v>1</v>
      </c>
      <c r="G64" s="40" t="s">
        <v>140</v>
      </c>
      <c r="H64" s="252"/>
      <c r="I64" s="10"/>
      <c r="J64" s="10"/>
      <c r="K64" s="10"/>
      <c r="L64" s="10"/>
      <c r="M64" s="298"/>
      <c r="N64" s="303"/>
      <c r="O64" s="34"/>
      <c r="P64" s="6"/>
      <c r="Q64" s="6"/>
    </row>
    <row r="65" spans="1:18" s="2" customFormat="1">
      <c r="A65" s="152" t="s">
        <v>39</v>
      </c>
      <c r="B65" s="34" t="s">
        <v>138</v>
      </c>
      <c r="C65" s="40" t="s">
        <v>139</v>
      </c>
      <c r="D65" s="34"/>
      <c r="E65" s="313"/>
      <c r="F65" s="314">
        <v>1</v>
      </c>
      <c r="G65" s="40" t="s">
        <v>140</v>
      </c>
      <c r="H65" s="252">
        <v>2</v>
      </c>
      <c r="I65" s="10">
        <v>2</v>
      </c>
      <c r="J65" s="10">
        <v>2</v>
      </c>
      <c r="K65" s="10">
        <v>1</v>
      </c>
      <c r="L65" s="10">
        <v>1</v>
      </c>
      <c r="M65" s="298">
        <v>2</v>
      </c>
      <c r="N65" s="303"/>
      <c r="O65" s="34"/>
      <c r="P65" s="6"/>
      <c r="Q65" s="6"/>
    </row>
    <row r="66" spans="1:18" ht="30" customHeight="1">
      <c r="A66" s="334"/>
      <c r="B66" s="335"/>
      <c r="C66" s="335"/>
      <c r="D66" s="335"/>
      <c r="E66" s="336"/>
      <c r="F66" s="337"/>
      <c r="G66" s="338"/>
      <c r="H66" s="335"/>
      <c r="I66" s="335"/>
      <c r="J66" s="335"/>
      <c r="K66" s="335"/>
      <c r="L66" s="335"/>
      <c r="M66" s="335"/>
      <c r="N66" s="335"/>
      <c r="O66" s="339"/>
      <c r="P66" s="339"/>
      <c r="Q66" s="339"/>
      <c r="R66" s="339"/>
    </row>
    <row r="67" spans="1:18" s="2" customFormat="1">
      <c r="A67" s="152" t="s">
        <v>39</v>
      </c>
      <c r="B67" s="34" t="s">
        <v>237</v>
      </c>
      <c r="C67" s="40" t="s">
        <v>139</v>
      </c>
      <c r="D67" s="34"/>
      <c r="E67" s="313"/>
      <c r="F67" s="314">
        <v>1</v>
      </c>
      <c r="G67" s="40" t="s">
        <v>140</v>
      </c>
      <c r="H67" s="252">
        <v>2</v>
      </c>
      <c r="I67" s="10">
        <v>2</v>
      </c>
      <c r="J67" s="10">
        <v>2</v>
      </c>
      <c r="K67" s="10">
        <v>1</v>
      </c>
      <c r="L67" s="10">
        <v>1</v>
      </c>
      <c r="M67" s="298">
        <v>2</v>
      </c>
      <c r="N67" s="303"/>
      <c r="O67" s="34"/>
      <c r="P67" s="6"/>
      <c r="Q67" s="6"/>
    </row>
    <row r="68" spans="1:18" s="2" customFormat="1">
      <c r="A68" s="152" t="s">
        <v>39</v>
      </c>
      <c r="B68" s="34" t="s">
        <v>236</v>
      </c>
      <c r="C68" s="40" t="s">
        <v>139</v>
      </c>
      <c r="D68" s="34"/>
      <c r="E68" s="313"/>
      <c r="F68" s="314">
        <v>1</v>
      </c>
      <c r="G68" s="40" t="s">
        <v>140</v>
      </c>
      <c r="H68" s="252">
        <v>2</v>
      </c>
      <c r="I68" s="10">
        <v>2</v>
      </c>
      <c r="J68" s="10">
        <v>2</v>
      </c>
      <c r="K68" s="10">
        <v>1</v>
      </c>
      <c r="L68" s="10">
        <v>1</v>
      </c>
      <c r="M68" s="298">
        <v>2</v>
      </c>
      <c r="N68" s="303"/>
      <c r="O68" s="34"/>
      <c r="P68" s="6"/>
      <c r="Q68" s="6"/>
    </row>
    <row r="69" spans="1:18" s="2" customFormat="1">
      <c r="A69" s="152" t="s">
        <v>39</v>
      </c>
      <c r="B69" s="34" t="s">
        <v>203</v>
      </c>
      <c r="C69" s="40" t="s">
        <v>139</v>
      </c>
      <c r="D69" s="34"/>
      <c r="E69" s="313"/>
      <c r="F69" s="314">
        <v>1</v>
      </c>
      <c r="G69" s="40" t="s">
        <v>140</v>
      </c>
      <c r="H69" s="252">
        <v>2</v>
      </c>
      <c r="I69" s="10">
        <v>2</v>
      </c>
      <c r="J69" s="10">
        <v>2</v>
      </c>
      <c r="K69" s="10">
        <v>1</v>
      </c>
      <c r="L69" s="10">
        <v>1</v>
      </c>
      <c r="M69" s="298">
        <v>2</v>
      </c>
      <c r="N69" s="303"/>
      <c r="O69" s="34"/>
      <c r="P69" s="6"/>
      <c r="Q69" s="6"/>
    </row>
    <row r="70" spans="1:18" s="2" customFormat="1">
      <c r="A70" s="152" t="s">
        <v>39</v>
      </c>
      <c r="B70" s="34" t="s">
        <v>235</v>
      </c>
      <c r="C70" s="40" t="s">
        <v>139</v>
      </c>
      <c r="D70" s="34"/>
      <c r="E70" s="313"/>
      <c r="F70" s="314">
        <v>1</v>
      </c>
      <c r="G70" s="40" t="s">
        <v>140</v>
      </c>
      <c r="H70" s="252"/>
      <c r="I70" s="10"/>
      <c r="J70" s="10"/>
      <c r="K70" s="10"/>
      <c r="L70" s="10"/>
      <c r="M70" s="298"/>
      <c r="N70" s="303"/>
      <c r="O70" s="34"/>
      <c r="P70" s="6"/>
      <c r="Q70" s="6"/>
    </row>
    <row r="71" spans="1:18" s="2" customFormat="1">
      <c r="A71" s="152" t="s">
        <v>39</v>
      </c>
      <c r="B71" s="34" t="s">
        <v>202</v>
      </c>
      <c r="C71" s="40" t="s">
        <v>139</v>
      </c>
      <c r="D71" s="34"/>
      <c r="E71" s="313"/>
      <c r="F71" s="314">
        <v>1</v>
      </c>
      <c r="G71" s="40" t="s">
        <v>140</v>
      </c>
      <c r="H71" s="252">
        <v>2</v>
      </c>
      <c r="I71" s="10">
        <v>2</v>
      </c>
      <c r="J71" s="10">
        <v>2</v>
      </c>
      <c r="K71" s="10">
        <v>1</v>
      </c>
      <c r="L71" s="10">
        <v>1</v>
      </c>
      <c r="M71" s="298">
        <v>2</v>
      </c>
      <c r="N71" s="303"/>
      <c r="O71" s="34"/>
      <c r="P71" s="6"/>
      <c r="Q71" s="6"/>
    </row>
    <row r="72" spans="1:18" s="2" customFormat="1">
      <c r="A72" s="152" t="s">
        <v>39</v>
      </c>
      <c r="B72" s="34" t="s">
        <v>201</v>
      </c>
      <c r="C72" s="40" t="s">
        <v>139</v>
      </c>
      <c r="D72" s="34"/>
      <c r="E72" s="313"/>
      <c r="F72" s="314">
        <v>1</v>
      </c>
      <c r="G72" s="40" t="s">
        <v>140</v>
      </c>
      <c r="H72" s="252">
        <v>2</v>
      </c>
      <c r="I72" s="10">
        <v>2</v>
      </c>
      <c r="J72" s="10">
        <v>2</v>
      </c>
      <c r="K72" s="10">
        <v>1</v>
      </c>
      <c r="L72" s="10">
        <v>1</v>
      </c>
      <c r="M72" s="298">
        <v>2</v>
      </c>
      <c r="N72" s="303"/>
      <c r="O72" s="34"/>
      <c r="P72" s="6"/>
      <c r="Q72" s="6"/>
    </row>
    <row r="73" spans="1:18" s="2" customFormat="1">
      <c r="A73" s="152" t="s">
        <v>39</v>
      </c>
      <c r="B73" s="34" t="s">
        <v>200</v>
      </c>
      <c r="C73" s="40" t="s">
        <v>139</v>
      </c>
      <c r="D73" s="34"/>
      <c r="E73" s="313"/>
      <c r="F73" s="314">
        <v>1</v>
      </c>
      <c r="G73" s="40" t="s">
        <v>140</v>
      </c>
      <c r="H73" s="252">
        <v>2</v>
      </c>
      <c r="I73" s="10">
        <v>2</v>
      </c>
      <c r="J73" s="10">
        <v>2</v>
      </c>
      <c r="K73" s="10">
        <v>1</v>
      </c>
      <c r="L73" s="10">
        <v>1</v>
      </c>
      <c r="M73" s="298">
        <v>2</v>
      </c>
      <c r="N73" s="303"/>
      <c r="O73" s="34"/>
      <c r="P73" s="6"/>
      <c r="Q73" s="6"/>
    </row>
    <row r="74" spans="1:18" s="2" customFormat="1">
      <c r="A74" s="152" t="s">
        <v>39</v>
      </c>
      <c r="B74" s="34" t="s">
        <v>183</v>
      </c>
      <c r="C74" s="40" t="s">
        <v>139</v>
      </c>
      <c r="D74" s="34"/>
      <c r="E74" s="313"/>
      <c r="F74" s="314">
        <v>1</v>
      </c>
      <c r="G74" s="40" t="s">
        <v>140</v>
      </c>
      <c r="H74" s="252"/>
      <c r="I74" s="10"/>
      <c r="J74" s="10"/>
      <c r="K74" s="10"/>
      <c r="L74" s="10"/>
      <c r="M74" s="298"/>
      <c r="N74" s="303"/>
      <c r="O74" s="34"/>
      <c r="P74" s="6"/>
      <c r="Q74" s="6"/>
    </row>
    <row r="75" spans="1:18" s="2" customFormat="1">
      <c r="A75" s="152" t="s">
        <v>39</v>
      </c>
      <c r="B75" s="34" t="s">
        <v>142</v>
      </c>
      <c r="C75" s="40" t="s">
        <v>139</v>
      </c>
      <c r="D75" s="34"/>
      <c r="E75" s="313"/>
      <c r="F75" s="314">
        <v>1</v>
      </c>
      <c r="G75" s="40" t="s">
        <v>140</v>
      </c>
      <c r="H75" s="252"/>
      <c r="I75" s="10"/>
      <c r="J75" s="10"/>
      <c r="K75" s="10"/>
      <c r="L75" s="10"/>
      <c r="M75" s="298"/>
      <c r="N75" s="303"/>
      <c r="O75" s="34"/>
      <c r="P75" s="6"/>
      <c r="Q75" s="6"/>
    </row>
    <row r="76" spans="1:18" s="2" customFormat="1">
      <c r="A76" s="152" t="s">
        <v>39</v>
      </c>
      <c r="B76" s="34" t="s">
        <v>138</v>
      </c>
      <c r="C76" s="40" t="s">
        <v>139</v>
      </c>
      <c r="D76" s="34"/>
      <c r="E76" s="313"/>
      <c r="F76" s="314">
        <v>1</v>
      </c>
      <c r="G76" s="40" t="s">
        <v>140</v>
      </c>
      <c r="H76" s="252">
        <v>2</v>
      </c>
      <c r="I76" s="10">
        <v>2</v>
      </c>
      <c r="J76" s="10">
        <v>2</v>
      </c>
      <c r="K76" s="10">
        <v>1</v>
      </c>
      <c r="L76" s="10">
        <v>1</v>
      </c>
      <c r="M76" s="298">
        <v>2</v>
      </c>
      <c r="N76" s="303"/>
      <c r="O76" s="34"/>
      <c r="P76" s="6"/>
      <c r="Q76" s="6"/>
    </row>
    <row r="77" spans="1:18" ht="30" customHeight="1">
      <c r="A77" s="334"/>
      <c r="B77" s="335"/>
      <c r="C77" s="335"/>
      <c r="D77" s="335"/>
      <c r="E77" s="336"/>
      <c r="F77" s="337"/>
      <c r="G77" s="338"/>
      <c r="H77" s="335"/>
      <c r="I77" s="335"/>
      <c r="J77" s="335"/>
      <c r="K77" s="335"/>
      <c r="L77" s="335"/>
      <c r="M77" s="335"/>
      <c r="N77" s="335"/>
      <c r="O77" s="339"/>
      <c r="P77" s="339"/>
      <c r="Q77" s="339"/>
      <c r="R77" s="339"/>
    </row>
    <row r="78" spans="1:18" s="2" customFormat="1">
      <c r="A78" s="152" t="s">
        <v>39</v>
      </c>
      <c r="B78" s="34" t="s">
        <v>237</v>
      </c>
      <c r="C78" s="40" t="s">
        <v>139</v>
      </c>
      <c r="D78" s="34"/>
      <c r="E78" s="313"/>
      <c r="F78" s="314">
        <v>1</v>
      </c>
      <c r="G78" s="40" t="s">
        <v>140</v>
      </c>
      <c r="H78" s="252">
        <v>2</v>
      </c>
      <c r="I78" s="10">
        <v>2</v>
      </c>
      <c r="J78" s="10">
        <v>2</v>
      </c>
      <c r="K78" s="10">
        <v>1</v>
      </c>
      <c r="L78" s="10">
        <v>1</v>
      </c>
      <c r="M78" s="298">
        <v>2</v>
      </c>
      <c r="N78" s="303"/>
      <c r="O78" s="34"/>
      <c r="P78" s="6"/>
      <c r="Q78" s="6"/>
    </row>
    <row r="79" spans="1:18" s="2" customFormat="1">
      <c r="A79" s="152" t="s">
        <v>39</v>
      </c>
      <c r="B79" s="34" t="s">
        <v>236</v>
      </c>
      <c r="C79" s="40" t="s">
        <v>139</v>
      </c>
      <c r="D79" s="34"/>
      <c r="E79" s="313"/>
      <c r="F79" s="314">
        <v>1</v>
      </c>
      <c r="G79" s="40" t="s">
        <v>140</v>
      </c>
      <c r="H79" s="252">
        <v>2</v>
      </c>
      <c r="I79" s="10">
        <v>2</v>
      </c>
      <c r="J79" s="10">
        <v>2</v>
      </c>
      <c r="K79" s="10">
        <v>1</v>
      </c>
      <c r="L79" s="10">
        <v>1</v>
      </c>
      <c r="M79" s="298">
        <v>2</v>
      </c>
      <c r="N79" s="303"/>
      <c r="O79" s="34"/>
      <c r="P79" s="6"/>
      <c r="Q79" s="6"/>
    </row>
    <row r="80" spans="1:18" s="2" customFormat="1">
      <c r="A80" s="152" t="s">
        <v>39</v>
      </c>
      <c r="B80" s="34" t="s">
        <v>203</v>
      </c>
      <c r="C80" s="40" t="s">
        <v>139</v>
      </c>
      <c r="D80" s="34"/>
      <c r="E80" s="313"/>
      <c r="F80" s="314">
        <v>1</v>
      </c>
      <c r="G80" s="40" t="s">
        <v>140</v>
      </c>
      <c r="H80" s="252">
        <v>2</v>
      </c>
      <c r="I80" s="10">
        <v>2</v>
      </c>
      <c r="J80" s="10">
        <v>2</v>
      </c>
      <c r="K80" s="10">
        <v>1</v>
      </c>
      <c r="L80" s="10">
        <v>1</v>
      </c>
      <c r="M80" s="298">
        <v>2</v>
      </c>
      <c r="N80" s="303"/>
      <c r="O80" s="34"/>
      <c r="P80" s="6"/>
      <c r="Q80" s="6"/>
    </row>
    <row r="81" spans="1:18" s="2" customFormat="1">
      <c r="A81" s="152" t="s">
        <v>39</v>
      </c>
      <c r="B81" s="34" t="s">
        <v>235</v>
      </c>
      <c r="C81" s="40" t="s">
        <v>139</v>
      </c>
      <c r="D81" s="34"/>
      <c r="E81" s="313"/>
      <c r="F81" s="314">
        <v>1</v>
      </c>
      <c r="G81" s="40" t="s">
        <v>140</v>
      </c>
      <c r="H81" s="252"/>
      <c r="I81" s="10"/>
      <c r="J81" s="10"/>
      <c r="K81" s="10"/>
      <c r="L81" s="10"/>
      <c r="M81" s="298"/>
      <c r="N81" s="303"/>
      <c r="O81" s="34"/>
      <c r="P81" s="6"/>
      <c r="Q81" s="6"/>
    </row>
    <row r="82" spans="1:18" s="2" customFormat="1">
      <c r="A82" s="152" t="s">
        <v>39</v>
      </c>
      <c r="B82" s="34" t="s">
        <v>202</v>
      </c>
      <c r="C82" s="40" t="s">
        <v>139</v>
      </c>
      <c r="D82" s="34"/>
      <c r="E82" s="313"/>
      <c r="F82" s="314">
        <v>1</v>
      </c>
      <c r="G82" s="40" t="s">
        <v>140</v>
      </c>
      <c r="H82" s="252">
        <v>2</v>
      </c>
      <c r="I82" s="10">
        <v>2</v>
      </c>
      <c r="J82" s="10">
        <v>2</v>
      </c>
      <c r="K82" s="10">
        <v>1</v>
      </c>
      <c r="L82" s="10">
        <v>1</v>
      </c>
      <c r="M82" s="298">
        <v>2</v>
      </c>
      <c r="N82" s="303"/>
      <c r="O82" s="34"/>
      <c r="P82" s="6"/>
      <c r="Q82" s="6"/>
    </row>
    <row r="83" spans="1:18" s="2" customFormat="1">
      <c r="A83" s="152" t="s">
        <v>39</v>
      </c>
      <c r="B83" s="34" t="s">
        <v>201</v>
      </c>
      <c r="C83" s="40" t="s">
        <v>139</v>
      </c>
      <c r="D83" s="34"/>
      <c r="E83" s="313"/>
      <c r="F83" s="314">
        <v>1</v>
      </c>
      <c r="G83" s="40" t="s">
        <v>140</v>
      </c>
      <c r="H83" s="252">
        <v>2</v>
      </c>
      <c r="I83" s="10">
        <v>2</v>
      </c>
      <c r="J83" s="10">
        <v>2</v>
      </c>
      <c r="K83" s="10">
        <v>1</v>
      </c>
      <c r="L83" s="10">
        <v>1</v>
      </c>
      <c r="M83" s="298">
        <v>2</v>
      </c>
      <c r="N83" s="303"/>
      <c r="O83" s="34"/>
      <c r="P83" s="6"/>
      <c r="Q83" s="6"/>
    </row>
    <row r="84" spans="1:18" s="2" customFormat="1">
      <c r="A84" s="152" t="s">
        <v>39</v>
      </c>
      <c r="B84" s="34" t="s">
        <v>200</v>
      </c>
      <c r="C84" s="40" t="s">
        <v>139</v>
      </c>
      <c r="D84" s="34"/>
      <c r="E84" s="313"/>
      <c r="F84" s="314">
        <v>1</v>
      </c>
      <c r="G84" s="40" t="s">
        <v>140</v>
      </c>
      <c r="H84" s="252">
        <v>2</v>
      </c>
      <c r="I84" s="10">
        <v>2</v>
      </c>
      <c r="J84" s="10">
        <v>2</v>
      </c>
      <c r="K84" s="10">
        <v>1</v>
      </c>
      <c r="L84" s="10">
        <v>1</v>
      </c>
      <c r="M84" s="298">
        <v>2</v>
      </c>
      <c r="N84" s="303"/>
      <c r="O84" s="34"/>
      <c r="P84" s="6"/>
      <c r="Q84" s="6"/>
    </row>
    <row r="85" spans="1:18" s="2" customFormat="1">
      <c r="A85" s="152" t="s">
        <v>39</v>
      </c>
      <c r="B85" s="34" t="s">
        <v>183</v>
      </c>
      <c r="C85" s="40" t="s">
        <v>139</v>
      </c>
      <c r="D85" s="34"/>
      <c r="E85" s="313"/>
      <c r="F85" s="314">
        <v>1</v>
      </c>
      <c r="G85" s="40" t="s">
        <v>140</v>
      </c>
      <c r="H85" s="252"/>
      <c r="I85" s="10"/>
      <c r="J85" s="10"/>
      <c r="K85" s="10"/>
      <c r="L85" s="10"/>
      <c r="M85" s="298"/>
      <c r="N85" s="303"/>
      <c r="O85" s="34"/>
      <c r="P85" s="6"/>
      <c r="Q85" s="6"/>
    </row>
    <row r="86" spans="1:18" s="2" customFormat="1">
      <c r="A86" s="152" t="s">
        <v>39</v>
      </c>
      <c r="B86" s="34" t="s">
        <v>142</v>
      </c>
      <c r="C86" s="40" t="s">
        <v>139</v>
      </c>
      <c r="D86" s="34"/>
      <c r="E86" s="313"/>
      <c r="F86" s="314">
        <v>1</v>
      </c>
      <c r="G86" s="40" t="s">
        <v>140</v>
      </c>
      <c r="H86" s="252"/>
      <c r="I86" s="10"/>
      <c r="J86" s="10"/>
      <c r="K86" s="10"/>
      <c r="L86" s="10"/>
      <c r="M86" s="298"/>
      <c r="N86" s="303"/>
      <c r="O86" s="34"/>
      <c r="P86" s="6"/>
      <c r="Q86" s="6"/>
    </row>
    <row r="87" spans="1:18" s="2" customFormat="1">
      <c r="A87" s="152" t="s">
        <v>39</v>
      </c>
      <c r="B87" s="34" t="s">
        <v>138</v>
      </c>
      <c r="C87" s="40" t="s">
        <v>139</v>
      </c>
      <c r="D87" s="34"/>
      <c r="E87" s="313"/>
      <c r="F87" s="314">
        <v>1</v>
      </c>
      <c r="G87" s="40" t="s">
        <v>140</v>
      </c>
      <c r="H87" s="252">
        <v>2</v>
      </c>
      <c r="I87" s="10">
        <v>2</v>
      </c>
      <c r="J87" s="10">
        <v>2</v>
      </c>
      <c r="K87" s="10">
        <v>1</v>
      </c>
      <c r="L87" s="10">
        <v>1</v>
      </c>
      <c r="M87" s="298">
        <v>2</v>
      </c>
      <c r="N87" s="303"/>
      <c r="O87" s="34"/>
      <c r="P87" s="6"/>
      <c r="Q87" s="6"/>
    </row>
    <row r="88" spans="1:18" ht="30" customHeight="1">
      <c r="A88" s="334"/>
      <c r="B88" s="335"/>
      <c r="C88" s="335"/>
      <c r="D88" s="335"/>
      <c r="E88" s="336"/>
      <c r="F88" s="337"/>
      <c r="G88" s="338"/>
      <c r="H88" s="335"/>
      <c r="I88" s="335"/>
      <c r="J88" s="335"/>
      <c r="K88" s="335"/>
      <c r="L88" s="335"/>
      <c r="M88" s="335"/>
      <c r="N88" s="335"/>
      <c r="O88" s="339"/>
      <c r="P88" s="339"/>
      <c r="Q88" s="339"/>
      <c r="R88" s="339"/>
    </row>
    <row r="89" spans="1:18" s="2" customFormat="1">
      <c r="A89" s="152" t="s">
        <v>39</v>
      </c>
      <c r="B89" s="34" t="s">
        <v>237</v>
      </c>
      <c r="C89" s="40" t="s">
        <v>139</v>
      </c>
      <c r="D89" s="34"/>
      <c r="E89" s="313"/>
      <c r="F89" s="314">
        <v>1</v>
      </c>
      <c r="G89" s="40" t="s">
        <v>140</v>
      </c>
      <c r="H89" s="252">
        <v>2</v>
      </c>
      <c r="I89" s="10">
        <v>2</v>
      </c>
      <c r="J89" s="10">
        <v>2</v>
      </c>
      <c r="K89" s="10">
        <v>1</v>
      </c>
      <c r="L89" s="10">
        <v>1</v>
      </c>
      <c r="M89" s="298">
        <v>2</v>
      </c>
      <c r="N89" s="303"/>
      <c r="O89" s="34"/>
      <c r="P89" s="6"/>
      <c r="Q89" s="6"/>
    </row>
    <row r="90" spans="1:18" s="2" customFormat="1">
      <c r="A90" s="152" t="s">
        <v>39</v>
      </c>
      <c r="B90" s="34" t="s">
        <v>236</v>
      </c>
      <c r="C90" s="40" t="s">
        <v>139</v>
      </c>
      <c r="D90" s="34"/>
      <c r="E90" s="313"/>
      <c r="F90" s="314">
        <v>1</v>
      </c>
      <c r="G90" s="40" t="s">
        <v>140</v>
      </c>
      <c r="H90" s="252">
        <v>2</v>
      </c>
      <c r="I90" s="10">
        <v>2</v>
      </c>
      <c r="J90" s="10">
        <v>2</v>
      </c>
      <c r="K90" s="10">
        <v>1</v>
      </c>
      <c r="L90" s="10">
        <v>1</v>
      </c>
      <c r="M90" s="298">
        <v>2</v>
      </c>
      <c r="N90" s="303"/>
      <c r="O90" s="34"/>
      <c r="P90" s="6"/>
      <c r="Q90" s="6"/>
    </row>
    <row r="91" spans="1:18" s="2" customFormat="1">
      <c r="A91" s="152" t="s">
        <v>39</v>
      </c>
      <c r="B91" s="34" t="s">
        <v>203</v>
      </c>
      <c r="C91" s="40" t="s">
        <v>139</v>
      </c>
      <c r="D91" s="34"/>
      <c r="E91" s="313"/>
      <c r="F91" s="314">
        <v>1</v>
      </c>
      <c r="G91" s="40" t="s">
        <v>140</v>
      </c>
      <c r="H91" s="252">
        <v>2</v>
      </c>
      <c r="I91" s="10">
        <v>2</v>
      </c>
      <c r="J91" s="10">
        <v>2</v>
      </c>
      <c r="K91" s="10">
        <v>1</v>
      </c>
      <c r="L91" s="10">
        <v>1</v>
      </c>
      <c r="M91" s="298">
        <v>2</v>
      </c>
      <c r="N91" s="303"/>
      <c r="O91" s="34"/>
      <c r="P91" s="6"/>
      <c r="Q91" s="6"/>
    </row>
    <row r="92" spans="1:18" s="2" customFormat="1">
      <c r="A92" s="152" t="s">
        <v>39</v>
      </c>
      <c r="B92" s="34" t="s">
        <v>235</v>
      </c>
      <c r="C92" s="40" t="s">
        <v>139</v>
      </c>
      <c r="D92" s="34"/>
      <c r="E92" s="313"/>
      <c r="F92" s="314">
        <v>1</v>
      </c>
      <c r="G92" s="40" t="s">
        <v>140</v>
      </c>
      <c r="H92" s="252"/>
      <c r="I92" s="10"/>
      <c r="J92" s="10"/>
      <c r="K92" s="10"/>
      <c r="L92" s="10"/>
      <c r="M92" s="298"/>
      <c r="N92" s="303"/>
      <c r="O92" s="34"/>
      <c r="P92" s="6"/>
      <c r="Q92" s="6"/>
    </row>
    <row r="93" spans="1:18" s="2" customFormat="1">
      <c r="A93" s="152" t="s">
        <v>39</v>
      </c>
      <c r="B93" s="34" t="s">
        <v>202</v>
      </c>
      <c r="C93" s="40" t="s">
        <v>139</v>
      </c>
      <c r="D93" s="34"/>
      <c r="E93" s="313"/>
      <c r="F93" s="314">
        <v>1</v>
      </c>
      <c r="G93" s="40" t="s">
        <v>140</v>
      </c>
      <c r="H93" s="252">
        <v>2</v>
      </c>
      <c r="I93" s="10">
        <v>2</v>
      </c>
      <c r="J93" s="10">
        <v>2</v>
      </c>
      <c r="K93" s="10">
        <v>1</v>
      </c>
      <c r="L93" s="10">
        <v>1</v>
      </c>
      <c r="M93" s="298">
        <v>2</v>
      </c>
      <c r="N93" s="303"/>
      <c r="O93" s="34"/>
      <c r="P93" s="6"/>
      <c r="Q93" s="6"/>
    </row>
    <row r="94" spans="1:18" s="2" customFormat="1">
      <c r="A94" s="152" t="s">
        <v>39</v>
      </c>
      <c r="B94" s="34" t="s">
        <v>201</v>
      </c>
      <c r="C94" s="40" t="s">
        <v>139</v>
      </c>
      <c r="D94" s="34"/>
      <c r="E94" s="313"/>
      <c r="F94" s="314">
        <v>1</v>
      </c>
      <c r="G94" s="40" t="s">
        <v>140</v>
      </c>
      <c r="H94" s="252">
        <v>2</v>
      </c>
      <c r="I94" s="10">
        <v>2</v>
      </c>
      <c r="J94" s="10">
        <v>2</v>
      </c>
      <c r="K94" s="10">
        <v>1</v>
      </c>
      <c r="L94" s="10">
        <v>1</v>
      </c>
      <c r="M94" s="298">
        <v>2</v>
      </c>
      <c r="N94" s="303"/>
      <c r="O94" s="34"/>
      <c r="P94" s="6"/>
      <c r="Q94" s="6"/>
    </row>
    <row r="95" spans="1:18" s="2" customFormat="1">
      <c r="A95" s="152" t="s">
        <v>39</v>
      </c>
      <c r="B95" s="34" t="s">
        <v>200</v>
      </c>
      <c r="C95" s="40" t="s">
        <v>139</v>
      </c>
      <c r="D95" s="34"/>
      <c r="E95" s="313"/>
      <c r="F95" s="314">
        <v>1</v>
      </c>
      <c r="G95" s="40" t="s">
        <v>140</v>
      </c>
      <c r="H95" s="252">
        <v>2</v>
      </c>
      <c r="I95" s="10">
        <v>2</v>
      </c>
      <c r="J95" s="10">
        <v>2</v>
      </c>
      <c r="K95" s="10">
        <v>1</v>
      </c>
      <c r="L95" s="10">
        <v>1</v>
      </c>
      <c r="M95" s="298">
        <v>2</v>
      </c>
      <c r="N95" s="303"/>
      <c r="O95" s="34"/>
      <c r="P95" s="6"/>
      <c r="Q95" s="6"/>
    </row>
    <row r="96" spans="1:18" s="2" customFormat="1">
      <c r="A96" s="152" t="s">
        <v>39</v>
      </c>
      <c r="B96" s="34" t="s">
        <v>183</v>
      </c>
      <c r="C96" s="40" t="s">
        <v>139</v>
      </c>
      <c r="D96" s="34"/>
      <c r="E96" s="313"/>
      <c r="F96" s="314">
        <v>1</v>
      </c>
      <c r="G96" s="40" t="s">
        <v>140</v>
      </c>
      <c r="H96" s="252"/>
      <c r="I96" s="10"/>
      <c r="J96" s="10"/>
      <c r="K96" s="10"/>
      <c r="L96" s="10"/>
      <c r="M96" s="298"/>
      <c r="N96" s="303"/>
      <c r="O96" s="34"/>
      <c r="P96" s="6"/>
      <c r="Q96" s="6"/>
    </row>
    <row r="97" spans="1:18" s="2" customFormat="1">
      <c r="A97" s="152" t="s">
        <v>39</v>
      </c>
      <c r="B97" s="34" t="s">
        <v>142</v>
      </c>
      <c r="C97" s="40" t="s">
        <v>139</v>
      </c>
      <c r="D97" s="34"/>
      <c r="E97" s="313"/>
      <c r="F97" s="314">
        <v>1</v>
      </c>
      <c r="G97" s="40" t="s">
        <v>140</v>
      </c>
      <c r="H97" s="252"/>
      <c r="I97" s="10"/>
      <c r="J97" s="10"/>
      <c r="K97" s="10"/>
      <c r="L97" s="10"/>
      <c r="M97" s="298"/>
      <c r="N97" s="303"/>
      <c r="O97" s="34"/>
      <c r="P97" s="6"/>
      <c r="Q97" s="6"/>
    </row>
    <row r="98" spans="1:18" s="2" customFormat="1">
      <c r="A98" s="152" t="s">
        <v>39</v>
      </c>
      <c r="B98" s="34" t="s">
        <v>138</v>
      </c>
      <c r="C98" s="40" t="s">
        <v>139</v>
      </c>
      <c r="D98" s="34"/>
      <c r="E98" s="313"/>
      <c r="F98" s="314">
        <v>1</v>
      </c>
      <c r="G98" s="40" t="s">
        <v>140</v>
      </c>
      <c r="H98" s="252">
        <v>2</v>
      </c>
      <c r="I98" s="10">
        <v>2</v>
      </c>
      <c r="J98" s="10">
        <v>2</v>
      </c>
      <c r="K98" s="10">
        <v>1</v>
      </c>
      <c r="L98" s="10">
        <v>1</v>
      </c>
      <c r="M98" s="298">
        <v>2</v>
      </c>
      <c r="N98" s="303"/>
      <c r="O98" s="34"/>
      <c r="P98" s="6"/>
      <c r="Q98" s="6"/>
    </row>
    <row r="99" spans="1:18" ht="30" customHeight="1">
      <c r="A99" s="334"/>
      <c r="B99" s="335"/>
      <c r="C99" s="335"/>
      <c r="D99" s="335"/>
      <c r="E99" s="336"/>
      <c r="F99" s="337"/>
      <c r="G99" s="338"/>
      <c r="H99" s="335"/>
      <c r="I99" s="335"/>
      <c r="J99" s="335"/>
      <c r="K99" s="335"/>
      <c r="L99" s="335"/>
      <c r="M99" s="335"/>
      <c r="N99" s="335"/>
      <c r="O99" s="339"/>
      <c r="P99" s="339"/>
      <c r="Q99" s="339"/>
      <c r="R99" s="339"/>
    </row>
    <row r="100" spans="1:18" s="2" customFormat="1">
      <c r="A100" s="152" t="s">
        <v>39</v>
      </c>
      <c r="B100" s="34" t="s">
        <v>237</v>
      </c>
      <c r="C100" s="40" t="s">
        <v>139</v>
      </c>
      <c r="D100" s="34"/>
      <c r="E100" s="313"/>
      <c r="F100" s="314">
        <v>1</v>
      </c>
      <c r="G100" s="40" t="s">
        <v>140</v>
      </c>
      <c r="H100" s="252">
        <v>2</v>
      </c>
      <c r="I100" s="10">
        <v>2</v>
      </c>
      <c r="J100" s="10">
        <v>2</v>
      </c>
      <c r="K100" s="10">
        <v>1</v>
      </c>
      <c r="L100" s="10">
        <v>1</v>
      </c>
      <c r="M100" s="298">
        <v>2</v>
      </c>
      <c r="N100" s="303"/>
      <c r="O100" s="34"/>
      <c r="P100" s="6"/>
      <c r="Q100" s="6"/>
    </row>
    <row r="101" spans="1:18" s="2" customFormat="1">
      <c r="A101" s="152" t="s">
        <v>39</v>
      </c>
      <c r="B101" s="34" t="s">
        <v>236</v>
      </c>
      <c r="C101" s="40" t="s">
        <v>139</v>
      </c>
      <c r="D101" s="34"/>
      <c r="E101" s="313"/>
      <c r="F101" s="314">
        <v>1</v>
      </c>
      <c r="G101" s="40" t="s">
        <v>140</v>
      </c>
      <c r="H101" s="252">
        <v>2</v>
      </c>
      <c r="I101" s="10">
        <v>2</v>
      </c>
      <c r="J101" s="10">
        <v>2</v>
      </c>
      <c r="K101" s="10">
        <v>1</v>
      </c>
      <c r="L101" s="10">
        <v>1</v>
      </c>
      <c r="M101" s="298">
        <v>2</v>
      </c>
      <c r="N101" s="303"/>
      <c r="O101" s="34"/>
      <c r="P101" s="6"/>
      <c r="Q101" s="6"/>
    </row>
    <row r="102" spans="1:18" s="2" customFormat="1">
      <c r="A102" s="152" t="s">
        <v>39</v>
      </c>
      <c r="B102" s="34" t="s">
        <v>203</v>
      </c>
      <c r="C102" s="40" t="s">
        <v>139</v>
      </c>
      <c r="D102" s="34"/>
      <c r="E102" s="313"/>
      <c r="F102" s="314">
        <v>1</v>
      </c>
      <c r="G102" s="40" t="s">
        <v>140</v>
      </c>
      <c r="H102" s="252">
        <v>2</v>
      </c>
      <c r="I102" s="10">
        <v>2</v>
      </c>
      <c r="J102" s="10">
        <v>2</v>
      </c>
      <c r="K102" s="10">
        <v>1</v>
      </c>
      <c r="L102" s="10">
        <v>1</v>
      </c>
      <c r="M102" s="298">
        <v>2</v>
      </c>
      <c r="N102" s="303"/>
      <c r="O102" s="34"/>
      <c r="P102" s="6"/>
      <c r="Q102" s="6"/>
    </row>
    <row r="103" spans="1:18" s="2" customFormat="1">
      <c r="A103" s="152" t="s">
        <v>39</v>
      </c>
      <c r="B103" s="34" t="s">
        <v>235</v>
      </c>
      <c r="C103" s="40" t="s">
        <v>139</v>
      </c>
      <c r="D103" s="34"/>
      <c r="E103" s="313"/>
      <c r="F103" s="314">
        <v>1</v>
      </c>
      <c r="G103" s="40" t="s">
        <v>140</v>
      </c>
      <c r="H103" s="252"/>
      <c r="I103" s="10"/>
      <c r="J103" s="10"/>
      <c r="K103" s="10"/>
      <c r="L103" s="10"/>
      <c r="M103" s="298"/>
      <c r="N103" s="303"/>
      <c r="O103" s="34"/>
      <c r="P103" s="6"/>
      <c r="Q103" s="6"/>
    </row>
    <row r="104" spans="1:18" s="2" customFormat="1">
      <c r="A104" s="152" t="s">
        <v>39</v>
      </c>
      <c r="B104" s="34" t="s">
        <v>202</v>
      </c>
      <c r="C104" s="40" t="s">
        <v>139</v>
      </c>
      <c r="D104" s="34"/>
      <c r="E104" s="313"/>
      <c r="F104" s="314">
        <v>1</v>
      </c>
      <c r="G104" s="40" t="s">
        <v>140</v>
      </c>
      <c r="H104" s="252">
        <v>2</v>
      </c>
      <c r="I104" s="10">
        <v>2</v>
      </c>
      <c r="J104" s="10">
        <v>2</v>
      </c>
      <c r="K104" s="10">
        <v>1</v>
      </c>
      <c r="L104" s="10">
        <v>1</v>
      </c>
      <c r="M104" s="298">
        <v>2</v>
      </c>
      <c r="N104" s="303"/>
      <c r="O104" s="34"/>
      <c r="P104" s="6"/>
      <c r="Q104" s="6"/>
    </row>
    <row r="105" spans="1:18" s="2" customFormat="1">
      <c r="A105" s="152" t="s">
        <v>39</v>
      </c>
      <c r="B105" s="34" t="s">
        <v>201</v>
      </c>
      <c r="C105" s="40" t="s">
        <v>139</v>
      </c>
      <c r="D105" s="34"/>
      <c r="E105" s="313"/>
      <c r="F105" s="314">
        <v>1</v>
      </c>
      <c r="G105" s="40" t="s">
        <v>140</v>
      </c>
      <c r="H105" s="252">
        <v>2</v>
      </c>
      <c r="I105" s="10">
        <v>2</v>
      </c>
      <c r="J105" s="10">
        <v>2</v>
      </c>
      <c r="K105" s="10">
        <v>1</v>
      </c>
      <c r="L105" s="10">
        <v>1</v>
      </c>
      <c r="M105" s="298">
        <v>2</v>
      </c>
      <c r="N105" s="303"/>
      <c r="O105" s="34"/>
      <c r="P105" s="6"/>
      <c r="Q105" s="6"/>
    </row>
    <row r="106" spans="1:18" s="2" customFormat="1">
      <c r="A106" s="152" t="s">
        <v>39</v>
      </c>
      <c r="B106" s="34" t="s">
        <v>200</v>
      </c>
      <c r="C106" s="40" t="s">
        <v>139</v>
      </c>
      <c r="D106" s="34"/>
      <c r="E106" s="313"/>
      <c r="F106" s="314">
        <v>1</v>
      </c>
      <c r="G106" s="40" t="s">
        <v>140</v>
      </c>
      <c r="H106" s="252">
        <v>2</v>
      </c>
      <c r="I106" s="10">
        <v>2</v>
      </c>
      <c r="J106" s="10">
        <v>2</v>
      </c>
      <c r="K106" s="10">
        <v>1</v>
      </c>
      <c r="L106" s="10">
        <v>1</v>
      </c>
      <c r="M106" s="298">
        <v>2</v>
      </c>
      <c r="N106" s="303"/>
      <c r="O106" s="34"/>
      <c r="P106" s="6"/>
      <c r="Q106" s="6"/>
    </row>
    <row r="107" spans="1:18" s="2" customFormat="1">
      <c r="A107" s="152" t="s">
        <v>39</v>
      </c>
      <c r="B107" s="34" t="s">
        <v>183</v>
      </c>
      <c r="C107" s="40" t="s">
        <v>139</v>
      </c>
      <c r="D107" s="34"/>
      <c r="E107" s="313"/>
      <c r="F107" s="314">
        <v>1</v>
      </c>
      <c r="G107" s="40" t="s">
        <v>140</v>
      </c>
      <c r="H107" s="252"/>
      <c r="I107" s="10"/>
      <c r="J107" s="10"/>
      <c r="K107" s="10"/>
      <c r="L107" s="10"/>
      <c r="M107" s="298"/>
      <c r="N107" s="303"/>
      <c r="O107" s="34"/>
      <c r="P107" s="6"/>
      <c r="Q107" s="6"/>
    </row>
    <row r="108" spans="1:18" s="2" customFormat="1">
      <c r="A108" s="152" t="s">
        <v>39</v>
      </c>
      <c r="B108" s="34" t="s">
        <v>142</v>
      </c>
      <c r="C108" s="40" t="s">
        <v>139</v>
      </c>
      <c r="D108" s="34"/>
      <c r="E108" s="313"/>
      <c r="F108" s="314">
        <v>1</v>
      </c>
      <c r="G108" s="40" t="s">
        <v>140</v>
      </c>
      <c r="H108" s="252"/>
      <c r="I108" s="10"/>
      <c r="J108" s="10"/>
      <c r="K108" s="10"/>
      <c r="L108" s="10"/>
      <c r="M108" s="298"/>
      <c r="N108" s="303"/>
      <c r="O108" s="34"/>
      <c r="P108" s="6"/>
      <c r="Q108" s="6"/>
    </row>
    <row r="109" spans="1:18" s="2" customFormat="1">
      <c r="A109" s="152" t="s">
        <v>39</v>
      </c>
      <c r="B109" s="34" t="s">
        <v>138</v>
      </c>
      <c r="C109" s="40" t="s">
        <v>139</v>
      </c>
      <c r="D109" s="34"/>
      <c r="E109" s="313"/>
      <c r="F109" s="314">
        <v>1</v>
      </c>
      <c r="G109" s="40" t="s">
        <v>140</v>
      </c>
      <c r="H109" s="252">
        <v>2</v>
      </c>
      <c r="I109" s="10">
        <v>2</v>
      </c>
      <c r="J109" s="10">
        <v>2</v>
      </c>
      <c r="K109" s="10">
        <v>1</v>
      </c>
      <c r="L109" s="10">
        <v>1</v>
      </c>
      <c r="M109" s="298">
        <v>2</v>
      </c>
      <c r="N109" s="303"/>
      <c r="O109" s="34"/>
      <c r="P109" s="6"/>
      <c r="Q109" s="6"/>
    </row>
    <row r="110" spans="1:18" ht="30" customHeight="1">
      <c r="A110" s="334"/>
      <c r="B110" s="335"/>
      <c r="C110" s="335"/>
      <c r="D110" s="335"/>
      <c r="E110" s="336"/>
      <c r="F110" s="337"/>
      <c r="G110" s="338"/>
      <c r="H110" s="335"/>
      <c r="I110" s="335"/>
      <c r="J110" s="335"/>
      <c r="K110" s="335"/>
      <c r="L110" s="335"/>
      <c r="M110" s="335"/>
      <c r="N110" s="335"/>
      <c r="O110" s="339"/>
      <c r="P110" s="339"/>
      <c r="Q110" s="339"/>
      <c r="R110" s="339"/>
    </row>
    <row r="111" spans="1:18" s="2" customFormat="1">
      <c r="A111" s="152" t="s">
        <v>39</v>
      </c>
      <c r="B111" s="34" t="s">
        <v>237</v>
      </c>
      <c r="C111" s="40" t="s">
        <v>139</v>
      </c>
      <c r="D111" s="34"/>
      <c r="E111" s="313"/>
      <c r="F111" s="314">
        <v>1</v>
      </c>
      <c r="G111" s="40" t="s">
        <v>140</v>
      </c>
      <c r="H111" s="252">
        <v>2</v>
      </c>
      <c r="I111" s="10">
        <v>2</v>
      </c>
      <c r="J111" s="10">
        <v>2</v>
      </c>
      <c r="K111" s="10">
        <v>1</v>
      </c>
      <c r="L111" s="10">
        <v>1</v>
      </c>
      <c r="M111" s="298">
        <v>2</v>
      </c>
      <c r="N111" s="303"/>
      <c r="O111" s="34"/>
      <c r="P111" s="6"/>
      <c r="Q111" s="6"/>
    </row>
    <row r="112" spans="1:18" s="2" customFormat="1">
      <c r="A112" s="152" t="s">
        <v>39</v>
      </c>
      <c r="B112" s="34" t="s">
        <v>236</v>
      </c>
      <c r="C112" s="40" t="s">
        <v>139</v>
      </c>
      <c r="D112" s="34"/>
      <c r="E112" s="313"/>
      <c r="F112" s="314">
        <v>1</v>
      </c>
      <c r="G112" s="40" t="s">
        <v>140</v>
      </c>
      <c r="H112" s="252">
        <v>2</v>
      </c>
      <c r="I112" s="10">
        <v>2</v>
      </c>
      <c r="J112" s="10">
        <v>2</v>
      </c>
      <c r="K112" s="10">
        <v>1</v>
      </c>
      <c r="L112" s="10">
        <v>1</v>
      </c>
      <c r="M112" s="298">
        <v>2</v>
      </c>
      <c r="N112" s="303"/>
      <c r="O112" s="34"/>
      <c r="P112" s="6"/>
      <c r="Q112" s="6"/>
    </row>
    <row r="113" spans="1:18" s="2" customFormat="1">
      <c r="A113" s="152" t="s">
        <v>39</v>
      </c>
      <c r="B113" s="34" t="s">
        <v>203</v>
      </c>
      <c r="C113" s="40" t="s">
        <v>139</v>
      </c>
      <c r="D113" s="34"/>
      <c r="E113" s="313"/>
      <c r="F113" s="314">
        <v>1</v>
      </c>
      <c r="G113" s="40" t="s">
        <v>140</v>
      </c>
      <c r="H113" s="252">
        <v>2</v>
      </c>
      <c r="I113" s="10">
        <v>2</v>
      </c>
      <c r="J113" s="10">
        <v>2</v>
      </c>
      <c r="K113" s="10">
        <v>1</v>
      </c>
      <c r="L113" s="10">
        <v>1</v>
      </c>
      <c r="M113" s="298">
        <v>2</v>
      </c>
      <c r="N113" s="303"/>
      <c r="O113" s="34"/>
      <c r="P113" s="6"/>
      <c r="Q113" s="6"/>
    </row>
    <row r="114" spans="1:18" s="2" customFormat="1">
      <c r="A114" s="152" t="s">
        <v>39</v>
      </c>
      <c r="B114" s="34" t="s">
        <v>235</v>
      </c>
      <c r="C114" s="40" t="s">
        <v>139</v>
      </c>
      <c r="D114" s="34"/>
      <c r="E114" s="313"/>
      <c r="F114" s="314">
        <v>1</v>
      </c>
      <c r="G114" s="40" t="s">
        <v>140</v>
      </c>
      <c r="H114" s="252"/>
      <c r="I114" s="10"/>
      <c r="J114" s="10"/>
      <c r="K114" s="10"/>
      <c r="L114" s="10"/>
      <c r="M114" s="298"/>
      <c r="N114" s="303"/>
      <c r="O114" s="34"/>
      <c r="P114" s="6"/>
      <c r="Q114" s="6"/>
    </row>
    <row r="115" spans="1:18" s="2" customFormat="1">
      <c r="A115" s="152" t="s">
        <v>39</v>
      </c>
      <c r="B115" s="34" t="s">
        <v>202</v>
      </c>
      <c r="C115" s="40" t="s">
        <v>139</v>
      </c>
      <c r="D115" s="34"/>
      <c r="E115" s="313"/>
      <c r="F115" s="314">
        <v>1</v>
      </c>
      <c r="G115" s="40" t="s">
        <v>140</v>
      </c>
      <c r="H115" s="252">
        <v>2</v>
      </c>
      <c r="I115" s="10">
        <v>2</v>
      </c>
      <c r="J115" s="10">
        <v>2</v>
      </c>
      <c r="K115" s="10">
        <v>1</v>
      </c>
      <c r="L115" s="10">
        <v>1</v>
      </c>
      <c r="M115" s="298">
        <v>2</v>
      </c>
      <c r="N115" s="303"/>
      <c r="O115" s="34"/>
      <c r="P115" s="6"/>
      <c r="Q115" s="6"/>
    </row>
    <row r="116" spans="1:18" s="2" customFormat="1">
      <c r="A116" s="152" t="s">
        <v>39</v>
      </c>
      <c r="B116" s="34" t="s">
        <v>201</v>
      </c>
      <c r="C116" s="40" t="s">
        <v>139</v>
      </c>
      <c r="D116" s="34"/>
      <c r="E116" s="313"/>
      <c r="F116" s="314">
        <v>1</v>
      </c>
      <c r="G116" s="40" t="s">
        <v>140</v>
      </c>
      <c r="H116" s="252">
        <v>2</v>
      </c>
      <c r="I116" s="10">
        <v>2</v>
      </c>
      <c r="J116" s="10">
        <v>2</v>
      </c>
      <c r="K116" s="10">
        <v>1</v>
      </c>
      <c r="L116" s="10">
        <v>1</v>
      </c>
      <c r="M116" s="298">
        <v>2</v>
      </c>
      <c r="N116" s="303"/>
      <c r="O116" s="34"/>
      <c r="P116" s="6"/>
      <c r="Q116" s="6"/>
    </row>
    <row r="117" spans="1:18" s="2" customFormat="1">
      <c r="A117" s="152" t="s">
        <v>39</v>
      </c>
      <c r="B117" s="34" t="s">
        <v>200</v>
      </c>
      <c r="C117" s="40" t="s">
        <v>139</v>
      </c>
      <c r="D117" s="34"/>
      <c r="E117" s="313"/>
      <c r="F117" s="314">
        <v>1</v>
      </c>
      <c r="G117" s="40" t="s">
        <v>140</v>
      </c>
      <c r="H117" s="252">
        <v>2</v>
      </c>
      <c r="I117" s="10">
        <v>2</v>
      </c>
      <c r="J117" s="10">
        <v>2</v>
      </c>
      <c r="K117" s="10">
        <v>1</v>
      </c>
      <c r="L117" s="10">
        <v>1</v>
      </c>
      <c r="M117" s="298">
        <v>2</v>
      </c>
      <c r="N117" s="303"/>
      <c r="O117" s="34"/>
      <c r="P117" s="6"/>
      <c r="Q117" s="6"/>
    </row>
    <row r="118" spans="1:18" s="2" customFormat="1">
      <c r="A118" s="152" t="s">
        <v>39</v>
      </c>
      <c r="B118" s="34" t="s">
        <v>183</v>
      </c>
      <c r="C118" s="40" t="s">
        <v>139</v>
      </c>
      <c r="D118" s="34"/>
      <c r="E118" s="313"/>
      <c r="F118" s="314">
        <v>1</v>
      </c>
      <c r="G118" s="40" t="s">
        <v>140</v>
      </c>
      <c r="H118" s="252"/>
      <c r="I118" s="10"/>
      <c r="J118" s="10"/>
      <c r="K118" s="10"/>
      <c r="L118" s="10"/>
      <c r="M118" s="298"/>
      <c r="N118" s="303"/>
      <c r="O118" s="34"/>
      <c r="P118" s="6"/>
      <c r="Q118" s="6"/>
    </row>
    <row r="119" spans="1:18" s="2" customFormat="1">
      <c r="A119" s="152" t="s">
        <v>39</v>
      </c>
      <c r="B119" s="34" t="s">
        <v>142</v>
      </c>
      <c r="C119" s="40" t="s">
        <v>139</v>
      </c>
      <c r="D119" s="34"/>
      <c r="E119" s="313"/>
      <c r="F119" s="314">
        <v>1</v>
      </c>
      <c r="G119" s="40" t="s">
        <v>140</v>
      </c>
      <c r="H119" s="252"/>
      <c r="I119" s="10"/>
      <c r="J119" s="10"/>
      <c r="K119" s="10"/>
      <c r="L119" s="10"/>
      <c r="M119" s="298"/>
      <c r="N119" s="303"/>
      <c r="O119" s="34"/>
      <c r="P119" s="6"/>
      <c r="Q119" s="6"/>
    </row>
    <row r="120" spans="1:18" s="2" customFormat="1">
      <c r="A120" s="152" t="s">
        <v>39</v>
      </c>
      <c r="B120" s="34" t="s">
        <v>138</v>
      </c>
      <c r="C120" s="40" t="s">
        <v>139</v>
      </c>
      <c r="D120" s="34"/>
      <c r="E120" s="313"/>
      <c r="F120" s="314">
        <v>1</v>
      </c>
      <c r="G120" s="40" t="s">
        <v>140</v>
      </c>
      <c r="H120" s="252">
        <v>2</v>
      </c>
      <c r="I120" s="10">
        <v>2</v>
      </c>
      <c r="J120" s="10">
        <v>2</v>
      </c>
      <c r="K120" s="10">
        <v>1</v>
      </c>
      <c r="L120" s="10">
        <v>1</v>
      </c>
      <c r="M120" s="298">
        <v>2</v>
      </c>
      <c r="N120" s="303"/>
      <c r="O120" s="34"/>
      <c r="P120" s="6"/>
      <c r="Q120" s="6"/>
    </row>
    <row r="121" spans="1:18" ht="30" customHeight="1">
      <c r="A121" s="334"/>
      <c r="B121" s="335"/>
      <c r="C121" s="335"/>
      <c r="D121" s="335"/>
      <c r="E121" s="336"/>
      <c r="F121" s="337"/>
      <c r="G121" s="338"/>
      <c r="H121" s="335"/>
      <c r="I121" s="335"/>
      <c r="J121" s="335"/>
      <c r="K121" s="335"/>
      <c r="L121" s="335"/>
      <c r="M121" s="335"/>
      <c r="N121" s="335"/>
      <c r="O121" s="339"/>
      <c r="P121" s="339"/>
      <c r="Q121" s="339"/>
      <c r="R121" s="339"/>
    </row>
    <row r="122" spans="1:18" s="2" customFormat="1">
      <c r="A122" s="152" t="s">
        <v>39</v>
      </c>
      <c r="B122" s="34" t="s">
        <v>237</v>
      </c>
      <c r="C122" s="40" t="s">
        <v>139</v>
      </c>
      <c r="D122" s="34" t="s">
        <v>98</v>
      </c>
      <c r="E122" s="561">
        <v>0.36860068259385664</v>
      </c>
      <c r="F122" s="314">
        <v>1</v>
      </c>
      <c r="G122" s="40" t="s">
        <v>141</v>
      </c>
      <c r="H122" s="252">
        <v>2</v>
      </c>
      <c r="I122" s="10">
        <v>1</v>
      </c>
      <c r="J122" s="10">
        <v>2</v>
      </c>
      <c r="K122" s="10">
        <v>2</v>
      </c>
      <c r="L122" s="10">
        <v>1</v>
      </c>
      <c r="M122" s="298">
        <v>1</v>
      </c>
      <c r="N122" s="186">
        <f>IF( OR( ISBLANK(I122),ISBLANK(J122), ISBLANK(K122), ISBLANK(L122), ISBLANK(M122) ), "", 1.5*SQRT(   EXP(2.21*(I122-1)) + EXP(2.21*(J122-1)) + EXP(2.21*(K122-1)) + EXP(2.21*(L122-1)) + EXP(2.21*M122)   )/100*2.45 )</f>
        <v>0.19908580854301616</v>
      </c>
      <c r="O122" s="34"/>
      <c r="P122" s="6"/>
      <c r="Q122" s="6"/>
    </row>
    <row r="123" spans="1:18" s="2" customFormat="1">
      <c r="A123" s="152" t="s">
        <v>39</v>
      </c>
      <c r="B123" s="34" t="s">
        <v>236</v>
      </c>
      <c r="C123" s="40" t="s">
        <v>139</v>
      </c>
      <c r="D123" s="34" t="s">
        <v>98</v>
      </c>
      <c r="E123" s="561">
        <v>0</v>
      </c>
      <c r="F123" s="314">
        <v>1</v>
      </c>
      <c r="G123" s="40" t="s">
        <v>141</v>
      </c>
      <c r="H123" s="252">
        <v>2</v>
      </c>
      <c r="I123" s="10">
        <v>1</v>
      </c>
      <c r="J123" s="10">
        <v>2</v>
      </c>
      <c r="K123" s="10">
        <v>2</v>
      </c>
      <c r="L123" s="10">
        <v>1</v>
      </c>
      <c r="M123" s="298">
        <v>1</v>
      </c>
      <c r="N123" s="186">
        <f>IF( OR( ISBLANK(I123),ISBLANK(J123), ISBLANK(K123), ISBLANK(L123), ISBLANK(M123) ), "", 1.5*SQRT(   EXP(2.21*(I123-1)) + EXP(2.21*(J123-1)) + EXP(2.21*(K123-1)) + EXP(2.21*(L123-1)) + EXP(2.21*M123)   )/100*2.45 )</f>
        <v>0.19908580854301616</v>
      </c>
      <c r="O123" s="34"/>
      <c r="P123" s="6"/>
      <c r="Q123" s="6"/>
    </row>
    <row r="124" spans="1:18" s="2" customFormat="1">
      <c r="A124" s="152" t="s">
        <v>39</v>
      </c>
      <c r="B124" s="34" t="s">
        <v>203</v>
      </c>
      <c r="C124" s="40" t="s">
        <v>139</v>
      </c>
      <c r="D124" s="34" t="s">
        <v>98</v>
      </c>
      <c r="E124" s="561">
        <v>0.20723549488054607</v>
      </c>
      <c r="F124" s="314">
        <v>1</v>
      </c>
      <c r="G124" s="40" t="s">
        <v>141</v>
      </c>
      <c r="H124" s="252">
        <v>2</v>
      </c>
      <c r="I124" s="10">
        <v>1</v>
      </c>
      <c r="J124" s="10">
        <v>2</v>
      </c>
      <c r="K124" s="10">
        <v>2</v>
      </c>
      <c r="L124" s="10">
        <v>1</v>
      </c>
      <c r="M124" s="298">
        <v>1</v>
      </c>
      <c r="N124" s="186">
        <f t="shared" ref="N124:N131" si="5">IF( OR( ISBLANK(I124),ISBLANK(J124), ISBLANK(K124), ISBLANK(L124), ISBLANK(M124) ), "", 1.5*SQRT(   EXP(2.21*(I124-1)) + EXP(2.21*(J124-1)) + EXP(2.21*(K124-1)) + EXP(2.21*(L124-1)) + EXP(2.21*M124)   )/100*2.45 )</f>
        <v>0.19908580854301616</v>
      </c>
      <c r="O124" s="34"/>
      <c r="P124" s="6"/>
      <c r="Q124" s="6"/>
    </row>
    <row r="125" spans="1:18" s="2" customFormat="1">
      <c r="A125" s="152" t="s">
        <v>39</v>
      </c>
      <c r="B125" s="34" t="s">
        <v>235</v>
      </c>
      <c r="C125" s="40" t="s">
        <v>139</v>
      </c>
      <c r="D125" s="34" t="s">
        <v>98</v>
      </c>
      <c r="E125" s="561">
        <v>0</v>
      </c>
      <c r="F125" s="314">
        <v>1</v>
      </c>
      <c r="G125" s="40" t="s">
        <v>141</v>
      </c>
      <c r="H125" s="252">
        <v>2</v>
      </c>
      <c r="I125" s="10">
        <v>1</v>
      </c>
      <c r="J125" s="10">
        <v>2</v>
      </c>
      <c r="K125" s="10">
        <v>2</v>
      </c>
      <c r="L125" s="10">
        <v>1</v>
      </c>
      <c r="M125" s="298">
        <v>1</v>
      </c>
      <c r="N125" s="186">
        <f t="shared" si="5"/>
        <v>0.19908580854301616</v>
      </c>
      <c r="O125" s="34"/>
      <c r="P125" s="6"/>
      <c r="Q125" s="6"/>
    </row>
    <row r="126" spans="1:18" s="2" customFormat="1">
      <c r="A126" s="152" t="s">
        <v>39</v>
      </c>
      <c r="B126" s="34" t="s">
        <v>202</v>
      </c>
      <c r="C126" s="40" t="s">
        <v>139</v>
      </c>
      <c r="D126" s="34" t="s">
        <v>98</v>
      </c>
      <c r="E126" s="561">
        <v>0.28529010238907848</v>
      </c>
      <c r="F126" s="314">
        <v>1</v>
      </c>
      <c r="G126" s="40" t="s">
        <v>141</v>
      </c>
      <c r="H126" s="252">
        <v>2</v>
      </c>
      <c r="I126" s="10">
        <v>1</v>
      </c>
      <c r="J126" s="10">
        <v>2</v>
      </c>
      <c r="K126" s="10">
        <v>2</v>
      </c>
      <c r="L126" s="10">
        <v>1</v>
      </c>
      <c r="M126" s="298">
        <v>1</v>
      </c>
      <c r="N126" s="186">
        <f t="shared" si="5"/>
        <v>0.19908580854301616</v>
      </c>
      <c r="O126" s="34"/>
      <c r="P126" s="6"/>
      <c r="Q126" s="6"/>
    </row>
    <row r="127" spans="1:18" s="2" customFormat="1">
      <c r="A127" s="152" t="s">
        <v>39</v>
      </c>
      <c r="B127" s="34" t="s">
        <v>201</v>
      </c>
      <c r="C127" s="40" t="s">
        <v>139</v>
      </c>
      <c r="D127" s="34" t="s">
        <v>98</v>
      </c>
      <c r="E127" s="561">
        <v>0</v>
      </c>
      <c r="F127" s="314">
        <v>1</v>
      </c>
      <c r="G127" s="40" t="s">
        <v>141</v>
      </c>
      <c r="H127" s="252">
        <v>2</v>
      </c>
      <c r="I127" s="10">
        <v>1</v>
      </c>
      <c r="J127" s="10">
        <v>2</v>
      </c>
      <c r="K127" s="10">
        <v>2</v>
      </c>
      <c r="L127" s="10">
        <v>1</v>
      </c>
      <c r="M127" s="298">
        <v>1</v>
      </c>
      <c r="N127" s="186">
        <f t="shared" si="5"/>
        <v>0.19908580854301616</v>
      </c>
      <c r="O127" s="34"/>
      <c r="P127" s="6"/>
      <c r="Q127" s="6"/>
    </row>
    <row r="128" spans="1:18" s="2" customFormat="1">
      <c r="A128" s="152" t="s">
        <v>39</v>
      </c>
      <c r="B128" s="34" t="s">
        <v>200</v>
      </c>
      <c r="C128" s="40" t="s">
        <v>139</v>
      </c>
      <c r="D128" s="34" t="s">
        <v>98</v>
      </c>
      <c r="E128" s="561">
        <v>0.12556313993174059</v>
      </c>
      <c r="F128" s="314">
        <v>1</v>
      </c>
      <c r="G128" s="40" t="s">
        <v>141</v>
      </c>
      <c r="H128" s="252">
        <v>2</v>
      </c>
      <c r="I128" s="10">
        <v>1</v>
      </c>
      <c r="J128" s="10">
        <v>2</v>
      </c>
      <c r="K128" s="10">
        <v>2</v>
      </c>
      <c r="L128" s="10">
        <v>1</v>
      </c>
      <c r="M128" s="298">
        <v>1</v>
      </c>
      <c r="N128" s="186">
        <f t="shared" si="5"/>
        <v>0.19908580854301616</v>
      </c>
      <c r="O128" s="34"/>
      <c r="P128" s="6"/>
      <c r="Q128" s="6"/>
    </row>
    <row r="129" spans="1:18" s="2" customFormat="1">
      <c r="A129" s="152" t="s">
        <v>39</v>
      </c>
      <c r="B129" s="34" t="s">
        <v>183</v>
      </c>
      <c r="C129" s="40" t="s">
        <v>139</v>
      </c>
      <c r="D129" s="34" t="s">
        <v>98</v>
      </c>
      <c r="E129" s="561">
        <v>0</v>
      </c>
      <c r="F129" s="314">
        <v>1</v>
      </c>
      <c r="G129" s="40" t="s">
        <v>141</v>
      </c>
      <c r="H129" s="252">
        <v>2</v>
      </c>
      <c r="I129" s="10">
        <v>1</v>
      </c>
      <c r="J129" s="10">
        <v>2</v>
      </c>
      <c r="K129" s="10">
        <v>2</v>
      </c>
      <c r="L129" s="10">
        <v>1</v>
      </c>
      <c r="M129" s="298">
        <v>1</v>
      </c>
      <c r="N129" s="186">
        <f t="shared" si="5"/>
        <v>0.19908580854301616</v>
      </c>
      <c r="O129" s="34"/>
      <c r="P129" s="6"/>
      <c r="Q129" s="6"/>
    </row>
    <row r="130" spans="1:18" s="2" customFormat="1">
      <c r="A130" s="152" t="s">
        <v>39</v>
      </c>
      <c r="B130" s="34" t="s">
        <v>142</v>
      </c>
      <c r="C130" s="40" t="s">
        <v>139</v>
      </c>
      <c r="D130" s="34" t="s">
        <v>98</v>
      </c>
      <c r="E130" s="561">
        <v>1.3310580204778157E-2</v>
      </c>
      <c r="F130" s="314">
        <v>1</v>
      </c>
      <c r="G130" s="40" t="s">
        <v>141</v>
      </c>
      <c r="H130" s="252">
        <v>2</v>
      </c>
      <c r="I130" s="10">
        <v>1</v>
      </c>
      <c r="J130" s="10">
        <v>2</v>
      </c>
      <c r="K130" s="10">
        <v>2</v>
      </c>
      <c r="L130" s="10">
        <v>1</v>
      </c>
      <c r="M130" s="298">
        <v>1</v>
      </c>
      <c r="N130" s="186">
        <f t="shared" si="5"/>
        <v>0.19908580854301616</v>
      </c>
      <c r="O130" s="34"/>
      <c r="P130" s="6"/>
      <c r="Q130" s="6"/>
    </row>
    <row r="131" spans="1:18" s="2" customFormat="1">
      <c r="A131" s="152" t="s">
        <v>39</v>
      </c>
      <c r="B131" s="34" t="s">
        <v>138</v>
      </c>
      <c r="C131" s="40" t="s">
        <v>139</v>
      </c>
      <c r="D131" s="34" t="s">
        <v>98</v>
      </c>
      <c r="E131" s="561">
        <v>0</v>
      </c>
      <c r="F131" s="314">
        <v>1</v>
      </c>
      <c r="G131" s="40" t="s">
        <v>141</v>
      </c>
      <c r="H131" s="252">
        <v>2</v>
      </c>
      <c r="I131" s="10">
        <v>1</v>
      </c>
      <c r="J131" s="10">
        <v>2</v>
      </c>
      <c r="K131" s="10">
        <v>2</v>
      </c>
      <c r="L131" s="10">
        <v>1</v>
      </c>
      <c r="M131" s="298">
        <v>1</v>
      </c>
      <c r="N131" s="186">
        <f t="shared" si="5"/>
        <v>0.19908580854301616</v>
      </c>
      <c r="O131" s="34"/>
      <c r="P131" s="6"/>
      <c r="Q131" s="6"/>
    </row>
    <row r="132" spans="1:18" s="2" customFormat="1">
      <c r="A132" s="154"/>
      <c r="B132" s="7"/>
      <c r="C132" s="7"/>
      <c r="D132" s="7"/>
      <c r="E132" s="897"/>
      <c r="F132" s="898"/>
      <c r="G132" s="162"/>
      <c r="H132" s="899"/>
      <c r="I132" s="71"/>
      <c r="J132" s="71"/>
      <c r="K132" s="71"/>
      <c r="L132" s="71"/>
      <c r="M132" s="590"/>
      <c r="N132" s="900"/>
      <c r="O132" s="7"/>
      <c r="P132" s="6"/>
      <c r="Q132" s="6"/>
    </row>
    <row r="133" spans="1:18" s="2" customFormat="1">
      <c r="A133" s="1122" t="s">
        <v>986</v>
      </c>
      <c r="B133" s="1122"/>
      <c r="C133" s="1122"/>
      <c r="D133" s="1122"/>
      <c r="E133" s="1122"/>
      <c r="F133" s="1122"/>
      <c r="G133" s="1122"/>
      <c r="H133" s="1122"/>
      <c r="I133" s="1122"/>
      <c r="J133" s="1122"/>
      <c r="K133" s="1122"/>
      <c r="L133" s="1122"/>
      <c r="M133" s="1122"/>
      <c r="N133" s="1122"/>
      <c r="O133" s="1122"/>
      <c r="P133" s="1122"/>
      <c r="Q133" s="6"/>
    </row>
    <row r="134" spans="1:18">
      <c r="A134" s="1122"/>
      <c r="B134" s="1122"/>
      <c r="C134" s="1122"/>
      <c r="D134" s="1122"/>
      <c r="E134" s="1122"/>
      <c r="F134" s="1122"/>
      <c r="G134" s="1122"/>
      <c r="H134" s="1122"/>
      <c r="I134" s="1122"/>
      <c r="J134" s="1122"/>
      <c r="K134" s="1122"/>
      <c r="L134" s="1122"/>
      <c r="M134" s="1122"/>
      <c r="N134" s="1122"/>
      <c r="O134" s="1122"/>
      <c r="P134" s="1122"/>
      <c r="Q134" s="339"/>
      <c r="R134" s="339"/>
    </row>
    <row r="135" spans="1:18" ht="15" customHeight="1">
      <c r="A135" s="1129" t="s">
        <v>100</v>
      </c>
      <c r="B135" s="1141" t="s">
        <v>101</v>
      </c>
      <c r="C135" s="1141" t="s">
        <v>131</v>
      </c>
      <c r="D135" s="1141" t="s">
        <v>102</v>
      </c>
      <c r="E135" s="1061" t="s">
        <v>894</v>
      </c>
      <c r="F135" s="1067"/>
      <c r="G135" s="1062"/>
      <c r="H135" s="1141" t="s">
        <v>104</v>
      </c>
      <c r="I135" s="1123" t="s">
        <v>134</v>
      </c>
      <c r="J135" s="1123" t="s">
        <v>65</v>
      </c>
      <c r="K135" s="1123" t="s">
        <v>67</v>
      </c>
      <c r="L135" s="1123" t="s">
        <v>73</v>
      </c>
      <c r="M135" s="1123" t="s">
        <v>79</v>
      </c>
      <c r="N135" s="1139" t="s">
        <v>106</v>
      </c>
    </row>
    <row r="136" spans="1:18" ht="15" customHeight="1">
      <c r="A136" s="1080"/>
      <c r="B136" s="1080"/>
      <c r="C136" s="1080"/>
      <c r="D136" s="1080"/>
      <c r="E136" s="140" t="s">
        <v>1139</v>
      </c>
      <c r="F136" s="140" t="s">
        <v>1140</v>
      </c>
      <c r="G136" s="140" t="s">
        <v>779</v>
      </c>
      <c r="H136" s="1080"/>
      <c r="I136" s="1124"/>
      <c r="J136" s="1124"/>
      <c r="K136" s="1124"/>
      <c r="L136" s="1124"/>
      <c r="M136" s="1124"/>
      <c r="N136" s="1140"/>
    </row>
    <row r="137" spans="1:18">
      <c r="A137" s="143" t="s">
        <v>1141</v>
      </c>
      <c r="B137" s="117">
        <v>2019</v>
      </c>
      <c r="C137" s="117" t="s">
        <v>180</v>
      </c>
      <c r="D137" s="117" t="s">
        <v>1142</v>
      </c>
      <c r="E137" s="117">
        <v>125.38</v>
      </c>
      <c r="F137" s="117">
        <v>137.35</v>
      </c>
      <c r="G137" s="130">
        <f>AVERAGE(E137:F137)</f>
        <v>131.36500000000001</v>
      </c>
      <c r="H137" s="9" t="s">
        <v>1143</v>
      </c>
      <c r="I137" s="9">
        <v>1</v>
      </c>
      <c r="J137" s="9">
        <v>2</v>
      </c>
      <c r="K137" s="9">
        <v>1</v>
      </c>
      <c r="L137" s="9">
        <v>1</v>
      </c>
      <c r="M137" s="9">
        <v>1</v>
      </c>
      <c r="N137" s="186">
        <f>IF( OR( ISBLANK(I137),ISBLANK(J137), ISBLANK(K137), ISBLANK(L137), ISBLANK(M137) ), "", 1.5*SQRT(   EXP(2.21*(I137-1)) + EXP(2.21*(J137-1)) + EXP(2.21*(K137-1)) + EXP(2.21*(L137-1)) + EXP(2.21*M137)   )/100*2.45 )</f>
        <v>0.16933510251023262</v>
      </c>
    </row>
    <row r="138" spans="1:18">
      <c r="A138" s="143" t="s">
        <v>1141</v>
      </c>
      <c r="B138" s="117">
        <v>2019</v>
      </c>
      <c r="C138" s="117" t="s">
        <v>180</v>
      </c>
      <c r="D138" s="117" t="s">
        <v>87</v>
      </c>
      <c r="E138" s="117">
        <v>60.31</v>
      </c>
      <c r="F138" s="117">
        <v>68.650000000000006</v>
      </c>
      <c r="G138" s="130">
        <f t="shared" ref="G138:G141" si="6">AVERAGE(E138:F138)</f>
        <v>64.48</v>
      </c>
      <c r="H138" s="9" t="s">
        <v>1143</v>
      </c>
      <c r="I138" s="9">
        <v>1</v>
      </c>
      <c r="J138" s="9">
        <v>2</v>
      </c>
      <c r="K138" s="9">
        <v>1</v>
      </c>
      <c r="L138" s="9">
        <v>1</v>
      </c>
      <c r="M138" s="9">
        <v>1</v>
      </c>
      <c r="N138" s="186">
        <f>IF( OR( ISBLANK(I138),ISBLANK(J138), ISBLANK(K138), ISBLANK(L138), ISBLANK(M138) ), "", 1.5*SQRT(   EXP(2.21*(I138-1)) + EXP(2.21*(J138-1)) + EXP(2.21*(K138-1)) + EXP(2.21*(L138-1)) + EXP(2.21*M138)   )/100*2.45 )</f>
        <v>0.16933510251023262</v>
      </c>
    </row>
    <row r="139" spans="1:18">
      <c r="A139" s="143" t="s">
        <v>1141</v>
      </c>
      <c r="B139" s="117">
        <v>2019</v>
      </c>
      <c r="C139" s="117" t="s">
        <v>180</v>
      </c>
      <c r="D139" s="117" t="s">
        <v>91</v>
      </c>
      <c r="E139" s="117">
        <v>61.79</v>
      </c>
      <c r="F139" s="117">
        <v>63.96</v>
      </c>
      <c r="G139" s="130">
        <f t="shared" si="6"/>
        <v>62.875</v>
      </c>
      <c r="H139" s="9" t="s">
        <v>1143</v>
      </c>
      <c r="I139" s="9">
        <v>1</v>
      </c>
      <c r="J139" s="9">
        <v>2</v>
      </c>
      <c r="K139" s="9">
        <v>1</v>
      </c>
      <c r="L139" s="9">
        <v>1</v>
      </c>
      <c r="M139" s="9">
        <v>1</v>
      </c>
      <c r="N139" s="186">
        <f>IF( OR( ISBLANK(I139),ISBLANK(J139), ISBLANK(K139), ISBLANK(L139), ISBLANK(M139) ), "", 1.5*SQRT(   EXP(2.21*(I139-1)) + EXP(2.21*(J139-1)) + EXP(2.21*(K139-1)) + EXP(2.21*(L139-1)) + EXP(2.21*M139)   )/100*2.45 )</f>
        <v>0.16933510251023262</v>
      </c>
    </row>
    <row r="140" spans="1:18">
      <c r="A140" s="143" t="s">
        <v>1141</v>
      </c>
      <c r="B140" s="117">
        <v>2019</v>
      </c>
      <c r="C140" s="117" t="s">
        <v>180</v>
      </c>
      <c r="D140" s="117" t="s">
        <v>90</v>
      </c>
      <c r="E140" s="117">
        <v>8.7799999999999994</v>
      </c>
      <c r="F140" s="117">
        <v>10.83</v>
      </c>
      <c r="G140" s="130">
        <f t="shared" si="6"/>
        <v>9.8049999999999997</v>
      </c>
      <c r="H140" s="9" t="s">
        <v>1143</v>
      </c>
      <c r="I140" s="9">
        <v>1</v>
      </c>
      <c r="J140" s="9">
        <v>2</v>
      </c>
      <c r="K140" s="9">
        <v>1</v>
      </c>
      <c r="L140" s="9">
        <v>1</v>
      </c>
      <c r="M140" s="9">
        <v>1</v>
      </c>
      <c r="N140" s="186">
        <f>IF( OR( ISBLANK(I140),ISBLANK(J140), ISBLANK(K140), ISBLANK(L140), ISBLANK(M140) ), "", 1.5*SQRT(   EXP(2.21*(I140-1)) + EXP(2.21*(J140-1)) + EXP(2.21*(K140-1)) + EXP(2.21*(L140-1)) + EXP(2.21*M140)   )/100*2.45 )</f>
        <v>0.16933510251023262</v>
      </c>
    </row>
    <row r="141" spans="1:18">
      <c r="A141" s="143" t="s">
        <v>1141</v>
      </c>
      <c r="B141" s="117">
        <v>2019</v>
      </c>
      <c r="C141" s="117" t="s">
        <v>180</v>
      </c>
      <c r="D141" s="117" t="s">
        <v>127</v>
      </c>
      <c r="E141" s="117">
        <v>26.43</v>
      </c>
      <c r="F141" s="117">
        <v>29.21</v>
      </c>
      <c r="G141" s="130">
        <f t="shared" si="6"/>
        <v>27.82</v>
      </c>
      <c r="H141" s="9" t="s">
        <v>1143</v>
      </c>
      <c r="I141" s="9">
        <v>1</v>
      </c>
      <c r="J141" s="9">
        <v>2</v>
      </c>
      <c r="K141" s="9">
        <v>1</v>
      </c>
      <c r="L141" s="9">
        <v>1</v>
      </c>
      <c r="M141" s="9">
        <v>1</v>
      </c>
      <c r="N141" s="186">
        <f>IF( OR( ISBLANK(I141),ISBLANK(J141), ISBLANK(K141), ISBLANK(L141), ISBLANK(M141) ), "", 1.5*SQRT(   EXP(2.21*(I141-1)) + EXP(2.21*(J141-1)) + EXP(2.21*(K141-1)) + EXP(2.21*(L141-1)) + EXP(2.21*M141)   )/100*2.45 )</f>
        <v>0.16933510251023262</v>
      </c>
    </row>
    <row r="142" spans="1:18">
      <c r="A142" s="200" t="s">
        <v>1144</v>
      </c>
      <c r="B142" s="127">
        <v>2019</v>
      </c>
      <c r="C142" s="127" t="s">
        <v>180</v>
      </c>
      <c r="D142" s="127" t="s">
        <v>955</v>
      </c>
      <c r="E142" s="127">
        <f>SUM(E137:E141)</f>
        <v>282.69</v>
      </c>
      <c r="F142" s="137">
        <f>SUM(F137:F141)</f>
        <v>309.99999999999994</v>
      </c>
      <c r="G142" s="137">
        <f>SUM(G137:G141)</f>
        <v>296.34500000000003</v>
      </c>
      <c r="H142" s="9"/>
      <c r="I142" s="117"/>
      <c r="J142" s="117"/>
      <c r="K142" s="117"/>
      <c r="L142" s="117"/>
      <c r="M142" s="117"/>
      <c r="N142" s="117"/>
    </row>
    <row r="143" spans="1:18">
      <c r="A143" s="332"/>
      <c r="B143" s="25"/>
      <c r="C143" s="25"/>
      <c r="D143" s="25"/>
      <c r="E143" s="25"/>
      <c r="F143" s="333"/>
      <c r="G143" s="333"/>
      <c r="H143" s="7"/>
    </row>
    <row r="144" spans="1:18" ht="15.75" thickBot="1">
      <c r="B144" s="25"/>
      <c r="D144" s="25"/>
    </row>
    <row r="145" spans="1:16">
      <c r="A145" s="201"/>
      <c r="B145" s="196"/>
      <c r="C145" s="202"/>
      <c r="D145" s="196"/>
      <c r="E145" s="202"/>
      <c r="F145" s="202"/>
      <c r="G145" s="202"/>
      <c r="H145" s="202"/>
      <c r="I145" s="202"/>
      <c r="J145" s="202"/>
      <c r="K145" s="202"/>
      <c r="L145" s="202"/>
      <c r="M145" s="202"/>
      <c r="N145" s="202"/>
      <c r="O145" s="1130" t="s">
        <v>1145</v>
      </c>
      <c r="P145" s="1131"/>
    </row>
    <row r="146" spans="1:16">
      <c r="A146" s="203"/>
      <c r="B146" s="197"/>
      <c r="C146" s="204"/>
      <c r="D146" s="197"/>
      <c r="E146" s="204"/>
      <c r="F146" s="204"/>
      <c r="G146" s="204"/>
      <c r="H146" s="204"/>
      <c r="I146" s="204"/>
      <c r="J146" s="204"/>
      <c r="K146" s="204"/>
      <c r="L146" s="204"/>
      <c r="M146" s="204"/>
      <c r="N146" s="204"/>
      <c r="O146" s="1132"/>
      <c r="P146" s="1133"/>
    </row>
    <row r="147" spans="1:16" ht="15.75">
      <c r="A147" s="205"/>
      <c r="B147" s="197"/>
      <c r="C147" s="204"/>
      <c r="D147" s="197"/>
      <c r="E147" s="204"/>
      <c r="F147" s="204"/>
      <c r="G147" s="204"/>
      <c r="H147" s="204"/>
      <c r="I147" s="204"/>
      <c r="J147" s="204"/>
      <c r="K147" s="204"/>
      <c r="L147" s="204"/>
      <c r="M147" s="204"/>
      <c r="N147" s="204"/>
      <c r="O147" s="1132"/>
      <c r="P147" s="1133"/>
    </row>
    <row r="148" spans="1:16">
      <c r="A148" s="203"/>
      <c r="B148" s="197"/>
      <c r="C148" s="204"/>
      <c r="D148" s="197"/>
      <c r="E148" s="204"/>
      <c r="F148" s="204"/>
      <c r="G148" s="204"/>
      <c r="H148" s="204"/>
      <c r="I148" s="204"/>
      <c r="J148" s="204"/>
      <c r="K148" s="204"/>
      <c r="L148" s="204"/>
      <c r="M148" s="204"/>
      <c r="N148" s="204"/>
      <c r="O148" s="1132"/>
      <c r="P148" s="1133"/>
    </row>
    <row r="149" spans="1:16">
      <c r="A149" s="203"/>
      <c r="B149" s="197"/>
      <c r="C149" s="204"/>
      <c r="D149" s="197"/>
      <c r="E149" s="204"/>
      <c r="F149" s="204"/>
      <c r="G149" s="204"/>
      <c r="H149" s="204"/>
      <c r="I149" s="204"/>
      <c r="J149" s="204"/>
      <c r="K149" s="204"/>
      <c r="L149" s="204"/>
      <c r="M149" s="204"/>
      <c r="N149" s="204"/>
      <c r="O149" s="1132"/>
      <c r="P149" s="1133"/>
    </row>
    <row r="150" spans="1:16">
      <c r="A150" s="203"/>
      <c r="B150" s="197"/>
      <c r="C150" s="204"/>
      <c r="D150" s="197"/>
      <c r="E150" s="204"/>
      <c r="F150" s="204"/>
      <c r="G150" s="204"/>
      <c r="H150" s="204"/>
      <c r="I150" s="204"/>
      <c r="J150" s="204"/>
      <c r="K150" s="204"/>
      <c r="L150" s="204"/>
      <c r="M150" s="204"/>
      <c r="N150" s="204"/>
      <c r="O150" s="1132"/>
      <c r="P150" s="1133"/>
    </row>
    <row r="151" spans="1:16">
      <c r="A151" s="203"/>
      <c r="B151" s="197"/>
      <c r="C151" s="204"/>
      <c r="D151" s="197"/>
      <c r="E151" s="204"/>
      <c r="F151" s="204"/>
      <c r="G151" s="204"/>
      <c r="H151" s="204"/>
      <c r="I151" s="204"/>
      <c r="J151" s="204"/>
      <c r="K151" s="204"/>
      <c r="L151" s="204"/>
      <c r="M151" s="204"/>
      <c r="N151" s="204"/>
      <c r="O151" s="1132"/>
      <c r="P151" s="1133"/>
    </row>
    <row r="152" spans="1:16">
      <c r="A152" s="203"/>
      <c r="B152" s="197"/>
      <c r="C152" s="204"/>
      <c r="D152" s="197"/>
      <c r="E152" s="204"/>
      <c r="F152" s="204"/>
      <c r="G152" s="204"/>
      <c r="H152" s="204"/>
      <c r="I152" s="204"/>
      <c r="J152" s="204"/>
      <c r="K152" s="204"/>
      <c r="L152" s="204"/>
      <c r="M152" s="204"/>
      <c r="N152" s="204"/>
      <c r="O152" s="1132"/>
      <c r="P152" s="1133"/>
    </row>
    <row r="153" spans="1:16">
      <c r="A153" s="203"/>
      <c r="B153" s="197"/>
      <c r="C153" s="204"/>
      <c r="D153" s="197"/>
      <c r="E153" s="204"/>
      <c r="F153" s="204"/>
      <c r="G153" s="204"/>
      <c r="H153" s="204"/>
      <c r="I153" s="204"/>
      <c r="J153" s="204"/>
      <c r="K153" s="204"/>
      <c r="L153" s="204"/>
      <c r="M153" s="204"/>
      <c r="N153" s="204"/>
      <c r="O153" s="1132"/>
      <c r="P153" s="1133"/>
    </row>
    <row r="154" spans="1:16">
      <c r="A154" s="203"/>
      <c r="B154" s="197"/>
      <c r="C154" s="204"/>
      <c r="D154" s="197"/>
      <c r="E154" s="204"/>
      <c r="F154" s="204"/>
      <c r="G154" s="204"/>
      <c r="H154" s="204"/>
      <c r="I154" s="204"/>
      <c r="J154" s="204"/>
      <c r="K154" s="204"/>
      <c r="L154" s="204"/>
      <c r="M154" s="204"/>
      <c r="N154" s="204"/>
      <c r="O154" s="1132"/>
      <c r="P154" s="1133"/>
    </row>
    <row r="155" spans="1:16">
      <c r="A155" s="203"/>
      <c r="B155" s="197"/>
      <c r="C155" s="204"/>
      <c r="D155" s="197"/>
      <c r="E155" s="204"/>
      <c r="F155" s="204"/>
      <c r="G155" s="204"/>
      <c r="H155" s="204"/>
      <c r="I155" s="204"/>
      <c r="J155" s="204"/>
      <c r="K155" s="204"/>
      <c r="L155" s="204"/>
      <c r="M155" s="204"/>
      <c r="N155" s="204"/>
      <c r="O155" s="1132"/>
      <c r="P155" s="1133"/>
    </row>
    <row r="156" spans="1:16">
      <c r="A156" s="203"/>
      <c r="B156" s="197"/>
      <c r="C156" s="204"/>
      <c r="D156" s="197"/>
      <c r="E156" s="204"/>
      <c r="F156" s="204"/>
      <c r="G156" s="204"/>
      <c r="H156" s="204"/>
      <c r="I156" s="204"/>
      <c r="J156" s="204"/>
      <c r="K156" s="204"/>
      <c r="L156" s="204"/>
      <c r="M156" s="204"/>
      <c r="N156" s="204"/>
      <c r="O156" s="1132"/>
      <c r="P156" s="1133"/>
    </row>
    <row r="157" spans="1:16">
      <c r="A157" s="203"/>
      <c r="B157" s="197"/>
      <c r="C157" s="204"/>
      <c r="D157" s="197"/>
      <c r="E157" s="204"/>
      <c r="F157" s="204"/>
      <c r="G157" s="204"/>
      <c r="H157" s="204"/>
      <c r="I157" s="204"/>
      <c r="J157" s="204"/>
      <c r="K157" s="204"/>
      <c r="L157" s="204"/>
      <c r="M157" s="204"/>
      <c r="N157" s="204"/>
      <c r="O157" s="1132"/>
      <c r="P157" s="1133"/>
    </row>
    <row r="158" spans="1:16">
      <c r="A158" s="203"/>
      <c r="B158" s="197"/>
      <c r="C158" s="204"/>
      <c r="D158" s="197"/>
      <c r="E158" s="204"/>
      <c r="F158" s="204"/>
      <c r="G158" s="204"/>
      <c r="H158" s="204"/>
      <c r="I158" s="204"/>
      <c r="J158" s="204"/>
      <c r="K158" s="204"/>
      <c r="L158" s="204"/>
      <c r="M158" s="204"/>
      <c r="N158" s="204"/>
      <c r="O158" s="1132"/>
      <c r="P158" s="1133"/>
    </row>
    <row r="159" spans="1:16">
      <c r="A159" s="203"/>
      <c r="B159" s="197"/>
      <c r="C159" s="204"/>
      <c r="D159" s="197"/>
      <c r="E159" s="204"/>
      <c r="F159" s="204"/>
      <c r="G159" s="204"/>
      <c r="H159" s="204"/>
      <c r="I159" s="204"/>
      <c r="J159" s="204"/>
      <c r="K159" s="204"/>
      <c r="L159" s="204"/>
      <c r="M159" s="204"/>
      <c r="N159" s="204"/>
      <c r="O159" s="1132"/>
      <c r="P159" s="1133"/>
    </row>
    <row r="160" spans="1:16">
      <c r="A160" s="203"/>
      <c r="B160" s="197"/>
      <c r="C160" s="204"/>
      <c r="D160" s="197"/>
      <c r="E160" s="204"/>
      <c r="F160" s="204"/>
      <c r="G160" s="204"/>
      <c r="H160" s="204"/>
      <c r="I160" s="204"/>
      <c r="J160" s="204"/>
      <c r="K160" s="204"/>
      <c r="L160" s="204"/>
      <c r="M160" s="204"/>
      <c r="N160" s="204"/>
      <c r="O160" s="1132"/>
      <c r="P160" s="1133"/>
    </row>
    <row r="161" spans="1:16">
      <c r="A161" s="203"/>
      <c r="B161" s="197"/>
      <c r="C161" s="204"/>
      <c r="D161" s="197"/>
      <c r="E161" s="204"/>
      <c r="F161" s="204"/>
      <c r="G161" s="204"/>
      <c r="H161" s="204"/>
      <c r="I161" s="204"/>
      <c r="J161" s="204"/>
      <c r="K161" s="204"/>
      <c r="L161" s="204"/>
      <c r="M161" s="204"/>
      <c r="N161" s="204"/>
      <c r="O161" s="1132"/>
      <c r="P161" s="1133"/>
    </row>
    <row r="162" spans="1:16">
      <c r="A162" s="203"/>
      <c r="B162" s="197"/>
      <c r="C162" s="204"/>
      <c r="D162" s="197"/>
      <c r="E162" s="204"/>
      <c r="F162" s="204"/>
      <c r="G162" s="204"/>
      <c r="H162" s="204"/>
      <c r="I162" s="204"/>
      <c r="J162" s="204"/>
      <c r="K162" s="204"/>
      <c r="L162" s="204"/>
      <c r="M162" s="204"/>
      <c r="N162" s="204"/>
      <c r="O162" s="1132"/>
      <c r="P162" s="1133"/>
    </row>
    <row r="163" spans="1:16">
      <c r="A163" s="203"/>
      <c r="B163" s="197"/>
      <c r="C163" s="204"/>
      <c r="D163" s="197"/>
      <c r="E163" s="204"/>
      <c r="F163" s="204"/>
      <c r="G163" s="204"/>
      <c r="H163" s="204"/>
      <c r="I163" s="204"/>
      <c r="J163" s="204"/>
      <c r="K163" s="204"/>
      <c r="L163" s="204"/>
      <c r="M163" s="204"/>
      <c r="N163" s="204"/>
      <c r="O163" s="1132"/>
      <c r="P163" s="1133"/>
    </row>
    <row r="164" spans="1:16">
      <c r="A164" s="203"/>
      <c r="B164" s="197"/>
      <c r="C164" s="204"/>
      <c r="D164" s="197"/>
      <c r="E164" s="204"/>
      <c r="F164" s="204"/>
      <c r="G164" s="204"/>
      <c r="H164" s="204"/>
      <c r="I164" s="204"/>
      <c r="J164" s="204"/>
      <c r="K164" s="204"/>
      <c r="L164" s="204"/>
      <c r="M164" s="204"/>
      <c r="N164" s="204"/>
      <c r="O164" s="1132"/>
      <c r="P164" s="1133"/>
    </row>
    <row r="165" spans="1:16">
      <c r="A165" s="203"/>
      <c r="B165" s="197"/>
      <c r="C165" s="204"/>
      <c r="D165" s="197"/>
      <c r="E165" s="204"/>
      <c r="F165" s="204"/>
      <c r="G165" s="204"/>
      <c r="H165" s="204"/>
      <c r="I165" s="204"/>
      <c r="J165" s="204"/>
      <c r="K165" s="204"/>
      <c r="L165" s="204"/>
      <c r="M165" s="204"/>
      <c r="N165" s="204"/>
      <c r="O165" s="1132"/>
      <c r="P165" s="1133"/>
    </row>
    <row r="166" spans="1:16">
      <c r="A166" s="203"/>
      <c r="B166" s="197"/>
      <c r="C166" s="204"/>
      <c r="D166" s="197"/>
      <c r="E166" s="204"/>
      <c r="F166" s="204"/>
      <c r="G166" s="204"/>
      <c r="H166" s="204"/>
      <c r="I166" s="204"/>
      <c r="J166" s="204"/>
      <c r="K166" s="204"/>
      <c r="L166" s="204"/>
      <c r="M166" s="204"/>
      <c r="N166" s="204"/>
      <c r="O166" s="1132"/>
      <c r="P166" s="1133"/>
    </row>
    <row r="167" spans="1:16">
      <c r="A167" s="203"/>
      <c r="B167" s="197"/>
      <c r="C167" s="204"/>
      <c r="D167" s="197"/>
      <c r="E167" s="204"/>
      <c r="F167" s="204"/>
      <c r="G167" s="204"/>
      <c r="H167" s="204"/>
      <c r="I167" s="204"/>
      <c r="J167" s="204"/>
      <c r="K167" s="204"/>
      <c r="L167" s="204"/>
      <c r="M167" s="204"/>
      <c r="N167" s="204"/>
      <c r="O167" s="1132"/>
      <c r="P167" s="1133"/>
    </row>
    <row r="168" spans="1:16">
      <c r="A168" s="203"/>
      <c r="B168" s="197"/>
      <c r="C168" s="204"/>
      <c r="D168" s="197"/>
      <c r="E168" s="204"/>
      <c r="F168" s="204"/>
      <c r="G168" s="204"/>
      <c r="H168" s="204"/>
      <c r="I168" s="204"/>
      <c r="J168" s="204"/>
      <c r="K168" s="204"/>
      <c r="L168" s="204"/>
      <c r="M168" s="204"/>
      <c r="N168" s="204"/>
      <c r="O168" s="1132"/>
      <c r="P168" s="1133"/>
    </row>
    <row r="169" spans="1:16">
      <c r="A169" s="203"/>
      <c r="B169" s="197"/>
      <c r="C169" s="204"/>
      <c r="D169" s="197"/>
      <c r="E169" s="204"/>
      <c r="F169" s="204"/>
      <c r="G169" s="204"/>
      <c r="H169" s="204"/>
      <c r="I169" s="204"/>
      <c r="J169" s="204"/>
      <c r="K169" s="204"/>
      <c r="L169" s="204"/>
      <c r="M169" s="204"/>
      <c r="N169" s="204"/>
      <c r="O169" s="1132"/>
      <c r="P169" s="1133"/>
    </row>
    <row r="170" spans="1:16">
      <c r="A170" s="203"/>
      <c r="B170" s="197"/>
      <c r="C170" s="204"/>
      <c r="D170" s="197"/>
      <c r="E170" s="204"/>
      <c r="F170" s="204"/>
      <c r="G170" s="204"/>
      <c r="H170" s="204"/>
      <c r="I170" s="204"/>
      <c r="J170" s="204"/>
      <c r="K170" s="204"/>
      <c r="L170" s="204"/>
      <c r="M170" s="204"/>
      <c r="N170" s="204"/>
      <c r="O170" s="1132"/>
      <c r="P170" s="1133"/>
    </row>
    <row r="171" spans="1:16">
      <c r="A171" s="203"/>
      <c r="B171" s="197"/>
      <c r="C171" s="204"/>
      <c r="D171" s="197"/>
      <c r="E171" s="204"/>
      <c r="F171" s="204"/>
      <c r="G171" s="204"/>
      <c r="H171" s="204"/>
      <c r="I171" s="204"/>
      <c r="J171" s="204"/>
      <c r="K171" s="204"/>
      <c r="L171" s="204"/>
      <c r="M171" s="204"/>
      <c r="N171" s="204"/>
      <c r="O171" s="1132"/>
      <c r="P171" s="1133"/>
    </row>
    <row r="172" spans="1:16">
      <c r="A172" s="203"/>
      <c r="B172" s="197"/>
      <c r="C172" s="204"/>
      <c r="D172" s="197"/>
      <c r="E172" s="204"/>
      <c r="F172" s="204"/>
      <c r="G172" s="204"/>
      <c r="H172" s="204"/>
      <c r="I172" s="204"/>
      <c r="J172" s="204"/>
      <c r="K172" s="204"/>
      <c r="L172" s="204"/>
      <c r="M172" s="204"/>
      <c r="N172" s="204"/>
      <c r="O172" s="1132"/>
      <c r="P172" s="1133"/>
    </row>
    <row r="173" spans="1:16">
      <c r="A173" s="203"/>
      <c r="B173" s="197"/>
      <c r="C173" s="204"/>
      <c r="D173" s="197"/>
      <c r="E173" s="204"/>
      <c r="F173" s="204"/>
      <c r="G173" s="204"/>
      <c r="H173" s="204"/>
      <c r="I173" s="204"/>
      <c r="J173" s="204"/>
      <c r="K173" s="204"/>
      <c r="L173" s="204"/>
      <c r="M173" s="204"/>
      <c r="N173" s="204"/>
      <c r="O173" s="1132"/>
      <c r="P173" s="1133"/>
    </row>
    <row r="174" spans="1:16">
      <c r="A174" s="203"/>
      <c r="B174" s="197"/>
      <c r="C174" s="204"/>
      <c r="D174" s="197"/>
      <c r="E174" s="204"/>
      <c r="F174" s="204"/>
      <c r="G174" s="204"/>
      <c r="H174" s="204"/>
      <c r="I174" s="204"/>
      <c r="J174" s="204"/>
      <c r="K174" s="204"/>
      <c r="L174" s="204"/>
      <c r="M174" s="204"/>
      <c r="N174" s="204"/>
      <c r="O174" s="1132"/>
      <c r="P174" s="1133"/>
    </row>
    <row r="175" spans="1:16">
      <c r="A175" s="203"/>
      <c r="B175" s="197"/>
      <c r="C175" s="204"/>
      <c r="D175" s="197"/>
      <c r="E175" s="204"/>
      <c r="F175" s="204"/>
      <c r="G175" s="204"/>
      <c r="H175" s="204"/>
      <c r="I175" s="204"/>
      <c r="J175" s="204"/>
      <c r="K175" s="204"/>
      <c r="L175" s="204"/>
      <c r="M175" s="204"/>
      <c r="N175" s="204"/>
      <c r="O175" s="1132"/>
      <c r="P175" s="1133"/>
    </row>
    <row r="176" spans="1:16">
      <c r="A176" s="203"/>
      <c r="B176" s="197"/>
      <c r="C176" s="204"/>
      <c r="D176" s="197"/>
      <c r="E176" s="204"/>
      <c r="F176" s="204"/>
      <c r="G176" s="204"/>
      <c r="H176" s="204"/>
      <c r="I176" s="204"/>
      <c r="J176" s="204"/>
      <c r="K176" s="204"/>
      <c r="L176" s="204"/>
      <c r="M176" s="204"/>
      <c r="N176" s="204"/>
      <c r="O176" s="1132"/>
      <c r="P176" s="1133"/>
    </row>
    <row r="177" spans="1:16">
      <c r="A177" s="203"/>
      <c r="B177" s="197"/>
      <c r="C177" s="204"/>
      <c r="D177" s="197"/>
      <c r="E177" s="204"/>
      <c r="F177" s="204"/>
      <c r="G177" s="204"/>
      <c r="H177" s="204"/>
      <c r="I177" s="204"/>
      <c r="J177" s="204"/>
      <c r="K177" s="204"/>
      <c r="L177" s="204"/>
      <c r="M177" s="204"/>
      <c r="N177" s="204"/>
      <c r="O177" s="1132"/>
      <c r="P177" s="1133"/>
    </row>
    <row r="178" spans="1:16">
      <c r="A178" s="203"/>
      <c r="B178" s="197"/>
      <c r="C178" s="204"/>
      <c r="D178" s="197"/>
      <c r="E178" s="204"/>
      <c r="F178" s="204"/>
      <c r="G178" s="204"/>
      <c r="H178" s="204"/>
      <c r="I178" s="204"/>
      <c r="J178" s="204"/>
      <c r="K178" s="204"/>
      <c r="L178" s="204"/>
      <c r="M178" s="204"/>
      <c r="N178" s="204"/>
      <c r="O178" s="1132"/>
      <c r="P178" s="1133"/>
    </row>
    <row r="179" spans="1:16">
      <c r="A179" s="206" t="s">
        <v>1146</v>
      </c>
      <c r="B179" s="197"/>
      <c r="C179" s="204"/>
      <c r="D179" s="197"/>
      <c r="E179" s="204"/>
      <c r="F179" s="204"/>
      <c r="G179" s="204"/>
      <c r="H179" s="197" t="s">
        <v>1147</v>
      </c>
      <c r="I179" s="204"/>
      <c r="J179" s="204"/>
      <c r="K179" s="204"/>
      <c r="L179" s="204"/>
      <c r="M179" s="204"/>
      <c r="N179" s="204"/>
      <c r="O179" s="1132"/>
      <c r="P179" s="1133"/>
    </row>
    <row r="180" spans="1:16" ht="15.75" thickBot="1">
      <c r="A180" s="207"/>
      <c r="B180" s="198"/>
      <c r="C180" s="208"/>
      <c r="D180" s="198"/>
      <c r="E180" s="208"/>
      <c r="F180" s="208"/>
      <c r="G180" s="208"/>
      <c r="H180" s="198"/>
      <c r="I180" s="208"/>
      <c r="J180" s="208"/>
      <c r="K180" s="208"/>
      <c r="L180" s="208"/>
      <c r="M180" s="208"/>
      <c r="N180" s="208"/>
      <c r="O180" s="1134"/>
      <c r="P180" s="1135"/>
    </row>
    <row r="182" spans="1:16" ht="30" customHeight="1">
      <c r="A182" s="140" t="s">
        <v>131</v>
      </c>
      <c r="B182" s="140" t="s">
        <v>129</v>
      </c>
      <c r="C182" s="140" t="s">
        <v>130</v>
      </c>
      <c r="D182" s="140" t="s">
        <v>1148</v>
      </c>
      <c r="E182" s="140" t="s">
        <v>1149</v>
      </c>
      <c r="F182" s="140" t="s">
        <v>1150</v>
      </c>
      <c r="G182" s="140" t="s">
        <v>1151</v>
      </c>
      <c r="H182" s="140" t="s">
        <v>1152</v>
      </c>
    </row>
    <row r="183" spans="1:16">
      <c r="A183" s="117" t="s">
        <v>180</v>
      </c>
      <c r="B183" s="117" t="s">
        <v>1153</v>
      </c>
      <c r="C183" s="117" t="s">
        <v>179</v>
      </c>
      <c r="D183" s="117">
        <f>G142-SUM(D184:D186)</f>
        <v>219.94000000000003</v>
      </c>
      <c r="E183" s="117"/>
      <c r="F183" s="117"/>
      <c r="G183" s="128">
        <f>D183/$D$187</f>
        <v>0.74217550490138184</v>
      </c>
      <c r="H183" s="117">
        <v>199.65</v>
      </c>
    </row>
    <row r="184" spans="1:16" ht="15.75">
      <c r="A184" s="117" t="s">
        <v>180</v>
      </c>
      <c r="B184" s="117" t="s">
        <v>1153</v>
      </c>
      <c r="C184" s="117" t="s">
        <v>1154</v>
      </c>
      <c r="D184" s="117">
        <f>AVERAGE(E184:F184)</f>
        <v>33.22</v>
      </c>
      <c r="E184" s="117">
        <v>5.66</v>
      </c>
      <c r="F184" s="117">
        <v>60.78</v>
      </c>
      <c r="G184" s="128">
        <f>D184/$D$187</f>
        <v>0.11209907371475812</v>
      </c>
      <c r="H184" s="117"/>
      <c r="J184" s="209"/>
    </row>
    <row r="185" spans="1:16">
      <c r="A185" s="117" t="s">
        <v>180</v>
      </c>
      <c r="B185" s="117" t="s">
        <v>1153</v>
      </c>
      <c r="C185" s="117" t="s">
        <v>245</v>
      </c>
      <c r="D185" s="117">
        <f>AVERAGE(E185:F185)</f>
        <v>37.25</v>
      </c>
      <c r="E185" s="117">
        <v>35.770000000000003</v>
      </c>
      <c r="F185" s="117">
        <v>38.729999999999997</v>
      </c>
      <c r="G185" s="128">
        <f>D185/$D$187</f>
        <v>0.12569808837672306</v>
      </c>
      <c r="H185" s="117"/>
    </row>
    <row r="186" spans="1:16">
      <c r="A186" s="117" t="s">
        <v>180</v>
      </c>
      <c r="B186" s="117" t="s">
        <v>1153</v>
      </c>
      <c r="C186" s="117" t="s">
        <v>1155</v>
      </c>
      <c r="D186" s="117">
        <f>AVERAGE(E186:F186)</f>
        <v>5.9350000000000005</v>
      </c>
      <c r="E186" s="117">
        <v>5.66</v>
      </c>
      <c r="F186" s="117">
        <v>6.21</v>
      </c>
      <c r="G186" s="128">
        <f>D186/$D$187</f>
        <v>2.0027333007136952E-2</v>
      </c>
      <c r="H186" s="117">
        <v>1.49</v>
      </c>
    </row>
    <row r="187" spans="1:16">
      <c r="A187" s="117" t="s">
        <v>180</v>
      </c>
      <c r="B187" s="129" t="s">
        <v>1144</v>
      </c>
      <c r="C187" s="126"/>
      <c r="D187" s="129">
        <f>SUM(D183:D186)</f>
        <v>296.34500000000003</v>
      </c>
      <c r="E187" s="126"/>
      <c r="F187" s="126"/>
      <c r="G187" s="183"/>
      <c r="H187" s="117"/>
    </row>
    <row r="188" spans="1:16">
      <c r="A188" s="117" t="s">
        <v>180</v>
      </c>
      <c r="B188" s="126" t="s">
        <v>1155</v>
      </c>
      <c r="C188" s="126" t="s">
        <v>179</v>
      </c>
      <c r="D188" s="126">
        <f>D186-H186</f>
        <v>4.4450000000000003</v>
      </c>
      <c r="E188" s="126"/>
      <c r="F188" s="126"/>
      <c r="G188" s="183">
        <f>D188/$D$190</f>
        <v>0.74894692502106153</v>
      </c>
      <c r="H188" s="117"/>
    </row>
    <row r="189" spans="1:16">
      <c r="A189" s="117" t="s">
        <v>180</v>
      </c>
      <c r="B189" s="117" t="s">
        <v>1155</v>
      </c>
      <c r="C189" s="117" t="s">
        <v>1156</v>
      </c>
      <c r="D189" s="117">
        <f>H186</f>
        <v>1.49</v>
      </c>
      <c r="E189" s="117"/>
      <c r="F189" s="117"/>
      <c r="G189" s="128">
        <f>D189/$D$190</f>
        <v>0.25105307497893847</v>
      </c>
      <c r="H189" s="117"/>
    </row>
    <row r="190" spans="1:16">
      <c r="A190" s="117" t="s">
        <v>180</v>
      </c>
      <c r="B190" s="129" t="s">
        <v>1144</v>
      </c>
      <c r="C190" s="126"/>
      <c r="D190" s="127">
        <f>SUM(D188:D189)</f>
        <v>5.9350000000000005</v>
      </c>
      <c r="E190" s="117"/>
      <c r="F190" s="117"/>
      <c r="G190" s="117"/>
      <c r="H190" s="117"/>
    </row>
    <row r="191" spans="1:16" ht="15.75" thickBot="1">
      <c r="B191" s="25"/>
      <c r="D191" s="25"/>
    </row>
    <row r="192" spans="1:16">
      <c r="A192" s="201"/>
      <c r="B192" s="196"/>
      <c r="C192" s="202"/>
      <c r="D192" s="196"/>
      <c r="E192" s="202"/>
      <c r="F192" s="202"/>
      <c r="G192" s="202"/>
      <c r="H192" s="202"/>
      <c r="I192" s="202"/>
      <c r="J192" s="202"/>
      <c r="K192" s="202"/>
      <c r="L192" s="202"/>
      <c r="M192" s="202"/>
      <c r="N192" s="202"/>
      <c r="O192" s="1130" t="s">
        <v>1145</v>
      </c>
      <c r="P192" s="1131"/>
    </row>
    <row r="193" spans="1:16">
      <c r="A193" s="203"/>
      <c r="B193" s="197"/>
      <c r="C193" s="204"/>
      <c r="D193" s="197"/>
      <c r="E193" s="204"/>
      <c r="F193" s="204"/>
      <c r="G193" s="204"/>
      <c r="H193" s="204"/>
      <c r="I193" s="204"/>
      <c r="J193" s="204"/>
      <c r="K193" s="204"/>
      <c r="L193" s="204"/>
      <c r="M193" s="204"/>
      <c r="N193" s="204"/>
      <c r="O193" s="1132"/>
      <c r="P193" s="1133"/>
    </row>
    <row r="194" spans="1:16">
      <c r="A194" s="203"/>
      <c r="B194" s="197"/>
      <c r="C194" s="204"/>
      <c r="D194" s="197"/>
      <c r="E194" s="204"/>
      <c r="F194" s="204"/>
      <c r="G194" s="204"/>
      <c r="H194" s="204"/>
      <c r="I194" s="204"/>
      <c r="J194" s="204"/>
      <c r="K194" s="204"/>
      <c r="L194" s="204"/>
      <c r="M194" s="204"/>
      <c r="N194" s="204"/>
      <c r="O194" s="1132"/>
      <c r="P194" s="1133"/>
    </row>
    <row r="195" spans="1:16">
      <c r="A195" s="203"/>
      <c r="B195" s="197"/>
      <c r="C195" s="204"/>
      <c r="D195" s="197"/>
      <c r="E195" s="204"/>
      <c r="F195" s="204"/>
      <c r="G195" s="204"/>
      <c r="H195" s="204"/>
      <c r="I195" s="204"/>
      <c r="J195" s="204"/>
      <c r="K195" s="204"/>
      <c r="L195" s="204"/>
      <c r="M195" s="204"/>
      <c r="N195" s="204"/>
      <c r="O195" s="1132"/>
      <c r="P195" s="1133"/>
    </row>
    <row r="196" spans="1:16">
      <c r="A196" s="203"/>
      <c r="B196" s="197"/>
      <c r="C196" s="204"/>
      <c r="D196" s="197"/>
      <c r="E196" s="204"/>
      <c r="F196" s="204"/>
      <c r="G196" s="204"/>
      <c r="H196" s="204"/>
      <c r="I196" s="204"/>
      <c r="J196" s="204"/>
      <c r="K196" s="204"/>
      <c r="L196" s="204"/>
      <c r="M196" s="204"/>
      <c r="N196" s="204"/>
      <c r="O196" s="1132"/>
      <c r="P196" s="1133"/>
    </row>
    <row r="197" spans="1:16">
      <c r="A197" s="203"/>
      <c r="B197" s="197"/>
      <c r="C197" s="204"/>
      <c r="D197" s="197"/>
      <c r="E197" s="204"/>
      <c r="F197" s="204"/>
      <c r="G197" s="204"/>
      <c r="H197" s="204"/>
      <c r="I197" s="204"/>
      <c r="J197" s="204"/>
      <c r="K197" s="204"/>
      <c r="L197" s="204"/>
      <c r="M197" s="204"/>
      <c r="N197" s="204"/>
      <c r="O197" s="1132"/>
      <c r="P197" s="1133"/>
    </row>
    <row r="198" spans="1:16">
      <c r="A198" s="203"/>
      <c r="B198" s="197"/>
      <c r="C198" s="204"/>
      <c r="D198" s="197"/>
      <c r="E198" s="204"/>
      <c r="F198" s="204"/>
      <c r="G198" s="204"/>
      <c r="H198" s="204"/>
      <c r="I198" s="204"/>
      <c r="J198" s="204"/>
      <c r="K198" s="204"/>
      <c r="L198" s="204"/>
      <c r="M198" s="204"/>
      <c r="N198" s="204"/>
      <c r="O198" s="1132"/>
      <c r="P198" s="1133"/>
    </row>
    <row r="199" spans="1:16">
      <c r="A199" s="203"/>
      <c r="B199" s="197"/>
      <c r="C199" s="204"/>
      <c r="D199" s="197"/>
      <c r="E199" s="204"/>
      <c r="F199" s="204"/>
      <c r="G199" s="204"/>
      <c r="H199" s="204"/>
      <c r="I199" s="204"/>
      <c r="J199" s="204"/>
      <c r="K199" s="204"/>
      <c r="L199" s="204"/>
      <c r="M199" s="204"/>
      <c r="N199" s="204"/>
      <c r="O199" s="1132"/>
      <c r="P199" s="1133"/>
    </row>
    <row r="200" spans="1:16">
      <c r="A200" s="203"/>
      <c r="B200" s="197"/>
      <c r="C200" s="204"/>
      <c r="D200" s="197"/>
      <c r="E200" s="204"/>
      <c r="F200" s="204"/>
      <c r="G200" s="204"/>
      <c r="H200" s="204"/>
      <c r="I200" s="204"/>
      <c r="J200" s="204"/>
      <c r="K200" s="204"/>
      <c r="L200" s="204"/>
      <c r="M200" s="204"/>
      <c r="N200" s="204"/>
      <c r="O200" s="1132"/>
      <c r="P200" s="1133"/>
    </row>
    <row r="201" spans="1:16">
      <c r="A201" s="203"/>
      <c r="B201" s="197"/>
      <c r="C201" s="204"/>
      <c r="D201" s="197"/>
      <c r="E201" s="204"/>
      <c r="F201" s="204"/>
      <c r="G201" s="204"/>
      <c r="H201" s="204"/>
      <c r="I201" s="204"/>
      <c r="J201" s="204"/>
      <c r="K201" s="204"/>
      <c r="L201" s="204"/>
      <c r="M201" s="204"/>
      <c r="N201" s="204"/>
      <c r="O201" s="1132"/>
      <c r="P201" s="1133"/>
    </row>
    <row r="202" spans="1:16">
      <c r="A202" s="203"/>
      <c r="B202" s="197"/>
      <c r="C202" s="204"/>
      <c r="D202" s="197"/>
      <c r="E202" s="204"/>
      <c r="F202" s="204"/>
      <c r="G202" s="204"/>
      <c r="H202" s="204"/>
      <c r="I202" s="204"/>
      <c r="J202" s="204"/>
      <c r="K202" s="204"/>
      <c r="L202" s="204"/>
      <c r="M202" s="204"/>
      <c r="N202" s="204"/>
      <c r="O202" s="1132"/>
      <c r="P202" s="1133"/>
    </row>
    <row r="203" spans="1:16">
      <c r="A203" s="203"/>
      <c r="B203" s="197"/>
      <c r="C203" s="204"/>
      <c r="D203" s="197"/>
      <c r="E203" s="204"/>
      <c r="F203" s="204"/>
      <c r="G203" s="204"/>
      <c r="H203" s="204"/>
      <c r="I203" s="204"/>
      <c r="J203" s="204"/>
      <c r="K203" s="204"/>
      <c r="L203" s="204"/>
      <c r="M203" s="204"/>
      <c r="N203" s="204"/>
      <c r="O203" s="1132"/>
      <c r="P203" s="1133"/>
    </row>
    <row r="204" spans="1:16">
      <c r="A204" s="203"/>
      <c r="B204" s="197"/>
      <c r="C204" s="204"/>
      <c r="D204" s="197"/>
      <c r="E204" s="204"/>
      <c r="F204" s="204"/>
      <c r="G204" s="204"/>
      <c r="H204" s="204"/>
      <c r="I204" s="204"/>
      <c r="J204" s="204"/>
      <c r="K204" s="204"/>
      <c r="L204" s="204"/>
      <c r="M204" s="204"/>
      <c r="N204" s="204"/>
      <c r="O204" s="1132"/>
      <c r="P204" s="1133"/>
    </row>
    <row r="205" spans="1:16">
      <c r="A205" s="203"/>
      <c r="B205" s="197"/>
      <c r="C205" s="204"/>
      <c r="D205" s="197"/>
      <c r="E205" s="204"/>
      <c r="F205" s="204"/>
      <c r="G205" s="204"/>
      <c r="H205" s="204"/>
      <c r="I205" s="204"/>
      <c r="J205" s="204"/>
      <c r="K205" s="204"/>
      <c r="L205" s="204"/>
      <c r="M205" s="204"/>
      <c r="N205" s="204"/>
      <c r="O205" s="1132"/>
      <c r="P205" s="1133"/>
    </row>
    <row r="206" spans="1:16">
      <c r="A206" s="203"/>
      <c r="B206" s="197"/>
      <c r="C206" s="204"/>
      <c r="D206" s="197"/>
      <c r="E206" s="204"/>
      <c r="F206" s="204"/>
      <c r="G206" s="204"/>
      <c r="H206" s="204"/>
      <c r="I206" s="204"/>
      <c r="J206" s="204"/>
      <c r="K206" s="204"/>
      <c r="L206" s="204"/>
      <c r="M206" s="204"/>
      <c r="N206" s="204"/>
      <c r="O206" s="1132"/>
      <c r="P206" s="1133"/>
    </row>
    <row r="207" spans="1:16">
      <c r="A207" s="203"/>
      <c r="B207" s="197"/>
      <c r="C207" s="204"/>
      <c r="D207" s="197"/>
      <c r="E207" s="204"/>
      <c r="F207" s="204"/>
      <c r="G207" s="204"/>
      <c r="H207" s="204"/>
      <c r="I207" s="204"/>
      <c r="J207" s="204"/>
      <c r="K207" s="204"/>
      <c r="L207" s="204"/>
      <c r="M207" s="204"/>
      <c r="N207" s="204"/>
      <c r="O207" s="1132"/>
      <c r="P207" s="1133"/>
    </row>
    <row r="208" spans="1:16">
      <c r="A208" s="203"/>
      <c r="B208" s="197"/>
      <c r="C208" s="204"/>
      <c r="D208" s="197"/>
      <c r="E208" s="204"/>
      <c r="F208" s="204"/>
      <c r="G208" s="204"/>
      <c r="H208" s="204"/>
      <c r="I208" s="204"/>
      <c r="J208" s="204"/>
      <c r="K208" s="204"/>
      <c r="L208" s="204"/>
      <c r="M208" s="204"/>
      <c r="N208" s="204"/>
      <c r="O208" s="1132"/>
      <c r="P208" s="1133"/>
    </row>
    <row r="209" spans="1:16">
      <c r="A209" s="203"/>
      <c r="B209" s="197"/>
      <c r="C209" s="204"/>
      <c r="D209" s="197"/>
      <c r="E209" s="204"/>
      <c r="F209" s="204"/>
      <c r="G209" s="204"/>
      <c r="H209" s="204"/>
      <c r="I209" s="204"/>
      <c r="J209" s="204"/>
      <c r="K209" s="204"/>
      <c r="L209" s="204"/>
      <c r="M209" s="204"/>
      <c r="N209" s="204"/>
      <c r="O209" s="1132"/>
      <c r="P209" s="1133"/>
    </row>
    <row r="210" spans="1:16">
      <c r="A210" s="203"/>
      <c r="B210" s="197"/>
      <c r="C210" s="204"/>
      <c r="D210" s="197"/>
      <c r="E210" s="204"/>
      <c r="F210" s="204"/>
      <c r="G210" s="204"/>
      <c r="H210" s="204"/>
      <c r="I210" s="204"/>
      <c r="J210" s="204"/>
      <c r="K210" s="204"/>
      <c r="L210" s="204"/>
      <c r="M210" s="204"/>
      <c r="N210" s="204"/>
      <c r="O210" s="1132"/>
      <c r="P210" s="1133"/>
    </row>
    <row r="211" spans="1:16" ht="15.6" customHeight="1">
      <c r="A211" s="203"/>
      <c r="B211" s="197"/>
      <c r="C211" s="204"/>
      <c r="D211" s="197"/>
      <c r="E211" s="204"/>
      <c r="F211" s="204"/>
      <c r="G211" s="204"/>
      <c r="H211" s="204"/>
      <c r="I211" s="204"/>
      <c r="J211" s="204"/>
      <c r="K211" s="204"/>
      <c r="L211" s="204"/>
      <c r="M211" s="204"/>
      <c r="N211" s="204"/>
      <c r="O211" s="1132"/>
      <c r="P211" s="1133"/>
    </row>
    <row r="212" spans="1:16">
      <c r="A212" s="203"/>
      <c r="B212" s="197"/>
      <c r="C212" s="204"/>
      <c r="D212" s="197"/>
      <c r="E212" s="204"/>
      <c r="F212" s="204"/>
      <c r="G212" s="204"/>
      <c r="H212" s="204"/>
      <c r="I212" s="204"/>
      <c r="J212" s="204"/>
      <c r="K212" s="204"/>
      <c r="L212" s="204"/>
      <c r="M212" s="204"/>
      <c r="N212" s="204"/>
      <c r="O212" s="1132"/>
      <c r="P212" s="1133"/>
    </row>
    <row r="213" spans="1:16">
      <c r="A213" s="203"/>
      <c r="B213" s="197"/>
      <c r="C213" s="204"/>
      <c r="D213" s="197"/>
      <c r="E213" s="204"/>
      <c r="F213" s="204"/>
      <c r="G213" s="204"/>
      <c r="H213" s="204"/>
      <c r="I213" s="204"/>
      <c r="J213" s="204"/>
      <c r="K213" s="204"/>
      <c r="L213" s="204"/>
      <c r="M213" s="204"/>
      <c r="N213" s="204"/>
      <c r="O213" s="1132"/>
      <c r="P213" s="1133"/>
    </row>
    <row r="214" spans="1:16">
      <c r="A214" s="203"/>
      <c r="B214" s="197"/>
      <c r="C214" s="204"/>
      <c r="D214" s="197"/>
      <c r="E214" s="204"/>
      <c r="F214" s="204"/>
      <c r="G214" s="204"/>
      <c r="H214" s="204"/>
      <c r="I214" s="204"/>
      <c r="J214" s="204"/>
      <c r="K214" s="204"/>
      <c r="L214" s="204"/>
      <c r="M214" s="204"/>
      <c r="N214" s="204"/>
      <c r="O214" s="1132"/>
      <c r="P214" s="1133"/>
    </row>
    <row r="215" spans="1:16">
      <c r="A215" s="203"/>
      <c r="B215" s="197"/>
      <c r="C215" s="204"/>
      <c r="D215" s="197"/>
      <c r="E215" s="204"/>
      <c r="F215" s="204"/>
      <c r="G215" s="204"/>
      <c r="H215" s="204"/>
      <c r="I215" s="204"/>
      <c r="J215" s="204"/>
      <c r="K215" s="204"/>
      <c r="L215" s="204"/>
      <c r="M215" s="204"/>
      <c r="N215" s="204"/>
      <c r="O215" s="1132"/>
      <c r="P215" s="1133"/>
    </row>
    <row r="216" spans="1:16">
      <c r="A216" s="203"/>
      <c r="B216" s="197"/>
      <c r="C216" s="204"/>
      <c r="D216" s="197"/>
      <c r="E216" s="204"/>
      <c r="F216" s="204"/>
      <c r="G216" s="204"/>
      <c r="H216" s="204"/>
      <c r="I216" s="204"/>
      <c r="J216" s="204"/>
      <c r="K216" s="204"/>
      <c r="L216" s="204"/>
      <c r="M216" s="204"/>
      <c r="N216" s="204"/>
      <c r="O216" s="1132"/>
      <c r="P216" s="1133"/>
    </row>
    <row r="217" spans="1:16">
      <c r="A217" s="203"/>
      <c r="B217" s="197"/>
      <c r="C217" s="204"/>
      <c r="D217" s="197"/>
      <c r="E217" s="204"/>
      <c r="F217" s="204"/>
      <c r="G217" s="204"/>
      <c r="H217" s="204"/>
      <c r="I217" s="204"/>
      <c r="J217" s="204"/>
      <c r="K217" s="204"/>
      <c r="L217" s="204"/>
      <c r="M217" s="204"/>
      <c r="N217" s="204"/>
      <c r="O217" s="1132"/>
      <c r="P217" s="1133"/>
    </row>
    <row r="218" spans="1:16">
      <c r="A218" s="203"/>
      <c r="B218" s="197"/>
      <c r="C218" s="204"/>
      <c r="D218" s="197"/>
      <c r="E218" s="204"/>
      <c r="F218" s="204"/>
      <c r="G218" s="204"/>
      <c r="H218" s="204"/>
      <c r="I218" s="204"/>
      <c r="J218" s="204"/>
      <c r="K218" s="204"/>
      <c r="L218" s="204"/>
      <c r="M218" s="204"/>
      <c r="N218" s="204"/>
      <c r="O218" s="1132"/>
      <c r="P218" s="1133"/>
    </row>
    <row r="219" spans="1:16">
      <c r="A219" s="203"/>
      <c r="B219" s="197"/>
      <c r="C219" s="204"/>
      <c r="D219" s="197"/>
      <c r="E219" s="204"/>
      <c r="F219" s="204"/>
      <c r="G219" s="204"/>
      <c r="H219" s="204"/>
      <c r="I219" s="204"/>
      <c r="J219" s="204"/>
      <c r="K219" s="204"/>
      <c r="L219" s="204"/>
      <c r="M219" s="204"/>
      <c r="N219" s="204"/>
      <c r="O219" s="1132"/>
      <c r="P219" s="1133"/>
    </row>
    <row r="220" spans="1:16">
      <c r="A220" s="203"/>
      <c r="B220" s="197"/>
      <c r="C220" s="204"/>
      <c r="D220" s="197"/>
      <c r="E220" s="204"/>
      <c r="F220" s="204"/>
      <c r="G220" s="204"/>
      <c r="H220" s="204"/>
      <c r="I220" s="204"/>
      <c r="J220" s="204"/>
      <c r="K220" s="204"/>
      <c r="L220" s="204"/>
      <c r="M220" s="204"/>
      <c r="N220" s="204"/>
      <c r="O220" s="1132"/>
      <c r="P220" s="1133"/>
    </row>
    <row r="221" spans="1:16">
      <c r="A221" s="203"/>
      <c r="B221" s="197"/>
      <c r="C221" s="204"/>
      <c r="D221" s="197"/>
      <c r="E221" s="204"/>
      <c r="F221" s="204"/>
      <c r="G221" s="204"/>
      <c r="H221" s="204"/>
      <c r="I221" s="204"/>
      <c r="J221" s="204"/>
      <c r="K221" s="204"/>
      <c r="L221" s="204"/>
      <c r="M221" s="204"/>
      <c r="N221" s="204"/>
      <c r="O221" s="1132"/>
      <c r="P221" s="1133"/>
    </row>
    <row r="222" spans="1:16">
      <c r="A222" s="203"/>
      <c r="B222" s="197"/>
      <c r="C222" s="204"/>
      <c r="D222" s="197"/>
      <c r="E222" s="204"/>
      <c r="F222" s="204"/>
      <c r="G222" s="204"/>
      <c r="H222" s="204"/>
      <c r="I222" s="204"/>
      <c r="J222" s="204"/>
      <c r="K222" s="204"/>
      <c r="L222" s="204"/>
      <c r="M222" s="204"/>
      <c r="N222" s="204"/>
      <c r="O222" s="1132"/>
      <c r="P222" s="1133"/>
    </row>
    <row r="223" spans="1:16">
      <c r="A223" s="203"/>
      <c r="B223" s="197"/>
      <c r="C223" s="204"/>
      <c r="D223" s="197"/>
      <c r="E223" s="204"/>
      <c r="F223" s="204"/>
      <c r="G223" s="204"/>
      <c r="H223" s="204"/>
      <c r="I223" s="204"/>
      <c r="J223" s="204"/>
      <c r="K223" s="204"/>
      <c r="L223" s="204"/>
      <c r="M223" s="204"/>
      <c r="N223" s="204"/>
      <c r="O223" s="1132"/>
      <c r="P223" s="1133"/>
    </row>
    <row r="224" spans="1:16">
      <c r="A224" s="203"/>
      <c r="B224" s="197"/>
      <c r="C224" s="204"/>
      <c r="D224" s="197"/>
      <c r="E224" s="204"/>
      <c r="F224" s="204"/>
      <c r="G224" s="204"/>
      <c r="H224" s="204"/>
      <c r="I224" s="204"/>
      <c r="J224" s="204"/>
      <c r="K224" s="204"/>
      <c r="L224" s="204"/>
      <c r="M224" s="204"/>
      <c r="N224" s="204"/>
      <c r="O224" s="1132"/>
      <c r="P224" s="1133"/>
    </row>
    <row r="225" spans="1:16">
      <c r="A225" s="203"/>
      <c r="B225" s="197"/>
      <c r="C225" s="204"/>
      <c r="D225" s="197"/>
      <c r="E225" s="204"/>
      <c r="F225" s="204"/>
      <c r="G225" s="204"/>
      <c r="H225" s="204"/>
      <c r="I225" s="204"/>
      <c r="J225" s="204"/>
      <c r="K225" s="204"/>
      <c r="L225" s="204"/>
      <c r="M225" s="204"/>
      <c r="N225" s="204"/>
      <c r="O225" s="1132"/>
      <c r="P225" s="1133"/>
    </row>
    <row r="226" spans="1:16">
      <c r="A226" s="206" t="s">
        <v>1146</v>
      </c>
      <c r="B226" s="197"/>
      <c r="C226" s="204"/>
      <c r="D226" s="197"/>
      <c r="E226" s="204"/>
      <c r="F226" s="204"/>
      <c r="G226" s="204"/>
      <c r="H226" s="197" t="s">
        <v>1147</v>
      </c>
      <c r="I226" s="204"/>
      <c r="J226" s="204"/>
      <c r="K226" s="204"/>
      <c r="L226" s="204"/>
      <c r="M226" s="204"/>
      <c r="N226" s="204"/>
      <c r="O226" s="1132"/>
      <c r="P226" s="1133"/>
    </row>
    <row r="227" spans="1:16" ht="15.75" thickBot="1">
      <c r="A227" s="210"/>
      <c r="B227" s="199"/>
      <c r="C227" s="211"/>
      <c r="D227" s="199"/>
      <c r="E227" s="211"/>
      <c r="F227" s="211"/>
      <c r="G227" s="211"/>
      <c r="H227" s="211"/>
      <c r="I227" s="211"/>
      <c r="J227" s="211"/>
      <c r="K227" s="211"/>
      <c r="L227" s="211"/>
      <c r="M227" s="211"/>
      <c r="N227" s="211"/>
      <c r="O227" s="1134"/>
      <c r="P227" s="1135"/>
    </row>
    <row r="228" spans="1:16" ht="15.75" thickBot="1">
      <c r="B228" s="25"/>
      <c r="D228" s="25"/>
    </row>
    <row r="229" spans="1:16">
      <c r="A229" s="201"/>
      <c r="B229" s="196"/>
      <c r="C229" s="202"/>
      <c r="D229" s="196"/>
      <c r="E229" s="202"/>
      <c r="F229" s="202"/>
      <c r="G229" s="202"/>
      <c r="H229" s="202"/>
      <c r="I229" s="202"/>
      <c r="J229" s="202"/>
      <c r="K229" s="202"/>
      <c r="L229" s="202"/>
      <c r="M229" s="202"/>
      <c r="N229" s="202"/>
      <c r="O229" s="1130" t="s">
        <v>1157</v>
      </c>
      <c r="P229" s="1131"/>
    </row>
    <row r="230" spans="1:16">
      <c r="A230" s="203"/>
      <c r="B230" s="197"/>
      <c r="C230" s="204"/>
      <c r="D230" s="197"/>
      <c r="E230" s="204"/>
      <c r="F230" s="204"/>
      <c r="G230" s="204"/>
      <c r="H230" s="204"/>
      <c r="I230" s="204"/>
      <c r="J230" s="204"/>
      <c r="K230" s="204"/>
      <c r="L230" s="204"/>
      <c r="M230" s="204"/>
      <c r="N230" s="204"/>
      <c r="O230" s="1132"/>
      <c r="P230" s="1133"/>
    </row>
    <row r="231" spans="1:16">
      <c r="A231" s="203"/>
      <c r="B231" s="197"/>
      <c r="C231" s="204"/>
      <c r="D231" s="197"/>
      <c r="E231" s="204"/>
      <c r="F231" s="204"/>
      <c r="G231" s="204"/>
      <c r="H231" s="204"/>
      <c r="I231" s="204"/>
      <c r="J231" s="204"/>
      <c r="K231" s="204"/>
      <c r="L231" s="204"/>
      <c r="M231" s="204"/>
      <c r="N231" s="204"/>
      <c r="O231" s="1132"/>
      <c r="P231" s="1133"/>
    </row>
    <row r="232" spans="1:16">
      <c r="A232" s="203"/>
      <c r="B232" s="197"/>
      <c r="C232" s="204"/>
      <c r="D232" s="197"/>
      <c r="E232" s="204"/>
      <c r="F232" s="204"/>
      <c r="G232" s="204"/>
      <c r="H232" s="204"/>
      <c r="I232" s="204"/>
      <c r="J232" s="204"/>
      <c r="K232" s="204"/>
      <c r="L232" s="204"/>
      <c r="M232" s="204"/>
      <c r="N232" s="204"/>
      <c r="O232" s="1132"/>
      <c r="P232" s="1133"/>
    </row>
    <row r="233" spans="1:16">
      <c r="A233" s="203"/>
      <c r="B233" s="197"/>
      <c r="C233" s="204"/>
      <c r="D233" s="197"/>
      <c r="E233" s="204"/>
      <c r="F233" s="204"/>
      <c r="G233" s="204"/>
      <c r="H233" s="204"/>
      <c r="I233" s="204"/>
      <c r="J233" s="204"/>
      <c r="K233" s="204"/>
      <c r="L233" s="204"/>
      <c r="M233" s="204"/>
      <c r="N233" s="204"/>
      <c r="O233" s="1132"/>
      <c r="P233" s="1133"/>
    </row>
    <row r="234" spans="1:16">
      <c r="A234" s="203"/>
      <c r="B234" s="197"/>
      <c r="C234" s="204"/>
      <c r="D234" s="197"/>
      <c r="E234" s="204"/>
      <c r="F234" s="204"/>
      <c r="G234" s="204"/>
      <c r="H234" s="204"/>
      <c r="I234" s="204"/>
      <c r="J234" s="204"/>
      <c r="K234" s="204"/>
      <c r="L234" s="204"/>
      <c r="M234" s="204"/>
      <c r="N234" s="204"/>
      <c r="O234" s="1132"/>
      <c r="P234" s="1133"/>
    </row>
    <row r="235" spans="1:16">
      <c r="A235" s="203"/>
      <c r="B235" s="197"/>
      <c r="C235" s="204"/>
      <c r="D235" s="197"/>
      <c r="E235" s="204"/>
      <c r="F235" s="204"/>
      <c r="G235" s="204"/>
      <c r="H235" s="204"/>
      <c r="I235" s="204"/>
      <c r="J235" s="204"/>
      <c r="K235" s="204"/>
      <c r="L235" s="204"/>
      <c r="M235" s="204"/>
      <c r="N235" s="204"/>
      <c r="O235" s="1132"/>
      <c r="P235" s="1133"/>
    </row>
    <row r="236" spans="1:16">
      <c r="A236" s="203"/>
      <c r="B236" s="197"/>
      <c r="C236" s="204"/>
      <c r="D236" s="197"/>
      <c r="E236" s="204"/>
      <c r="F236" s="204"/>
      <c r="G236" s="204"/>
      <c r="H236" s="204"/>
      <c r="I236" s="204"/>
      <c r="J236" s="204"/>
      <c r="K236" s="204"/>
      <c r="L236" s="204"/>
      <c r="M236" s="204"/>
      <c r="N236" s="204"/>
      <c r="O236" s="1132"/>
      <c r="P236" s="1133"/>
    </row>
    <row r="237" spans="1:16">
      <c r="A237" s="203"/>
      <c r="B237" s="197"/>
      <c r="C237" s="204"/>
      <c r="D237" s="197"/>
      <c r="E237" s="204"/>
      <c r="F237" s="204"/>
      <c r="G237" s="204"/>
      <c r="H237" s="204"/>
      <c r="I237" s="204"/>
      <c r="J237" s="204"/>
      <c r="K237" s="204"/>
      <c r="L237" s="204"/>
      <c r="M237" s="204"/>
      <c r="N237" s="204"/>
      <c r="O237" s="1132"/>
      <c r="P237" s="1133"/>
    </row>
    <row r="238" spans="1:16">
      <c r="A238" s="203"/>
      <c r="B238" s="197"/>
      <c r="C238" s="204"/>
      <c r="D238" s="197"/>
      <c r="E238" s="204"/>
      <c r="F238" s="204"/>
      <c r="G238" s="204"/>
      <c r="H238" s="204"/>
      <c r="I238" s="204"/>
      <c r="J238" s="204"/>
      <c r="K238" s="204"/>
      <c r="L238" s="204"/>
      <c r="M238" s="204"/>
      <c r="N238" s="204"/>
      <c r="O238" s="1132"/>
      <c r="P238" s="1133"/>
    </row>
    <row r="239" spans="1:16">
      <c r="A239" s="203"/>
      <c r="B239" s="197"/>
      <c r="C239" s="204"/>
      <c r="D239" s="197"/>
      <c r="E239" s="204"/>
      <c r="F239" s="204"/>
      <c r="G239" s="204"/>
      <c r="H239" s="204"/>
      <c r="I239" s="204"/>
      <c r="J239" s="204"/>
      <c r="K239" s="204"/>
      <c r="L239" s="204"/>
      <c r="M239" s="204"/>
      <c r="N239" s="204"/>
      <c r="O239" s="1132"/>
      <c r="P239" s="1133"/>
    </row>
    <row r="240" spans="1:16">
      <c r="A240" s="203"/>
      <c r="B240" s="197"/>
      <c r="C240" s="204"/>
      <c r="D240" s="197"/>
      <c r="E240" s="204"/>
      <c r="F240" s="204"/>
      <c r="G240" s="204"/>
      <c r="H240" s="204"/>
      <c r="I240" s="204"/>
      <c r="J240" s="204"/>
      <c r="K240" s="204"/>
      <c r="L240" s="204"/>
      <c r="M240" s="204"/>
      <c r="N240" s="204"/>
      <c r="O240" s="1132"/>
      <c r="P240" s="1133"/>
    </row>
    <row r="241" spans="1:16">
      <c r="A241" s="203"/>
      <c r="B241" s="197"/>
      <c r="C241" s="204"/>
      <c r="D241" s="197"/>
      <c r="E241" s="204"/>
      <c r="F241" s="204"/>
      <c r="G241" s="204"/>
      <c r="H241" s="204"/>
      <c r="I241" s="204"/>
      <c r="J241" s="204"/>
      <c r="K241" s="204"/>
      <c r="L241" s="204"/>
      <c r="M241" s="204"/>
      <c r="N241" s="204"/>
      <c r="O241" s="1132"/>
      <c r="P241" s="1133"/>
    </row>
    <row r="242" spans="1:16">
      <c r="A242" s="203"/>
      <c r="B242" s="197"/>
      <c r="C242" s="204"/>
      <c r="D242" s="197"/>
      <c r="E242" s="204"/>
      <c r="F242" s="204"/>
      <c r="G242" s="204"/>
      <c r="H242" s="204"/>
      <c r="I242" s="204"/>
      <c r="J242" s="204"/>
      <c r="K242" s="204"/>
      <c r="L242" s="204"/>
      <c r="M242" s="204"/>
      <c r="N242" s="204"/>
      <c r="O242" s="1132"/>
      <c r="P242" s="1133"/>
    </row>
    <row r="243" spans="1:16">
      <c r="A243" s="203"/>
      <c r="B243" s="197"/>
      <c r="C243" s="204"/>
      <c r="D243" s="197"/>
      <c r="E243" s="204"/>
      <c r="F243" s="204"/>
      <c r="G243" s="204"/>
      <c r="H243" s="204"/>
      <c r="I243" s="204"/>
      <c r="J243" s="204"/>
      <c r="K243" s="204"/>
      <c r="L243" s="204"/>
      <c r="M243" s="204"/>
      <c r="N243" s="204"/>
      <c r="O243" s="1132"/>
      <c r="P243" s="1133"/>
    </row>
    <row r="244" spans="1:16">
      <c r="A244" s="203"/>
      <c r="B244" s="197"/>
      <c r="C244" s="204"/>
      <c r="D244" s="197"/>
      <c r="E244" s="204"/>
      <c r="F244" s="204"/>
      <c r="G244" s="204"/>
      <c r="H244" s="204"/>
      <c r="I244" s="204"/>
      <c r="J244" s="204"/>
      <c r="K244" s="204"/>
      <c r="L244" s="204"/>
      <c r="M244" s="204"/>
      <c r="N244" s="204"/>
      <c r="O244" s="1132"/>
      <c r="P244" s="1133"/>
    </row>
    <row r="245" spans="1:16">
      <c r="A245" s="203"/>
      <c r="B245" s="197"/>
      <c r="C245" s="204"/>
      <c r="D245" s="197"/>
      <c r="E245" s="204"/>
      <c r="F245" s="204"/>
      <c r="G245" s="204"/>
      <c r="H245" s="204"/>
      <c r="I245" s="204"/>
      <c r="J245" s="204"/>
      <c r="K245" s="204"/>
      <c r="L245" s="204"/>
      <c r="M245" s="204"/>
      <c r="N245" s="204"/>
      <c r="O245" s="1132"/>
      <c r="P245" s="1133"/>
    </row>
    <row r="246" spans="1:16">
      <c r="A246" s="203"/>
      <c r="B246" s="197"/>
      <c r="C246" s="204"/>
      <c r="D246" s="197"/>
      <c r="E246" s="204"/>
      <c r="F246" s="204"/>
      <c r="G246" s="204"/>
      <c r="H246" s="204"/>
      <c r="I246" s="204"/>
      <c r="J246" s="204"/>
      <c r="K246" s="204"/>
      <c r="L246" s="204"/>
      <c r="M246" s="204"/>
      <c r="N246" s="204"/>
      <c r="O246" s="1132"/>
      <c r="P246" s="1133"/>
    </row>
    <row r="247" spans="1:16">
      <c r="A247" s="203"/>
      <c r="B247" s="197"/>
      <c r="C247" s="204"/>
      <c r="D247" s="197"/>
      <c r="E247" s="204"/>
      <c r="F247" s="204"/>
      <c r="G247" s="204"/>
      <c r="H247" s="204"/>
      <c r="I247" s="204"/>
      <c r="J247" s="204"/>
      <c r="K247" s="204"/>
      <c r="L247" s="204"/>
      <c r="M247" s="204"/>
      <c r="N247" s="204"/>
      <c r="O247" s="1132"/>
      <c r="P247" s="1133"/>
    </row>
    <row r="248" spans="1:16">
      <c r="A248" s="203"/>
      <c r="B248" s="197"/>
      <c r="C248" s="204"/>
      <c r="D248" s="197"/>
      <c r="E248" s="204"/>
      <c r="F248" s="204"/>
      <c r="G248" s="204"/>
      <c r="H248" s="204"/>
      <c r="I248" s="204"/>
      <c r="J248" s="204"/>
      <c r="K248" s="204"/>
      <c r="L248" s="204"/>
      <c r="M248" s="204"/>
      <c r="N248" s="204"/>
      <c r="O248" s="1132"/>
      <c r="P248" s="1133"/>
    </row>
    <row r="249" spans="1:16">
      <c r="A249" s="203"/>
      <c r="B249" s="197"/>
      <c r="C249" s="204"/>
      <c r="D249" s="197"/>
      <c r="E249" s="204"/>
      <c r="F249" s="204"/>
      <c r="G249" s="204"/>
      <c r="H249" s="204"/>
      <c r="I249" s="204"/>
      <c r="J249" s="204"/>
      <c r="K249" s="204"/>
      <c r="L249" s="204"/>
      <c r="M249" s="204"/>
      <c r="N249" s="204"/>
      <c r="O249" s="1132"/>
      <c r="P249" s="1133"/>
    </row>
    <row r="250" spans="1:16">
      <c r="A250" s="203"/>
      <c r="B250" s="197"/>
      <c r="C250" s="204"/>
      <c r="D250" s="197"/>
      <c r="E250" s="204"/>
      <c r="F250" s="204"/>
      <c r="G250" s="204"/>
      <c r="H250" s="204"/>
      <c r="I250" s="204"/>
      <c r="J250" s="204"/>
      <c r="K250" s="204"/>
      <c r="L250" s="204"/>
      <c r="M250" s="204"/>
      <c r="N250" s="204"/>
      <c r="O250" s="1132"/>
      <c r="P250" s="1133"/>
    </row>
    <row r="251" spans="1:16">
      <c r="A251" s="203"/>
      <c r="B251" s="197"/>
      <c r="C251" s="204"/>
      <c r="D251" s="197"/>
      <c r="E251" s="204"/>
      <c r="F251" s="204"/>
      <c r="G251" s="204"/>
      <c r="H251" s="204"/>
      <c r="I251" s="204"/>
      <c r="J251" s="204"/>
      <c r="K251" s="204"/>
      <c r="L251" s="204"/>
      <c r="M251" s="204"/>
      <c r="N251" s="204"/>
      <c r="O251" s="1132"/>
      <c r="P251" s="1133"/>
    </row>
    <row r="252" spans="1:16">
      <c r="A252" s="203"/>
      <c r="B252" s="197"/>
      <c r="C252" s="204"/>
      <c r="D252" s="197"/>
      <c r="E252" s="204"/>
      <c r="F252" s="204"/>
      <c r="G252" s="204"/>
      <c r="H252" s="204"/>
      <c r="I252" s="204"/>
      <c r="J252" s="204"/>
      <c r="K252" s="204"/>
      <c r="L252" s="204"/>
      <c r="M252" s="204"/>
      <c r="N252" s="204"/>
      <c r="O252" s="1132"/>
      <c r="P252" s="1133"/>
    </row>
    <row r="253" spans="1:16">
      <c r="A253" s="203"/>
      <c r="B253" s="197"/>
      <c r="C253" s="204"/>
      <c r="D253" s="197"/>
      <c r="E253" s="204"/>
      <c r="F253" s="204"/>
      <c r="G253" s="204"/>
      <c r="H253" s="204"/>
      <c r="I253" s="204"/>
      <c r="J253" s="204"/>
      <c r="K253" s="204"/>
      <c r="L253" s="204"/>
      <c r="M253" s="204"/>
      <c r="N253" s="204"/>
      <c r="O253" s="1132"/>
      <c r="P253" s="1133"/>
    </row>
    <row r="254" spans="1:16">
      <c r="A254" s="203"/>
      <c r="B254" s="197"/>
      <c r="C254" s="204"/>
      <c r="D254" s="197"/>
      <c r="E254" s="204"/>
      <c r="F254" s="204"/>
      <c r="G254" s="204"/>
      <c r="H254" s="204"/>
      <c r="I254" s="204"/>
      <c r="J254" s="204"/>
      <c r="K254" s="204"/>
      <c r="L254" s="204"/>
      <c r="M254" s="204"/>
      <c r="N254" s="204"/>
      <c r="O254" s="1132"/>
      <c r="P254" s="1133"/>
    </row>
    <row r="255" spans="1:16">
      <c r="A255" s="203"/>
      <c r="B255" s="197"/>
      <c r="C255" s="204"/>
      <c r="D255" s="197"/>
      <c r="E255" s="204"/>
      <c r="F255" s="204"/>
      <c r="G255" s="204"/>
      <c r="H255" s="204"/>
      <c r="I255" s="204"/>
      <c r="J255" s="204"/>
      <c r="K255" s="204"/>
      <c r="L255" s="204"/>
      <c r="M255" s="204"/>
      <c r="N255" s="204"/>
      <c r="O255" s="1132"/>
      <c r="P255" s="1133"/>
    </row>
    <row r="256" spans="1:16">
      <c r="A256" s="203"/>
      <c r="B256" s="197"/>
      <c r="C256" s="204"/>
      <c r="D256" s="197"/>
      <c r="E256" s="204"/>
      <c r="F256" s="204"/>
      <c r="G256" s="204"/>
      <c r="H256" s="204"/>
      <c r="I256" s="204"/>
      <c r="J256" s="204"/>
      <c r="K256" s="204"/>
      <c r="L256" s="204"/>
      <c r="M256" s="204"/>
      <c r="N256" s="204"/>
      <c r="O256" s="1132"/>
      <c r="P256" s="1133"/>
    </row>
    <row r="257" spans="1:16">
      <c r="A257" s="203"/>
      <c r="B257" s="197"/>
      <c r="C257" s="204"/>
      <c r="D257" s="197"/>
      <c r="E257" s="204"/>
      <c r="F257" s="204"/>
      <c r="G257" s="204"/>
      <c r="H257" s="204"/>
      <c r="I257" s="204"/>
      <c r="J257" s="204"/>
      <c r="K257" s="204"/>
      <c r="L257" s="204"/>
      <c r="M257" s="204"/>
      <c r="N257" s="204"/>
      <c r="O257" s="1132"/>
      <c r="P257" s="1133"/>
    </row>
    <row r="258" spans="1:16">
      <c r="A258" s="203"/>
      <c r="B258" s="197"/>
      <c r="C258" s="204"/>
      <c r="D258" s="197"/>
      <c r="E258" s="204"/>
      <c r="F258" s="204"/>
      <c r="G258" s="204"/>
      <c r="H258" s="204"/>
      <c r="I258" s="204"/>
      <c r="J258" s="204"/>
      <c r="K258" s="204"/>
      <c r="L258" s="204"/>
      <c r="M258" s="204"/>
      <c r="N258" s="204"/>
      <c r="O258" s="1132"/>
      <c r="P258" s="1133"/>
    </row>
    <row r="259" spans="1:16">
      <c r="A259" s="203"/>
      <c r="B259" s="197"/>
      <c r="C259" s="204"/>
      <c r="D259" s="197"/>
      <c r="E259" s="204"/>
      <c r="F259" s="204"/>
      <c r="G259" s="204"/>
      <c r="H259" s="204"/>
      <c r="I259" s="204"/>
      <c r="J259" s="204"/>
      <c r="K259" s="204"/>
      <c r="L259" s="204"/>
      <c r="M259" s="204"/>
      <c r="N259" s="204"/>
      <c r="O259" s="1132"/>
      <c r="P259" s="1133"/>
    </row>
    <row r="260" spans="1:16">
      <c r="A260" s="203"/>
      <c r="B260" s="197"/>
      <c r="C260" s="204"/>
      <c r="D260" s="197"/>
      <c r="E260" s="204"/>
      <c r="F260" s="204"/>
      <c r="G260" s="204"/>
      <c r="H260" s="204"/>
      <c r="I260" s="204"/>
      <c r="J260" s="204"/>
      <c r="K260" s="204"/>
      <c r="L260" s="204"/>
      <c r="M260" s="204"/>
      <c r="N260" s="204"/>
      <c r="O260" s="1132"/>
      <c r="P260" s="1133"/>
    </row>
    <row r="261" spans="1:16">
      <c r="A261" s="203"/>
      <c r="B261" s="204"/>
      <c r="C261" s="204"/>
      <c r="D261" s="204"/>
      <c r="E261" s="204"/>
      <c r="F261" s="204"/>
      <c r="G261" s="204"/>
      <c r="H261" s="204"/>
      <c r="I261" s="204"/>
      <c r="J261" s="204"/>
      <c r="K261" s="204"/>
      <c r="L261" s="204"/>
      <c r="M261" s="204"/>
      <c r="N261" s="204"/>
      <c r="O261" s="1132"/>
      <c r="P261" s="1133"/>
    </row>
    <row r="262" spans="1:16">
      <c r="A262" s="203"/>
      <c r="B262" s="204"/>
      <c r="C262" s="204"/>
      <c r="D262" s="204"/>
      <c r="E262" s="204"/>
      <c r="F262" s="204"/>
      <c r="G262" s="204"/>
      <c r="H262" s="204"/>
      <c r="I262" s="204"/>
      <c r="J262" s="204"/>
      <c r="K262" s="204"/>
      <c r="L262" s="204"/>
      <c r="M262" s="204"/>
      <c r="N262" s="204"/>
      <c r="O262" s="1132"/>
      <c r="P262" s="1133"/>
    </row>
    <row r="263" spans="1:16">
      <c r="A263" s="203"/>
      <c r="B263" s="204"/>
      <c r="C263" s="204"/>
      <c r="D263" s="204"/>
      <c r="E263" s="204"/>
      <c r="F263" s="204"/>
      <c r="G263" s="204"/>
      <c r="H263" s="204"/>
      <c r="I263" s="204"/>
      <c r="J263" s="204"/>
      <c r="K263" s="204"/>
      <c r="L263" s="204"/>
      <c r="M263" s="204"/>
      <c r="N263" s="204"/>
      <c r="O263" s="1132"/>
      <c r="P263" s="1133"/>
    </row>
    <row r="264" spans="1:16" ht="15.75" thickBot="1">
      <c r="A264" s="212"/>
      <c r="B264" s="208"/>
      <c r="C264" s="208"/>
      <c r="D264" s="208"/>
      <c r="E264" s="208"/>
      <c r="F264" s="208"/>
      <c r="G264" s="208"/>
      <c r="H264" s="208"/>
      <c r="I264" s="208"/>
      <c r="J264" s="208"/>
      <c r="K264" s="208"/>
      <c r="L264" s="208"/>
      <c r="M264" s="208"/>
      <c r="N264" s="208"/>
      <c r="O264" s="1134"/>
      <c r="P264" s="1135"/>
    </row>
    <row r="267" spans="1:16">
      <c r="A267" s="6" t="s">
        <v>1158</v>
      </c>
    </row>
    <row r="268" spans="1:16">
      <c r="B268" s="6" t="s">
        <v>1159</v>
      </c>
    </row>
    <row r="269" spans="1:16">
      <c r="A269" s="533" t="s">
        <v>39</v>
      </c>
      <c r="B269" s="535" t="s">
        <v>94</v>
      </c>
      <c r="C269" s="6">
        <v>9</v>
      </c>
    </row>
    <row r="270" spans="1:16">
      <c r="A270" s="533" t="s">
        <v>39</v>
      </c>
      <c r="B270" s="550" t="s">
        <v>95</v>
      </c>
      <c r="C270" s="6">
        <v>26</v>
      </c>
    </row>
    <row r="271" spans="1:16">
      <c r="A271" s="533" t="s">
        <v>39</v>
      </c>
      <c r="B271" s="553" t="s">
        <v>96</v>
      </c>
      <c r="C271" s="6">
        <v>1.6</v>
      </c>
    </row>
    <row r="272" spans="1:16">
      <c r="A272" s="533" t="s">
        <v>39</v>
      </c>
      <c r="B272" s="554" t="s">
        <v>97</v>
      </c>
      <c r="C272" s="6">
        <v>0</v>
      </c>
    </row>
    <row r="273" spans="1:16">
      <c r="A273" s="533" t="s">
        <v>39</v>
      </c>
      <c r="B273" s="555" t="s">
        <v>93</v>
      </c>
      <c r="C273" s="6">
        <v>22</v>
      </c>
    </row>
    <row r="274" spans="1:16">
      <c r="A274" s="533" t="s">
        <v>39</v>
      </c>
      <c r="C274" s="6">
        <f>SUM(C269:C273)</f>
        <v>58.6</v>
      </c>
    </row>
    <row r="277" spans="1:16" s="2" customFormat="1">
      <c r="A277" s="533" t="s">
        <v>39</v>
      </c>
      <c r="B277" s="534" t="s">
        <v>1160</v>
      </c>
      <c r="C277" s="535" t="s">
        <v>94</v>
      </c>
      <c r="D277" s="7" t="s">
        <v>139</v>
      </c>
      <c r="E277" s="536">
        <v>0</v>
      </c>
      <c r="F277" s="412" t="s">
        <v>1161</v>
      </c>
      <c r="G277" s="537" t="s">
        <v>1162</v>
      </c>
      <c r="H277" s="538"/>
      <c r="I277" s="539"/>
      <c r="J277" s="539"/>
      <c r="K277" s="539"/>
      <c r="L277" s="539"/>
      <c r="M277" s="540"/>
      <c r="N277" s="541" t="str">
        <f t="shared" ref="N277:N321" si="7">IF( OR( ISBLANK(H277),ISBLANK(J277), ISBLANK(K277), ISBLANK(L277), ISBLANK(M277) ), "", 1.5*SQRT(   EXP(2.21*(H277-1)) + EXP(2.21*(J277-1)) + EXP(2.21*(K277-1)) + EXP(2.21*(L277-1)) + EXP(2.21*M277)   )/100*2.45 )</f>
        <v/>
      </c>
      <c r="O277" s="542" t="str">
        <f t="shared" ref="O277:O321" si="8">IF( OR( ISBLANK(I277),ISBLANK(J277), ISBLANK(K277), ISBLANK(L277), ISBLANK(M277) ), "", 1.5*SQRT(   EXP(2.21*(I277-1)) + EXP(2.21*(J277-1)) + EXP(2.21*(K277-1)) + EXP(2.21*(L277-1)) + EXP(2.21*M277)   )/100*2.45 )</f>
        <v/>
      </c>
      <c r="P277" s="543"/>
    </row>
    <row r="278" spans="1:16" s="2" customFormat="1">
      <c r="A278" s="533" t="s">
        <v>39</v>
      </c>
      <c r="B278" s="534" t="s">
        <v>1160</v>
      </c>
      <c r="C278" s="550" t="s">
        <v>95</v>
      </c>
      <c r="D278" s="7" t="s">
        <v>139</v>
      </c>
      <c r="E278" s="536">
        <v>0</v>
      </c>
      <c r="F278" s="412" t="s">
        <v>1161</v>
      </c>
      <c r="G278" s="537" t="s">
        <v>1162</v>
      </c>
      <c r="H278" s="538"/>
      <c r="I278" s="539"/>
      <c r="J278" s="539"/>
      <c r="K278" s="539"/>
      <c r="L278" s="539"/>
      <c r="M278" s="540"/>
      <c r="N278" s="541" t="str">
        <f t="shared" si="7"/>
        <v/>
      </c>
      <c r="O278" s="542" t="str">
        <f t="shared" si="8"/>
        <v/>
      </c>
      <c r="P278" s="543"/>
    </row>
    <row r="279" spans="1:16" s="2" customFormat="1">
      <c r="A279" s="533" t="s">
        <v>39</v>
      </c>
      <c r="B279" s="534" t="s">
        <v>1160</v>
      </c>
      <c r="C279" s="553" t="s">
        <v>96</v>
      </c>
      <c r="D279" s="7" t="s">
        <v>139</v>
      </c>
      <c r="E279" s="536">
        <v>0</v>
      </c>
      <c r="F279" s="412" t="s">
        <v>1161</v>
      </c>
      <c r="G279" s="537" t="s">
        <v>1162</v>
      </c>
      <c r="H279" s="538"/>
      <c r="I279" s="539"/>
      <c r="J279" s="539"/>
      <c r="K279" s="539"/>
      <c r="L279" s="539"/>
      <c r="M279" s="540"/>
      <c r="N279" s="541" t="str">
        <f t="shared" si="7"/>
        <v/>
      </c>
      <c r="O279" s="542" t="str">
        <f t="shared" si="8"/>
        <v/>
      </c>
      <c r="P279" s="543"/>
    </row>
    <row r="280" spans="1:16" s="2" customFormat="1">
      <c r="A280" s="533" t="s">
        <v>39</v>
      </c>
      <c r="B280" s="534" t="s">
        <v>1160</v>
      </c>
      <c r="C280" s="554" t="s">
        <v>97</v>
      </c>
      <c r="D280" s="7" t="s">
        <v>139</v>
      </c>
      <c r="E280" s="536">
        <v>0</v>
      </c>
      <c r="F280" s="412" t="s">
        <v>1161</v>
      </c>
      <c r="G280" s="537" t="s">
        <v>1162</v>
      </c>
      <c r="H280" s="538"/>
      <c r="I280" s="539"/>
      <c r="J280" s="539"/>
      <c r="K280" s="539"/>
      <c r="L280" s="539"/>
      <c r="M280" s="540"/>
      <c r="N280" s="541" t="str">
        <f t="shared" si="7"/>
        <v/>
      </c>
      <c r="O280" s="542" t="str">
        <f t="shared" si="8"/>
        <v/>
      </c>
      <c r="P280" s="543"/>
    </row>
    <row r="281" spans="1:16" s="2" customFormat="1">
      <c r="A281" s="533" t="s">
        <v>39</v>
      </c>
      <c r="B281" s="534" t="s">
        <v>1160</v>
      </c>
      <c r="C281" s="555" t="s">
        <v>93</v>
      </c>
      <c r="D281" s="7" t="s">
        <v>139</v>
      </c>
      <c r="E281" s="536">
        <v>0</v>
      </c>
      <c r="F281" s="412" t="s">
        <v>1161</v>
      </c>
      <c r="G281" s="537" t="s">
        <v>1162</v>
      </c>
      <c r="H281" s="538"/>
      <c r="I281" s="539"/>
      <c r="J281" s="539"/>
      <c r="K281" s="539"/>
      <c r="L281" s="539"/>
      <c r="M281" s="540"/>
      <c r="N281" s="541" t="str">
        <f t="shared" si="7"/>
        <v/>
      </c>
      <c r="O281" s="542" t="str">
        <f t="shared" si="8"/>
        <v/>
      </c>
      <c r="P281" s="543"/>
    </row>
    <row r="282" spans="1:16" s="2" customFormat="1">
      <c r="A282" s="533" t="s">
        <v>39</v>
      </c>
      <c r="B282" s="534" t="s">
        <v>1163</v>
      </c>
      <c r="C282" s="535" t="s">
        <v>94</v>
      </c>
      <c r="D282" s="7" t="s">
        <v>139</v>
      </c>
      <c r="E282" s="536">
        <v>0</v>
      </c>
      <c r="F282" s="412" t="s">
        <v>1161</v>
      </c>
      <c r="G282" s="537" t="s">
        <v>1162</v>
      </c>
      <c r="H282" s="538"/>
      <c r="I282" s="539"/>
      <c r="J282" s="539"/>
      <c r="K282" s="539"/>
      <c r="L282" s="539"/>
      <c r="M282" s="540"/>
      <c r="N282" s="541" t="str">
        <f t="shared" si="7"/>
        <v/>
      </c>
      <c r="O282" s="542" t="str">
        <f t="shared" si="8"/>
        <v/>
      </c>
      <c r="P282" s="543"/>
    </row>
    <row r="283" spans="1:16" s="2" customFormat="1">
      <c r="A283" s="533" t="s">
        <v>39</v>
      </c>
      <c r="B283" s="534" t="s">
        <v>1163</v>
      </c>
      <c r="C283" s="550" t="s">
        <v>95</v>
      </c>
      <c r="D283" s="7" t="s">
        <v>139</v>
      </c>
      <c r="E283" s="544">
        <v>0.03</v>
      </c>
      <c r="F283" s="412" t="s">
        <v>1161</v>
      </c>
      <c r="G283" s="537" t="s">
        <v>1162</v>
      </c>
      <c r="H283" s="545">
        <v>2</v>
      </c>
      <c r="I283" s="1">
        <v>2</v>
      </c>
      <c r="J283" s="1">
        <v>2</v>
      </c>
      <c r="K283" s="1">
        <v>1</v>
      </c>
      <c r="L283" s="1">
        <v>1</v>
      </c>
      <c r="M283" s="546">
        <v>2</v>
      </c>
      <c r="N283" s="548">
        <f t="shared" si="7"/>
        <v>0.37356464144298934</v>
      </c>
      <c r="O283" s="549">
        <f t="shared" si="8"/>
        <v>0.37356464144298934</v>
      </c>
      <c r="P283" s="543"/>
    </row>
    <row r="284" spans="1:16" s="2" customFormat="1">
      <c r="A284" s="533" t="s">
        <v>39</v>
      </c>
      <c r="B284" s="534" t="s">
        <v>1163</v>
      </c>
      <c r="C284" s="553" t="s">
        <v>96</v>
      </c>
      <c r="D284" s="7" t="s">
        <v>139</v>
      </c>
      <c r="E284" s="536">
        <v>0</v>
      </c>
      <c r="F284" s="412" t="s">
        <v>1161</v>
      </c>
      <c r="G284" s="537" t="s">
        <v>1162</v>
      </c>
      <c r="H284" s="538"/>
      <c r="I284" s="539"/>
      <c r="J284" s="539"/>
      <c r="K284" s="539"/>
      <c r="L284" s="539"/>
      <c r="M284" s="540"/>
      <c r="N284" s="541" t="str">
        <f t="shared" si="7"/>
        <v/>
      </c>
      <c r="O284" s="542" t="str">
        <f t="shared" si="8"/>
        <v/>
      </c>
      <c r="P284" s="543"/>
    </row>
    <row r="285" spans="1:16" s="2" customFormat="1">
      <c r="A285" s="533" t="s">
        <v>39</v>
      </c>
      <c r="B285" s="534" t="s">
        <v>1163</v>
      </c>
      <c r="C285" s="554" t="s">
        <v>97</v>
      </c>
      <c r="D285" s="7" t="s">
        <v>139</v>
      </c>
      <c r="E285" s="536">
        <v>0</v>
      </c>
      <c r="F285" s="412" t="s">
        <v>1161</v>
      </c>
      <c r="G285" s="537" t="s">
        <v>1162</v>
      </c>
      <c r="H285" s="538"/>
      <c r="I285" s="539"/>
      <c r="J285" s="539"/>
      <c r="K285" s="539"/>
      <c r="L285" s="539"/>
      <c r="M285" s="540"/>
      <c r="N285" s="541" t="str">
        <f t="shared" si="7"/>
        <v/>
      </c>
      <c r="O285" s="542" t="str">
        <f t="shared" si="8"/>
        <v/>
      </c>
      <c r="P285" s="543"/>
    </row>
    <row r="286" spans="1:16" s="2" customFormat="1">
      <c r="A286" s="533" t="s">
        <v>39</v>
      </c>
      <c r="B286" s="534" t="s">
        <v>1163</v>
      </c>
      <c r="C286" s="555" t="s">
        <v>93</v>
      </c>
      <c r="D286" s="7" t="s">
        <v>139</v>
      </c>
      <c r="E286" s="536">
        <v>0</v>
      </c>
      <c r="F286" s="412" t="s">
        <v>1161</v>
      </c>
      <c r="G286" s="537" t="s">
        <v>1162</v>
      </c>
      <c r="H286" s="538"/>
      <c r="I286" s="539"/>
      <c r="J286" s="539"/>
      <c r="K286" s="539"/>
      <c r="L286" s="539"/>
      <c r="M286" s="540"/>
      <c r="N286" s="541" t="str">
        <f t="shared" si="7"/>
        <v/>
      </c>
      <c r="O286" s="542" t="str">
        <f t="shared" si="8"/>
        <v/>
      </c>
      <c r="P286" s="543"/>
    </row>
    <row r="287" spans="1:16" s="2" customFormat="1">
      <c r="A287" s="533" t="s">
        <v>39</v>
      </c>
      <c r="B287" s="534" t="s">
        <v>1164</v>
      </c>
      <c r="C287" s="535" t="s">
        <v>94</v>
      </c>
      <c r="D287" s="7" t="s">
        <v>139</v>
      </c>
      <c r="E287" s="536">
        <v>0</v>
      </c>
      <c r="F287" s="412" t="s">
        <v>1161</v>
      </c>
      <c r="G287" s="537" t="s">
        <v>1162</v>
      </c>
      <c r="H287" s="538"/>
      <c r="I287" s="539"/>
      <c r="J287" s="539"/>
      <c r="K287" s="539"/>
      <c r="L287" s="539"/>
      <c r="M287" s="540"/>
      <c r="N287" s="541" t="str">
        <f t="shared" si="7"/>
        <v/>
      </c>
      <c r="O287" s="542" t="str">
        <f t="shared" si="8"/>
        <v/>
      </c>
      <c r="P287" s="543"/>
    </row>
    <row r="288" spans="1:16" s="2" customFormat="1">
      <c r="A288" s="533" t="s">
        <v>39</v>
      </c>
      <c r="B288" s="534" t="s">
        <v>1164</v>
      </c>
      <c r="C288" s="550" t="s">
        <v>95</v>
      </c>
      <c r="D288" s="7" t="s">
        <v>139</v>
      </c>
      <c r="E288" s="536">
        <v>0</v>
      </c>
      <c r="F288" s="412" t="s">
        <v>1161</v>
      </c>
      <c r="G288" s="537" t="s">
        <v>1162</v>
      </c>
      <c r="H288" s="538"/>
      <c r="I288" s="539"/>
      <c r="J288" s="539"/>
      <c r="K288" s="539"/>
      <c r="L288" s="539"/>
      <c r="M288" s="540"/>
      <c r="N288" s="541" t="str">
        <f t="shared" si="7"/>
        <v/>
      </c>
      <c r="O288" s="542" t="str">
        <f t="shared" si="8"/>
        <v/>
      </c>
      <c r="P288" s="551"/>
    </row>
    <row r="289" spans="1:16" s="2" customFormat="1">
      <c r="A289" s="533" t="s">
        <v>39</v>
      </c>
      <c r="B289" s="534" t="s">
        <v>1164</v>
      </c>
      <c r="C289" s="553" t="s">
        <v>96</v>
      </c>
      <c r="D289" s="7" t="s">
        <v>139</v>
      </c>
      <c r="E289" s="536">
        <v>0</v>
      </c>
      <c r="F289" s="412" t="s">
        <v>1161</v>
      </c>
      <c r="G289" s="537" t="s">
        <v>1162</v>
      </c>
      <c r="H289" s="538"/>
      <c r="I289" s="539"/>
      <c r="J289" s="539"/>
      <c r="K289" s="539"/>
      <c r="L289" s="539"/>
      <c r="M289" s="540"/>
      <c r="N289" s="541" t="str">
        <f t="shared" si="7"/>
        <v/>
      </c>
      <c r="O289" s="542" t="str">
        <f t="shared" si="8"/>
        <v/>
      </c>
      <c r="P289" s="543"/>
    </row>
    <row r="290" spans="1:16" s="2" customFormat="1">
      <c r="A290" s="533" t="s">
        <v>39</v>
      </c>
      <c r="B290" s="534" t="s">
        <v>1164</v>
      </c>
      <c r="C290" s="554" t="s">
        <v>97</v>
      </c>
      <c r="D290" s="7" t="s">
        <v>139</v>
      </c>
      <c r="E290" s="536">
        <v>0</v>
      </c>
      <c r="F290" s="412" t="s">
        <v>1161</v>
      </c>
      <c r="G290" s="537" t="s">
        <v>1162</v>
      </c>
      <c r="H290" s="538"/>
      <c r="I290" s="539"/>
      <c r="J290" s="539"/>
      <c r="K290" s="539"/>
      <c r="L290" s="539"/>
      <c r="M290" s="540"/>
      <c r="N290" s="541" t="str">
        <f t="shared" si="7"/>
        <v/>
      </c>
      <c r="O290" s="542" t="str">
        <f t="shared" si="8"/>
        <v/>
      </c>
      <c r="P290" s="543"/>
    </row>
    <row r="291" spans="1:16" s="2" customFormat="1">
      <c r="A291" s="533" t="s">
        <v>39</v>
      </c>
      <c r="B291" s="534" t="s">
        <v>1164</v>
      </c>
      <c r="C291" s="555" t="s">
        <v>93</v>
      </c>
      <c r="D291" s="7" t="s">
        <v>139</v>
      </c>
      <c r="E291" s="536">
        <v>0</v>
      </c>
      <c r="F291" s="412" t="s">
        <v>1161</v>
      </c>
      <c r="G291" s="537" t="s">
        <v>1162</v>
      </c>
      <c r="H291" s="538"/>
      <c r="I291" s="539"/>
      <c r="J291" s="539"/>
      <c r="K291" s="539"/>
      <c r="L291" s="539"/>
      <c r="M291" s="540"/>
      <c r="N291" s="541" t="str">
        <f t="shared" si="7"/>
        <v/>
      </c>
      <c r="O291" s="542" t="str">
        <f t="shared" si="8"/>
        <v/>
      </c>
      <c r="P291" s="543"/>
    </row>
    <row r="292" spans="1:16" s="2" customFormat="1">
      <c r="A292" s="552" t="s">
        <v>39</v>
      </c>
      <c r="B292" s="534" t="s">
        <v>1165</v>
      </c>
      <c r="C292" s="535" t="s">
        <v>94</v>
      </c>
      <c r="D292" s="7" t="s">
        <v>139</v>
      </c>
      <c r="E292" s="536">
        <v>0</v>
      </c>
      <c r="F292" s="412" t="s">
        <v>1161</v>
      </c>
      <c r="G292" s="537" t="s">
        <v>1162</v>
      </c>
      <c r="H292" s="538"/>
      <c r="I292" s="539"/>
      <c r="J292" s="539"/>
      <c r="K292" s="539"/>
      <c r="L292" s="539"/>
      <c r="M292" s="540"/>
      <c r="N292" s="541" t="str">
        <f t="shared" si="7"/>
        <v/>
      </c>
      <c r="O292" s="542" t="str">
        <f t="shared" si="8"/>
        <v/>
      </c>
      <c r="P292" s="543"/>
    </row>
    <row r="293" spans="1:16" s="2" customFormat="1">
      <c r="A293" s="533" t="s">
        <v>39</v>
      </c>
      <c r="B293" s="534" t="s">
        <v>1165</v>
      </c>
      <c r="C293" s="550" t="s">
        <v>95</v>
      </c>
      <c r="D293" s="7" t="s">
        <v>139</v>
      </c>
      <c r="E293" s="547">
        <v>0.28299999999999997</v>
      </c>
      <c r="F293" s="412" t="s">
        <v>1161</v>
      </c>
      <c r="G293" s="537" t="s">
        <v>1162</v>
      </c>
      <c r="H293" s="545">
        <v>2</v>
      </c>
      <c r="I293" s="1">
        <v>2</v>
      </c>
      <c r="J293" s="1">
        <v>2</v>
      </c>
      <c r="K293" s="1">
        <v>1</v>
      </c>
      <c r="L293" s="1">
        <v>1</v>
      </c>
      <c r="M293" s="546">
        <v>2</v>
      </c>
      <c r="N293" s="548">
        <f t="shared" si="7"/>
        <v>0.37356464144298934</v>
      </c>
      <c r="O293" s="549">
        <f t="shared" si="8"/>
        <v>0.37356464144298934</v>
      </c>
      <c r="P293" s="543"/>
    </row>
    <row r="294" spans="1:16" s="2" customFormat="1">
      <c r="A294" s="533" t="s">
        <v>39</v>
      </c>
      <c r="B294" s="534" t="s">
        <v>1165</v>
      </c>
      <c r="C294" s="553" t="s">
        <v>96</v>
      </c>
      <c r="D294" s="7" t="s">
        <v>139</v>
      </c>
      <c r="E294" s="536">
        <v>0</v>
      </c>
      <c r="F294" s="412" t="s">
        <v>1161</v>
      </c>
      <c r="G294" s="537" t="s">
        <v>1162</v>
      </c>
      <c r="H294" s="538"/>
      <c r="I294" s="539"/>
      <c r="J294" s="539"/>
      <c r="K294" s="539"/>
      <c r="L294" s="539"/>
      <c r="M294" s="540"/>
      <c r="N294" s="541" t="str">
        <f t="shared" si="7"/>
        <v/>
      </c>
      <c r="O294" s="542" t="str">
        <f t="shared" si="8"/>
        <v/>
      </c>
      <c r="P294" s="543"/>
    </row>
    <row r="295" spans="1:16" s="2" customFormat="1">
      <c r="A295" s="533" t="s">
        <v>39</v>
      </c>
      <c r="B295" s="534" t="s">
        <v>1165</v>
      </c>
      <c r="C295" s="554" t="s">
        <v>97</v>
      </c>
      <c r="D295" s="7" t="s">
        <v>139</v>
      </c>
      <c r="E295" s="536">
        <v>0</v>
      </c>
      <c r="F295" s="412" t="s">
        <v>1161</v>
      </c>
      <c r="G295" s="537" t="s">
        <v>1162</v>
      </c>
      <c r="H295" s="538"/>
      <c r="I295" s="539"/>
      <c r="J295" s="539"/>
      <c r="K295" s="539"/>
      <c r="L295" s="539"/>
      <c r="M295" s="540"/>
      <c r="N295" s="541" t="str">
        <f t="shared" si="7"/>
        <v/>
      </c>
      <c r="O295" s="542" t="str">
        <f t="shared" si="8"/>
        <v/>
      </c>
      <c r="P295" s="543"/>
    </row>
    <row r="296" spans="1:16" s="2" customFormat="1">
      <c r="A296" s="533" t="s">
        <v>39</v>
      </c>
      <c r="B296" s="534" t="s">
        <v>1165</v>
      </c>
      <c r="C296" s="555" t="s">
        <v>93</v>
      </c>
      <c r="D296" s="7" t="s">
        <v>139</v>
      </c>
      <c r="E296" s="536">
        <v>0</v>
      </c>
      <c r="F296" s="412" t="s">
        <v>1161</v>
      </c>
      <c r="G296" s="537" t="s">
        <v>1162</v>
      </c>
      <c r="H296" s="538"/>
      <c r="I296" s="539"/>
      <c r="J296" s="539"/>
      <c r="K296" s="539"/>
      <c r="L296" s="539"/>
      <c r="M296" s="540"/>
      <c r="N296" s="541" t="str">
        <f t="shared" si="7"/>
        <v/>
      </c>
      <c r="O296" s="542" t="str">
        <f t="shared" si="8"/>
        <v/>
      </c>
      <c r="P296" s="543"/>
    </row>
    <row r="297" spans="1:16" s="2" customFormat="1">
      <c r="A297" s="533" t="s">
        <v>39</v>
      </c>
      <c r="B297" s="534" t="s">
        <v>1166</v>
      </c>
      <c r="C297" s="535" t="s">
        <v>94</v>
      </c>
      <c r="D297" s="7" t="s">
        <v>139</v>
      </c>
      <c r="E297" s="536">
        <v>0</v>
      </c>
      <c r="F297" s="412" t="s">
        <v>1161</v>
      </c>
      <c r="G297" s="537" t="s">
        <v>1162</v>
      </c>
      <c r="H297" s="538"/>
      <c r="I297" s="539"/>
      <c r="J297" s="539"/>
      <c r="K297" s="539"/>
      <c r="L297" s="539"/>
      <c r="M297" s="540"/>
      <c r="N297" s="541" t="str">
        <f t="shared" si="7"/>
        <v/>
      </c>
      <c r="O297" s="542" t="str">
        <f t="shared" si="8"/>
        <v/>
      </c>
      <c r="P297" s="543"/>
    </row>
    <row r="298" spans="1:16" s="2" customFormat="1">
      <c r="A298" s="533" t="s">
        <v>39</v>
      </c>
      <c r="B298" s="534" t="s">
        <v>1166</v>
      </c>
      <c r="C298" s="550" t="s">
        <v>95</v>
      </c>
      <c r="D298" s="7" t="s">
        <v>139</v>
      </c>
      <c r="E298" s="547">
        <v>0.64300000000000002</v>
      </c>
      <c r="F298" s="412" t="s">
        <v>1161</v>
      </c>
      <c r="G298" s="537" t="s">
        <v>1162</v>
      </c>
      <c r="H298" s="545">
        <v>2</v>
      </c>
      <c r="I298" s="1">
        <v>2</v>
      </c>
      <c r="J298" s="1">
        <v>2</v>
      </c>
      <c r="K298" s="1">
        <v>1</v>
      </c>
      <c r="L298" s="1">
        <v>1</v>
      </c>
      <c r="M298" s="546">
        <v>2</v>
      </c>
      <c r="N298" s="548">
        <f t="shared" si="7"/>
        <v>0.37356464144298934</v>
      </c>
      <c r="O298" s="549">
        <f t="shared" si="8"/>
        <v>0.37356464144298934</v>
      </c>
      <c r="P298" s="543"/>
    </row>
    <row r="299" spans="1:16" s="2" customFormat="1">
      <c r="A299" s="533" t="s">
        <v>39</v>
      </c>
      <c r="B299" s="534" t="s">
        <v>1166</v>
      </c>
      <c r="C299" s="553" t="s">
        <v>96</v>
      </c>
      <c r="D299" s="7" t="s">
        <v>139</v>
      </c>
      <c r="E299" s="536">
        <v>0</v>
      </c>
      <c r="F299" s="412" t="s">
        <v>1161</v>
      </c>
      <c r="G299" s="537" t="s">
        <v>1162</v>
      </c>
      <c r="H299" s="538"/>
      <c r="I299" s="539"/>
      <c r="J299" s="539"/>
      <c r="K299" s="539"/>
      <c r="L299" s="539"/>
      <c r="M299" s="540"/>
      <c r="N299" s="541" t="str">
        <f t="shared" si="7"/>
        <v/>
      </c>
      <c r="O299" s="542" t="str">
        <f t="shared" si="8"/>
        <v/>
      </c>
      <c r="P299" s="543"/>
    </row>
    <row r="300" spans="1:16" s="2" customFormat="1">
      <c r="A300" s="533" t="s">
        <v>39</v>
      </c>
      <c r="B300" s="534" t="s">
        <v>1166</v>
      </c>
      <c r="C300" s="554" t="s">
        <v>97</v>
      </c>
      <c r="D300" s="7" t="s">
        <v>139</v>
      </c>
      <c r="E300" s="536">
        <v>0</v>
      </c>
      <c r="F300" s="412" t="s">
        <v>1161</v>
      </c>
      <c r="G300" s="537" t="s">
        <v>1162</v>
      </c>
      <c r="H300" s="538"/>
      <c r="I300" s="539"/>
      <c r="J300" s="539"/>
      <c r="K300" s="539"/>
      <c r="L300" s="539"/>
      <c r="M300" s="540"/>
      <c r="N300" s="541" t="str">
        <f t="shared" si="7"/>
        <v/>
      </c>
      <c r="O300" s="542" t="str">
        <f t="shared" si="8"/>
        <v/>
      </c>
      <c r="P300" s="543"/>
    </row>
    <row r="301" spans="1:16" s="2" customFormat="1">
      <c r="A301" s="533" t="s">
        <v>39</v>
      </c>
      <c r="B301" s="534" t="s">
        <v>1166</v>
      </c>
      <c r="C301" s="555" t="s">
        <v>93</v>
      </c>
      <c r="D301" s="7" t="s">
        <v>139</v>
      </c>
      <c r="E301" s="536">
        <v>0</v>
      </c>
      <c r="F301" s="412" t="s">
        <v>1161</v>
      </c>
      <c r="G301" s="537" t="s">
        <v>1162</v>
      </c>
      <c r="H301" s="538"/>
      <c r="I301" s="539"/>
      <c r="J301" s="539"/>
      <c r="K301" s="539"/>
      <c r="L301" s="539"/>
      <c r="M301" s="540"/>
      <c r="N301" s="541" t="str">
        <f t="shared" si="7"/>
        <v/>
      </c>
      <c r="O301" s="542" t="str">
        <f t="shared" si="8"/>
        <v/>
      </c>
      <c r="P301" s="543"/>
    </row>
    <row r="302" spans="1:16" s="2" customFormat="1">
      <c r="A302" s="552" t="s">
        <v>39</v>
      </c>
      <c r="B302" s="534" t="s">
        <v>1075</v>
      </c>
      <c r="C302" s="535" t="s">
        <v>94</v>
      </c>
      <c r="D302" s="7" t="s">
        <v>139</v>
      </c>
      <c r="E302" s="536">
        <v>0</v>
      </c>
      <c r="F302" s="412" t="s">
        <v>1161</v>
      </c>
      <c r="G302" s="537" t="s">
        <v>1162</v>
      </c>
      <c r="H302" s="538"/>
      <c r="I302" s="539"/>
      <c r="J302" s="539"/>
      <c r="K302" s="539"/>
      <c r="L302" s="539"/>
      <c r="M302" s="540"/>
      <c r="N302" s="541" t="str">
        <f t="shared" si="7"/>
        <v/>
      </c>
      <c r="O302" s="542" t="str">
        <f t="shared" si="8"/>
        <v/>
      </c>
      <c r="P302" s="543"/>
    </row>
    <row r="303" spans="1:16" s="2" customFormat="1">
      <c r="A303" s="533" t="s">
        <v>39</v>
      </c>
      <c r="B303" s="534" t="s">
        <v>1075</v>
      </c>
      <c r="C303" s="550" t="s">
        <v>95</v>
      </c>
      <c r="D303" s="7" t="s">
        <v>139</v>
      </c>
      <c r="E303" s="544">
        <v>4.3999999999999997E-2</v>
      </c>
      <c r="F303" s="412" t="s">
        <v>1161</v>
      </c>
      <c r="G303" s="537" t="s">
        <v>1162</v>
      </c>
      <c r="H303" s="545">
        <v>2</v>
      </c>
      <c r="I303" s="1">
        <v>2</v>
      </c>
      <c r="J303" s="1">
        <v>2</v>
      </c>
      <c r="K303" s="1">
        <v>1</v>
      </c>
      <c r="L303" s="1">
        <v>1</v>
      </c>
      <c r="M303" s="546">
        <v>2</v>
      </c>
      <c r="N303" s="548">
        <f t="shared" si="7"/>
        <v>0.37356464144298934</v>
      </c>
      <c r="O303" s="549">
        <f t="shared" si="8"/>
        <v>0.37356464144298934</v>
      </c>
      <c r="P303" s="543"/>
    </row>
    <row r="304" spans="1:16" s="2" customFormat="1">
      <c r="A304" s="533" t="s">
        <v>39</v>
      </c>
      <c r="B304" s="534" t="s">
        <v>1075</v>
      </c>
      <c r="C304" s="553" t="s">
        <v>96</v>
      </c>
      <c r="D304" s="7" t="s">
        <v>139</v>
      </c>
      <c r="E304" s="536">
        <v>0</v>
      </c>
      <c r="F304" s="412" t="s">
        <v>1161</v>
      </c>
      <c r="G304" s="537" t="s">
        <v>1162</v>
      </c>
      <c r="H304" s="538"/>
      <c r="I304" s="539"/>
      <c r="J304" s="539"/>
      <c r="K304" s="539"/>
      <c r="L304" s="539"/>
      <c r="M304" s="540"/>
      <c r="N304" s="541" t="str">
        <f t="shared" si="7"/>
        <v/>
      </c>
      <c r="O304" s="542" t="str">
        <f t="shared" si="8"/>
        <v/>
      </c>
      <c r="P304" s="543"/>
    </row>
    <row r="305" spans="1:16" s="2" customFormat="1">
      <c r="A305" s="533" t="s">
        <v>39</v>
      </c>
      <c r="B305" s="534" t="s">
        <v>1075</v>
      </c>
      <c r="C305" s="554" t="s">
        <v>97</v>
      </c>
      <c r="D305" s="7" t="s">
        <v>139</v>
      </c>
      <c r="E305" s="536">
        <v>0</v>
      </c>
      <c r="F305" s="412" t="s">
        <v>1161</v>
      </c>
      <c r="G305" s="537" t="s">
        <v>1162</v>
      </c>
      <c r="H305" s="538"/>
      <c r="I305" s="539"/>
      <c r="J305" s="539"/>
      <c r="K305" s="539"/>
      <c r="L305" s="539"/>
      <c r="M305" s="540"/>
      <c r="N305" s="541" t="str">
        <f t="shared" si="7"/>
        <v/>
      </c>
      <c r="O305" s="542" t="str">
        <f t="shared" si="8"/>
        <v/>
      </c>
      <c r="P305" s="543"/>
    </row>
    <row r="306" spans="1:16" s="2" customFormat="1">
      <c r="A306" s="533" t="s">
        <v>39</v>
      </c>
      <c r="B306" s="534" t="s">
        <v>1075</v>
      </c>
      <c r="C306" s="555" t="s">
        <v>93</v>
      </c>
      <c r="D306" s="7" t="s">
        <v>139</v>
      </c>
      <c r="E306" s="544">
        <v>0.5</v>
      </c>
      <c r="F306" s="412" t="s">
        <v>1161</v>
      </c>
      <c r="G306" s="537" t="s">
        <v>1162</v>
      </c>
      <c r="H306" s="545">
        <v>2</v>
      </c>
      <c r="I306" s="1">
        <v>2</v>
      </c>
      <c r="J306" s="1">
        <v>2</v>
      </c>
      <c r="K306" s="1">
        <v>1</v>
      </c>
      <c r="L306" s="1">
        <v>1</v>
      </c>
      <c r="M306" s="546">
        <v>3</v>
      </c>
      <c r="N306" s="548">
        <f t="shared" si="7"/>
        <v>1.0248662490928169</v>
      </c>
      <c r="O306" s="549">
        <f t="shared" si="8"/>
        <v>1.0248662490928169</v>
      </c>
      <c r="P306" s="543"/>
    </row>
    <row r="307" spans="1:16" s="2" customFormat="1">
      <c r="A307" s="533" t="s">
        <v>39</v>
      </c>
      <c r="B307" s="534" t="s">
        <v>1167</v>
      </c>
      <c r="C307" s="535" t="s">
        <v>94</v>
      </c>
      <c r="D307" s="7" t="s">
        <v>139</v>
      </c>
      <c r="E307" s="536">
        <v>0</v>
      </c>
      <c r="F307" s="412" t="s">
        <v>1161</v>
      </c>
      <c r="G307" s="537" t="s">
        <v>1162</v>
      </c>
      <c r="H307" s="538"/>
      <c r="I307" s="539"/>
      <c r="J307" s="539"/>
      <c r="K307" s="539"/>
      <c r="L307" s="539"/>
      <c r="M307" s="540"/>
      <c r="N307" s="541" t="str">
        <f t="shared" si="7"/>
        <v/>
      </c>
      <c r="O307" s="542" t="str">
        <f t="shared" si="8"/>
        <v/>
      </c>
      <c r="P307" s="543"/>
    </row>
    <row r="308" spans="1:16" s="2" customFormat="1">
      <c r="A308" s="533" t="s">
        <v>39</v>
      </c>
      <c r="B308" s="534" t="s">
        <v>1167</v>
      </c>
      <c r="C308" s="550" t="s">
        <v>95</v>
      </c>
      <c r="D308" s="7" t="s">
        <v>139</v>
      </c>
      <c r="E308" s="536">
        <v>0</v>
      </c>
      <c r="F308" s="412" t="s">
        <v>1161</v>
      </c>
      <c r="G308" s="537" t="s">
        <v>1162</v>
      </c>
      <c r="H308" s="538"/>
      <c r="I308" s="539"/>
      <c r="J308" s="539"/>
      <c r="K308" s="539"/>
      <c r="L308" s="539"/>
      <c r="M308" s="540"/>
      <c r="N308" s="541" t="str">
        <f t="shared" si="7"/>
        <v/>
      </c>
      <c r="O308" s="542" t="str">
        <f t="shared" si="8"/>
        <v/>
      </c>
      <c r="P308" s="543"/>
    </row>
    <row r="309" spans="1:16" s="2" customFormat="1">
      <c r="A309" s="533" t="s">
        <v>39</v>
      </c>
      <c r="B309" s="534" t="s">
        <v>1167</v>
      </c>
      <c r="C309" s="553" t="s">
        <v>96</v>
      </c>
      <c r="D309" s="7" t="s">
        <v>139</v>
      </c>
      <c r="E309" s="536">
        <v>0</v>
      </c>
      <c r="F309" s="412" t="s">
        <v>1161</v>
      </c>
      <c r="G309" s="537" t="s">
        <v>1162</v>
      </c>
      <c r="H309" s="538"/>
      <c r="I309" s="539"/>
      <c r="J309" s="539"/>
      <c r="K309" s="539"/>
      <c r="L309" s="539"/>
      <c r="M309" s="540"/>
      <c r="N309" s="541" t="str">
        <f t="shared" si="7"/>
        <v/>
      </c>
      <c r="O309" s="542" t="str">
        <f t="shared" si="8"/>
        <v/>
      </c>
      <c r="P309" s="543"/>
    </row>
    <row r="310" spans="1:16" s="2" customFormat="1">
      <c r="A310" s="533" t="s">
        <v>39</v>
      </c>
      <c r="B310" s="534" t="s">
        <v>1167</v>
      </c>
      <c r="C310" s="554" t="s">
        <v>97</v>
      </c>
      <c r="D310" s="7" t="s">
        <v>139</v>
      </c>
      <c r="E310" s="536">
        <v>0</v>
      </c>
      <c r="F310" s="412" t="s">
        <v>1161</v>
      </c>
      <c r="G310" s="537" t="s">
        <v>1162</v>
      </c>
      <c r="H310" s="538"/>
      <c r="I310" s="539"/>
      <c r="J310" s="539"/>
      <c r="K310" s="539"/>
      <c r="L310" s="539"/>
      <c r="M310" s="540"/>
      <c r="N310" s="541" t="str">
        <f t="shared" si="7"/>
        <v/>
      </c>
      <c r="O310" s="542" t="str">
        <f t="shared" si="8"/>
        <v/>
      </c>
      <c r="P310" s="543"/>
    </row>
    <row r="311" spans="1:16" s="2" customFormat="1">
      <c r="A311" s="533" t="s">
        <v>39</v>
      </c>
      <c r="B311" s="534" t="s">
        <v>1167</v>
      </c>
      <c r="C311" s="555" t="s">
        <v>93</v>
      </c>
      <c r="D311" s="7" t="s">
        <v>139</v>
      </c>
      <c r="E311" s="536">
        <v>0</v>
      </c>
      <c r="F311" s="412" t="s">
        <v>1161</v>
      </c>
      <c r="G311" s="537" t="s">
        <v>1162</v>
      </c>
      <c r="H311" s="538"/>
      <c r="I311" s="539"/>
      <c r="J311" s="539"/>
      <c r="K311" s="539"/>
      <c r="L311" s="539"/>
      <c r="M311" s="540"/>
      <c r="N311" s="541" t="str">
        <f t="shared" si="7"/>
        <v/>
      </c>
      <c r="O311" s="542" t="str">
        <f t="shared" si="8"/>
        <v/>
      </c>
      <c r="P311" s="543"/>
    </row>
    <row r="312" spans="1:16" s="2" customFormat="1">
      <c r="A312" s="552" t="s">
        <v>39</v>
      </c>
      <c r="B312" s="534" t="s">
        <v>1168</v>
      </c>
      <c r="C312" s="535" t="s">
        <v>94</v>
      </c>
      <c r="D312" s="7" t="s">
        <v>139</v>
      </c>
      <c r="E312" s="544">
        <v>1</v>
      </c>
      <c r="F312" s="412" t="s">
        <v>1161</v>
      </c>
      <c r="G312" s="537" t="s">
        <v>1162</v>
      </c>
      <c r="H312" s="545">
        <v>2</v>
      </c>
      <c r="I312" s="1">
        <v>2</v>
      </c>
      <c r="J312" s="1">
        <v>2</v>
      </c>
      <c r="K312" s="1">
        <v>1</v>
      </c>
      <c r="L312" s="1">
        <v>1</v>
      </c>
      <c r="M312" s="546">
        <v>2</v>
      </c>
      <c r="N312" s="541">
        <f t="shared" si="7"/>
        <v>0.37356464144298934</v>
      </c>
      <c r="O312" s="542">
        <f t="shared" si="8"/>
        <v>0.37356464144298934</v>
      </c>
      <c r="P312" s="543"/>
    </row>
    <row r="313" spans="1:16" s="2" customFormat="1">
      <c r="A313" s="533" t="s">
        <v>39</v>
      </c>
      <c r="B313" s="534" t="s">
        <v>1168</v>
      </c>
      <c r="C313" s="550" t="s">
        <v>95</v>
      </c>
      <c r="D313" s="7" t="s">
        <v>139</v>
      </c>
      <c r="E313" s="536">
        <v>0</v>
      </c>
      <c r="F313" s="412" t="s">
        <v>1161</v>
      </c>
      <c r="G313" s="537" t="s">
        <v>1162</v>
      </c>
      <c r="H313" s="538"/>
      <c r="I313" s="539"/>
      <c r="J313" s="539"/>
      <c r="K313" s="539"/>
      <c r="L313" s="539"/>
      <c r="M313" s="540"/>
      <c r="N313" s="541" t="str">
        <f t="shared" si="7"/>
        <v/>
      </c>
      <c r="O313" s="542" t="str">
        <f t="shared" si="8"/>
        <v/>
      </c>
      <c r="P313" s="543"/>
    </row>
    <row r="314" spans="1:16" s="2" customFormat="1">
      <c r="A314" s="533" t="s">
        <v>39</v>
      </c>
      <c r="B314" s="534" t="s">
        <v>1168</v>
      </c>
      <c r="C314" s="553" t="s">
        <v>96</v>
      </c>
      <c r="D314" s="7" t="s">
        <v>139</v>
      </c>
      <c r="E314" s="544">
        <v>1</v>
      </c>
      <c r="F314" s="412" t="s">
        <v>1161</v>
      </c>
      <c r="G314" s="537" t="s">
        <v>1162</v>
      </c>
      <c r="H314" s="545">
        <v>2</v>
      </c>
      <c r="I314" s="1">
        <v>2</v>
      </c>
      <c r="J314" s="1">
        <v>2</v>
      </c>
      <c r="K314" s="1">
        <v>1</v>
      </c>
      <c r="L314" s="1">
        <v>1</v>
      </c>
      <c r="M314" s="546">
        <v>2</v>
      </c>
      <c r="N314" s="541">
        <f t="shared" si="7"/>
        <v>0.37356464144298934</v>
      </c>
      <c r="O314" s="542">
        <f t="shared" si="8"/>
        <v>0.37356464144298934</v>
      </c>
      <c r="P314" s="543"/>
    </row>
    <row r="315" spans="1:16" s="2" customFormat="1">
      <c r="A315" s="533" t="s">
        <v>39</v>
      </c>
      <c r="B315" s="534" t="s">
        <v>1168</v>
      </c>
      <c r="C315" s="554" t="s">
        <v>97</v>
      </c>
      <c r="D315" s="7" t="s">
        <v>139</v>
      </c>
      <c r="E315" s="536">
        <v>0</v>
      </c>
      <c r="F315" s="412" t="s">
        <v>1161</v>
      </c>
      <c r="G315" s="537" t="s">
        <v>1162</v>
      </c>
      <c r="H315" s="538"/>
      <c r="I315" s="539"/>
      <c r="J315" s="539"/>
      <c r="K315" s="539"/>
      <c r="L315" s="539"/>
      <c r="M315" s="540"/>
      <c r="N315" s="541" t="str">
        <f t="shared" si="7"/>
        <v/>
      </c>
      <c r="O315" s="542" t="str">
        <f t="shared" si="8"/>
        <v/>
      </c>
      <c r="P315" s="543"/>
    </row>
    <row r="316" spans="1:16" s="2" customFormat="1">
      <c r="A316" s="533" t="s">
        <v>39</v>
      </c>
      <c r="B316" s="534" t="s">
        <v>1168</v>
      </c>
      <c r="C316" s="555" t="s">
        <v>93</v>
      </c>
      <c r="D316" s="7" t="s">
        <v>139</v>
      </c>
      <c r="E316" s="547">
        <v>0.5</v>
      </c>
      <c r="F316" s="412" t="s">
        <v>1161</v>
      </c>
      <c r="G316" s="537" t="s">
        <v>1162</v>
      </c>
      <c r="H316" s="545">
        <v>2</v>
      </c>
      <c r="I316" s="1">
        <v>2</v>
      </c>
      <c r="J316" s="1">
        <v>2</v>
      </c>
      <c r="K316" s="1">
        <v>1</v>
      </c>
      <c r="L316" s="1">
        <v>1</v>
      </c>
      <c r="M316" s="546">
        <v>3</v>
      </c>
      <c r="N316" s="541">
        <f t="shared" si="7"/>
        <v>1.0248662490928169</v>
      </c>
      <c r="O316" s="542">
        <f t="shared" si="8"/>
        <v>1.0248662490928169</v>
      </c>
      <c r="P316" s="543"/>
    </row>
    <row r="317" spans="1:16" s="2" customFormat="1">
      <c r="A317" s="533" t="s">
        <v>39</v>
      </c>
      <c r="B317" s="534" t="s">
        <v>1169</v>
      </c>
      <c r="C317" s="535" t="s">
        <v>94</v>
      </c>
      <c r="D317" s="7" t="s">
        <v>139</v>
      </c>
      <c r="E317" s="536">
        <v>0</v>
      </c>
      <c r="F317" s="412" t="s">
        <v>1161</v>
      </c>
      <c r="G317" s="537" t="s">
        <v>1162</v>
      </c>
      <c r="H317" s="538"/>
      <c r="I317" s="539"/>
      <c r="J317" s="539"/>
      <c r="K317" s="539"/>
      <c r="L317" s="539"/>
      <c r="M317" s="540"/>
      <c r="N317" s="541" t="str">
        <f t="shared" si="7"/>
        <v/>
      </c>
      <c r="O317" s="542" t="str">
        <f t="shared" si="8"/>
        <v/>
      </c>
      <c r="P317" s="543"/>
    </row>
    <row r="318" spans="1:16" s="2" customFormat="1">
      <c r="A318" s="533" t="s">
        <v>39</v>
      </c>
      <c r="B318" s="534" t="s">
        <v>1169</v>
      </c>
      <c r="C318" s="550" t="s">
        <v>95</v>
      </c>
      <c r="D318" s="7" t="s">
        <v>139</v>
      </c>
      <c r="E318" s="536">
        <v>0</v>
      </c>
      <c r="F318" s="412" t="s">
        <v>1161</v>
      </c>
      <c r="G318" s="537" t="s">
        <v>1162</v>
      </c>
      <c r="H318" s="538"/>
      <c r="I318" s="539"/>
      <c r="J318" s="539"/>
      <c r="K318" s="539"/>
      <c r="L318" s="539"/>
      <c r="M318" s="540"/>
      <c r="N318" s="541" t="str">
        <f t="shared" si="7"/>
        <v/>
      </c>
      <c r="O318" s="542" t="str">
        <f t="shared" si="8"/>
        <v/>
      </c>
      <c r="P318" s="543"/>
    </row>
    <row r="319" spans="1:16" s="2" customFormat="1">
      <c r="A319" s="533" t="s">
        <v>39</v>
      </c>
      <c r="B319" s="534" t="s">
        <v>1169</v>
      </c>
      <c r="C319" s="553" t="s">
        <v>96</v>
      </c>
      <c r="D319" s="7" t="s">
        <v>139</v>
      </c>
      <c r="E319" s="536">
        <v>0</v>
      </c>
      <c r="F319" s="412" t="s">
        <v>1161</v>
      </c>
      <c r="G319" s="537" t="s">
        <v>1162</v>
      </c>
      <c r="H319" s="538"/>
      <c r="I319" s="539"/>
      <c r="J319" s="539"/>
      <c r="K319" s="539"/>
      <c r="L319" s="539"/>
      <c r="M319" s="540"/>
      <c r="N319" s="541" t="str">
        <f t="shared" si="7"/>
        <v/>
      </c>
      <c r="O319" s="542" t="str">
        <f t="shared" si="8"/>
        <v/>
      </c>
      <c r="P319" s="543"/>
    </row>
    <row r="320" spans="1:16" s="2" customFormat="1">
      <c r="A320" s="533" t="s">
        <v>39</v>
      </c>
      <c r="B320" s="534" t="s">
        <v>1169</v>
      </c>
      <c r="C320" s="554" t="s">
        <v>97</v>
      </c>
      <c r="D320" s="7" t="s">
        <v>139</v>
      </c>
      <c r="E320" s="536">
        <v>0</v>
      </c>
      <c r="F320" s="412" t="s">
        <v>1161</v>
      </c>
      <c r="G320" s="537" t="s">
        <v>1162</v>
      </c>
      <c r="H320" s="538"/>
      <c r="I320" s="539"/>
      <c r="J320" s="539"/>
      <c r="K320" s="539"/>
      <c r="L320" s="539"/>
      <c r="M320" s="540"/>
      <c r="N320" s="541" t="str">
        <f t="shared" si="7"/>
        <v/>
      </c>
      <c r="O320" s="542" t="str">
        <f t="shared" si="8"/>
        <v/>
      </c>
      <c r="P320" s="543"/>
    </row>
    <row r="321" spans="1:16" s="559" customFormat="1">
      <c r="A321" s="556" t="s">
        <v>39</v>
      </c>
      <c r="B321" s="557" t="s">
        <v>1169</v>
      </c>
      <c r="C321" s="555" t="s">
        <v>93</v>
      </c>
      <c r="D321" s="162" t="s">
        <v>139</v>
      </c>
      <c r="E321" s="536">
        <v>0</v>
      </c>
      <c r="F321" s="412" t="s">
        <v>1161</v>
      </c>
      <c r="G321" s="77" t="s">
        <v>1162</v>
      </c>
      <c r="H321" s="538"/>
      <c r="I321" s="539"/>
      <c r="J321" s="539"/>
      <c r="K321" s="539"/>
      <c r="L321" s="539"/>
      <c r="M321" s="540"/>
      <c r="N321" s="541" t="str">
        <f t="shared" si="7"/>
        <v/>
      </c>
      <c r="O321" s="542" t="str">
        <f t="shared" si="8"/>
        <v/>
      </c>
      <c r="P321" s="558"/>
    </row>
    <row r="323" spans="1:16">
      <c r="A323" s="6" t="s">
        <v>39</v>
      </c>
      <c r="B323" s="534" t="s">
        <v>1160</v>
      </c>
      <c r="C323" s="6" t="s">
        <v>98</v>
      </c>
      <c r="D323" s="6">
        <v>0</v>
      </c>
      <c r="E323" s="560">
        <f>D323/$D$332</f>
        <v>0</v>
      </c>
      <c r="F323" s="34" t="s">
        <v>237</v>
      </c>
      <c r="G323" s="560">
        <f>E330</f>
        <v>0.36860068259385664</v>
      </c>
    </row>
    <row r="324" spans="1:16">
      <c r="A324" s="6" t="s">
        <v>39</v>
      </c>
      <c r="B324" s="534" t="s">
        <v>1163</v>
      </c>
      <c r="C324" s="6" t="s">
        <v>98</v>
      </c>
      <c r="D324" s="6">
        <f>E283*C270</f>
        <v>0.78</v>
      </c>
      <c r="E324" s="560">
        <f t="shared" ref="E324:E331" si="9">D324/$D$332</f>
        <v>1.3310580204778157E-2</v>
      </c>
      <c r="F324" s="34" t="s">
        <v>236</v>
      </c>
      <c r="G324" s="560">
        <f>E331</f>
        <v>0</v>
      </c>
    </row>
    <row r="325" spans="1:16">
      <c r="A325" s="6" t="s">
        <v>39</v>
      </c>
      <c r="B325" s="534" t="s">
        <v>1164</v>
      </c>
      <c r="C325" s="6" t="s">
        <v>98</v>
      </c>
      <c r="D325" s="6">
        <v>0</v>
      </c>
      <c r="E325" s="560">
        <f t="shared" si="9"/>
        <v>0</v>
      </c>
      <c r="F325" s="34" t="s">
        <v>203</v>
      </c>
      <c r="G325" s="560">
        <f>E328</f>
        <v>0.20723549488054607</v>
      </c>
    </row>
    <row r="326" spans="1:16">
      <c r="A326" s="6" t="s">
        <v>39</v>
      </c>
      <c r="B326" s="534" t="s">
        <v>1165</v>
      </c>
      <c r="C326" s="6" t="s">
        <v>98</v>
      </c>
      <c r="D326" s="6">
        <f>E293*C270</f>
        <v>7.3579999999999997</v>
      </c>
      <c r="E326" s="560">
        <f t="shared" si="9"/>
        <v>0.12556313993174059</v>
      </c>
      <c r="F326" s="34" t="s">
        <v>235</v>
      </c>
      <c r="G326" s="560">
        <f>E329</f>
        <v>0</v>
      </c>
    </row>
    <row r="327" spans="1:16">
      <c r="A327" s="6" t="s">
        <v>39</v>
      </c>
      <c r="B327" s="534" t="s">
        <v>1166</v>
      </c>
      <c r="C327" s="6" t="s">
        <v>98</v>
      </c>
      <c r="D327" s="6">
        <f>E298*C270</f>
        <v>16.718</v>
      </c>
      <c r="E327" s="560">
        <f t="shared" si="9"/>
        <v>0.28529010238907848</v>
      </c>
      <c r="F327" s="34" t="s">
        <v>202</v>
      </c>
      <c r="G327" s="560">
        <f>E327</f>
        <v>0.28529010238907848</v>
      </c>
    </row>
    <row r="328" spans="1:16">
      <c r="A328" s="6" t="s">
        <v>39</v>
      </c>
      <c r="B328" s="534" t="s">
        <v>1075</v>
      </c>
      <c r="C328" s="6" t="s">
        <v>98</v>
      </c>
      <c r="D328" s="6">
        <f>E303*C270+E306*C273</f>
        <v>12.144</v>
      </c>
      <c r="E328" s="560">
        <f t="shared" si="9"/>
        <v>0.20723549488054607</v>
      </c>
      <c r="F328" s="34" t="s">
        <v>201</v>
      </c>
      <c r="G328" s="6">
        <v>0</v>
      </c>
    </row>
    <row r="329" spans="1:16">
      <c r="A329" s="6" t="s">
        <v>39</v>
      </c>
      <c r="B329" s="534" t="s">
        <v>1167</v>
      </c>
      <c r="C329" s="6" t="s">
        <v>98</v>
      </c>
      <c r="D329" s="6">
        <v>0</v>
      </c>
      <c r="E329" s="560">
        <f t="shared" si="9"/>
        <v>0</v>
      </c>
      <c r="F329" s="34" t="s">
        <v>200</v>
      </c>
      <c r="G329" s="560">
        <f>E326</f>
        <v>0.12556313993174059</v>
      </c>
    </row>
    <row r="330" spans="1:16">
      <c r="A330" s="6" t="s">
        <v>39</v>
      </c>
      <c r="B330" s="534" t="s">
        <v>1168</v>
      </c>
      <c r="C330" s="6" t="s">
        <v>98</v>
      </c>
      <c r="D330" s="6">
        <f>E312*C269+E314*C271+E316*C273</f>
        <v>21.6</v>
      </c>
      <c r="E330" s="560">
        <f t="shared" si="9"/>
        <v>0.36860068259385664</v>
      </c>
      <c r="F330" s="34" t="s">
        <v>183</v>
      </c>
      <c r="G330" s="560">
        <f>E325</f>
        <v>0</v>
      </c>
    </row>
    <row r="331" spans="1:16">
      <c r="A331" s="6" t="s">
        <v>39</v>
      </c>
      <c r="B331" s="534" t="s">
        <v>1169</v>
      </c>
      <c r="C331" s="6" t="s">
        <v>98</v>
      </c>
      <c r="D331" s="6">
        <v>0</v>
      </c>
      <c r="E331" s="560">
        <f t="shared" si="9"/>
        <v>0</v>
      </c>
      <c r="F331" s="34" t="s">
        <v>142</v>
      </c>
      <c r="G331" s="560">
        <f>E324</f>
        <v>1.3310580204778157E-2</v>
      </c>
    </row>
    <row r="332" spans="1:16">
      <c r="D332" s="6">
        <f>SUM(D323:D331)</f>
        <v>58.6</v>
      </c>
      <c r="F332" s="34" t="s">
        <v>138</v>
      </c>
      <c r="G332" s="560">
        <f>E323</f>
        <v>0</v>
      </c>
    </row>
    <row r="333" spans="1:16">
      <c r="E333" s="560">
        <f>SUM(E323:E332)</f>
        <v>1</v>
      </c>
      <c r="G333" s="560">
        <f>SUM(G323:G332)</f>
        <v>1</v>
      </c>
    </row>
  </sheetData>
  <mergeCells count="77">
    <mergeCell ref="Z21:AC21"/>
    <mergeCell ref="AK21:AN21"/>
    <mergeCell ref="Z61:AC61"/>
    <mergeCell ref="AK61:AN61"/>
    <mergeCell ref="Z62:AC62"/>
    <mergeCell ref="AK62:AN62"/>
    <mergeCell ref="Z18:AC18"/>
    <mergeCell ref="AK18:AN18"/>
    <mergeCell ref="Z19:AC19"/>
    <mergeCell ref="AK19:AN19"/>
    <mergeCell ref="Z20:AC20"/>
    <mergeCell ref="AK20:AN20"/>
    <mergeCell ref="Z15:AC15"/>
    <mergeCell ref="AK15:AN15"/>
    <mergeCell ref="Z16:AC16"/>
    <mergeCell ref="AK16:AN16"/>
    <mergeCell ref="Z17:AC17"/>
    <mergeCell ref="AK17:AN17"/>
    <mergeCell ref="O145:P180"/>
    <mergeCell ref="O192:P227"/>
    <mergeCell ref="O229:P264"/>
    <mergeCell ref="F29:I29"/>
    <mergeCell ref="F30:I30"/>
    <mergeCell ref="A43:R43"/>
    <mergeCell ref="N135:N136"/>
    <mergeCell ref="C135:C136"/>
    <mergeCell ref="E135:G135"/>
    <mergeCell ref="B135:B136"/>
    <mergeCell ref="D135:D136"/>
    <mergeCell ref="H135:H136"/>
    <mergeCell ref="I135:I136"/>
    <mergeCell ref="J135:J136"/>
    <mergeCell ref="K135:K136"/>
    <mergeCell ref="A135:A136"/>
    <mergeCell ref="A1:R1"/>
    <mergeCell ref="A2:A3"/>
    <mergeCell ref="B2:B3"/>
    <mergeCell ref="C2:C3"/>
    <mergeCell ref="G2:G3"/>
    <mergeCell ref="D2:D3"/>
    <mergeCell ref="H2:H3"/>
    <mergeCell ref="I2:O3"/>
    <mergeCell ref="I4:O4"/>
    <mergeCell ref="I5:O5"/>
    <mergeCell ref="I6:O6"/>
    <mergeCell ref="I7:O7"/>
    <mergeCell ref="I8:O8"/>
    <mergeCell ref="I9:O9"/>
    <mergeCell ref="I10:O10"/>
    <mergeCell ref="I11:O11"/>
    <mergeCell ref="I12:O12"/>
    <mergeCell ref="L135:L136"/>
    <mergeCell ref="M135:M136"/>
    <mergeCell ref="F32:I32"/>
    <mergeCell ref="A14:R14"/>
    <mergeCell ref="A28:R28"/>
    <mergeCell ref="F26:I26"/>
    <mergeCell ref="F22:I22"/>
    <mergeCell ref="A42:R42"/>
    <mergeCell ref="F15:I15"/>
    <mergeCell ref="F16:I16"/>
    <mergeCell ref="F18:I18"/>
    <mergeCell ref="F19:I19"/>
    <mergeCell ref="F20:I20"/>
    <mergeCell ref="F21:I21"/>
    <mergeCell ref="F24:I24"/>
    <mergeCell ref="F25:I25"/>
    <mergeCell ref="F23:I23"/>
    <mergeCell ref="A133:P134"/>
    <mergeCell ref="F38:I38"/>
    <mergeCell ref="F39:I39"/>
    <mergeCell ref="F40:I40"/>
    <mergeCell ref="F33:I33"/>
    <mergeCell ref="F34:I34"/>
    <mergeCell ref="F35:I35"/>
    <mergeCell ref="F36:I36"/>
    <mergeCell ref="F37:I37"/>
  </mergeCells>
  <conditionalFormatting sqref="H45:M54">
    <cfRule type="cellIs" dxfId="53" priority="43" stopIfTrue="1" operator="notBetween">
      <formula>1</formula>
      <formula>4</formula>
    </cfRule>
    <cfRule type="dataBar" priority="45">
      <dataBar>
        <cfvo type="min"/>
        <cfvo type="num" val="4"/>
        <color rgb="FFFFC000"/>
      </dataBar>
      <extLst>
        <ext xmlns:x14="http://schemas.microsoft.com/office/spreadsheetml/2009/9/main" uri="{B025F937-C7B1-47D3-B67F-A62EFF666E3E}">
          <x14:id>{AE1269A0-EE84-437B-B9F8-57E7D041A84B}</x14:id>
        </ext>
      </extLst>
    </cfRule>
  </conditionalFormatting>
  <conditionalFormatting sqref="H56:M65">
    <cfRule type="cellIs" dxfId="52" priority="38" stopIfTrue="1" operator="notBetween">
      <formula>1</formula>
      <formula>4</formula>
    </cfRule>
    <cfRule type="dataBar" priority="40">
      <dataBar>
        <cfvo type="min"/>
        <cfvo type="num" val="4"/>
        <color rgb="FFFFC000"/>
      </dataBar>
      <extLst>
        <ext xmlns:x14="http://schemas.microsoft.com/office/spreadsheetml/2009/9/main" uri="{B025F937-C7B1-47D3-B67F-A62EFF666E3E}">
          <x14:id>{A2B31512-0BB9-4CEF-9AF8-3DEA76556831}</x14:id>
        </ext>
      </extLst>
    </cfRule>
  </conditionalFormatting>
  <conditionalFormatting sqref="H67:M76">
    <cfRule type="cellIs" dxfId="51" priority="33" stopIfTrue="1" operator="notBetween">
      <formula>1</formula>
      <formula>4</formula>
    </cfRule>
    <cfRule type="dataBar" priority="35">
      <dataBar>
        <cfvo type="min"/>
        <cfvo type="num" val="4"/>
        <color rgb="FFFFC000"/>
      </dataBar>
      <extLst>
        <ext xmlns:x14="http://schemas.microsoft.com/office/spreadsheetml/2009/9/main" uri="{B025F937-C7B1-47D3-B67F-A62EFF666E3E}">
          <x14:id>{18108CB0-7D47-4682-A141-FB0E6AF5ECFB}</x14:id>
        </ext>
      </extLst>
    </cfRule>
  </conditionalFormatting>
  <conditionalFormatting sqref="H78:M87">
    <cfRule type="cellIs" dxfId="50" priority="28" stopIfTrue="1" operator="notBetween">
      <formula>1</formula>
      <formula>4</formula>
    </cfRule>
    <cfRule type="dataBar" priority="30">
      <dataBar>
        <cfvo type="min"/>
        <cfvo type="num" val="4"/>
        <color rgb="FFFFC000"/>
      </dataBar>
      <extLst>
        <ext xmlns:x14="http://schemas.microsoft.com/office/spreadsheetml/2009/9/main" uri="{B025F937-C7B1-47D3-B67F-A62EFF666E3E}">
          <x14:id>{99BE0726-BC4C-480E-A9E9-21FB9F00D5AE}</x14:id>
        </ext>
      </extLst>
    </cfRule>
  </conditionalFormatting>
  <conditionalFormatting sqref="H89:M98">
    <cfRule type="cellIs" dxfId="49" priority="23" stopIfTrue="1" operator="notBetween">
      <formula>1</formula>
      <formula>4</formula>
    </cfRule>
    <cfRule type="dataBar" priority="25">
      <dataBar>
        <cfvo type="min"/>
        <cfvo type="num" val="4"/>
        <color rgb="FFFFC000"/>
      </dataBar>
      <extLst>
        <ext xmlns:x14="http://schemas.microsoft.com/office/spreadsheetml/2009/9/main" uri="{B025F937-C7B1-47D3-B67F-A62EFF666E3E}">
          <x14:id>{F3E37435-57D2-43D0-93FD-DBA20CD935F6}</x14:id>
        </ext>
      </extLst>
    </cfRule>
  </conditionalFormatting>
  <conditionalFormatting sqref="H100:M109">
    <cfRule type="cellIs" dxfId="48" priority="18" stopIfTrue="1" operator="notBetween">
      <formula>1</formula>
      <formula>4</formula>
    </cfRule>
    <cfRule type="dataBar" priority="20">
      <dataBar>
        <cfvo type="min"/>
        <cfvo type="num" val="4"/>
        <color rgb="FFFFC000"/>
      </dataBar>
      <extLst>
        <ext xmlns:x14="http://schemas.microsoft.com/office/spreadsheetml/2009/9/main" uri="{B025F937-C7B1-47D3-B67F-A62EFF666E3E}">
          <x14:id>{2A2E44AF-A7AE-43F8-80A2-DB40F113CFF6}</x14:id>
        </ext>
      </extLst>
    </cfRule>
  </conditionalFormatting>
  <conditionalFormatting sqref="H111:M120">
    <cfRule type="cellIs" dxfId="47" priority="13" stopIfTrue="1" operator="notBetween">
      <formula>1</formula>
      <formula>4</formula>
    </cfRule>
    <cfRule type="dataBar" priority="15">
      <dataBar>
        <cfvo type="min"/>
        <cfvo type="num" val="4"/>
        <color rgb="FFFFC000"/>
      </dataBar>
      <extLst>
        <ext xmlns:x14="http://schemas.microsoft.com/office/spreadsheetml/2009/9/main" uri="{B025F937-C7B1-47D3-B67F-A62EFF666E3E}">
          <x14:id>{DAADFCB8-4AEA-492A-831B-7747BF895993}</x14:id>
        </ext>
      </extLst>
    </cfRule>
  </conditionalFormatting>
  <conditionalFormatting sqref="H122:M132">
    <cfRule type="cellIs" dxfId="46" priority="8" stopIfTrue="1" operator="notBetween">
      <formula>1</formula>
      <formula>4</formula>
    </cfRule>
    <cfRule type="dataBar" priority="10">
      <dataBar>
        <cfvo type="min"/>
        <cfvo type="num" val="4"/>
        <color rgb="FFFFC000"/>
      </dataBar>
      <extLst>
        <ext xmlns:x14="http://schemas.microsoft.com/office/spreadsheetml/2009/9/main" uri="{B025F937-C7B1-47D3-B67F-A62EFF666E3E}">
          <x14:id>{06D7AD8D-708F-4344-A167-707497521382}</x14:id>
        </ext>
      </extLst>
    </cfRule>
  </conditionalFormatting>
  <conditionalFormatting sqref="H277:M321">
    <cfRule type="dataBar" priority="3">
      <dataBar>
        <cfvo type="min"/>
        <cfvo type="max"/>
        <color rgb="FFFFB628"/>
      </dataBar>
      <extLst>
        <ext xmlns:x14="http://schemas.microsoft.com/office/spreadsheetml/2009/9/main" uri="{B025F937-C7B1-47D3-B67F-A62EFF666E3E}">
          <x14:id>{C7CDE64E-3B03-452E-9ED8-50C5DFB38417}</x14:id>
        </ext>
      </extLst>
    </cfRule>
  </conditionalFormatting>
  <conditionalFormatting sqref="H45:N54">
    <cfRule type="containsBlanks" dxfId="45" priority="42">
      <formula>LEN(TRIM(H45))=0</formula>
    </cfRule>
  </conditionalFormatting>
  <conditionalFormatting sqref="H56:N65">
    <cfRule type="containsBlanks" dxfId="44" priority="37">
      <formula>LEN(TRIM(H56))=0</formula>
    </cfRule>
  </conditionalFormatting>
  <conditionalFormatting sqref="H67:N76">
    <cfRule type="containsBlanks" dxfId="43" priority="32">
      <formula>LEN(TRIM(H67))=0</formula>
    </cfRule>
  </conditionalFormatting>
  <conditionalFormatting sqref="H78:N87">
    <cfRule type="containsBlanks" dxfId="42" priority="27">
      <formula>LEN(TRIM(H78))=0</formula>
    </cfRule>
  </conditionalFormatting>
  <conditionalFormatting sqref="H89:N98">
    <cfRule type="containsBlanks" dxfId="41" priority="22">
      <formula>LEN(TRIM(H89))=0</formula>
    </cfRule>
  </conditionalFormatting>
  <conditionalFormatting sqref="H100:N109">
    <cfRule type="containsBlanks" dxfId="40" priority="17">
      <formula>LEN(TRIM(H100))=0</formula>
    </cfRule>
  </conditionalFormatting>
  <conditionalFormatting sqref="H111:N120">
    <cfRule type="containsBlanks" dxfId="39" priority="12">
      <formula>LEN(TRIM(H111))=0</formula>
    </cfRule>
  </conditionalFormatting>
  <conditionalFormatting sqref="H122:N132">
    <cfRule type="containsBlanks" dxfId="38" priority="1">
      <formula>LEN(TRIM(H122))=0</formula>
    </cfRule>
  </conditionalFormatting>
  <conditionalFormatting sqref="I137:M141">
    <cfRule type="dataBar" priority="48">
      <dataBar>
        <cfvo type="min"/>
        <cfvo type="num" val="4"/>
        <color rgb="FFFFC000"/>
      </dataBar>
      <extLst>
        <ext xmlns:x14="http://schemas.microsoft.com/office/spreadsheetml/2009/9/main" uri="{B025F937-C7B1-47D3-B67F-A62EFF666E3E}">
          <x14:id>{272D6FCC-4DBC-4895-A70B-0627532E6A6D}</x14:id>
        </ext>
      </extLst>
    </cfRule>
  </conditionalFormatting>
  <conditionalFormatting sqref="I137:N141">
    <cfRule type="containsBlanks" dxfId="37" priority="47">
      <formula>LEN(TRIM(I137))=0</formula>
    </cfRule>
  </conditionalFormatting>
  <conditionalFormatting sqref="N45:N54">
    <cfRule type="dataBar" priority="46">
      <dataBar>
        <cfvo type="min"/>
        <cfvo type="max"/>
        <color rgb="FF3FCDFF"/>
      </dataBar>
      <extLst>
        <ext xmlns:x14="http://schemas.microsoft.com/office/spreadsheetml/2009/9/main" uri="{B025F937-C7B1-47D3-B67F-A62EFF666E3E}">
          <x14:id>{F10CC281-3121-452B-A6A8-D5C0FC5753FD}</x14:id>
        </ext>
      </extLst>
    </cfRule>
  </conditionalFormatting>
  <conditionalFormatting sqref="N56:N65">
    <cfRule type="dataBar" priority="41">
      <dataBar>
        <cfvo type="min"/>
        <cfvo type="max"/>
        <color rgb="FF3FCDFF"/>
      </dataBar>
      <extLst>
        <ext xmlns:x14="http://schemas.microsoft.com/office/spreadsheetml/2009/9/main" uri="{B025F937-C7B1-47D3-B67F-A62EFF666E3E}">
          <x14:id>{281D998C-4541-4A1E-9940-D9677E167FBD}</x14:id>
        </ext>
      </extLst>
    </cfRule>
  </conditionalFormatting>
  <conditionalFormatting sqref="N67:N76">
    <cfRule type="dataBar" priority="36">
      <dataBar>
        <cfvo type="min"/>
        <cfvo type="max"/>
        <color rgb="FF3FCDFF"/>
      </dataBar>
      <extLst>
        <ext xmlns:x14="http://schemas.microsoft.com/office/spreadsheetml/2009/9/main" uri="{B025F937-C7B1-47D3-B67F-A62EFF666E3E}">
          <x14:id>{09ADA542-2B57-4DC1-8906-C8E7BF092402}</x14:id>
        </ext>
      </extLst>
    </cfRule>
  </conditionalFormatting>
  <conditionalFormatting sqref="N78:N87">
    <cfRule type="dataBar" priority="31">
      <dataBar>
        <cfvo type="min"/>
        <cfvo type="max"/>
        <color rgb="FF3FCDFF"/>
      </dataBar>
      <extLst>
        <ext xmlns:x14="http://schemas.microsoft.com/office/spreadsheetml/2009/9/main" uri="{B025F937-C7B1-47D3-B67F-A62EFF666E3E}">
          <x14:id>{7A0AEC27-C9E7-4BA9-8795-3FC9B87519E1}</x14:id>
        </ext>
      </extLst>
    </cfRule>
  </conditionalFormatting>
  <conditionalFormatting sqref="N89:N98">
    <cfRule type="dataBar" priority="26">
      <dataBar>
        <cfvo type="min"/>
        <cfvo type="max"/>
        <color rgb="FF3FCDFF"/>
      </dataBar>
      <extLst>
        <ext xmlns:x14="http://schemas.microsoft.com/office/spreadsheetml/2009/9/main" uri="{B025F937-C7B1-47D3-B67F-A62EFF666E3E}">
          <x14:id>{963CD6C7-C710-4F66-B6BA-11653E3ED733}</x14:id>
        </ext>
      </extLst>
    </cfRule>
  </conditionalFormatting>
  <conditionalFormatting sqref="N100:N109">
    <cfRule type="dataBar" priority="21">
      <dataBar>
        <cfvo type="min"/>
        <cfvo type="max"/>
        <color rgb="FF3FCDFF"/>
      </dataBar>
      <extLst>
        <ext xmlns:x14="http://schemas.microsoft.com/office/spreadsheetml/2009/9/main" uri="{B025F937-C7B1-47D3-B67F-A62EFF666E3E}">
          <x14:id>{4BAC4C1B-F20E-447C-8D92-D3A10DB51528}</x14:id>
        </ext>
      </extLst>
    </cfRule>
  </conditionalFormatting>
  <conditionalFormatting sqref="N111:N120">
    <cfRule type="dataBar" priority="16">
      <dataBar>
        <cfvo type="min"/>
        <cfvo type="max"/>
        <color rgb="FF3FCDFF"/>
      </dataBar>
      <extLst>
        <ext xmlns:x14="http://schemas.microsoft.com/office/spreadsheetml/2009/9/main" uri="{B025F937-C7B1-47D3-B67F-A62EFF666E3E}">
          <x14:id>{1F409E72-5E4E-4FD7-9C31-4BBEE445F75A}</x14:id>
        </ext>
      </extLst>
    </cfRule>
  </conditionalFormatting>
  <conditionalFormatting sqref="N122:N132">
    <cfRule type="dataBar" priority="2">
      <dataBar>
        <cfvo type="min"/>
        <cfvo type="max"/>
        <color rgb="FF3FCDFF"/>
      </dataBar>
      <extLst>
        <ext xmlns:x14="http://schemas.microsoft.com/office/spreadsheetml/2009/9/main" uri="{B025F937-C7B1-47D3-B67F-A62EFF666E3E}">
          <x14:id>{7C4B8C1A-FC0F-49D7-96D8-0D4B7FB9B9EE}</x14:id>
        </ext>
      </extLst>
    </cfRule>
  </conditionalFormatting>
  <conditionalFormatting sqref="N137:N141">
    <cfRule type="dataBar" priority="50">
      <dataBar>
        <cfvo type="min"/>
        <cfvo type="max"/>
        <color rgb="FF3FCDFF"/>
      </dataBar>
      <extLst>
        <ext xmlns:x14="http://schemas.microsoft.com/office/spreadsheetml/2009/9/main" uri="{B025F937-C7B1-47D3-B67F-A62EFF666E3E}">
          <x14:id>{1AC60BA5-C120-4820-B992-143295980028}</x14:id>
        </ext>
      </extLst>
    </cfRule>
  </conditionalFormatting>
  <conditionalFormatting sqref="N277:O321">
    <cfRule type="dataBar" priority="4">
      <dataBar>
        <cfvo type="min"/>
        <cfvo type="max"/>
        <color rgb="FF3FCDFF"/>
      </dataBar>
      <extLst>
        <ext xmlns:x14="http://schemas.microsoft.com/office/spreadsheetml/2009/9/main" uri="{B025F937-C7B1-47D3-B67F-A62EFF666E3E}">
          <x14:id>{5C6E1826-9445-4C40-BAB6-FDACDE982A8D}</x14:id>
        </ext>
      </extLst>
    </cfRule>
  </conditionalFormatting>
  <conditionalFormatting sqref="O45:O54">
    <cfRule type="containsText" dxfId="36" priority="44" operator="containsText" text="Actual TC">
      <formula>NOT(ISERROR(SEARCH("Actual TC",O45)))</formula>
    </cfRule>
  </conditionalFormatting>
  <conditionalFormatting sqref="O56:O65">
    <cfRule type="containsText" dxfId="35" priority="39" operator="containsText" text="Actual TC">
      <formula>NOT(ISERROR(SEARCH("Actual TC",O56)))</formula>
    </cfRule>
  </conditionalFormatting>
  <conditionalFormatting sqref="O67:O76">
    <cfRule type="containsText" dxfId="34" priority="34" operator="containsText" text="Actual TC">
      <formula>NOT(ISERROR(SEARCH("Actual TC",O67)))</formula>
    </cfRule>
  </conditionalFormatting>
  <conditionalFormatting sqref="O78:O87">
    <cfRule type="containsText" dxfId="33" priority="29" operator="containsText" text="Actual TC">
      <formula>NOT(ISERROR(SEARCH("Actual TC",O78)))</formula>
    </cfRule>
  </conditionalFormatting>
  <conditionalFormatting sqref="O89:O98">
    <cfRule type="containsText" dxfId="32" priority="24" operator="containsText" text="Actual TC">
      <formula>NOT(ISERROR(SEARCH("Actual TC",O89)))</formula>
    </cfRule>
  </conditionalFormatting>
  <conditionalFormatting sqref="O100:O109">
    <cfRule type="containsText" dxfId="31" priority="19" operator="containsText" text="Actual TC">
      <formula>NOT(ISERROR(SEARCH("Actual TC",O100)))</formula>
    </cfRule>
  </conditionalFormatting>
  <conditionalFormatting sqref="O111:O120">
    <cfRule type="containsText" dxfId="30" priority="14" operator="containsText" text="Actual TC">
      <formula>NOT(ISERROR(SEARCH("Actual TC",O111)))</formula>
    </cfRule>
  </conditionalFormatting>
  <conditionalFormatting sqref="O122:O132">
    <cfRule type="containsText" dxfId="29" priority="9" operator="containsText" text="Actual TC">
      <formula>NOT(ISERROR(SEARCH("Actual TC",O122)))</formula>
    </cfRule>
  </conditionalFormatting>
  <hyperlinks>
    <hyperlink ref="I4" r:id="rId1" display="https://onlinelibrary.wiley.com/doi/full/10.1111/jiec.13175" xr:uid="{1E9EA70F-AA98-471B-ACA7-9D1FE0EB2AB1}"/>
    <hyperlink ref="I5" r:id="rId2" display="https://onlinelibrary.wiley.com/doi/full/10.1111/jiec.13175" xr:uid="{C4B86E96-83A3-428E-9AC6-A084A1B043CB}"/>
    <hyperlink ref="I6" r:id="rId3" display="https://onlinelibrary.wiley.com/doi/full/10.1111/jiec.13175" xr:uid="{8D2DEB7F-0C4B-4F36-A2F5-F80F282A1E1E}"/>
    <hyperlink ref="I7" r:id="rId4" display="https://onlinelibrary.wiley.com/doi/full/10.1111/jiec.13175" xr:uid="{C8AB0DF3-B6C9-4E51-A0F7-79433F74890C}"/>
    <hyperlink ref="I8" r:id="rId5" display="https://onlinelibrary.wiley.com/doi/full/10.1111/jiec.13175" xr:uid="{F23009EA-4894-4A35-80C6-DCBE09AA056E}"/>
    <hyperlink ref="I9" r:id="rId6" display="https://onlinelibrary.wiley.com/doi/full/10.1111/jiec.13175" xr:uid="{B98D7C29-0CEC-4902-BB9B-1FC6AD9C9F12}"/>
    <hyperlink ref="I10" r:id="rId7" display="https://onlinelibrary.wiley.com/doi/full/10.1111/jiec.13175" xr:uid="{DAF44331-7569-423C-AAA5-5C37C2484777}"/>
    <hyperlink ref="I11" r:id="rId8" display="https://onlinelibrary.wiley.com/doi/full/10.1111/jiec.13175" xr:uid="{D822EBAB-D6FC-48E3-912D-E4264AC0674D}"/>
    <hyperlink ref="F30" r:id="rId9" xr:uid="{7F02ADBC-67CA-456C-87DB-D057484599ED}"/>
    <hyperlink ref="F16" r:id="rId10" xr:uid="{EB14E65E-8AE6-425E-AD34-D6515635A571}"/>
    <hyperlink ref="Z16" r:id="rId11" xr:uid="{C6CE3853-05A3-4BFC-9317-91B32B517819}"/>
    <hyperlink ref="Z17" r:id="rId12" xr:uid="{52DCF53C-1C8C-4299-B64A-C151FD608EE4}"/>
    <hyperlink ref="Z18" r:id="rId13" xr:uid="{B0544C2E-D851-4131-9B5D-37C35B6F3A6B}"/>
    <hyperlink ref="Z19" r:id="rId14" xr:uid="{7C6BF9BF-371D-474F-80F3-2F037B2D5405}"/>
    <hyperlink ref="Z20" r:id="rId15" xr:uid="{760FC56F-F4F5-44EC-A548-33A694AFFA1E}"/>
    <hyperlink ref="AK16" r:id="rId16" xr:uid="{F51199D4-9C29-4127-AD50-1FFB8657685C}"/>
    <hyperlink ref="AK17" r:id="rId17" xr:uid="{17E90986-D039-471C-93B9-9452240A8715}"/>
    <hyperlink ref="AK18" r:id="rId18" xr:uid="{2ACC9EE2-8FC5-4C4E-A52D-A93451C4EC5B}"/>
    <hyperlink ref="AK19" r:id="rId19" xr:uid="{867588E7-B35E-4EAB-AD91-EC5D98385B36}"/>
    <hyperlink ref="AK20" r:id="rId20" xr:uid="{7EA0B90A-309E-4ACB-A813-1D176189FAD9}"/>
  </hyperlinks>
  <pageMargins left="0.7" right="0.7" top="0.75" bottom="0.75" header="0.3" footer="0.3"/>
  <pageSetup paperSize="9" orientation="portrait" horizontalDpi="4294967293" verticalDpi="0" r:id="rId21"/>
  <drawing r:id="rId22"/>
  <extLst>
    <ext xmlns:x14="http://schemas.microsoft.com/office/spreadsheetml/2009/9/main" uri="{78C0D931-6437-407d-A8EE-F0AAD7539E65}">
      <x14:conditionalFormattings>
        <x14:conditionalFormatting xmlns:xm="http://schemas.microsoft.com/office/excel/2006/main">
          <x14:cfRule type="dataBar" id="{AE1269A0-EE84-437B-B9F8-57E7D041A84B}">
            <x14:dataBar minLength="0" maxLength="100" gradient="0">
              <x14:cfvo type="autoMin"/>
              <x14:cfvo type="num">
                <xm:f>4</xm:f>
              </x14:cfvo>
              <x14:negativeFillColor rgb="FFFF0000"/>
              <x14:axisColor rgb="FF000000"/>
            </x14:dataBar>
          </x14:cfRule>
          <xm:sqref>H45:M54</xm:sqref>
        </x14:conditionalFormatting>
        <x14:conditionalFormatting xmlns:xm="http://schemas.microsoft.com/office/excel/2006/main">
          <x14:cfRule type="dataBar" id="{A2B31512-0BB9-4CEF-9AF8-3DEA76556831}">
            <x14:dataBar minLength="0" maxLength="100" gradient="0">
              <x14:cfvo type="autoMin"/>
              <x14:cfvo type="num">
                <xm:f>4</xm:f>
              </x14:cfvo>
              <x14:negativeFillColor rgb="FFFF0000"/>
              <x14:axisColor rgb="FF000000"/>
            </x14:dataBar>
          </x14:cfRule>
          <xm:sqref>H56:M65</xm:sqref>
        </x14:conditionalFormatting>
        <x14:conditionalFormatting xmlns:xm="http://schemas.microsoft.com/office/excel/2006/main">
          <x14:cfRule type="dataBar" id="{18108CB0-7D47-4682-A141-FB0E6AF5ECFB}">
            <x14:dataBar minLength="0" maxLength="100" gradient="0">
              <x14:cfvo type="autoMin"/>
              <x14:cfvo type="num">
                <xm:f>4</xm:f>
              </x14:cfvo>
              <x14:negativeFillColor rgb="FFFF0000"/>
              <x14:axisColor rgb="FF000000"/>
            </x14:dataBar>
          </x14:cfRule>
          <xm:sqref>H67:M76</xm:sqref>
        </x14:conditionalFormatting>
        <x14:conditionalFormatting xmlns:xm="http://schemas.microsoft.com/office/excel/2006/main">
          <x14:cfRule type="dataBar" id="{99BE0726-BC4C-480E-A9E9-21FB9F00D5AE}">
            <x14:dataBar minLength="0" maxLength="100" gradient="0">
              <x14:cfvo type="autoMin"/>
              <x14:cfvo type="num">
                <xm:f>4</xm:f>
              </x14:cfvo>
              <x14:negativeFillColor rgb="FFFF0000"/>
              <x14:axisColor rgb="FF000000"/>
            </x14:dataBar>
          </x14:cfRule>
          <xm:sqref>H78:M87</xm:sqref>
        </x14:conditionalFormatting>
        <x14:conditionalFormatting xmlns:xm="http://schemas.microsoft.com/office/excel/2006/main">
          <x14:cfRule type="dataBar" id="{F3E37435-57D2-43D0-93FD-DBA20CD935F6}">
            <x14:dataBar minLength="0" maxLength="100" gradient="0">
              <x14:cfvo type="autoMin"/>
              <x14:cfvo type="num">
                <xm:f>4</xm:f>
              </x14:cfvo>
              <x14:negativeFillColor rgb="FFFF0000"/>
              <x14:axisColor rgb="FF000000"/>
            </x14:dataBar>
          </x14:cfRule>
          <xm:sqref>H89:M98</xm:sqref>
        </x14:conditionalFormatting>
        <x14:conditionalFormatting xmlns:xm="http://schemas.microsoft.com/office/excel/2006/main">
          <x14:cfRule type="dataBar" id="{2A2E44AF-A7AE-43F8-80A2-DB40F113CFF6}">
            <x14:dataBar minLength="0" maxLength="100" gradient="0">
              <x14:cfvo type="autoMin"/>
              <x14:cfvo type="num">
                <xm:f>4</xm:f>
              </x14:cfvo>
              <x14:negativeFillColor rgb="FFFF0000"/>
              <x14:axisColor rgb="FF000000"/>
            </x14:dataBar>
          </x14:cfRule>
          <xm:sqref>H100:M109</xm:sqref>
        </x14:conditionalFormatting>
        <x14:conditionalFormatting xmlns:xm="http://schemas.microsoft.com/office/excel/2006/main">
          <x14:cfRule type="dataBar" id="{DAADFCB8-4AEA-492A-831B-7747BF895993}">
            <x14:dataBar minLength="0" maxLength="100" gradient="0">
              <x14:cfvo type="autoMin"/>
              <x14:cfvo type="num">
                <xm:f>4</xm:f>
              </x14:cfvo>
              <x14:negativeFillColor rgb="FFFF0000"/>
              <x14:axisColor rgb="FF000000"/>
            </x14:dataBar>
          </x14:cfRule>
          <xm:sqref>H111:M120</xm:sqref>
        </x14:conditionalFormatting>
        <x14:conditionalFormatting xmlns:xm="http://schemas.microsoft.com/office/excel/2006/main">
          <x14:cfRule type="dataBar" id="{06D7AD8D-708F-4344-A167-707497521382}">
            <x14:dataBar minLength="0" maxLength="100" gradient="0">
              <x14:cfvo type="autoMin"/>
              <x14:cfvo type="num">
                <xm:f>4</xm:f>
              </x14:cfvo>
              <x14:negativeFillColor rgb="FFFF0000"/>
              <x14:axisColor rgb="FF000000"/>
            </x14:dataBar>
          </x14:cfRule>
          <xm:sqref>H122:M132</xm:sqref>
        </x14:conditionalFormatting>
        <x14:conditionalFormatting xmlns:xm="http://schemas.microsoft.com/office/excel/2006/main">
          <x14:cfRule type="dataBar" id="{C7CDE64E-3B03-452E-9ED8-50C5DFB38417}">
            <x14:dataBar minLength="0" maxLength="100" gradient="0">
              <x14:cfvo type="autoMin"/>
              <x14:cfvo type="autoMax"/>
              <x14:negativeFillColor rgb="FFFF0000"/>
              <x14:axisColor rgb="FF000000"/>
            </x14:dataBar>
          </x14:cfRule>
          <xm:sqref>H277:M321</xm:sqref>
        </x14:conditionalFormatting>
        <x14:conditionalFormatting xmlns:xm="http://schemas.microsoft.com/office/excel/2006/main">
          <x14:cfRule type="dataBar" id="{272D6FCC-4DBC-4895-A70B-0627532E6A6D}">
            <x14:dataBar minLength="0" maxLength="100" gradient="0">
              <x14:cfvo type="autoMin"/>
              <x14:cfvo type="num">
                <xm:f>4</xm:f>
              </x14:cfvo>
              <x14:negativeFillColor rgb="FFFF0000"/>
              <x14:axisColor rgb="FF000000"/>
            </x14:dataBar>
          </x14:cfRule>
          <xm:sqref>I137:M141</xm:sqref>
        </x14:conditionalFormatting>
        <x14:conditionalFormatting xmlns:xm="http://schemas.microsoft.com/office/excel/2006/main">
          <x14:cfRule type="dataBar" id="{F10CC281-3121-452B-A6A8-D5C0FC5753FD}">
            <x14:dataBar minLength="0" maxLength="100" gradient="0">
              <x14:cfvo type="autoMin"/>
              <x14:cfvo type="autoMax"/>
              <x14:negativeFillColor rgb="FFFF0000"/>
              <x14:axisColor rgb="FF000000"/>
            </x14:dataBar>
          </x14:cfRule>
          <xm:sqref>N45:N54</xm:sqref>
        </x14:conditionalFormatting>
        <x14:conditionalFormatting xmlns:xm="http://schemas.microsoft.com/office/excel/2006/main">
          <x14:cfRule type="dataBar" id="{281D998C-4541-4A1E-9940-D9677E167FBD}">
            <x14:dataBar minLength="0" maxLength="100" gradient="0">
              <x14:cfvo type="autoMin"/>
              <x14:cfvo type="autoMax"/>
              <x14:negativeFillColor rgb="FFFF0000"/>
              <x14:axisColor rgb="FF000000"/>
            </x14:dataBar>
          </x14:cfRule>
          <xm:sqref>N56:N65</xm:sqref>
        </x14:conditionalFormatting>
        <x14:conditionalFormatting xmlns:xm="http://schemas.microsoft.com/office/excel/2006/main">
          <x14:cfRule type="dataBar" id="{09ADA542-2B57-4DC1-8906-C8E7BF092402}">
            <x14:dataBar minLength="0" maxLength="100" gradient="0">
              <x14:cfvo type="autoMin"/>
              <x14:cfvo type="autoMax"/>
              <x14:negativeFillColor rgb="FFFF0000"/>
              <x14:axisColor rgb="FF000000"/>
            </x14:dataBar>
          </x14:cfRule>
          <xm:sqref>N67:N76</xm:sqref>
        </x14:conditionalFormatting>
        <x14:conditionalFormatting xmlns:xm="http://schemas.microsoft.com/office/excel/2006/main">
          <x14:cfRule type="dataBar" id="{7A0AEC27-C9E7-4BA9-8795-3FC9B87519E1}">
            <x14:dataBar minLength="0" maxLength="100" gradient="0">
              <x14:cfvo type="autoMin"/>
              <x14:cfvo type="autoMax"/>
              <x14:negativeFillColor rgb="FFFF0000"/>
              <x14:axisColor rgb="FF000000"/>
            </x14:dataBar>
          </x14:cfRule>
          <xm:sqref>N78:N87</xm:sqref>
        </x14:conditionalFormatting>
        <x14:conditionalFormatting xmlns:xm="http://schemas.microsoft.com/office/excel/2006/main">
          <x14:cfRule type="dataBar" id="{963CD6C7-C710-4F66-B6BA-11653E3ED733}">
            <x14:dataBar minLength="0" maxLength="100" gradient="0">
              <x14:cfvo type="autoMin"/>
              <x14:cfvo type="autoMax"/>
              <x14:negativeFillColor rgb="FFFF0000"/>
              <x14:axisColor rgb="FF000000"/>
            </x14:dataBar>
          </x14:cfRule>
          <xm:sqref>N89:N98</xm:sqref>
        </x14:conditionalFormatting>
        <x14:conditionalFormatting xmlns:xm="http://schemas.microsoft.com/office/excel/2006/main">
          <x14:cfRule type="dataBar" id="{4BAC4C1B-F20E-447C-8D92-D3A10DB51528}">
            <x14:dataBar minLength="0" maxLength="100" gradient="0">
              <x14:cfvo type="autoMin"/>
              <x14:cfvo type="autoMax"/>
              <x14:negativeFillColor rgb="FFFF0000"/>
              <x14:axisColor rgb="FF000000"/>
            </x14:dataBar>
          </x14:cfRule>
          <xm:sqref>N100:N109</xm:sqref>
        </x14:conditionalFormatting>
        <x14:conditionalFormatting xmlns:xm="http://schemas.microsoft.com/office/excel/2006/main">
          <x14:cfRule type="dataBar" id="{1F409E72-5E4E-4FD7-9C31-4BBEE445F75A}">
            <x14:dataBar minLength="0" maxLength="100" gradient="0">
              <x14:cfvo type="autoMin"/>
              <x14:cfvo type="autoMax"/>
              <x14:negativeFillColor rgb="FFFF0000"/>
              <x14:axisColor rgb="FF000000"/>
            </x14:dataBar>
          </x14:cfRule>
          <xm:sqref>N111:N120</xm:sqref>
        </x14:conditionalFormatting>
        <x14:conditionalFormatting xmlns:xm="http://schemas.microsoft.com/office/excel/2006/main">
          <x14:cfRule type="dataBar" id="{7C4B8C1A-FC0F-49D7-96D8-0D4B7FB9B9EE}">
            <x14:dataBar minLength="0" maxLength="100" gradient="0">
              <x14:cfvo type="autoMin"/>
              <x14:cfvo type="autoMax"/>
              <x14:negativeFillColor rgb="FFFF0000"/>
              <x14:axisColor rgb="FF000000"/>
            </x14:dataBar>
          </x14:cfRule>
          <xm:sqref>N122:N132</xm:sqref>
        </x14:conditionalFormatting>
        <x14:conditionalFormatting xmlns:xm="http://schemas.microsoft.com/office/excel/2006/main">
          <x14:cfRule type="dataBar" id="{1AC60BA5-C120-4820-B992-143295980028}">
            <x14:dataBar minLength="0" maxLength="100" gradient="0">
              <x14:cfvo type="autoMin"/>
              <x14:cfvo type="autoMax"/>
              <x14:negativeFillColor rgb="FFFF0000"/>
              <x14:axisColor rgb="FF000000"/>
            </x14:dataBar>
          </x14:cfRule>
          <xm:sqref>N137:N141</xm:sqref>
        </x14:conditionalFormatting>
        <x14:conditionalFormatting xmlns:xm="http://schemas.microsoft.com/office/excel/2006/main">
          <x14:cfRule type="dataBar" id="{5C6E1826-9445-4C40-BAB6-FDACDE982A8D}">
            <x14:dataBar minLength="0" maxLength="100" gradient="0">
              <x14:cfvo type="autoMin"/>
              <x14:cfvo type="autoMax"/>
              <x14:negativeFillColor rgb="FFFF0000"/>
              <x14:axisColor rgb="FF000000"/>
            </x14:dataBar>
          </x14:cfRule>
          <xm:sqref>N277:O321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7D20-71CC-4F8F-AC90-292054341AB9}">
  <sheetPr>
    <tabColor theme="8"/>
  </sheetPr>
  <dimension ref="A1:P23"/>
  <sheetViews>
    <sheetView workbookViewId="0">
      <selection activeCell="B31" sqref="B31"/>
    </sheetView>
  </sheetViews>
  <sheetFormatPr defaultRowHeight="15"/>
  <cols>
    <col min="1" max="1" width="38.140625" bestFit="1" customWidth="1"/>
    <col min="2" max="2" width="27.28515625" bestFit="1" customWidth="1"/>
    <col min="5" max="5" width="11.7109375" customWidth="1"/>
    <col min="7" max="7" width="69.5703125" bestFit="1" customWidth="1"/>
  </cols>
  <sheetData>
    <row r="1" spans="1:15">
      <c r="A1" s="480" t="s">
        <v>2006</v>
      </c>
      <c r="B1" s="684" t="s">
        <v>2007</v>
      </c>
      <c r="C1" s="479"/>
      <c r="D1" s="479"/>
      <c r="E1" s="479"/>
      <c r="F1" s="479"/>
      <c r="G1" s="479"/>
      <c r="H1" s="479"/>
      <c r="I1" s="479"/>
      <c r="J1" s="479"/>
      <c r="K1" s="479"/>
      <c r="L1" s="479"/>
      <c r="M1" s="479"/>
      <c r="N1" s="479"/>
      <c r="O1" s="479"/>
    </row>
    <row r="3" spans="1:15" ht="15.75" thickBot="1">
      <c r="A3" s="227" t="s">
        <v>1176</v>
      </c>
      <c r="B3" s="9" t="s">
        <v>1170</v>
      </c>
      <c r="C3" s="9" t="s">
        <v>139</v>
      </c>
      <c r="D3" s="9" t="s">
        <v>139</v>
      </c>
      <c r="E3" s="315">
        <f>0.004*0.0001/100</f>
        <v>4.0000000000000002E-9</v>
      </c>
      <c r="F3" s="675">
        <v>2</v>
      </c>
      <c r="G3" s="227" t="s">
        <v>252</v>
      </c>
      <c r="H3" s="15">
        <v>2</v>
      </c>
      <c r="I3" s="15">
        <v>1</v>
      </c>
      <c r="J3" s="15">
        <v>2</v>
      </c>
      <c r="K3" s="15">
        <v>3</v>
      </c>
      <c r="L3" s="15">
        <v>3</v>
      </c>
      <c r="M3" s="15">
        <v>1</v>
      </c>
      <c r="N3" s="178">
        <f>IF( OR( ISBLANK(H3),ISBLANK(J3), ISBLANK(K3), ISBLANK(L3), ISBLANK(M3) ), "", 1.5*SQRT(   EXP(2.21*(H3-1)) + EXP(2.21*(J3-1)) + EXP(2.21*(K3-1)) + EXP(2.21*(L3-1)) + EXP(2.21*M3)   )/100*2.45 )</f>
        <v>0.51126068492676302</v>
      </c>
      <c r="O3" s="227"/>
    </row>
    <row r="4" spans="1:15">
      <c r="A4" s="227" t="s">
        <v>1176</v>
      </c>
      <c r="B4" s="9" t="s">
        <v>1170</v>
      </c>
      <c r="C4" s="9" t="s">
        <v>139</v>
      </c>
      <c r="D4" s="9" t="s">
        <v>139</v>
      </c>
      <c r="E4" s="315">
        <f>0.004*0.04/100</f>
        <v>1.6000000000000001E-6</v>
      </c>
      <c r="F4" s="675">
        <v>2</v>
      </c>
      <c r="G4" s="227" t="s">
        <v>252</v>
      </c>
      <c r="H4" s="13">
        <v>2</v>
      </c>
      <c r="I4" s="13">
        <v>1</v>
      </c>
      <c r="J4" s="13">
        <v>2</v>
      </c>
      <c r="K4" s="13">
        <v>3</v>
      </c>
      <c r="L4" s="13">
        <v>3</v>
      </c>
      <c r="M4" s="13">
        <v>1</v>
      </c>
      <c r="N4" s="178">
        <f>IF( OR( ISBLANK(H4),ISBLANK(J4), ISBLANK(K4), ISBLANK(L4), ISBLANK(M4) ), "", 1.5*SQRT(   EXP(2.21*(H4-1)) + EXP(2.21*(J4-1)) + EXP(2.21*(K4-1)) + EXP(2.21*(L4-1)) + EXP(2.21*M4)   )/100*2.45 )</f>
        <v>0.51126068492676302</v>
      </c>
      <c r="O4" s="227"/>
    </row>
    <row r="5" spans="1:15">
      <c r="A5" s="227" t="s">
        <v>1176</v>
      </c>
      <c r="B5" s="9" t="s">
        <v>251</v>
      </c>
      <c r="C5" s="9" t="s">
        <v>139</v>
      </c>
      <c r="D5" s="9" t="s">
        <v>139</v>
      </c>
      <c r="E5" s="315">
        <f>(1-0.004)*0.0001/100</f>
        <v>9.9600000000000008E-7</v>
      </c>
      <c r="F5" s="675">
        <v>2</v>
      </c>
      <c r="G5" s="227" t="s">
        <v>252</v>
      </c>
      <c r="H5" s="15">
        <v>2</v>
      </c>
      <c r="I5" s="15">
        <v>1</v>
      </c>
      <c r="J5" s="15">
        <v>2</v>
      </c>
      <c r="K5" s="15">
        <v>3</v>
      </c>
      <c r="L5" s="15">
        <v>3</v>
      </c>
      <c r="M5" s="15">
        <v>1</v>
      </c>
      <c r="N5" s="178">
        <f>IF( OR( ISBLANK(H5),ISBLANK(J5), ISBLANK(K5), ISBLANK(L5), ISBLANK(M5) ), "", 1.5*SQRT(   EXP(2.21*(H5-1)) + EXP(2.21*(J5-1)) + EXP(2.21*(K5-1)) + EXP(2.21*(L5-1)) + EXP(2.21*M5)   )/100*2.45 )</f>
        <v>0.51126068492676302</v>
      </c>
      <c r="O5" s="227"/>
    </row>
    <row r="6" spans="1:15">
      <c r="A6" s="227" t="s">
        <v>1176</v>
      </c>
      <c r="B6" s="9" t="s">
        <v>251</v>
      </c>
      <c r="C6" s="9" t="s">
        <v>139</v>
      </c>
      <c r="D6" s="9" t="s">
        <v>139</v>
      </c>
      <c r="E6" s="315">
        <f>(1-0.004)*0.04/100</f>
        <v>3.9839999999999998E-4</v>
      </c>
      <c r="F6" s="675">
        <v>2</v>
      </c>
      <c r="G6" s="227" t="s">
        <v>252</v>
      </c>
      <c r="H6" s="71">
        <v>2</v>
      </c>
      <c r="I6" s="71">
        <v>1</v>
      </c>
      <c r="J6" s="71">
        <v>2</v>
      </c>
      <c r="K6" s="71">
        <v>3</v>
      </c>
      <c r="L6" s="71">
        <v>3</v>
      </c>
      <c r="M6" s="71">
        <v>1</v>
      </c>
      <c r="N6" s="181">
        <f>IF( OR( ISBLANK(H6),ISBLANK(J6), ISBLANK(K6), ISBLANK(L6), ISBLANK(M6) ), "", 1.5*SQRT(   EXP(2.21*(H6-1)) + EXP(2.21*(J6-1)) + EXP(2.21*(K6-1)) + EXP(2.21*(L6-1)) + EXP(2.21*M6)   )/100*2.45 )</f>
        <v>0.51126068492676302</v>
      </c>
      <c r="O6" s="227"/>
    </row>
    <row r="7" spans="1:15">
      <c r="E7" s="16"/>
    </row>
    <row r="8" spans="1:15" ht="15.75" thickBot="1">
      <c r="A8" s="615" t="s">
        <v>417</v>
      </c>
      <c r="B8" s="9" t="s">
        <v>232</v>
      </c>
      <c r="C8" s="122" t="s">
        <v>139</v>
      </c>
      <c r="D8" s="9" t="s">
        <v>139</v>
      </c>
      <c r="E8" s="315">
        <f>0.004*0.0001/100</f>
        <v>4.0000000000000002E-9</v>
      </c>
      <c r="F8" s="315">
        <v>2</v>
      </c>
      <c r="G8" s="227" t="s">
        <v>252</v>
      </c>
      <c r="H8" s="15">
        <v>2</v>
      </c>
      <c r="I8" s="15">
        <v>1</v>
      </c>
      <c r="J8" s="15">
        <v>2</v>
      </c>
      <c r="K8" s="15">
        <v>3</v>
      </c>
      <c r="L8" s="15">
        <v>3</v>
      </c>
      <c r="M8" s="15">
        <v>2</v>
      </c>
      <c r="N8" s="178">
        <f t="shared" ref="N8:N13" si="0">IF( OR( ISBLANK(H8),ISBLANK(J8), ISBLANK(K8), ISBLANK(L8), ISBLANK(M8) ), "", 1.5*SQRT(   EXP(2.21*(H8-1)) + EXP(2.21*(J8-1)) + EXP(2.21*(K8-1)) + EXP(2.21*(L8-1)) + EXP(2.21*M8)   )/100*2.45 )</f>
        <v>0.60108474454521421</v>
      </c>
      <c r="O8" s="227"/>
    </row>
    <row r="9" spans="1:15">
      <c r="A9" s="615" t="s">
        <v>417</v>
      </c>
      <c r="B9" s="9" t="s">
        <v>232</v>
      </c>
      <c r="C9" s="122" t="s">
        <v>139</v>
      </c>
      <c r="D9" s="9" t="s">
        <v>139</v>
      </c>
      <c r="E9" s="315">
        <f>0.004*0.04/100</f>
        <v>1.6000000000000001E-6</v>
      </c>
      <c r="F9" s="315">
        <v>2</v>
      </c>
      <c r="G9" s="227" t="s">
        <v>252</v>
      </c>
      <c r="H9" s="13">
        <v>2</v>
      </c>
      <c r="I9" s="13">
        <v>1</v>
      </c>
      <c r="J9" s="13">
        <v>2</v>
      </c>
      <c r="K9" s="13">
        <v>3</v>
      </c>
      <c r="L9" s="13">
        <v>3</v>
      </c>
      <c r="M9" s="13">
        <v>2</v>
      </c>
      <c r="N9" s="178">
        <f t="shared" si="0"/>
        <v>0.60108474454521421</v>
      </c>
      <c r="O9" s="227"/>
    </row>
    <row r="10" spans="1:15">
      <c r="A10" s="615" t="s">
        <v>417</v>
      </c>
      <c r="B10" s="9" t="s">
        <v>251</v>
      </c>
      <c r="C10" s="122" t="s">
        <v>139</v>
      </c>
      <c r="D10" s="9" t="s">
        <v>139</v>
      </c>
      <c r="E10" s="315">
        <f>(1-0.008)*0.0001/100</f>
        <v>9.9199999999999999E-7</v>
      </c>
      <c r="F10" s="315">
        <v>2</v>
      </c>
      <c r="G10" s="227" t="s">
        <v>252</v>
      </c>
      <c r="H10" s="15">
        <v>2</v>
      </c>
      <c r="I10" s="15">
        <v>1</v>
      </c>
      <c r="J10" s="15">
        <v>2</v>
      </c>
      <c r="K10" s="15">
        <v>3</v>
      </c>
      <c r="L10" s="15">
        <v>3</v>
      </c>
      <c r="M10" s="15">
        <v>2</v>
      </c>
      <c r="N10" s="178">
        <f t="shared" si="0"/>
        <v>0.60108474454521421</v>
      </c>
      <c r="O10" s="227"/>
    </row>
    <row r="11" spans="1:15">
      <c r="A11" s="615" t="s">
        <v>417</v>
      </c>
      <c r="B11" s="9" t="s">
        <v>251</v>
      </c>
      <c r="C11" s="122" t="s">
        <v>139</v>
      </c>
      <c r="D11" s="9" t="s">
        <v>139</v>
      </c>
      <c r="E11" s="315">
        <f>(1-0.008)*0.04/100</f>
        <v>3.968E-4</v>
      </c>
      <c r="F11" s="315">
        <v>2</v>
      </c>
      <c r="G11" s="227" t="s">
        <v>252</v>
      </c>
      <c r="H11" s="71">
        <v>2</v>
      </c>
      <c r="I11" s="71">
        <v>1</v>
      </c>
      <c r="J11" s="71">
        <v>2</v>
      </c>
      <c r="K11" s="71">
        <v>3</v>
      </c>
      <c r="L11" s="71">
        <v>3</v>
      </c>
      <c r="M11" s="71">
        <v>2</v>
      </c>
      <c r="N11" s="181">
        <f t="shared" si="0"/>
        <v>0.60108474454521421</v>
      </c>
      <c r="O11" s="227"/>
    </row>
    <row r="12" spans="1:15">
      <c r="A12" s="615" t="s">
        <v>417</v>
      </c>
      <c r="B12" s="9" t="s">
        <v>231</v>
      </c>
      <c r="C12" s="122" t="s">
        <v>139</v>
      </c>
      <c r="D12" s="9" t="s">
        <v>139</v>
      </c>
      <c r="E12" s="315">
        <f>0.004*0.0001/100</f>
        <v>4.0000000000000002E-9</v>
      </c>
      <c r="F12" s="315">
        <v>2</v>
      </c>
      <c r="G12" s="227" t="s">
        <v>252</v>
      </c>
      <c r="H12" s="71">
        <v>2</v>
      </c>
      <c r="I12" s="71">
        <v>1</v>
      </c>
      <c r="J12" s="71">
        <v>2</v>
      </c>
      <c r="K12" s="71">
        <v>3</v>
      </c>
      <c r="L12" s="71">
        <v>3</v>
      </c>
      <c r="M12" s="71">
        <v>2</v>
      </c>
      <c r="N12" s="181">
        <f t="shared" si="0"/>
        <v>0.60108474454521421</v>
      </c>
      <c r="O12" s="227"/>
    </row>
    <row r="13" spans="1:15">
      <c r="A13" s="615" t="s">
        <v>417</v>
      </c>
      <c r="B13" s="9" t="s">
        <v>231</v>
      </c>
      <c r="C13" s="122" t="s">
        <v>139</v>
      </c>
      <c r="D13" s="9" t="s">
        <v>139</v>
      </c>
      <c r="E13" s="315">
        <f>0.004*0.04/100</f>
        <v>1.6000000000000001E-6</v>
      </c>
      <c r="F13" s="315">
        <v>2</v>
      </c>
      <c r="G13" s="227" t="s">
        <v>252</v>
      </c>
      <c r="H13" s="71">
        <v>2</v>
      </c>
      <c r="I13" s="71">
        <v>1</v>
      </c>
      <c r="J13" s="71">
        <v>2</v>
      </c>
      <c r="K13" s="71">
        <v>3</v>
      </c>
      <c r="L13" s="71">
        <v>3</v>
      </c>
      <c r="M13" s="71">
        <v>2</v>
      </c>
      <c r="N13" s="181">
        <f t="shared" si="0"/>
        <v>0.60108474454521421</v>
      </c>
      <c r="O13" s="227"/>
    </row>
    <row r="14" spans="1:15">
      <c r="E14" s="16"/>
    </row>
    <row r="15" spans="1:15" ht="15.75" thickBot="1">
      <c r="A15" s="9" t="s">
        <v>283</v>
      </c>
      <c r="B15" s="122" t="s">
        <v>1170</v>
      </c>
      <c r="C15" s="9" t="s">
        <v>139</v>
      </c>
      <c r="D15" s="9" t="s">
        <v>139</v>
      </c>
      <c r="E15" s="315">
        <f>0.004*0.0001/100</f>
        <v>4.0000000000000002E-9</v>
      </c>
      <c r="F15" s="315">
        <v>2</v>
      </c>
      <c r="G15" s="227" t="s">
        <v>252</v>
      </c>
      <c r="H15" s="15">
        <v>2</v>
      </c>
      <c r="I15" s="15">
        <v>1</v>
      </c>
      <c r="J15" s="15">
        <v>2</v>
      </c>
      <c r="K15" s="15">
        <v>3</v>
      </c>
      <c r="L15" s="15">
        <v>3</v>
      </c>
      <c r="M15" s="15">
        <v>1</v>
      </c>
      <c r="N15" s="178">
        <f>IF( OR( ISBLANK(H15),ISBLANK(J15), ISBLANK(K15), ISBLANK(L15), ISBLANK(M15) ), "", 1.5*SQRT(   EXP(2.21*(H15-1)) + EXP(2.21*(J15-1)) + EXP(2.21*(K15-1)) + EXP(2.21*(L15-1)) + EXP(2.21*M15)   )/100*2.45 )</f>
        <v>0.51126068492676302</v>
      </c>
      <c r="O15" s="227"/>
    </row>
    <row r="16" spans="1:15">
      <c r="A16" s="9" t="s">
        <v>283</v>
      </c>
      <c r="B16" s="122" t="s">
        <v>1170</v>
      </c>
      <c r="C16" s="9" t="s">
        <v>139</v>
      </c>
      <c r="D16" s="9" t="s">
        <v>139</v>
      </c>
      <c r="E16" s="315">
        <f>0.004*0.04/100</f>
        <v>1.6000000000000001E-6</v>
      </c>
      <c r="F16" s="315">
        <v>2</v>
      </c>
      <c r="G16" s="227" t="s">
        <v>252</v>
      </c>
      <c r="H16" s="13">
        <v>2</v>
      </c>
      <c r="I16" s="13">
        <v>1</v>
      </c>
      <c r="J16" s="13">
        <v>2</v>
      </c>
      <c r="K16" s="13">
        <v>3</v>
      </c>
      <c r="L16" s="13">
        <v>3</v>
      </c>
      <c r="M16" s="13">
        <v>1</v>
      </c>
      <c r="N16" s="178">
        <f>IF( OR( ISBLANK(H16),ISBLANK(J16), ISBLANK(K16), ISBLANK(L16), ISBLANK(M16) ), "", 1.5*SQRT(   EXP(2.21*(H16-1)) + EXP(2.21*(J16-1)) + EXP(2.21*(K16-1)) + EXP(2.21*(L16-1)) + EXP(2.21*M16)   )/100*2.45 )</f>
        <v>0.51126068492676302</v>
      </c>
      <c r="O16" s="227"/>
    </row>
    <row r="17" spans="1:16">
      <c r="A17" s="9" t="s">
        <v>283</v>
      </c>
      <c r="B17" s="122" t="s">
        <v>251</v>
      </c>
      <c r="C17" s="9" t="s">
        <v>139</v>
      </c>
      <c r="D17" s="9" t="s">
        <v>139</v>
      </c>
      <c r="E17" s="315">
        <f>(1-0.004)*0.0001/100</f>
        <v>9.9600000000000008E-7</v>
      </c>
      <c r="F17" s="315">
        <v>2</v>
      </c>
      <c r="G17" s="227" t="s">
        <v>252</v>
      </c>
      <c r="H17" s="15">
        <v>2</v>
      </c>
      <c r="I17" s="15">
        <v>1</v>
      </c>
      <c r="J17" s="15">
        <v>2</v>
      </c>
      <c r="K17" s="15">
        <v>3</v>
      </c>
      <c r="L17" s="15">
        <v>3</v>
      </c>
      <c r="M17" s="15">
        <v>1</v>
      </c>
      <c r="N17" s="178">
        <f>IF( OR( ISBLANK(H17),ISBLANK(J17), ISBLANK(K17), ISBLANK(L17), ISBLANK(M17) ), "", 1.5*SQRT(   EXP(2.21*(H17-1)) + EXP(2.21*(J17-1)) + EXP(2.21*(K17-1)) + EXP(2.21*(L17-1)) + EXP(2.21*M17)   )/100*2.45 )</f>
        <v>0.51126068492676302</v>
      </c>
      <c r="O17" s="227"/>
    </row>
    <row r="18" spans="1:16">
      <c r="A18" s="9" t="s">
        <v>283</v>
      </c>
      <c r="B18" s="122" t="s">
        <v>251</v>
      </c>
      <c r="C18" s="9" t="s">
        <v>139</v>
      </c>
      <c r="D18" s="9" t="s">
        <v>139</v>
      </c>
      <c r="E18" s="315">
        <f>(1-0.004)*0.04/100</f>
        <v>3.9839999999999998E-4</v>
      </c>
      <c r="F18" s="315">
        <v>2</v>
      </c>
      <c r="G18" s="227" t="s">
        <v>252</v>
      </c>
      <c r="H18" s="71">
        <v>2</v>
      </c>
      <c r="I18" s="71">
        <v>1</v>
      </c>
      <c r="J18" s="71">
        <v>2</v>
      </c>
      <c r="K18" s="71">
        <v>3</v>
      </c>
      <c r="L18" s="71">
        <v>3</v>
      </c>
      <c r="M18" s="71">
        <v>1</v>
      </c>
      <c r="N18" s="181">
        <f>IF( OR( ISBLANK(H18),ISBLANK(J18), ISBLANK(K18), ISBLANK(L18), ISBLANK(M18) ), "", 1.5*SQRT(   EXP(2.21*(H18-1)) + EXP(2.21*(J18-1)) + EXP(2.21*(K18-1)) + EXP(2.21*(L18-1)) + EXP(2.21*M18)   )/100*2.45 )</f>
        <v>0.51126068492676302</v>
      </c>
      <c r="O18" s="227"/>
    </row>
    <row r="19" spans="1:16">
      <c r="E19" s="16"/>
    </row>
    <row r="20" spans="1:16">
      <c r="A20" s="9" t="s">
        <v>109</v>
      </c>
      <c r="B20" s="9" t="s">
        <v>261</v>
      </c>
      <c r="C20" s="9" t="s">
        <v>139</v>
      </c>
      <c r="D20" s="9" t="s">
        <v>139</v>
      </c>
      <c r="E20" s="788">
        <v>9.9999999999999995E-7</v>
      </c>
      <c r="F20" s="9">
        <v>2</v>
      </c>
      <c r="G20" s="187" t="s">
        <v>1995</v>
      </c>
      <c r="H20" s="10">
        <v>2</v>
      </c>
      <c r="I20" s="10">
        <v>2</v>
      </c>
      <c r="J20" s="10">
        <v>3</v>
      </c>
      <c r="K20" s="10">
        <v>3</v>
      </c>
      <c r="L20" s="10">
        <v>3</v>
      </c>
      <c r="M20" s="10">
        <v>2</v>
      </c>
      <c r="N20" s="411">
        <f>IF( OR( ISBLANK(H20),ISBLANK(J20), ISBLANK(K20), ISBLANK(L20), ISBLANK(M20) ), "", 1.5*SQRT(   EXP(2.21*(H20-1)) + EXP(2.21*(J20-1)) + EXP(2.21*(K20-1)) + EXP(2.21*(L20-1)) + EXP(2.21*M20)   )/100*2.45 )</f>
        <v>0.67913051197703389</v>
      </c>
      <c r="O20" s="411">
        <f>IF( OR( ISBLANK(I20),ISBLANK(J20), ISBLANK(K20), ISBLANK(L20), ISBLANK(M20) ), "", 1.5*SQRT( EXP(2.21*(I20-1)) + EXP(2.21*(J20-1)) + EXP(2.21*(K20-1)) + EXP(2.21*(L20-1)) + EXP(2.21*M20)   )/100*2.45 )</f>
        <v>0.67913051197703389</v>
      </c>
      <c r="P20" s="9" t="s">
        <v>525</v>
      </c>
    </row>
    <row r="21" spans="1:16">
      <c r="A21" s="9" t="s">
        <v>109</v>
      </c>
      <c r="B21" s="9" t="s">
        <v>261</v>
      </c>
      <c r="C21" s="9" t="s">
        <v>139</v>
      </c>
      <c r="D21" s="9" t="s">
        <v>139</v>
      </c>
      <c r="E21" s="788">
        <v>4.0000000000000002E-4</v>
      </c>
      <c r="F21" s="9">
        <v>2</v>
      </c>
      <c r="G21" s="187" t="s">
        <v>1995</v>
      </c>
      <c r="H21" s="10">
        <v>2</v>
      </c>
      <c r="I21" s="10">
        <v>2</v>
      </c>
      <c r="J21" s="10">
        <v>3</v>
      </c>
      <c r="K21" s="10">
        <v>3</v>
      </c>
      <c r="L21" s="10">
        <v>3</v>
      </c>
      <c r="M21" s="10">
        <v>2</v>
      </c>
      <c r="N21" s="411">
        <f>IF( OR( ISBLANK(H21),ISBLANK(J21), ISBLANK(K21), ISBLANK(L21), ISBLANK(M21) ), "", 1.5*SQRT(   EXP(2.21*(H21-1)) + EXP(2.21*(J21-1)) + EXP(2.21*(K21-1)) + EXP(2.21*(L21-1)) + EXP(2.21*M21)   )/100*2.45 )</f>
        <v>0.67913051197703389</v>
      </c>
      <c r="O21" s="411">
        <f>IF( OR( ISBLANK(I21),ISBLANK(J21), ISBLANK(K21), ISBLANK(L21), ISBLANK(M21) ), "", 1.5*SQRT( EXP(2.21*(I21-1)) + EXP(2.21*(J21-1)) + EXP(2.21*(K21-1)) + EXP(2.21*(L21-1)) + EXP(2.21*M21)   )/100*2.45 )</f>
        <v>0.67913051197703389</v>
      </c>
      <c r="P21" s="9" t="s">
        <v>525</v>
      </c>
    </row>
    <row r="23" spans="1:16">
      <c r="A23" s="7" t="s">
        <v>2008</v>
      </c>
    </row>
  </sheetData>
  <conditionalFormatting sqref="H3:H6">
    <cfRule type="dataBar" priority="56">
      <dataBar>
        <cfvo type="min"/>
        <cfvo type="num" val="4"/>
        <color rgb="FFFFC000"/>
      </dataBar>
      <extLst>
        <ext xmlns:x14="http://schemas.microsoft.com/office/spreadsheetml/2009/9/main" uri="{B025F937-C7B1-47D3-B67F-A62EFF666E3E}">
          <x14:id>{B1B415F0-89FA-4A05-ADC7-31AFE6B05238}</x14:id>
        </ext>
      </extLst>
    </cfRule>
  </conditionalFormatting>
  <conditionalFormatting sqref="H8:H13">
    <cfRule type="dataBar" priority="36">
      <dataBar>
        <cfvo type="min"/>
        <cfvo type="num" val="4"/>
        <color rgb="FFFFC000"/>
      </dataBar>
      <extLst>
        <ext xmlns:x14="http://schemas.microsoft.com/office/spreadsheetml/2009/9/main" uri="{B025F937-C7B1-47D3-B67F-A62EFF666E3E}">
          <x14:id>{F041FF15-CB4B-4FEE-B5BB-00C70E24D585}</x14:id>
        </ext>
      </extLst>
    </cfRule>
  </conditionalFormatting>
  <conditionalFormatting sqref="H15:H18">
    <cfRule type="dataBar" priority="16">
      <dataBar>
        <cfvo type="min"/>
        <cfvo type="num" val="4"/>
        <color rgb="FFFFC000"/>
      </dataBar>
      <extLst>
        <ext xmlns:x14="http://schemas.microsoft.com/office/spreadsheetml/2009/9/main" uri="{B025F937-C7B1-47D3-B67F-A62EFF666E3E}">
          <x14:id>{CEAD9282-9821-4002-9A33-A49F68817248}</x14:id>
        </ext>
      </extLst>
    </cfRule>
  </conditionalFormatting>
  <conditionalFormatting sqref="H3:M6">
    <cfRule type="cellIs" dxfId="28" priority="52" stopIfTrue="1" operator="notBetween">
      <formula>1</formula>
      <formula>4</formula>
    </cfRule>
  </conditionalFormatting>
  <conditionalFormatting sqref="H8:M13">
    <cfRule type="cellIs" dxfId="27" priority="32" stopIfTrue="1" operator="notBetween">
      <formula>1</formula>
      <formula>4</formula>
    </cfRule>
  </conditionalFormatting>
  <conditionalFormatting sqref="H15:M18">
    <cfRule type="cellIs" dxfId="26" priority="12" stopIfTrue="1" operator="notBetween">
      <formula>1</formula>
      <formula>4</formula>
    </cfRule>
  </conditionalFormatting>
  <conditionalFormatting sqref="H20:M21">
    <cfRule type="dataBar" priority="2">
      <dataBar>
        <cfvo type="min"/>
        <cfvo type="num" val="4"/>
        <color rgb="FFFFC000"/>
      </dataBar>
      <extLst>
        <ext xmlns:x14="http://schemas.microsoft.com/office/spreadsheetml/2009/9/main" uri="{B025F937-C7B1-47D3-B67F-A62EFF666E3E}">
          <x14:id>{00E50AA6-3B51-4430-8713-D2B95C64276C}</x14:id>
        </ext>
      </extLst>
    </cfRule>
    <cfRule type="cellIs" dxfId="25" priority="4" stopIfTrue="1" operator="notBetween">
      <formula>1</formula>
      <formula>4</formula>
    </cfRule>
  </conditionalFormatting>
  <conditionalFormatting sqref="H3:N6">
    <cfRule type="containsBlanks" dxfId="24" priority="49">
      <formula>LEN(TRIM(H3))=0</formula>
    </cfRule>
  </conditionalFormatting>
  <conditionalFormatting sqref="H8:N13">
    <cfRule type="containsBlanks" dxfId="23" priority="29">
      <formula>LEN(TRIM(H8))=0</formula>
    </cfRule>
  </conditionalFormatting>
  <conditionalFormatting sqref="H15:N18">
    <cfRule type="containsBlanks" dxfId="22" priority="9">
      <formula>LEN(TRIM(H15))=0</formula>
    </cfRule>
  </conditionalFormatting>
  <conditionalFormatting sqref="H20:O21">
    <cfRule type="containsBlanks" dxfId="21" priority="1">
      <formula>LEN(TRIM(H20))=0</formula>
    </cfRule>
  </conditionalFormatting>
  <conditionalFormatting sqref="I3:I6">
    <cfRule type="dataBar" priority="59">
      <dataBar>
        <cfvo type="min"/>
        <cfvo type="num" val="4"/>
        <color rgb="FFFFC000"/>
      </dataBar>
      <extLst>
        <ext xmlns:x14="http://schemas.microsoft.com/office/spreadsheetml/2009/9/main" uri="{B025F937-C7B1-47D3-B67F-A62EFF666E3E}">
          <x14:id>{EA5B06FA-FBD4-4D1B-BD04-DBD4E75BE6C8}</x14:id>
        </ext>
      </extLst>
    </cfRule>
  </conditionalFormatting>
  <conditionalFormatting sqref="I8:I13">
    <cfRule type="dataBar" priority="39">
      <dataBar>
        <cfvo type="min"/>
        <cfvo type="num" val="4"/>
        <color rgb="FFFFC000"/>
      </dataBar>
      <extLst>
        <ext xmlns:x14="http://schemas.microsoft.com/office/spreadsheetml/2009/9/main" uri="{B025F937-C7B1-47D3-B67F-A62EFF666E3E}">
          <x14:id>{2A38161A-CA79-4B76-B291-670B84C04EBF}</x14:id>
        </ext>
      </extLst>
    </cfRule>
  </conditionalFormatting>
  <conditionalFormatting sqref="I15:I18">
    <cfRule type="dataBar" priority="19">
      <dataBar>
        <cfvo type="min"/>
        <cfvo type="num" val="4"/>
        <color rgb="FFFFC000"/>
      </dataBar>
      <extLst>
        <ext xmlns:x14="http://schemas.microsoft.com/office/spreadsheetml/2009/9/main" uri="{B025F937-C7B1-47D3-B67F-A62EFF666E3E}">
          <x14:id>{05D9FE1C-0580-4118-9DF4-E6A7600F25C9}</x14:id>
        </ext>
      </extLst>
    </cfRule>
  </conditionalFormatting>
  <conditionalFormatting sqref="J3:J6">
    <cfRule type="dataBar" priority="53">
      <dataBar>
        <cfvo type="min"/>
        <cfvo type="num" val="4"/>
        <color rgb="FFFFC000"/>
      </dataBar>
      <extLst>
        <ext xmlns:x14="http://schemas.microsoft.com/office/spreadsheetml/2009/9/main" uri="{B025F937-C7B1-47D3-B67F-A62EFF666E3E}">
          <x14:id>{A0703011-F311-442F-B721-69322ED610D6}</x14:id>
        </ext>
      </extLst>
    </cfRule>
  </conditionalFormatting>
  <conditionalFormatting sqref="J8:J13">
    <cfRule type="dataBar" priority="33">
      <dataBar>
        <cfvo type="min"/>
        <cfvo type="num" val="4"/>
        <color rgb="FFFFC000"/>
      </dataBar>
      <extLst>
        <ext xmlns:x14="http://schemas.microsoft.com/office/spreadsheetml/2009/9/main" uri="{B025F937-C7B1-47D3-B67F-A62EFF666E3E}">
          <x14:id>{829A8AD5-4648-4D6D-B80E-FBA4845D0FA9}</x14:id>
        </ext>
      </extLst>
    </cfRule>
  </conditionalFormatting>
  <conditionalFormatting sqref="J15:J18">
    <cfRule type="dataBar" priority="13">
      <dataBar>
        <cfvo type="min"/>
        <cfvo type="num" val="4"/>
        <color rgb="FFFFC000"/>
      </dataBar>
      <extLst>
        <ext xmlns:x14="http://schemas.microsoft.com/office/spreadsheetml/2009/9/main" uri="{B025F937-C7B1-47D3-B67F-A62EFF666E3E}">
          <x14:id>{87CF3383-9CDA-4CB4-9DD7-3E6DFCD43C67}</x14:id>
        </ext>
      </extLst>
    </cfRule>
  </conditionalFormatting>
  <conditionalFormatting sqref="K3:K6">
    <cfRule type="dataBar" priority="68">
      <dataBar>
        <cfvo type="min"/>
        <cfvo type="num" val="4"/>
        <color rgb="FFFFC000"/>
      </dataBar>
      <extLst>
        <ext xmlns:x14="http://schemas.microsoft.com/office/spreadsheetml/2009/9/main" uri="{B025F937-C7B1-47D3-B67F-A62EFF666E3E}">
          <x14:id>{5B536303-3909-4794-875D-5EB4BB24D3E5}</x14:id>
        </ext>
      </extLst>
    </cfRule>
  </conditionalFormatting>
  <conditionalFormatting sqref="K8:K13">
    <cfRule type="dataBar" priority="48">
      <dataBar>
        <cfvo type="min"/>
        <cfvo type="num" val="4"/>
        <color rgb="FFFFC000"/>
      </dataBar>
      <extLst>
        <ext xmlns:x14="http://schemas.microsoft.com/office/spreadsheetml/2009/9/main" uri="{B025F937-C7B1-47D3-B67F-A62EFF666E3E}">
          <x14:id>{CAEB5974-37D4-4A99-99C0-A63AC40023DE}</x14:id>
        </ext>
      </extLst>
    </cfRule>
  </conditionalFormatting>
  <conditionalFormatting sqref="K15:K18">
    <cfRule type="dataBar" priority="28">
      <dataBar>
        <cfvo type="min"/>
        <cfvo type="num" val="4"/>
        <color rgb="FFFFC000"/>
      </dataBar>
      <extLst>
        <ext xmlns:x14="http://schemas.microsoft.com/office/spreadsheetml/2009/9/main" uri="{B025F937-C7B1-47D3-B67F-A62EFF666E3E}">
          <x14:id>{DD402FCA-45B2-4974-94F7-EC7FA300C99E}</x14:id>
        </ext>
      </extLst>
    </cfRule>
  </conditionalFormatting>
  <conditionalFormatting sqref="L3:L6">
    <cfRule type="dataBar" priority="65">
      <dataBar>
        <cfvo type="min"/>
        <cfvo type="num" val="4"/>
        <color rgb="FFFFC000"/>
      </dataBar>
      <extLst>
        <ext xmlns:x14="http://schemas.microsoft.com/office/spreadsheetml/2009/9/main" uri="{B025F937-C7B1-47D3-B67F-A62EFF666E3E}">
          <x14:id>{CBFBEC0B-1E3A-4717-8B6A-493202C50762}</x14:id>
        </ext>
      </extLst>
    </cfRule>
  </conditionalFormatting>
  <conditionalFormatting sqref="L8:L13">
    <cfRule type="dataBar" priority="45">
      <dataBar>
        <cfvo type="min"/>
        <cfvo type="num" val="4"/>
        <color rgb="FFFFC000"/>
      </dataBar>
      <extLst>
        <ext xmlns:x14="http://schemas.microsoft.com/office/spreadsheetml/2009/9/main" uri="{B025F937-C7B1-47D3-B67F-A62EFF666E3E}">
          <x14:id>{90658C68-C595-4D0F-ABFC-7D172670F329}</x14:id>
        </ext>
      </extLst>
    </cfRule>
  </conditionalFormatting>
  <conditionalFormatting sqref="L15:L18">
    <cfRule type="dataBar" priority="25">
      <dataBar>
        <cfvo type="min"/>
        <cfvo type="num" val="4"/>
        <color rgb="FFFFC000"/>
      </dataBar>
      <extLst>
        <ext xmlns:x14="http://schemas.microsoft.com/office/spreadsheetml/2009/9/main" uri="{B025F937-C7B1-47D3-B67F-A62EFF666E3E}">
          <x14:id>{9DEDFAD9-2BDE-4383-985B-D3508DECD198}</x14:id>
        </ext>
      </extLst>
    </cfRule>
  </conditionalFormatting>
  <conditionalFormatting sqref="M3:M6">
    <cfRule type="dataBar" priority="62">
      <dataBar>
        <cfvo type="min"/>
        <cfvo type="num" val="4"/>
        <color rgb="FFFFC000"/>
      </dataBar>
      <extLst>
        <ext xmlns:x14="http://schemas.microsoft.com/office/spreadsheetml/2009/9/main" uri="{B025F937-C7B1-47D3-B67F-A62EFF666E3E}">
          <x14:id>{639FBE73-C9D0-4D88-9441-DBC276217C9F}</x14:id>
        </ext>
      </extLst>
    </cfRule>
  </conditionalFormatting>
  <conditionalFormatting sqref="M8:M13">
    <cfRule type="dataBar" priority="42">
      <dataBar>
        <cfvo type="min"/>
        <cfvo type="num" val="4"/>
        <color rgb="FFFFC000"/>
      </dataBar>
      <extLst>
        <ext xmlns:x14="http://schemas.microsoft.com/office/spreadsheetml/2009/9/main" uri="{B025F937-C7B1-47D3-B67F-A62EFF666E3E}">
          <x14:id>{E4AF88EA-6F83-4423-95D8-53CA44287717}</x14:id>
        </ext>
      </extLst>
    </cfRule>
  </conditionalFormatting>
  <conditionalFormatting sqref="M15:M18">
    <cfRule type="dataBar" priority="22">
      <dataBar>
        <cfvo type="min"/>
        <cfvo type="num" val="4"/>
        <color rgb="FFFFC000"/>
      </dataBar>
      <extLst>
        <ext xmlns:x14="http://schemas.microsoft.com/office/spreadsheetml/2009/9/main" uri="{B025F937-C7B1-47D3-B67F-A62EFF666E3E}">
          <x14:id>{67F46E21-E2D7-4598-A3E0-4D5FC574F52F}</x14:id>
        </ext>
      </extLst>
    </cfRule>
  </conditionalFormatting>
  <conditionalFormatting sqref="N3:N6">
    <cfRule type="dataBar" priority="50">
      <dataBar>
        <cfvo type="min"/>
        <cfvo type="max"/>
        <color rgb="FF3FCDFF"/>
      </dataBar>
      <extLst>
        <ext xmlns:x14="http://schemas.microsoft.com/office/spreadsheetml/2009/9/main" uri="{B025F937-C7B1-47D3-B67F-A62EFF666E3E}">
          <x14:id>{795E9577-5BAA-4B70-80D1-3A9580758BEF}</x14:id>
        </ext>
      </extLst>
    </cfRule>
  </conditionalFormatting>
  <conditionalFormatting sqref="N8:N13">
    <cfRule type="dataBar" priority="30">
      <dataBar>
        <cfvo type="min"/>
        <cfvo type="max"/>
        <color rgb="FF3FCDFF"/>
      </dataBar>
      <extLst>
        <ext xmlns:x14="http://schemas.microsoft.com/office/spreadsheetml/2009/9/main" uri="{B025F937-C7B1-47D3-B67F-A62EFF666E3E}">
          <x14:id>{4CE2BAF4-5D47-4685-97F0-E5B2257F6C49}</x14:id>
        </ext>
      </extLst>
    </cfRule>
  </conditionalFormatting>
  <conditionalFormatting sqref="N15:N18">
    <cfRule type="dataBar" priority="10">
      <dataBar>
        <cfvo type="min"/>
        <cfvo type="max"/>
        <color rgb="FF3FCDFF"/>
      </dataBar>
      <extLst>
        <ext xmlns:x14="http://schemas.microsoft.com/office/spreadsheetml/2009/9/main" uri="{B025F937-C7B1-47D3-B67F-A62EFF666E3E}">
          <x14:id>{9F027037-FDD2-450A-8F4E-E9739F83C86D}</x14:id>
        </ext>
      </extLst>
    </cfRule>
  </conditionalFormatting>
  <conditionalFormatting sqref="N20:N21">
    <cfRule type="dataBar" priority="6">
      <dataBar>
        <cfvo type="min"/>
        <cfvo type="max"/>
        <color rgb="FF3FCDFF"/>
      </dataBar>
      <extLst>
        <ext xmlns:x14="http://schemas.microsoft.com/office/spreadsheetml/2009/9/main" uri="{B025F937-C7B1-47D3-B67F-A62EFF666E3E}">
          <x14:id>{E498EC96-D658-4143-A678-485B8BE8E6F0}</x14:id>
        </ext>
      </extLst>
    </cfRule>
  </conditionalFormatting>
  <conditionalFormatting sqref="O20:O21">
    <cfRule type="dataBar" priority="7">
      <dataBar>
        <cfvo type="min"/>
        <cfvo type="max"/>
        <color rgb="FF3FCDFF"/>
      </dataBar>
      <extLst>
        <ext xmlns:x14="http://schemas.microsoft.com/office/spreadsheetml/2009/9/main" uri="{B025F937-C7B1-47D3-B67F-A62EFF666E3E}">
          <x14:id>{527FB0B7-B316-4548-85C3-057BFA8B4BBF}</x14:id>
        </ext>
      </extLst>
    </cfRule>
  </conditionalFormatting>
  <conditionalFormatting sqref="P20:P21">
    <cfRule type="containsText" dxfId="20" priority="5" operator="containsText" text="Actual TC">
      <formula>NOT(ISERROR(SEARCH("Actual TC",P20)))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B1B415F0-89FA-4A05-ADC7-31AFE6B05238}">
            <x14:dataBar minLength="0" maxLength="100" gradient="0">
              <x14:cfvo type="autoMin"/>
              <x14:cfvo type="num">
                <xm:f>4</xm:f>
              </x14:cfvo>
              <x14:negativeFillColor rgb="FFFF0000"/>
              <x14:axisColor rgb="FF000000"/>
            </x14:dataBar>
          </x14:cfRule>
          <xm:sqref>H3:H6</xm:sqref>
        </x14:conditionalFormatting>
        <x14:conditionalFormatting xmlns:xm="http://schemas.microsoft.com/office/excel/2006/main">
          <x14:cfRule type="dataBar" id="{F041FF15-CB4B-4FEE-B5BB-00C70E24D585}">
            <x14:dataBar minLength="0" maxLength="100" gradient="0">
              <x14:cfvo type="autoMin"/>
              <x14:cfvo type="num">
                <xm:f>4</xm:f>
              </x14:cfvo>
              <x14:negativeFillColor rgb="FFFF0000"/>
              <x14:axisColor rgb="FF000000"/>
            </x14:dataBar>
          </x14:cfRule>
          <xm:sqref>H8:H13</xm:sqref>
        </x14:conditionalFormatting>
        <x14:conditionalFormatting xmlns:xm="http://schemas.microsoft.com/office/excel/2006/main">
          <x14:cfRule type="dataBar" id="{CEAD9282-9821-4002-9A33-A49F68817248}">
            <x14:dataBar minLength="0" maxLength="100" gradient="0">
              <x14:cfvo type="autoMin"/>
              <x14:cfvo type="num">
                <xm:f>4</xm:f>
              </x14:cfvo>
              <x14:negativeFillColor rgb="FFFF0000"/>
              <x14:axisColor rgb="FF000000"/>
            </x14:dataBar>
          </x14:cfRule>
          <xm:sqref>H15:H18</xm:sqref>
        </x14:conditionalFormatting>
        <x14:conditionalFormatting xmlns:xm="http://schemas.microsoft.com/office/excel/2006/main">
          <x14:cfRule type="dataBar" id="{00E50AA6-3B51-4430-8713-D2B95C64276C}">
            <x14:dataBar minLength="0" maxLength="100" gradient="0">
              <x14:cfvo type="autoMin"/>
              <x14:cfvo type="num">
                <xm:f>4</xm:f>
              </x14:cfvo>
              <x14:negativeFillColor rgb="FFFF0000"/>
              <x14:axisColor rgb="FF000000"/>
            </x14:dataBar>
          </x14:cfRule>
          <xm:sqref>H20:M21</xm:sqref>
        </x14:conditionalFormatting>
        <x14:conditionalFormatting xmlns:xm="http://schemas.microsoft.com/office/excel/2006/main">
          <x14:cfRule type="dataBar" id="{EA5B06FA-FBD4-4D1B-BD04-DBD4E75BE6C8}">
            <x14:dataBar minLength="0" maxLength="100" gradient="0">
              <x14:cfvo type="autoMin"/>
              <x14:cfvo type="num">
                <xm:f>4</xm:f>
              </x14:cfvo>
              <x14:negativeFillColor rgb="FFFF0000"/>
              <x14:axisColor rgb="FF000000"/>
            </x14:dataBar>
          </x14:cfRule>
          <xm:sqref>I3:I6</xm:sqref>
        </x14:conditionalFormatting>
        <x14:conditionalFormatting xmlns:xm="http://schemas.microsoft.com/office/excel/2006/main">
          <x14:cfRule type="dataBar" id="{2A38161A-CA79-4B76-B291-670B84C04EBF}">
            <x14:dataBar minLength="0" maxLength="100" gradient="0">
              <x14:cfvo type="autoMin"/>
              <x14:cfvo type="num">
                <xm:f>4</xm:f>
              </x14:cfvo>
              <x14:negativeFillColor rgb="FFFF0000"/>
              <x14:axisColor rgb="FF000000"/>
            </x14:dataBar>
          </x14:cfRule>
          <xm:sqref>I8:I13</xm:sqref>
        </x14:conditionalFormatting>
        <x14:conditionalFormatting xmlns:xm="http://schemas.microsoft.com/office/excel/2006/main">
          <x14:cfRule type="dataBar" id="{05D9FE1C-0580-4118-9DF4-E6A7600F25C9}">
            <x14:dataBar minLength="0" maxLength="100" gradient="0">
              <x14:cfvo type="autoMin"/>
              <x14:cfvo type="num">
                <xm:f>4</xm:f>
              </x14:cfvo>
              <x14:negativeFillColor rgb="FFFF0000"/>
              <x14:axisColor rgb="FF000000"/>
            </x14:dataBar>
          </x14:cfRule>
          <xm:sqref>I15:I18</xm:sqref>
        </x14:conditionalFormatting>
        <x14:conditionalFormatting xmlns:xm="http://schemas.microsoft.com/office/excel/2006/main">
          <x14:cfRule type="dataBar" id="{A0703011-F311-442F-B721-69322ED610D6}">
            <x14:dataBar minLength="0" maxLength="100" gradient="0">
              <x14:cfvo type="autoMin"/>
              <x14:cfvo type="num">
                <xm:f>4</xm:f>
              </x14:cfvo>
              <x14:negativeFillColor rgb="FFFF0000"/>
              <x14:axisColor rgb="FF000000"/>
            </x14:dataBar>
          </x14:cfRule>
          <xm:sqref>J3:J6</xm:sqref>
        </x14:conditionalFormatting>
        <x14:conditionalFormatting xmlns:xm="http://schemas.microsoft.com/office/excel/2006/main">
          <x14:cfRule type="dataBar" id="{829A8AD5-4648-4D6D-B80E-FBA4845D0FA9}">
            <x14:dataBar minLength="0" maxLength="100" gradient="0">
              <x14:cfvo type="autoMin"/>
              <x14:cfvo type="num">
                <xm:f>4</xm:f>
              </x14:cfvo>
              <x14:negativeFillColor rgb="FFFF0000"/>
              <x14:axisColor rgb="FF000000"/>
            </x14:dataBar>
          </x14:cfRule>
          <xm:sqref>J8:J13</xm:sqref>
        </x14:conditionalFormatting>
        <x14:conditionalFormatting xmlns:xm="http://schemas.microsoft.com/office/excel/2006/main">
          <x14:cfRule type="dataBar" id="{87CF3383-9CDA-4CB4-9DD7-3E6DFCD43C67}">
            <x14:dataBar minLength="0" maxLength="100" gradient="0">
              <x14:cfvo type="autoMin"/>
              <x14:cfvo type="num">
                <xm:f>4</xm:f>
              </x14:cfvo>
              <x14:negativeFillColor rgb="FFFF0000"/>
              <x14:axisColor rgb="FF000000"/>
            </x14:dataBar>
          </x14:cfRule>
          <xm:sqref>J15:J18</xm:sqref>
        </x14:conditionalFormatting>
        <x14:conditionalFormatting xmlns:xm="http://schemas.microsoft.com/office/excel/2006/main">
          <x14:cfRule type="dataBar" id="{5B536303-3909-4794-875D-5EB4BB24D3E5}">
            <x14:dataBar minLength="0" maxLength="100" gradient="0">
              <x14:cfvo type="autoMin"/>
              <x14:cfvo type="num">
                <xm:f>4</xm:f>
              </x14:cfvo>
              <x14:negativeFillColor rgb="FFFF0000"/>
              <x14:axisColor rgb="FF000000"/>
            </x14:dataBar>
          </x14:cfRule>
          <xm:sqref>K3:K6</xm:sqref>
        </x14:conditionalFormatting>
        <x14:conditionalFormatting xmlns:xm="http://schemas.microsoft.com/office/excel/2006/main">
          <x14:cfRule type="dataBar" id="{CAEB5974-37D4-4A99-99C0-A63AC40023DE}">
            <x14:dataBar minLength="0" maxLength="100" gradient="0">
              <x14:cfvo type="autoMin"/>
              <x14:cfvo type="num">
                <xm:f>4</xm:f>
              </x14:cfvo>
              <x14:negativeFillColor rgb="FFFF0000"/>
              <x14:axisColor rgb="FF000000"/>
            </x14:dataBar>
          </x14:cfRule>
          <xm:sqref>K8:K13</xm:sqref>
        </x14:conditionalFormatting>
        <x14:conditionalFormatting xmlns:xm="http://schemas.microsoft.com/office/excel/2006/main">
          <x14:cfRule type="dataBar" id="{DD402FCA-45B2-4974-94F7-EC7FA300C99E}">
            <x14:dataBar minLength="0" maxLength="100" gradient="0">
              <x14:cfvo type="autoMin"/>
              <x14:cfvo type="num">
                <xm:f>4</xm:f>
              </x14:cfvo>
              <x14:negativeFillColor rgb="FFFF0000"/>
              <x14:axisColor rgb="FF000000"/>
            </x14:dataBar>
          </x14:cfRule>
          <xm:sqref>K15:K18</xm:sqref>
        </x14:conditionalFormatting>
        <x14:conditionalFormatting xmlns:xm="http://schemas.microsoft.com/office/excel/2006/main">
          <x14:cfRule type="dataBar" id="{CBFBEC0B-1E3A-4717-8B6A-493202C50762}">
            <x14:dataBar minLength="0" maxLength="100" gradient="0">
              <x14:cfvo type="autoMin"/>
              <x14:cfvo type="num">
                <xm:f>4</xm:f>
              </x14:cfvo>
              <x14:negativeFillColor rgb="FFFF0000"/>
              <x14:axisColor rgb="FF000000"/>
            </x14:dataBar>
          </x14:cfRule>
          <xm:sqref>L3:L6</xm:sqref>
        </x14:conditionalFormatting>
        <x14:conditionalFormatting xmlns:xm="http://schemas.microsoft.com/office/excel/2006/main">
          <x14:cfRule type="dataBar" id="{90658C68-C595-4D0F-ABFC-7D172670F329}">
            <x14:dataBar minLength="0" maxLength="100" gradient="0">
              <x14:cfvo type="autoMin"/>
              <x14:cfvo type="num">
                <xm:f>4</xm:f>
              </x14:cfvo>
              <x14:negativeFillColor rgb="FFFF0000"/>
              <x14:axisColor rgb="FF000000"/>
            </x14:dataBar>
          </x14:cfRule>
          <xm:sqref>L8:L13</xm:sqref>
        </x14:conditionalFormatting>
        <x14:conditionalFormatting xmlns:xm="http://schemas.microsoft.com/office/excel/2006/main">
          <x14:cfRule type="dataBar" id="{9DEDFAD9-2BDE-4383-985B-D3508DECD198}">
            <x14:dataBar minLength="0" maxLength="100" gradient="0">
              <x14:cfvo type="autoMin"/>
              <x14:cfvo type="num">
                <xm:f>4</xm:f>
              </x14:cfvo>
              <x14:negativeFillColor rgb="FFFF0000"/>
              <x14:axisColor rgb="FF000000"/>
            </x14:dataBar>
          </x14:cfRule>
          <xm:sqref>L15:L18</xm:sqref>
        </x14:conditionalFormatting>
        <x14:conditionalFormatting xmlns:xm="http://schemas.microsoft.com/office/excel/2006/main">
          <x14:cfRule type="dataBar" id="{639FBE73-C9D0-4D88-9441-DBC276217C9F}">
            <x14:dataBar minLength="0" maxLength="100" gradient="0">
              <x14:cfvo type="autoMin"/>
              <x14:cfvo type="num">
                <xm:f>4</xm:f>
              </x14:cfvo>
              <x14:negativeFillColor rgb="FFFF0000"/>
              <x14:axisColor rgb="FF000000"/>
            </x14:dataBar>
          </x14:cfRule>
          <xm:sqref>M3:M6</xm:sqref>
        </x14:conditionalFormatting>
        <x14:conditionalFormatting xmlns:xm="http://schemas.microsoft.com/office/excel/2006/main">
          <x14:cfRule type="dataBar" id="{E4AF88EA-6F83-4423-95D8-53CA44287717}">
            <x14:dataBar minLength="0" maxLength="100" gradient="0">
              <x14:cfvo type="autoMin"/>
              <x14:cfvo type="num">
                <xm:f>4</xm:f>
              </x14:cfvo>
              <x14:negativeFillColor rgb="FFFF0000"/>
              <x14:axisColor rgb="FF000000"/>
            </x14:dataBar>
          </x14:cfRule>
          <xm:sqref>M8:M13</xm:sqref>
        </x14:conditionalFormatting>
        <x14:conditionalFormatting xmlns:xm="http://schemas.microsoft.com/office/excel/2006/main">
          <x14:cfRule type="dataBar" id="{67F46E21-E2D7-4598-A3E0-4D5FC574F52F}">
            <x14:dataBar minLength="0" maxLength="100" gradient="0">
              <x14:cfvo type="autoMin"/>
              <x14:cfvo type="num">
                <xm:f>4</xm:f>
              </x14:cfvo>
              <x14:negativeFillColor rgb="FFFF0000"/>
              <x14:axisColor rgb="FF000000"/>
            </x14:dataBar>
          </x14:cfRule>
          <xm:sqref>M15:M18</xm:sqref>
        </x14:conditionalFormatting>
        <x14:conditionalFormatting xmlns:xm="http://schemas.microsoft.com/office/excel/2006/main">
          <x14:cfRule type="dataBar" id="{795E9577-5BAA-4B70-80D1-3A9580758BEF}">
            <x14:dataBar minLength="0" maxLength="100" gradient="0">
              <x14:cfvo type="autoMin"/>
              <x14:cfvo type="autoMax"/>
              <x14:negativeFillColor rgb="FFFF0000"/>
              <x14:axisColor rgb="FF000000"/>
            </x14:dataBar>
          </x14:cfRule>
          <xm:sqref>N3:N6</xm:sqref>
        </x14:conditionalFormatting>
        <x14:conditionalFormatting xmlns:xm="http://schemas.microsoft.com/office/excel/2006/main">
          <x14:cfRule type="dataBar" id="{4CE2BAF4-5D47-4685-97F0-E5B2257F6C49}">
            <x14:dataBar minLength="0" maxLength="100" gradient="0">
              <x14:cfvo type="autoMin"/>
              <x14:cfvo type="autoMax"/>
              <x14:negativeFillColor rgb="FFFF0000"/>
              <x14:axisColor rgb="FF000000"/>
            </x14:dataBar>
          </x14:cfRule>
          <xm:sqref>N8:N13</xm:sqref>
        </x14:conditionalFormatting>
        <x14:conditionalFormatting xmlns:xm="http://schemas.microsoft.com/office/excel/2006/main">
          <x14:cfRule type="dataBar" id="{9F027037-FDD2-450A-8F4E-E9739F83C86D}">
            <x14:dataBar minLength="0" maxLength="100" gradient="0">
              <x14:cfvo type="autoMin"/>
              <x14:cfvo type="autoMax"/>
              <x14:negativeFillColor rgb="FFFF0000"/>
              <x14:axisColor rgb="FF000000"/>
            </x14:dataBar>
          </x14:cfRule>
          <xm:sqref>N15:N18</xm:sqref>
        </x14:conditionalFormatting>
        <x14:conditionalFormatting xmlns:xm="http://schemas.microsoft.com/office/excel/2006/main">
          <x14:cfRule type="dataBar" id="{E498EC96-D658-4143-A678-485B8BE8E6F0}">
            <x14:dataBar minLength="0" maxLength="100" gradient="0">
              <x14:cfvo type="autoMin"/>
              <x14:cfvo type="autoMax"/>
              <x14:negativeFillColor rgb="FFFF0000"/>
              <x14:axisColor rgb="FF000000"/>
            </x14:dataBar>
          </x14:cfRule>
          <xm:sqref>N20:N21</xm:sqref>
        </x14:conditionalFormatting>
        <x14:conditionalFormatting xmlns:xm="http://schemas.microsoft.com/office/excel/2006/main">
          <x14:cfRule type="dataBar" id="{527FB0B7-B316-4548-85C3-057BFA8B4BBF}">
            <x14:dataBar minLength="0" maxLength="100" gradient="0">
              <x14:cfvo type="autoMin"/>
              <x14:cfvo type="autoMax"/>
              <x14:negativeFillColor rgb="FFFF0000"/>
              <x14:axisColor rgb="FF000000"/>
            </x14:dataBar>
          </x14:cfRule>
          <xm:sqref>O20:O21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9B5BF-1333-4C31-98CF-019E267587A0}">
  <sheetPr>
    <tabColor theme="8"/>
  </sheetPr>
  <dimension ref="A1:AF66"/>
  <sheetViews>
    <sheetView zoomScale="80" zoomScaleNormal="80" workbookViewId="0">
      <selection activeCell="H23" sqref="H23"/>
    </sheetView>
  </sheetViews>
  <sheetFormatPr defaultRowHeight="15"/>
  <cols>
    <col min="1" max="1" width="80.7109375" style="6" customWidth="1"/>
    <col min="2" max="29" width="20.7109375" style="6" customWidth="1"/>
    <col min="30" max="32" width="20.7109375" customWidth="1"/>
  </cols>
  <sheetData>
    <row r="1" spans="1:32" s="6" customFormat="1" ht="30" customHeight="1">
      <c r="A1" s="1022" t="s">
        <v>1177</v>
      </c>
      <c r="B1" s="1022"/>
      <c r="C1" s="1022"/>
      <c r="D1" s="1022"/>
      <c r="E1" s="1022"/>
      <c r="F1" s="1022"/>
      <c r="G1" s="1022"/>
      <c r="H1" s="1022"/>
      <c r="I1" s="1022"/>
      <c r="J1" s="1022"/>
      <c r="K1" s="1022"/>
      <c r="L1" s="1022"/>
      <c r="M1" s="1022"/>
      <c r="N1" s="1022"/>
      <c r="O1" s="1022"/>
      <c r="P1" s="1022"/>
      <c r="Q1" s="1022"/>
      <c r="R1" s="1022"/>
      <c r="S1" s="1022"/>
    </row>
    <row r="2" spans="1:32" s="6" customFormat="1" ht="30" customHeight="1">
      <c r="A2" s="140" t="s">
        <v>1178</v>
      </c>
      <c r="B2" s="361" t="s">
        <v>101</v>
      </c>
      <c r="C2" s="361" t="s">
        <v>131</v>
      </c>
      <c r="D2" s="358" t="s">
        <v>1179</v>
      </c>
      <c r="E2" s="1149" t="s">
        <v>104</v>
      </c>
      <c r="F2" s="1150"/>
      <c r="G2" s="1150"/>
      <c r="H2" s="1150"/>
      <c r="I2" s="1150"/>
      <c r="J2" s="1151"/>
      <c r="K2" s="1144" t="s">
        <v>123</v>
      </c>
      <c r="L2" s="1144"/>
      <c r="M2" s="1144"/>
      <c r="N2" s="1144"/>
      <c r="O2" s="1144"/>
      <c r="P2" s="1144"/>
      <c r="Q2" s="1144"/>
      <c r="R2" s="1144"/>
      <c r="S2" s="1144"/>
      <c r="AD2"/>
      <c r="AE2"/>
      <c r="AF2"/>
    </row>
    <row r="3" spans="1:32">
      <c r="A3" s="9" t="s">
        <v>1180</v>
      </c>
      <c r="B3" s="365">
        <v>2011</v>
      </c>
      <c r="C3" s="363" t="s">
        <v>180</v>
      </c>
      <c r="D3" s="363">
        <v>1273</v>
      </c>
      <c r="E3" s="1146" t="s">
        <v>1181</v>
      </c>
      <c r="F3" s="1147"/>
      <c r="G3" s="1147"/>
      <c r="H3" s="1147"/>
      <c r="I3" s="1147"/>
      <c r="J3" s="1148"/>
      <c r="K3" s="1095" t="s">
        <v>1182</v>
      </c>
      <c r="L3" s="1095"/>
      <c r="M3" s="1095"/>
      <c r="N3" s="1095"/>
      <c r="O3" s="1095"/>
      <c r="P3" s="1095"/>
      <c r="Q3" s="1095"/>
      <c r="R3" s="1095"/>
      <c r="S3" s="1095"/>
    </row>
    <row r="4" spans="1:32">
      <c r="A4" s="9" t="s">
        <v>1183</v>
      </c>
      <c r="B4" s="363">
        <v>2011</v>
      </c>
      <c r="C4" s="363" t="s">
        <v>180</v>
      </c>
      <c r="D4" s="363">
        <v>308</v>
      </c>
      <c r="E4" s="1128" t="s">
        <v>1181</v>
      </c>
      <c r="F4" s="1128"/>
      <c r="G4" s="1128"/>
      <c r="H4" s="1128"/>
      <c r="I4" s="1128"/>
      <c r="J4" s="1128"/>
      <c r="K4" s="1095"/>
      <c r="L4" s="1095"/>
      <c r="M4" s="1095"/>
      <c r="N4" s="1095"/>
      <c r="O4" s="1095"/>
      <c r="P4" s="1095"/>
      <c r="Q4" s="1095"/>
      <c r="R4" s="1095"/>
      <c r="S4" s="1095"/>
    </row>
    <row r="5" spans="1:32">
      <c r="A5" s="362" t="s">
        <v>1184</v>
      </c>
      <c r="B5" s="363">
        <v>2011</v>
      </c>
      <c r="C5" s="363" t="s">
        <v>180</v>
      </c>
      <c r="D5" s="364">
        <f>SUM(D3:D4)</f>
        <v>1581</v>
      </c>
      <c r="E5" s="1096"/>
      <c r="F5" s="1145"/>
      <c r="G5" s="1145"/>
      <c r="H5" s="1145"/>
      <c r="I5" s="1145"/>
      <c r="J5" s="1097"/>
      <c r="K5" s="1095"/>
      <c r="L5" s="1095"/>
      <c r="M5" s="1095"/>
      <c r="N5" s="1095"/>
      <c r="O5" s="1095"/>
      <c r="P5" s="1095"/>
      <c r="Q5" s="1095"/>
      <c r="R5" s="1095"/>
      <c r="S5" s="1095"/>
    </row>
    <row r="6" spans="1:32">
      <c r="A6" s="7"/>
      <c r="B6" s="7"/>
      <c r="C6" s="7"/>
      <c r="D6" s="7"/>
      <c r="E6" s="7"/>
      <c r="F6" s="360"/>
      <c r="G6" s="360"/>
      <c r="H6" s="360"/>
      <c r="I6" s="360"/>
      <c r="J6" s="360"/>
      <c r="K6" s="1"/>
    </row>
    <row r="7" spans="1:32" s="6" customFormat="1" ht="30" customHeight="1">
      <c r="A7" s="1022" t="s">
        <v>1185</v>
      </c>
      <c r="B7" s="1022"/>
      <c r="C7" s="1022"/>
      <c r="D7" s="1022"/>
      <c r="E7" s="1022"/>
      <c r="F7" s="1022"/>
      <c r="G7" s="1022"/>
      <c r="H7" s="1022"/>
      <c r="I7" s="1022"/>
      <c r="J7" s="1022"/>
      <c r="K7" s="1022"/>
      <c r="L7" s="1022"/>
      <c r="M7" s="1022"/>
      <c r="N7" s="1022"/>
      <c r="O7" s="1022"/>
      <c r="P7" s="1022"/>
      <c r="Q7" s="1022"/>
      <c r="R7" s="1022"/>
      <c r="S7" s="1022"/>
    </row>
    <row r="8" spans="1:32" s="6" customFormat="1" ht="30" customHeight="1">
      <c r="A8" s="140" t="s">
        <v>1186</v>
      </c>
      <c r="B8" s="361" t="s">
        <v>131</v>
      </c>
      <c r="C8" s="361" t="s">
        <v>1187</v>
      </c>
      <c r="D8" s="358" t="s">
        <v>1188</v>
      </c>
      <c r="E8" s="1144" t="s">
        <v>104</v>
      </c>
      <c r="F8" s="1144"/>
      <c r="G8" s="1144"/>
      <c r="H8" s="1144"/>
      <c r="I8" s="1144"/>
      <c r="J8" s="1144"/>
      <c r="K8" s="1144" t="s">
        <v>123</v>
      </c>
      <c r="L8" s="1144"/>
      <c r="M8" s="1144"/>
      <c r="N8" s="1144"/>
      <c r="O8" s="1144"/>
      <c r="P8" s="1144"/>
      <c r="Q8" s="1144"/>
      <c r="R8" s="1144"/>
      <c r="S8" s="1144"/>
      <c r="AD8"/>
      <c r="AE8"/>
      <c r="AF8"/>
    </row>
    <row r="9" spans="1:32">
      <c r="A9" s="9" t="s">
        <v>167</v>
      </c>
      <c r="B9" s="363" t="s">
        <v>180</v>
      </c>
      <c r="C9" s="363" t="s">
        <v>1189</v>
      </c>
      <c r="D9" s="363">
        <v>0.01</v>
      </c>
      <c r="E9" s="1128" t="s">
        <v>1190</v>
      </c>
      <c r="F9" s="1128"/>
      <c r="G9" s="1128"/>
      <c r="H9" s="1128"/>
      <c r="I9" s="1128"/>
      <c r="J9" s="1128"/>
      <c r="K9" s="1095" t="s">
        <v>1191</v>
      </c>
      <c r="L9" s="1095"/>
      <c r="M9" s="1095"/>
      <c r="N9" s="1095"/>
      <c r="O9" s="1095"/>
      <c r="P9" s="1095"/>
      <c r="Q9" s="1095"/>
      <c r="R9" s="1095"/>
      <c r="S9" s="1095"/>
    </row>
    <row r="10" spans="1:32">
      <c r="A10" s="7"/>
      <c r="B10" s="7"/>
      <c r="C10" s="7"/>
      <c r="D10" s="7"/>
      <c r="E10" s="7"/>
      <c r="F10" s="360"/>
      <c r="G10" s="360"/>
      <c r="H10" s="360"/>
      <c r="I10" s="360"/>
    </row>
    <row r="11" spans="1:32" s="6" customFormat="1" ht="30" customHeight="1">
      <c r="A11" s="1022" t="s">
        <v>1192</v>
      </c>
      <c r="B11" s="1022"/>
      <c r="C11" s="1022"/>
      <c r="D11" s="1022"/>
      <c r="E11" s="1022"/>
      <c r="F11" s="1022"/>
      <c r="G11" s="1022"/>
      <c r="H11" s="1022"/>
      <c r="I11" s="1022"/>
      <c r="J11" s="1022"/>
      <c r="K11" s="1022"/>
      <c r="L11" s="1022"/>
      <c r="M11" s="1022"/>
      <c r="N11" s="1022"/>
      <c r="O11" s="1022"/>
      <c r="P11" s="1022"/>
      <c r="Q11" s="1022"/>
      <c r="R11" s="1022"/>
      <c r="S11" s="1022"/>
    </row>
    <row r="12" spans="1:32" s="6" customFormat="1" ht="30" customHeight="1">
      <c r="A12" s="140" t="s">
        <v>1186</v>
      </c>
      <c r="B12" s="361" t="s">
        <v>101</v>
      </c>
      <c r="C12" s="361" t="s">
        <v>131</v>
      </c>
      <c r="D12" s="361" t="s">
        <v>102</v>
      </c>
      <c r="E12" s="359" t="s">
        <v>1193</v>
      </c>
      <c r="AD12"/>
      <c r="AE12"/>
      <c r="AF12"/>
    </row>
    <row r="13" spans="1:32">
      <c r="A13" s="9" t="s">
        <v>167</v>
      </c>
      <c r="B13" s="363">
        <v>2011</v>
      </c>
      <c r="C13" s="363" t="s">
        <v>180</v>
      </c>
      <c r="D13" s="363" t="s">
        <v>1189</v>
      </c>
      <c r="E13" s="363">
        <f>D9*D5</f>
        <v>15.81</v>
      </c>
    </row>
    <row r="14" spans="1:32">
      <c r="A14" s="7"/>
      <c r="B14" s="7"/>
      <c r="C14" s="7"/>
      <c r="D14" s="7"/>
      <c r="E14" s="7"/>
      <c r="F14" s="360"/>
      <c r="G14" s="360"/>
      <c r="H14" s="360"/>
      <c r="I14" s="360"/>
      <c r="J14" s="360"/>
      <c r="K14" s="1"/>
    </row>
    <row r="15" spans="1:32" s="6" customFormat="1" ht="30" customHeight="1">
      <c r="A15" s="1022" t="s">
        <v>1194</v>
      </c>
      <c r="B15" s="1022"/>
      <c r="C15" s="1022"/>
      <c r="D15" s="1022"/>
      <c r="E15" s="1022"/>
      <c r="F15" s="1022"/>
      <c r="G15" s="1022"/>
      <c r="H15" s="1022"/>
      <c r="I15" s="1022"/>
      <c r="J15" s="1022"/>
      <c r="K15" s="1022"/>
      <c r="L15" s="1022"/>
      <c r="M15" s="1022"/>
      <c r="N15" s="1022"/>
      <c r="O15" s="1022"/>
      <c r="P15" s="1022"/>
      <c r="Q15" s="1022"/>
      <c r="R15" s="1022"/>
      <c r="S15" s="1022"/>
    </row>
    <row r="16" spans="1:32" s="6" customFormat="1" ht="30" customHeight="1">
      <c r="A16" s="367" t="s">
        <v>130</v>
      </c>
      <c r="B16" s="361" t="s">
        <v>101</v>
      </c>
      <c r="C16" s="361" t="s">
        <v>131</v>
      </c>
      <c r="D16" s="361" t="s">
        <v>102</v>
      </c>
      <c r="E16" s="369" t="s">
        <v>1195</v>
      </c>
      <c r="F16" s="371" t="s">
        <v>1196</v>
      </c>
      <c r="G16"/>
      <c r="H16"/>
      <c r="I16"/>
      <c r="J16"/>
      <c r="K16"/>
      <c r="L16"/>
      <c r="M16"/>
      <c r="N16"/>
      <c r="O16"/>
    </row>
    <row r="17" spans="1:19">
      <c r="A17" s="9" t="s">
        <v>200</v>
      </c>
      <c r="B17" s="363">
        <v>2011</v>
      </c>
      <c r="C17" s="363" t="s">
        <v>180</v>
      </c>
      <c r="D17" s="365" t="s">
        <v>1189</v>
      </c>
      <c r="E17" s="411">
        <f xml:space="preserve"> 23.6015+23.72052+1.347871+10.4485+0.29442+0.127448</f>
        <v>59.540259000000006</v>
      </c>
      <c r="F17" s="411">
        <f xml:space="preserve"> 23.6015+23.72052+1.347871+10.4485+0.29442+0.127448</f>
        <v>59.540259000000006</v>
      </c>
      <c r="G17"/>
      <c r="H17"/>
      <c r="I17"/>
      <c r="J17"/>
      <c r="K17"/>
      <c r="L17"/>
      <c r="M17"/>
      <c r="N17"/>
      <c r="O17"/>
    </row>
    <row r="18" spans="1:19">
      <c r="A18" s="9" t="s">
        <v>202</v>
      </c>
      <c r="B18" s="363">
        <v>2011</v>
      </c>
      <c r="C18" s="363" t="s">
        <v>180</v>
      </c>
      <c r="D18" s="365" t="s">
        <v>1189</v>
      </c>
      <c r="E18" s="411">
        <f>6.221624+16.3967+7.014859+17.73089+0.649159</f>
        <v>48.013232000000002</v>
      </c>
      <c r="F18" s="411">
        <f>6.221624+16.3967+7.014859+17.73089+0.649159</f>
        <v>48.013232000000002</v>
      </c>
      <c r="G18"/>
      <c r="H18"/>
      <c r="I18"/>
      <c r="J18"/>
      <c r="K18"/>
      <c r="L18"/>
      <c r="M18"/>
      <c r="N18"/>
      <c r="O18"/>
    </row>
    <row r="19" spans="1:19">
      <c r="A19" s="9" t="s">
        <v>201</v>
      </c>
      <c r="B19" s="363">
        <v>2011</v>
      </c>
      <c r="C19" s="363" t="s">
        <v>180</v>
      </c>
      <c r="D19" s="365" t="s">
        <v>1189</v>
      </c>
      <c r="E19" s="411">
        <f>32.70976+0.28954+33.75779+1.09234+0.260305</f>
        <v>68.109735000000015</v>
      </c>
      <c r="F19" s="411">
        <f>32.70976+0.28954+33.75779+1.09234+0.260305</f>
        <v>68.109735000000015</v>
      </c>
      <c r="G19"/>
      <c r="H19"/>
      <c r="I19"/>
      <c r="J19"/>
      <c r="K19"/>
      <c r="L19"/>
      <c r="M19"/>
      <c r="N19"/>
      <c r="O19"/>
    </row>
    <row r="20" spans="1:19">
      <c r="A20" s="9" t="s">
        <v>203</v>
      </c>
      <c r="B20" s="363">
        <v>2011</v>
      </c>
      <c r="C20" s="363" t="s">
        <v>180</v>
      </c>
      <c r="D20" s="365" t="s">
        <v>1189</v>
      </c>
      <c r="E20" s="411">
        <f>7.458106+2.583978+37.90516+37.47286+12.81939+4.606734</f>
        <v>102.846228</v>
      </c>
      <c r="F20" s="411">
        <f>7.458106+2.583978+37.90516+37.47286+12.81939+4.606734</f>
        <v>102.846228</v>
      </c>
      <c r="G20"/>
      <c r="H20"/>
      <c r="I20"/>
      <c r="J20"/>
      <c r="K20"/>
      <c r="L20"/>
      <c r="M20"/>
      <c r="N20"/>
      <c r="O20"/>
    </row>
    <row r="21" spans="1:19">
      <c r="A21" s="9" t="s">
        <v>1051</v>
      </c>
      <c r="B21" s="363">
        <v>2011</v>
      </c>
      <c r="C21" s="363" t="s">
        <v>180</v>
      </c>
      <c r="D21" s="365" t="s">
        <v>1189</v>
      </c>
      <c r="E21" s="411">
        <f>54.34226+3.146061</f>
        <v>57.488321000000006</v>
      </c>
      <c r="F21" s="411">
        <f>54.34226+3.146061</f>
        <v>57.488321000000006</v>
      </c>
      <c r="G21"/>
      <c r="H21"/>
      <c r="I21"/>
      <c r="J21"/>
      <c r="K21"/>
      <c r="L21"/>
      <c r="M21"/>
      <c r="N21"/>
      <c r="O21"/>
    </row>
    <row r="22" spans="1:19">
      <c r="A22" s="9" t="s">
        <v>142</v>
      </c>
      <c r="B22" s="363">
        <v>2011</v>
      </c>
      <c r="C22" s="363" t="s">
        <v>180</v>
      </c>
      <c r="D22" s="365" t="s">
        <v>1189</v>
      </c>
      <c r="E22" s="445">
        <f>5.880256+2.755094</f>
        <v>8.6353500000000007</v>
      </c>
      <c r="F22" s="445">
        <f>5.880256+2.755094</f>
        <v>8.6353500000000007</v>
      </c>
      <c r="G22"/>
      <c r="H22"/>
      <c r="I22"/>
      <c r="J22"/>
      <c r="K22"/>
      <c r="L22"/>
      <c r="M22"/>
      <c r="N22"/>
      <c r="O22"/>
    </row>
    <row r="23" spans="1:19">
      <c r="A23" s="9" t="s">
        <v>138</v>
      </c>
      <c r="B23" s="363">
        <v>2011</v>
      </c>
      <c r="C23" s="363" t="s">
        <v>180</v>
      </c>
      <c r="D23" s="365" t="s">
        <v>1189</v>
      </c>
      <c r="E23" s="411">
        <f>1.110288</f>
        <v>1.1102879999999999</v>
      </c>
      <c r="F23" s="411">
        <f>1.110288</f>
        <v>1.1102879999999999</v>
      </c>
      <c r="G23"/>
      <c r="H23"/>
      <c r="I23"/>
      <c r="J23"/>
      <c r="K23"/>
      <c r="L23"/>
      <c r="M23"/>
      <c r="N23"/>
      <c r="O23"/>
    </row>
    <row r="24" spans="1:19">
      <c r="A24" s="9" t="s">
        <v>1053</v>
      </c>
      <c r="B24" s="363">
        <v>2011</v>
      </c>
      <c r="C24" s="363" t="s">
        <v>180</v>
      </c>
      <c r="D24" s="365" t="s">
        <v>1189</v>
      </c>
      <c r="E24" s="411">
        <f>0.652716+15.11199+4.053189</f>
        <v>19.817895</v>
      </c>
      <c r="F24" s="411">
        <f>0.652716+15.11199+4.053189</f>
        <v>19.817895</v>
      </c>
      <c r="G24"/>
      <c r="H24"/>
      <c r="I24"/>
      <c r="J24"/>
      <c r="K24"/>
      <c r="L24"/>
      <c r="M24"/>
      <c r="N24"/>
      <c r="O24"/>
    </row>
    <row r="25" spans="1:19">
      <c r="A25" s="9" t="s">
        <v>967</v>
      </c>
      <c r="B25" s="363">
        <v>2011</v>
      </c>
      <c r="C25" s="363" t="s">
        <v>180</v>
      </c>
      <c r="D25" s="365" t="s">
        <v>1189</v>
      </c>
      <c r="E25" s="411">
        <f>0.603811+11.52565+0.606781+0.607851+2.806034</f>
        <v>16.150127000000001</v>
      </c>
      <c r="F25" s="411">
        <f>0.603811+11.52565+0.606781+0.607851+2.806034</f>
        <v>16.150127000000001</v>
      </c>
      <c r="G25"/>
      <c r="H25"/>
      <c r="I25"/>
      <c r="J25"/>
      <c r="K25"/>
      <c r="L25"/>
      <c r="M25"/>
      <c r="N25"/>
      <c r="O25"/>
    </row>
    <row r="26" spans="1:19">
      <c r="A26" s="9" t="s">
        <v>153</v>
      </c>
      <c r="B26" s="363">
        <v>2011</v>
      </c>
      <c r="C26" s="363" t="s">
        <v>180</v>
      </c>
      <c r="D26" s="365" t="s">
        <v>1189</v>
      </c>
      <c r="E26" s="411">
        <f>10.5957+9.646484+9.932176</f>
        <v>30.17436</v>
      </c>
      <c r="F26" s="411">
        <f>10.5957+9.646484+9.932176</f>
        <v>30.17436</v>
      </c>
      <c r="G26"/>
      <c r="H26"/>
      <c r="I26"/>
      <c r="J26"/>
      <c r="K26"/>
      <c r="L26"/>
      <c r="M26"/>
      <c r="N26"/>
      <c r="O26"/>
    </row>
    <row r="27" spans="1:19">
      <c r="A27" s="362" t="s">
        <v>1184</v>
      </c>
      <c r="B27" s="363">
        <v>2012</v>
      </c>
      <c r="C27" s="363" t="s">
        <v>180</v>
      </c>
      <c r="D27" s="365" t="s">
        <v>1189</v>
      </c>
      <c r="E27" s="500">
        <f>SUM(E17:E26)</f>
        <v>411.88579500000003</v>
      </c>
      <c r="F27" s="500">
        <f>SUM(F17:F26)</f>
        <v>411.88579500000003</v>
      </c>
      <c r="G27"/>
      <c r="H27"/>
      <c r="I27"/>
      <c r="J27"/>
      <c r="K27"/>
      <c r="L27"/>
      <c r="M27"/>
      <c r="N27"/>
      <c r="O27"/>
    </row>
    <row r="29" spans="1:19" s="6" customFormat="1" ht="30" customHeight="1">
      <c r="A29" s="1022" t="s">
        <v>1197</v>
      </c>
      <c r="B29" s="1022"/>
      <c r="C29" s="1022"/>
      <c r="D29" s="1022"/>
      <c r="E29" s="1022"/>
      <c r="F29" s="1022"/>
      <c r="G29" s="1022"/>
      <c r="H29" s="1022"/>
      <c r="I29" s="1022"/>
      <c r="J29" s="1022"/>
      <c r="K29" s="1022"/>
      <c r="L29" s="1022"/>
      <c r="M29" s="1022"/>
      <c r="N29" s="1022"/>
      <c r="O29" s="1022"/>
      <c r="P29" s="1022"/>
      <c r="Q29" s="1022"/>
      <c r="R29" s="1022"/>
      <c r="S29" s="1022"/>
    </row>
    <row r="30" spans="1:19" s="6" customFormat="1" ht="30" customHeight="1">
      <c r="A30" s="367" t="s">
        <v>130</v>
      </c>
      <c r="B30" s="361" t="s">
        <v>101</v>
      </c>
      <c r="C30" s="361" t="s">
        <v>131</v>
      </c>
      <c r="D30" s="361" t="s">
        <v>102</v>
      </c>
      <c r="E30" s="358" t="s">
        <v>1198</v>
      </c>
      <c r="F30"/>
      <c r="G30"/>
      <c r="H30"/>
      <c r="I30"/>
      <c r="J30"/>
      <c r="K30"/>
      <c r="L30"/>
      <c r="M30"/>
      <c r="N30"/>
      <c r="O30"/>
    </row>
    <row r="31" spans="1:19">
      <c r="A31" s="9" t="s">
        <v>200</v>
      </c>
      <c r="B31" s="363">
        <v>2011</v>
      </c>
      <c r="C31" s="363" t="s">
        <v>180</v>
      </c>
      <c r="D31" s="363" t="s">
        <v>1189</v>
      </c>
      <c r="E31" s="372">
        <f t="shared" ref="E31:E40" si="0">E17/$E$27</f>
        <v>0.14455526197498508</v>
      </c>
      <c r="F31"/>
      <c r="G31"/>
      <c r="H31"/>
      <c r="I31"/>
      <c r="J31"/>
      <c r="K31"/>
      <c r="L31"/>
      <c r="M31"/>
      <c r="N31"/>
      <c r="O31"/>
    </row>
    <row r="32" spans="1:19">
      <c r="A32" s="9" t="s">
        <v>202</v>
      </c>
      <c r="B32" s="363">
        <v>2011</v>
      </c>
      <c r="C32" s="363" t="s">
        <v>180</v>
      </c>
      <c r="D32" s="363" t="s">
        <v>1189</v>
      </c>
      <c r="E32" s="372">
        <f t="shared" si="0"/>
        <v>0.11656928348305869</v>
      </c>
      <c r="F32"/>
      <c r="G32"/>
      <c r="H32"/>
      <c r="I32"/>
      <c r="J32"/>
      <c r="K32"/>
      <c r="L32"/>
      <c r="M32"/>
      <c r="N32"/>
      <c r="O32"/>
    </row>
    <row r="33" spans="1:19">
      <c r="A33" s="9" t="s">
        <v>201</v>
      </c>
      <c r="B33" s="363">
        <v>2011</v>
      </c>
      <c r="C33" s="363" t="s">
        <v>180</v>
      </c>
      <c r="D33" s="363" t="s">
        <v>1189</v>
      </c>
      <c r="E33" s="372">
        <f t="shared" si="0"/>
        <v>0.16536072820865311</v>
      </c>
      <c r="F33"/>
      <c r="G33"/>
      <c r="H33"/>
      <c r="I33"/>
      <c r="J33"/>
      <c r="K33"/>
      <c r="L33"/>
      <c r="M33"/>
      <c r="N33"/>
      <c r="O33"/>
    </row>
    <row r="34" spans="1:19">
      <c r="A34" s="9" t="s">
        <v>203</v>
      </c>
      <c r="B34" s="363">
        <v>2011</v>
      </c>
      <c r="C34" s="363" t="s">
        <v>180</v>
      </c>
      <c r="D34" s="363" t="s">
        <v>1189</v>
      </c>
      <c r="E34" s="372">
        <f t="shared" si="0"/>
        <v>0.24969598186798356</v>
      </c>
      <c r="F34"/>
      <c r="G34"/>
      <c r="H34"/>
      <c r="I34"/>
      <c r="J34"/>
      <c r="K34"/>
      <c r="L34"/>
      <c r="M34"/>
      <c r="N34"/>
      <c r="O34"/>
    </row>
    <row r="35" spans="1:19">
      <c r="A35" s="9" t="s">
        <v>1051</v>
      </c>
      <c r="B35" s="363">
        <v>2011</v>
      </c>
      <c r="C35" s="363" t="s">
        <v>180</v>
      </c>
      <c r="D35" s="363" t="s">
        <v>1189</v>
      </c>
      <c r="E35" s="372">
        <f t="shared" si="0"/>
        <v>0.13957344899452043</v>
      </c>
      <c r="F35"/>
      <c r="G35"/>
      <c r="H35"/>
      <c r="I35"/>
      <c r="J35"/>
      <c r="K35"/>
      <c r="L35"/>
      <c r="M35"/>
      <c r="N35"/>
      <c r="O35"/>
    </row>
    <row r="36" spans="1:19">
      <c r="A36" s="9" t="s">
        <v>142</v>
      </c>
      <c r="B36" s="363">
        <v>2011</v>
      </c>
      <c r="C36" s="363" t="s">
        <v>180</v>
      </c>
      <c r="D36" s="363" t="s">
        <v>1189</v>
      </c>
      <c r="E36" s="372">
        <f t="shared" si="0"/>
        <v>2.096539891597864E-2</v>
      </c>
      <c r="F36"/>
      <c r="G36"/>
      <c r="H36"/>
      <c r="I36"/>
      <c r="J36"/>
      <c r="K36"/>
      <c r="L36"/>
      <c r="M36"/>
      <c r="N36"/>
      <c r="O36"/>
    </row>
    <row r="37" spans="1:19">
      <c r="A37" s="9" t="s">
        <v>138</v>
      </c>
      <c r="B37" s="363">
        <v>2011</v>
      </c>
      <c r="C37" s="363" t="s">
        <v>180</v>
      </c>
      <c r="D37" s="363" t="s">
        <v>1189</v>
      </c>
      <c r="E37" s="372">
        <f t="shared" si="0"/>
        <v>2.6956210033900292E-3</v>
      </c>
      <c r="F37"/>
      <c r="G37"/>
      <c r="H37"/>
      <c r="I37"/>
      <c r="J37"/>
      <c r="K37"/>
      <c r="L37"/>
      <c r="M37"/>
      <c r="N37"/>
      <c r="O37"/>
    </row>
    <row r="38" spans="1:19">
      <c r="A38" s="9" t="s">
        <v>1053</v>
      </c>
      <c r="B38" s="363">
        <v>2011</v>
      </c>
      <c r="C38" s="363" t="s">
        <v>180</v>
      </c>
      <c r="D38" s="363" t="s">
        <v>1189</v>
      </c>
      <c r="E38" s="372">
        <f t="shared" si="0"/>
        <v>4.8115024214418461E-2</v>
      </c>
      <c r="F38"/>
      <c r="G38"/>
      <c r="H38"/>
      <c r="I38"/>
      <c r="J38"/>
      <c r="K38"/>
      <c r="L38"/>
      <c r="M38"/>
      <c r="N38"/>
      <c r="O38"/>
    </row>
    <row r="39" spans="1:19">
      <c r="A39" s="9" t="s">
        <v>967</v>
      </c>
      <c r="B39" s="363">
        <v>2011</v>
      </c>
      <c r="C39" s="363" t="s">
        <v>180</v>
      </c>
      <c r="D39" s="363" t="s">
        <v>1189</v>
      </c>
      <c r="E39" s="372">
        <f t="shared" si="0"/>
        <v>3.9210206314592613E-2</v>
      </c>
      <c r="F39"/>
      <c r="G39"/>
      <c r="H39"/>
      <c r="I39"/>
      <c r="J39"/>
      <c r="K39"/>
      <c r="L39"/>
      <c r="M39"/>
      <c r="N39"/>
      <c r="O39"/>
    </row>
    <row r="40" spans="1:19">
      <c r="A40" s="9" t="s">
        <v>153</v>
      </c>
      <c r="B40" s="363">
        <v>2012</v>
      </c>
      <c r="C40" s="363" t="s">
        <v>180</v>
      </c>
      <c r="D40" s="363" t="s">
        <v>1189</v>
      </c>
      <c r="E40" s="372">
        <f t="shared" si="0"/>
        <v>7.3259045022419381E-2</v>
      </c>
      <c r="F40"/>
      <c r="G40"/>
      <c r="H40"/>
      <c r="I40"/>
      <c r="J40"/>
      <c r="K40"/>
      <c r="L40"/>
      <c r="M40"/>
      <c r="N40"/>
      <c r="O40"/>
    </row>
    <row r="41" spans="1:19">
      <c r="A41"/>
      <c r="B41"/>
      <c r="C41"/>
      <c r="D41"/>
      <c r="E41"/>
      <c r="F41"/>
      <c r="G41"/>
      <c r="H41"/>
      <c r="I41"/>
      <c r="J41"/>
      <c r="K41"/>
      <c r="L41"/>
      <c r="M41"/>
      <c r="N41"/>
      <c r="O41"/>
    </row>
    <row r="42" spans="1:19" s="6" customFormat="1" ht="18.75">
      <c r="A42" s="1022" t="s">
        <v>1199</v>
      </c>
      <c r="B42" s="1022"/>
      <c r="C42" s="1022"/>
      <c r="D42" s="1022"/>
      <c r="E42" s="1022"/>
      <c r="F42" s="1022"/>
      <c r="G42" s="1022"/>
      <c r="H42" s="1022"/>
      <c r="I42" s="1022"/>
      <c r="J42" s="1022"/>
      <c r="K42" s="1022"/>
      <c r="L42" s="1022"/>
      <c r="M42" s="1022"/>
      <c r="N42" s="1022"/>
      <c r="O42" s="1022"/>
      <c r="P42" s="1022"/>
      <c r="Q42" s="1022"/>
      <c r="R42" s="1022"/>
      <c r="S42" s="1022"/>
    </row>
    <row r="43" spans="1:19">
      <c r="A43" s="140" t="s">
        <v>129</v>
      </c>
      <c r="B43" s="1061" t="s">
        <v>130</v>
      </c>
      <c r="C43" s="1062"/>
      <c r="D43" s="361" t="s">
        <v>131</v>
      </c>
      <c r="E43" s="358" t="s">
        <v>102</v>
      </c>
      <c r="F43" s="1143" t="s">
        <v>1200</v>
      </c>
      <c r="G43" s="1143"/>
      <c r="H43"/>
      <c r="I43"/>
      <c r="J43"/>
      <c r="K43"/>
      <c r="L43"/>
      <c r="M43"/>
      <c r="N43"/>
      <c r="O43"/>
    </row>
    <row r="44" spans="1:19">
      <c r="A44" s="9" t="s">
        <v>200</v>
      </c>
      <c r="B44" s="1095" t="s">
        <v>167</v>
      </c>
      <c r="C44" s="1095"/>
      <c r="D44" s="363" t="s">
        <v>180</v>
      </c>
      <c r="E44" s="366" t="s">
        <v>1189</v>
      </c>
      <c r="F44" s="1142">
        <f t="shared" ref="F44:F52" si="1">E31*$E$13</f>
        <v>2.2854186918245141</v>
      </c>
      <c r="G44" s="1142"/>
      <c r="H44"/>
      <c r="I44"/>
      <c r="J44"/>
      <c r="K44"/>
      <c r="L44"/>
      <c r="M44"/>
      <c r="N44"/>
      <c r="O44"/>
    </row>
    <row r="45" spans="1:19">
      <c r="A45" s="9" t="s">
        <v>202</v>
      </c>
      <c r="B45" s="1095" t="s">
        <v>167</v>
      </c>
      <c r="C45" s="1095"/>
      <c r="D45" s="363" t="s">
        <v>180</v>
      </c>
      <c r="E45" s="366" t="s">
        <v>1189</v>
      </c>
      <c r="F45" s="1142">
        <f t="shared" si="1"/>
        <v>1.8429603718671579</v>
      </c>
      <c r="G45" s="1142"/>
      <c r="H45"/>
      <c r="I45"/>
      <c r="J45"/>
      <c r="K45"/>
      <c r="L45"/>
      <c r="M45"/>
      <c r="N45"/>
      <c r="O45"/>
    </row>
    <row r="46" spans="1:19">
      <c r="A46" s="9" t="s">
        <v>201</v>
      </c>
      <c r="B46" s="1095" t="s">
        <v>167</v>
      </c>
      <c r="C46" s="1095"/>
      <c r="D46" s="363" t="s">
        <v>180</v>
      </c>
      <c r="E46" s="366" t="s">
        <v>1189</v>
      </c>
      <c r="F46" s="1142">
        <f t="shared" si="1"/>
        <v>2.6143531129788058</v>
      </c>
      <c r="G46" s="1142"/>
      <c r="H46"/>
      <c r="I46"/>
      <c r="J46"/>
      <c r="K46"/>
      <c r="L46"/>
      <c r="M46"/>
      <c r="N46"/>
      <c r="O46"/>
    </row>
    <row r="47" spans="1:19">
      <c r="A47" s="9" t="s">
        <v>203</v>
      </c>
      <c r="B47" s="1095" t="s">
        <v>167</v>
      </c>
      <c r="C47" s="1095"/>
      <c r="D47" s="363" t="s">
        <v>180</v>
      </c>
      <c r="E47" s="366" t="s">
        <v>1189</v>
      </c>
      <c r="F47" s="1142">
        <f t="shared" si="1"/>
        <v>3.9476934733328202</v>
      </c>
      <c r="G47" s="1142"/>
      <c r="H47"/>
      <c r="I47"/>
      <c r="J47"/>
      <c r="K47"/>
      <c r="L47"/>
      <c r="M47"/>
      <c r="N47"/>
      <c r="O47"/>
    </row>
    <row r="48" spans="1:19">
      <c r="A48" s="9" t="s">
        <v>1051</v>
      </c>
      <c r="B48" s="1095" t="s">
        <v>167</v>
      </c>
      <c r="C48" s="1095"/>
      <c r="D48" s="363" t="s">
        <v>180</v>
      </c>
      <c r="E48" s="366" t="s">
        <v>1189</v>
      </c>
      <c r="F48" s="1142">
        <f t="shared" si="1"/>
        <v>2.206656228603368</v>
      </c>
      <c r="G48" s="1142"/>
      <c r="H48"/>
      <c r="I48"/>
      <c r="J48"/>
      <c r="K48"/>
      <c r="L48"/>
      <c r="M48"/>
      <c r="N48"/>
      <c r="O48"/>
    </row>
    <row r="49" spans="1:32">
      <c r="A49" s="9" t="s">
        <v>142</v>
      </c>
      <c r="B49" s="1095" t="s">
        <v>167</v>
      </c>
      <c r="C49" s="1095"/>
      <c r="D49" s="363" t="s">
        <v>180</v>
      </c>
      <c r="E49" s="366" t="s">
        <v>1189</v>
      </c>
      <c r="F49" s="1142">
        <f t="shared" si="1"/>
        <v>0.3314629568616223</v>
      </c>
      <c r="G49" s="1142"/>
      <c r="H49"/>
      <c r="I49"/>
      <c r="J49"/>
      <c r="K49"/>
      <c r="L49"/>
      <c r="M49"/>
      <c r="N49"/>
      <c r="O49"/>
    </row>
    <row r="50" spans="1:32">
      <c r="A50" s="9" t="s">
        <v>138</v>
      </c>
      <c r="B50" s="1095" t="s">
        <v>167</v>
      </c>
      <c r="C50" s="1095"/>
      <c r="D50" s="363" t="s">
        <v>180</v>
      </c>
      <c r="E50" s="366" t="s">
        <v>1189</v>
      </c>
      <c r="F50" s="1142">
        <f t="shared" si="1"/>
        <v>4.2617768063596365E-2</v>
      </c>
      <c r="G50" s="1142"/>
      <c r="H50"/>
      <c r="I50"/>
      <c r="J50"/>
      <c r="K50"/>
      <c r="L50"/>
      <c r="M50"/>
      <c r="N50"/>
      <c r="O50"/>
    </row>
    <row r="51" spans="1:32">
      <c r="A51" s="9" t="s">
        <v>1053</v>
      </c>
      <c r="B51" s="1095" t="s">
        <v>167</v>
      </c>
      <c r="C51" s="1095"/>
      <c r="D51" s="363" t="s">
        <v>180</v>
      </c>
      <c r="E51" s="366" t="s">
        <v>1189</v>
      </c>
      <c r="F51" s="1142">
        <f t="shared" si="1"/>
        <v>0.76069853282995592</v>
      </c>
      <c r="G51" s="1142"/>
      <c r="H51"/>
      <c r="I51"/>
      <c r="J51"/>
      <c r="K51"/>
      <c r="L51"/>
      <c r="M51"/>
      <c r="N51"/>
      <c r="O51"/>
    </row>
    <row r="52" spans="1:32">
      <c r="A52" s="9" t="s">
        <v>967</v>
      </c>
      <c r="B52" s="1095" t="s">
        <v>167</v>
      </c>
      <c r="C52" s="1095"/>
      <c r="D52" s="363" t="s">
        <v>180</v>
      </c>
      <c r="E52" s="366" t="s">
        <v>1189</v>
      </c>
      <c r="F52" s="1142">
        <f t="shared" si="1"/>
        <v>0.61991336183370926</v>
      </c>
      <c r="G52" s="1142"/>
      <c r="H52"/>
      <c r="I52"/>
      <c r="J52"/>
      <c r="K52"/>
      <c r="L52"/>
      <c r="M52"/>
      <c r="N52"/>
      <c r="O52"/>
    </row>
    <row r="53" spans="1:32">
      <c r="A53" s="9" t="s">
        <v>153</v>
      </c>
      <c r="B53" s="1095" t="s">
        <v>167</v>
      </c>
      <c r="C53" s="1095"/>
      <c r="D53" s="363" t="s">
        <v>180</v>
      </c>
      <c r="E53" s="366" t="s">
        <v>1189</v>
      </c>
      <c r="F53" s="1142">
        <f t="shared" ref="F53" si="2">E40*$E$13</f>
        <v>1.1582255018044505</v>
      </c>
      <c r="G53" s="1142"/>
      <c r="H53"/>
      <c r="I53"/>
      <c r="J53"/>
      <c r="K53"/>
      <c r="L53"/>
      <c r="M53"/>
      <c r="N53"/>
      <c r="O53"/>
    </row>
    <row r="54" spans="1:32">
      <c r="A54"/>
      <c r="B54"/>
      <c r="C54"/>
      <c r="D54"/>
      <c r="E54"/>
      <c r="F54"/>
      <c r="G54"/>
      <c r="H54"/>
      <c r="I54"/>
      <c r="J54"/>
      <c r="K54"/>
      <c r="L54"/>
      <c r="M54"/>
      <c r="N54"/>
      <c r="O54"/>
    </row>
    <row r="55" spans="1:32" s="6" customFormat="1" ht="18.75">
      <c r="A55" s="1022" t="s">
        <v>15</v>
      </c>
      <c r="B55" s="1022"/>
      <c r="C55" s="1022"/>
      <c r="D55" s="1022"/>
      <c r="E55" s="1022"/>
      <c r="F55" s="1022"/>
      <c r="G55" s="1022"/>
      <c r="H55" s="1022"/>
      <c r="I55" s="1022"/>
      <c r="J55" s="1022"/>
      <c r="K55" s="1022"/>
      <c r="L55" s="1022"/>
      <c r="M55" s="1022"/>
      <c r="N55" s="1022"/>
      <c r="O55" s="1022"/>
      <c r="P55" s="1022"/>
      <c r="Q55" s="1022"/>
      <c r="R55" s="1022"/>
      <c r="S55" s="1022"/>
    </row>
    <row r="56" spans="1:32" s="6" customFormat="1">
      <c r="A56" s="140" t="s">
        <v>129</v>
      </c>
      <c r="B56" s="1061" t="s">
        <v>130</v>
      </c>
      <c r="C56" s="1062"/>
      <c r="D56" s="361" t="s">
        <v>131</v>
      </c>
      <c r="E56" s="358" t="s">
        <v>102</v>
      </c>
      <c r="F56" s="1143" t="s">
        <v>1201</v>
      </c>
      <c r="G56" s="1143"/>
      <c r="AD56"/>
      <c r="AE56"/>
      <c r="AF56"/>
    </row>
    <row r="57" spans="1:32">
      <c r="A57" s="9" t="s">
        <v>200</v>
      </c>
      <c r="B57" s="1095" t="s">
        <v>167</v>
      </c>
      <c r="C57" s="1095"/>
      <c r="D57" s="363" t="s">
        <v>180</v>
      </c>
      <c r="E57" s="366" t="s">
        <v>1189</v>
      </c>
      <c r="F57" s="1142">
        <f t="shared" ref="F57:F66" si="3">F44/F17</f>
        <v>3.8384426440343733E-2</v>
      </c>
      <c r="G57" s="1142"/>
    </row>
    <row r="58" spans="1:32">
      <c r="A58" s="9" t="s">
        <v>202</v>
      </c>
      <c r="B58" s="1095" t="s">
        <v>167</v>
      </c>
      <c r="C58" s="1095"/>
      <c r="D58" s="363" t="s">
        <v>180</v>
      </c>
      <c r="E58" s="366" t="s">
        <v>1189</v>
      </c>
      <c r="F58" s="1142">
        <f t="shared" si="3"/>
        <v>3.8384426440343733E-2</v>
      </c>
      <c r="G58" s="1142"/>
    </row>
    <row r="59" spans="1:32">
      <c r="A59" s="9" t="s">
        <v>201</v>
      </c>
      <c r="B59" s="1095" t="s">
        <v>167</v>
      </c>
      <c r="C59" s="1095"/>
      <c r="D59" s="363" t="s">
        <v>180</v>
      </c>
      <c r="E59" s="366" t="s">
        <v>1189</v>
      </c>
      <c r="F59" s="1142">
        <f t="shared" si="3"/>
        <v>3.838442644034374E-2</v>
      </c>
      <c r="G59" s="1142"/>
    </row>
    <row r="60" spans="1:32">
      <c r="A60" s="9" t="s">
        <v>203</v>
      </c>
      <c r="B60" s="1095" t="s">
        <v>167</v>
      </c>
      <c r="C60" s="1095"/>
      <c r="D60" s="363" t="s">
        <v>180</v>
      </c>
      <c r="E60" s="366" t="s">
        <v>1189</v>
      </c>
      <c r="F60" s="1142">
        <f t="shared" si="3"/>
        <v>3.8384426440343733E-2</v>
      </c>
      <c r="G60" s="1142"/>
    </row>
    <row r="61" spans="1:32">
      <c r="A61" s="9" t="s">
        <v>1051</v>
      </c>
      <c r="B61" s="1095" t="s">
        <v>167</v>
      </c>
      <c r="C61" s="1095"/>
      <c r="D61" s="363" t="s">
        <v>180</v>
      </c>
      <c r="E61" s="366" t="s">
        <v>1189</v>
      </c>
      <c r="F61" s="1142">
        <f t="shared" si="3"/>
        <v>3.8384426440343733E-2</v>
      </c>
      <c r="G61" s="1142"/>
    </row>
    <row r="62" spans="1:32">
      <c r="A62" s="9" t="s">
        <v>142</v>
      </c>
      <c r="B62" s="1095" t="s">
        <v>167</v>
      </c>
      <c r="C62" s="1095"/>
      <c r="D62" s="363" t="s">
        <v>180</v>
      </c>
      <c r="E62" s="366" t="s">
        <v>1189</v>
      </c>
      <c r="F62" s="1142">
        <f t="shared" si="3"/>
        <v>3.8384426440343733E-2</v>
      </c>
      <c r="G62" s="1142"/>
    </row>
    <row r="63" spans="1:32">
      <c r="A63" s="9" t="s">
        <v>138</v>
      </c>
      <c r="B63" s="1095" t="s">
        <v>167</v>
      </c>
      <c r="C63" s="1095"/>
      <c r="D63" s="363" t="s">
        <v>180</v>
      </c>
      <c r="E63" s="366" t="s">
        <v>1189</v>
      </c>
      <c r="F63" s="1142">
        <f t="shared" si="3"/>
        <v>3.838442644034374E-2</v>
      </c>
      <c r="G63" s="1142"/>
    </row>
    <row r="64" spans="1:32">
      <c r="A64" s="9" t="s">
        <v>1053</v>
      </c>
      <c r="B64" s="1095" t="s">
        <v>167</v>
      </c>
      <c r="C64" s="1095"/>
      <c r="D64" s="363" t="s">
        <v>180</v>
      </c>
      <c r="E64" s="366" t="s">
        <v>1189</v>
      </c>
      <c r="F64" s="1142">
        <f t="shared" si="3"/>
        <v>3.8384426440343733E-2</v>
      </c>
      <c r="G64" s="1142"/>
    </row>
    <row r="65" spans="1:7">
      <c r="A65" s="9" t="s">
        <v>967</v>
      </c>
      <c r="B65" s="1095" t="s">
        <v>167</v>
      </c>
      <c r="C65" s="1095"/>
      <c r="D65" s="363" t="s">
        <v>180</v>
      </c>
      <c r="E65" s="366" t="s">
        <v>1189</v>
      </c>
      <c r="F65" s="1142">
        <f t="shared" si="3"/>
        <v>3.8384426440343733E-2</v>
      </c>
      <c r="G65" s="1142"/>
    </row>
    <row r="66" spans="1:7">
      <c r="A66" s="9" t="s">
        <v>153</v>
      </c>
      <c r="B66" s="1095" t="s">
        <v>167</v>
      </c>
      <c r="C66" s="1095"/>
      <c r="D66" s="363" t="s">
        <v>180</v>
      </c>
      <c r="E66" s="366" t="s">
        <v>1189</v>
      </c>
      <c r="F66" s="1142">
        <f t="shared" si="3"/>
        <v>3.838442644034374E-2</v>
      </c>
      <c r="G66" s="1142"/>
    </row>
  </sheetData>
  <mergeCells count="63">
    <mergeCell ref="A42:S42"/>
    <mergeCell ref="A29:S29"/>
    <mergeCell ref="E9:J9"/>
    <mergeCell ref="K2:S2"/>
    <mergeCell ref="K3:S3"/>
    <mergeCell ref="K4:S4"/>
    <mergeCell ref="E2:J2"/>
    <mergeCell ref="A1:S1"/>
    <mergeCell ref="A11:S11"/>
    <mergeCell ref="A15:S15"/>
    <mergeCell ref="K8:S8"/>
    <mergeCell ref="K9:S9"/>
    <mergeCell ref="E8:J8"/>
    <mergeCell ref="E5:J5"/>
    <mergeCell ref="E4:J4"/>
    <mergeCell ref="E3:J3"/>
    <mergeCell ref="A7:S7"/>
    <mergeCell ref="K5:S5"/>
    <mergeCell ref="B56:C56"/>
    <mergeCell ref="F56:G56"/>
    <mergeCell ref="B57:C57"/>
    <mergeCell ref="F57:G57"/>
    <mergeCell ref="B58:C58"/>
    <mergeCell ref="F58:G58"/>
    <mergeCell ref="B59:C59"/>
    <mergeCell ref="F59:G59"/>
    <mergeCell ref="B60:C60"/>
    <mergeCell ref="F60:G60"/>
    <mergeCell ref="B61:C61"/>
    <mergeCell ref="F61:G61"/>
    <mergeCell ref="B62:C62"/>
    <mergeCell ref="F62:G62"/>
    <mergeCell ref="B63:C63"/>
    <mergeCell ref="F63:G63"/>
    <mergeCell ref="B64:C64"/>
    <mergeCell ref="F64:G64"/>
    <mergeCell ref="B65:C65"/>
    <mergeCell ref="F65:G65"/>
    <mergeCell ref="B66:C66"/>
    <mergeCell ref="F66:G66"/>
    <mergeCell ref="B43:C43"/>
    <mergeCell ref="F43:G43"/>
    <mergeCell ref="B44:C44"/>
    <mergeCell ref="F44:G44"/>
    <mergeCell ref="B45:C45"/>
    <mergeCell ref="F45:G45"/>
    <mergeCell ref="B46:C46"/>
    <mergeCell ref="F46:G46"/>
    <mergeCell ref="B47:C47"/>
    <mergeCell ref="F47:G47"/>
    <mergeCell ref="B48:C48"/>
    <mergeCell ref="F48:G48"/>
    <mergeCell ref="B49:C49"/>
    <mergeCell ref="F49:G49"/>
    <mergeCell ref="B50:C50"/>
    <mergeCell ref="F50:G50"/>
    <mergeCell ref="B51:C51"/>
    <mergeCell ref="F51:G51"/>
    <mergeCell ref="A55:S55"/>
    <mergeCell ref="B52:C52"/>
    <mergeCell ref="F52:G52"/>
    <mergeCell ref="B53:C53"/>
    <mergeCell ref="F53:G53"/>
  </mergeCells>
  <hyperlinks>
    <hyperlink ref="E3" r:id="rId1" xr:uid="{EC478C41-FD79-4A80-90A5-A4C995E9C799}"/>
    <hyperlink ref="E4" r:id="rId2" xr:uid="{0BE46C12-9DCE-4514-AC21-F5B12C7BE577}"/>
    <hyperlink ref="E9" r:id="rId3" xr:uid="{8944310B-A01A-4335-80FB-61F4F7599E86}"/>
  </hyperlinks>
  <pageMargins left="0.7" right="0.7" top="0.75" bottom="0.75" header="0.3" footer="0.3"/>
  <pageSetup paperSize="9" orientation="portrait" horizontalDpi="4294967293" verticalDpi="0"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2641-4272-444A-947A-30524556CEF4}">
  <sheetPr>
    <tabColor theme="8"/>
  </sheetPr>
  <dimension ref="A1:AB62"/>
  <sheetViews>
    <sheetView topLeftCell="B1" workbookViewId="0">
      <selection activeCell="B35" sqref="B35"/>
    </sheetView>
  </sheetViews>
  <sheetFormatPr defaultRowHeight="15"/>
  <cols>
    <col min="1" max="1" width="9.7109375" bestFit="1" customWidth="1"/>
    <col min="6" max="6" width="27.28515625" bestFit="1" customWidth="1"/>
  </cols>
  <sheetData>
    <row r="1" spans="1:28">
      <c r="A1" t="s">
        <v>1109</v>
      </c>
    </row>
    <row r="2" spans="1:28">
      <c r="A2" s="140" t="s">
        <v>1106</v>
      </c>
      <c r="B2" s="140" t="s">
        <v>101</v>
      </c>
      <c r="C2" s="140" t="s">
        <v>182</v>
      </c>
      <c r="D2" s="140" t="s">
        <v>180</v>
      </c>
      <c r="E2" s="140" t="s">
        <v>1107</v>
      </c>
      <c r="F2" s="379" t="s">
        <v>104</v>
      </c>
      <c r="G2" s="228" t="s">
        <v>1108</v>
      </c>
      <c r="H2" s="228" t="s">
        <v>1202</v>
      </c>
    </row>
    <row r="3" spans="1:28">
      <c r="A3" s="392" t="s">
        <v>1109</v>
      </c>
      <c r="B3" s="366">
        <v>1990</v>
      </c>
      <c r="C3" s="396">
        <v>418764395</v>
      </c>
      <c r="D3" s="396">
        <v>14951510</v>
      </c>
      <c r="E3" s="393"/>
      <c r="F3" s="394" t="s">
        <v>1203</v>
      </c>
      <c r="G3" s="378">
        <f t="shared" ref="G3:G12" si="0">D3/C3</f>
        <v>3.5703871146924991E-2</v>
      </c>
      <c r="H3" s="378">
        <f>C3/D3</f>
        <v>28.008167402489782</v>
      </c>
    </row>
    <row r="4" spans="1:28">
      <c r="A4" s="392" t="s">
        <v>1109</v>
      </c>
      <c r="B4" s="366">
        <v>1995</v>
      </c>
      <c r="C4" s="396">
        <v>424301173</v>
      </c>
      <c r="D4" s="396">
        <v>15459006</v>
      </c>
      <c r="E4" s="391"/>
      <c r="F4" s="395" t="s">
        <v>1203</v>
      </c>
      <c r="G4" s="378">
        <f t="shared" si="0"/>
        <v>3.6434040214166456E-2</v>
      </c>
      <c r="H4" s="378">
        <f t="shared" ref="H4:H12" si="1">C4/D4</f>
        <v>27.446859972756332</v>
      </c>
    </row>
    <row r="5" spans="1:28">
      <c r="A5" s="392" t="s">
        <v>1109</v>
      </c>
      <c r="B5" s="366">
        <v>2000</v>
      </c>
      <c r="C5" s="396">
        <v>428929021</v>
      </c>
      <c r="D5" s="396">
        <v>15925513</v>
      </c>
      <c r="E5" s="391"/>
      <c r="F5" s="395" t="s">
        <v>1203</v>
      </c>
      <c r="G5" s="378">
        <f t="shared" si="0"/>
        <v>3.7128550926378096E-2</v>
      </c>
      <c r="H5" s="378">
        <f t="shared" si="1"/>
        <v>26.933450809402498</v>
      </c>
    </row>
    <row r="6" spans="1:28">
      <c r="A6" s="392" t="s">
        <v>1109</v>
      </c>
      <c r="B6" s="366">
        <v>2005</v>
      </c>
      <c r="C6" s="396">
        <v>435116254</v>
      </c>
      <c r="D6" s="396">
        <v>16319868</v>
      </c>
      <c r="E6" s="391"/>
      <c r="F6" s="395" t="s">
        <v>1203</v>
      </c>
      <c r="G6" s="378">
        <f t="shared" si="0"/>
        <v>3.7506914186662396E-2</v>
      </c>
      <c r="H6" s="378">
        <f t="shared" si="1"/>
        <v>26.661750818082599</v>
      </c>
    </row>
    <row r="7" spans="1:28">
      <c r="A7" s="392" t="s">
        <v>1109</v>
      </c>
      <c r="B7" s="366">
        <v>2010</v>
      </c>
      <c r="C7" s="396">
        <v>441041446</v>
      </c>
      <c r="D7" s="396">
        <v>16615394</v>
      </c>
      <c r="E7" s="391"/>
      <c r="F7" s="395" t="s">
        <v>1203</v>
      </c>
      <c r="G7" s="378">
        <f t="shared" si="0"/>
        <v>3.7673089798458535E-2</v>
      </c>
      <c r="H7" s="378">
        <f t="shared" si="1"/>
        <v>26.544146109324881</v>
      </c>
    </row>
    <row r="8" spans="1:28">
      <c r="A8" s="392" t="s">
        <v>1109</v>
      </c>
      <c r="B8" s="366">
        <v>2015</v>
      </c>
      <c r="C8" s="396">
        <v>444234821</v>
      </c>
      <c r="D8" s="396">
        <v>16939923</v>
      </c>
      <c r="E8" s="391"/>
      <c r="F8" s="395" t="s">
        <v>1203</v>
      </c>
      <c r="G8" s="378">
        <f t="shared" si="0"/>
        <v>3.8132812195737352E-2</v>
      </c>
      <c r="H8" s="378">
        <f t="shared" si="1"/>
        <v>26.224134607931806</v>
      </c>
    </row>
    <row r="9" spans="1:28">
      <c r="A9" s="392" t="s">
        <v>1109</v>
      </c>
      <c r="B9" s="366">
        <v>2019</v>
      </c>
      <c r="C9" s="396">
        <v>447022255</v>
      </c>
      <c r="D9" s="396">
        <v>17344874</v>
      </c>
      <c r="E9" s="391"/>
      <c r="F9" s="395" t="s">
        <v>1203</v>
      </c>
      <c r="G9" s="378">
        <f t="shared" si="0"/>
        <v>3.8800918312221391E-2</v>
      </c>
      <c r="H9" s="378">
        <f t="shared" si="1"/>
        <v>25.772585894829792</v>
      </c>
    </row>
    <row r="10" spans="1:28">
      <c r="A10" s="392" t="s">
        <v>1109</v>
      </c>
      <c r="B10" s="366">
        <v>2020</v>
      </c>
      <c r="C10" s="396">
        <v>447346360</v>
      </c>
      <c r="D10" s="396">
        <v>17441500</v>
      </c>
      <c r="E10" s="393" t="s">
        <v>1110</v>
      </c>
      <c r="F10" s="394" t="s">
        <v>1203</v>
      </c>
      <c r="G10" s="378">
        <f>D10/C10</f>
        <v>3.8988805005588961E-2</v>
      </c>
      <c r="H10" s="378">
        <f t="shared" si="1"/>
        <v>25.648388040019494</v>
      </c>
    </row>
    <row r="11" spans="1:28">
      <c r="A11" s="392" t="s">
        <v>1109</v>
      </c>
      <c r="B11" s="391">
        <v>2021</v>
      </c>
      <c r="C11" s="396">
        <v>446904604</v>
      </c>
      <c r="D11" s="396">
        <v>17533044</v>
      </c>
      <c r="E11" s="391"/>
      <c r="F11" s="395" t="s">
        <v>1203</v>
      </c>
      <c r="G11" s="378">
        <f t="shared" si="0"/>
        <v>3.923218477292751E-2</v>
      </c>
      <c r="H11" s="378">
        <f t="shared" si="1"/>
        <v>25.489276362963555</v>
      </c>
    </row>
    <row r="12" spans="1:28">
      <c r="A12" s="392" t="s">
        <v>1109</v>
      </c>
      <c r="B12" s="391">
        <v>2022</v>
      </c>
      <c r="C12" s="396">
        <v>447033117</v>
      </c>
      <c r="D12" s="396">
        <v>17700982</v>
      </c>
      <c r="E12" s="391"/>
      <c r="F12" s="395" t="s">
        <v>1203</v>
      </c>
      <c r="G12" s="378">
        <f t="shared" si="0"/>
        <v>3.9596578702691503E-2</v>
      </c>
      <c r="H12" s="378">
        <f t="shared" si="1"/>
        <v>25.254707168223774</v>
      </c>
    </row>
    <row r="14" spans="1:28">
      <c r="B14" s="399" t="s">
        <v>1204</v>
      </c>
      <c r="C14" s="397"/>
      <c r="D14" s="397"/>
      <c r="E14" s="397"/>
      <c r="F14" s="397"/>
      <c r="G14" s="397"/>
      <c r="H14" s="397"/>
      <c r="I14" s="397"/>
      <c r="J14" s="397"/>
      <c r="K14" s="397"/>
      <c r="L14" s="397"/>
      <c r="M14" s="397"/>
      <c r="N14" s="397"/>
      <c r="O14" s="397"/>
      <c r="P14" s="397"/>
      <c r="Q14" s="397"/>
      <c r="R14" s="397"/>
      <c r="S14" s="397"/>
      <c r="T14" s="397"/>
      <c r="U14" s="397"/>
      <c r="V14" s="397"/>
      <c r="W14" s="397"/>
      <c r="X14" s="397"/>
      <c r="Y14" s="397"/>
      <c r="Z14" s="397"/>
      <c r="AA14" s="397"/>
      <c r="AB14" s="397"/>
    </row>
    <row r="15" spans="1:28">
      <c r="B15" s="399" t="s">
        <v>1205</v>
      </c>
      <c r="C15" s="398" t="s">
        <v>1206</v>
      </c>
      <c r="D15" s="397"/>
      <c r="E15" s="397"/>
      <c r="F15" s="397"/>
      <c r="G15" s="397"/>
      <c r="H15" s="397"/>
      <c r="I15" s="397"/>
      <c r="J15" s="397"/>
      <c r="K15" s="397"/>
      <c r="L15" s="397"/>
      <c r="M15" s="397"/>
      <c r="N15" s="397"/>
      <c r="O15" s="397"/>
      <c r="P15" s="397"/>
      <c r="Q15" s="397"/>
      <c r="R15" s="397"/>
      <c r="S15" s="397"/>
      <c r="T15" s="397"/>
      <c r="U15" s="397"/>
      <c r="V15" s="397"/>
      <c r="W15" s="397"/>
      <c r="X15" s="397"/>
      <c r="Y15" s="397"/>
      <c r="Z15" s="397"/>
      <c r="AA15" s="397"/>
      <c r="AB15" s="397"/>
    </row>
    <row r="16" spans="1:28">
      <c r="B16" s="399" t="s">
        <v>1207</v>
      </c>
      <c r="C16" s="399" t="s">
        <v>1208</v>
      </c>
      <c r="D16" s="397"/>
      <c r="E16" s="397"/>
      <c r="F16" s="397"/>
      <c r="G16" s="397"/>
      <c r="H16" s="397"/>
      <c r="I16" s="397"/>
      <c r="J16" s="397"/>
      <c r="K16" s="397"/>
      <c r="L16" s="397"/>
      <c r="M16" s="397"/>
      <c r="N16" s="397"/>
      <c r="O16" s="397"/>
      <c r="P16" s="397"/>
      <c r="Q16" s="397"/>
      <c r="R16" s="397"/>
      <c r="S16" s="397"/>
      <c r="T16" s="397"/>
      <c r="U16" s="397"/>
      <c r="V16" s="397"/>
      <c r="W16" s="397"/>
      <c r="X16" s="397"/>
      <c r="Y16" s="397"/>
      <c r="Z16" s="397"/>
      <c r="AA16" s="397"/>
      <c r="AB16" s="397"/>
    </row>
    <row r="17" spans="2:28">
      <c r="B17" s="397"/>
      <c r="C17" s="397"/>
      <c r="D17" s="397"/>
      <c r="E17" s="397"/>
      <c r="F17" s="397"/>
      <c r="G17" s="397"/>
      <c r="H17" s="397"/>
      <c r="I17" s="397"/>
      <c r="J17" s="397"/>
      <c r="K17" s="397"/>
      <c r="L17" s="397"/>
      <c r="M17" s="397"/>
      <c r="N17" s="397"/>
      <c r="O17" s="397"/>
      <c r="P17" s="397"/>
      <c r="Q17" s="397"/>
      <c r="R17" s="397"/>
      <c r="S17" s="397"/>
      <c r="T17" s="397"/>
      <c r="U17" s="397"/>
      <c r="V17" s="397"/>
      <c r="W17" s="397"/>
      <c r="X17" s="397"/>
      <c r="Y17" s="397"/>
      <c r="Z17" s="397"/>
      <c r="AA17" s="397"/>
      <c r="AB17" s="397"/>
    </row>
    <row r="18" spans="2:28">
      <c r="B18" s="398" t="s">
        <v>1209</v>
      </c>
      <c r="C18" s="397"/>
      <c r="D18" s="399" t="s">
        <v>1210</v>
      </c>
      <c r="E18" s="397"/>
      <c r="F18" s="397"/>
      <c r="G18" s="397"/>
      <c r="H18" s="397"/>
      <c r="I18" s="397"/>
      <c r="J18" s="397"/>
      <c r="K18" s="397"/>
      <c r="L18" s="397"/>
      <c r="M18" s="397"/>
      <c r="N18" s="397"/>
      <c r="O18" s="397"/>
      <c r="P18" s="397"/>
      <c r="Q18" s="397"/>
      <c r="R18" s="397"/>
      <c r="S18" s="397"/>
      <c r="T18" s="397"/>
      <c r="U18" s="397"/>
      <c r="V18" s="397"/>
      <c r="W18" s="397"/>
      <c r="X18" s="397"/>
      <c r="Y18" s="397"/>
      <c r="Z18" s="397"/>
      <c r="AA18" s="397"/>
      <c r="AB18" s="397"/>
    </row>
    <row r="19" spans="2:28">
      <c r="B19" s="398" t="s">
        <v>1211</v>
      </c>
      <c r="C19" s="397"/>
      <c r="D19" s="399" t="s">
        <v>1212</v>
      </c>
      <c r="E19" s="397"/>
      <c r="F19" s="397"/>
      <c r="G19" s="397"/>
      <c r="H19" s="397"/>
      <c r="I19" s="397"/>
      <c r="J19" s="397"/>
      <c r="K19" s="397"/>
      <c r="L19" s="397"/>
      <c r="M19" s="397"/>
      <c r="N19" s="397"/>
      <c r="O19" s="397"/>
      <c r="P19" s="397"/>
      <c r="Q19" s="397"/>
      <c r="R19" s="397"/>
      <c r="S19" s="397"/>
      <c r="T19" s="397"/>
      <c r="U19" s="397"/>
      <c r="V19" s="397"/>
      <c r="W19" s="397"/>
      <c r="X19" s="397"/>
      <c r="Y19" s="397"/>
      <c r="Z19" s="397"/>
      <c r="AA19" s="397"/>
      <c r="AB19" s="397"/>
    </row>
    <row r="20" spans="2:28">
      <c r="B20" s="397"/>
      <c r="C20" s="397"/>
      <c r="D20" s="397"/>
      <c r="E20" s="397"/>
      <c r="F20" s="397"/>
      <c r="G20" s="397"/>
      <c r="H20" s="397"/>
      <c r="I20" s="397"/>
      <c r="J20" s="397"/>
      <c r="K20" s="397"/>
      <c r="L20" s="397"/>
      <c r="M20" s="397"/>
      <c r="N20" s="397"/>
      <c r="O20" s="397"/>
      <c r="P20" s="397"/>
      <c r="Q20" s="397"/>
      <c r="R20" s="397"/>
      <c r="S20" s="397"/>
      <c r="T20" s="397"/>
      <c r="U20" s="397"/>
      <c r="V20" s="397"/>
      <c r="W20" s="397"/>
      <c r="X20" s="397"/>
      <c r="Y20" s="397"/>
      <c r="Z20" s="397"/>
      <c r="AA20" s="397"/>
      <c r="AB20" s="397"/>
    </row>
    <row r="21" spans="2:28">
      <c r="B21" s="400" t="s">
        <v>1213</v>
      </c>
      <c r="C21" s="1152" t="s">
        <v>1214</v>
      </c>
      <c r="D21" s="1152" t="s">
        <v>249</v>
      </c>
      <c r="E21" s="1152" t="s">
        <v>1215</v>
      </c>
      <c r="F21" s="1152" t="s">
        <v>249</v>
      </c>
      <c r="G21" s="1152" t="s">
        <v>1216</v>
      </c>
      <c r="H21" s="1152" t="s">
        <v>249</v>
      </c>
      <c r="I21" s="1152" t="s">
        <v>1217</v>
      </c>
      <c r="J21" s="1152" t="s">
        <v>249</v>
      </c>
      <c r="K21" s="1152" t="s">
        <v>1218</v>
      </c>
      <c r="L21" s="1152" t="s">
        <v>249</v>
      </c>
      <c r="M21" s="1152" t="s">
        <v>1219</v>
      </c>
      <c r="N21" s="1152" t="s">
        <v>249</v>
      </c>
      <c r="O21" s="1152" t="s">
        <v>1220</v>
      </c>
      <c r="P21" s="1152" t="s">
        <v>249</v>
      </c>
      <c r="Q21" s="1152" t="s">
        <v>1221</v>
      </c>
      <c r="R21" s="1152" t="s">
        <v>249</v>
      </c>
      <c r="S21" s="1152" t="s">
        <v>1222</v>
      </c>
      <c r="T21" s="1152" t="s">
        <v>249</v>
      </c>
      <c r="U21" s="1152" t="s">
        <v>1223</v>
      </c>
      <c r="V21" s="1152" t="s">
        <v>249</v>
      </c>
      <c r="W21" s="1152" t="s">
        <v>1224</v>
      </c>
      <c r="X21" s="1152" t="s">
        <v>249</v>
      </c>
      <c r="Y21" s="1152" t="s">
        <v>1225</v>
      </c>
      <c r="Z21" s="1152" t="s">
        <v>249</v>
      </c>
      <c r="AA21" s="1152" t="s">
        <v>1226</v>
      </c>
      <c r="AB21" s="1152" t="s">
        <v>249</v>
      </c>
    </row>
    <row r="22" spans="2:28">
      <c r="B22" s="401" t="s">
        <v>1227</v>
      </c>
      <c r="C22" s="403" t="s">
        <v>249</v>
      </c>
      <c r="D22" s="403" t="s">
        <v>249</v>
      </c>
      <c r="E22" s="403" t="s">
        <v>249</v>
      </c>
      <c r="F22" s="403" t="s">
        <v>249</v>
      </c>
      <c r="G22" s="403" t="s">
        <v>249</v>
      </c>
      <c r="H22" s="403" t="s">
        <v>249</v>
      </c>
      <c r="I22" s="403" t="s">
        <v>249</v>
      </c>
      <c r="J22" s="403" t="s">
        <v>249</v>
      </c>
      <c r="K22" s="403" t="s">
        <v>249</v>
      </c>
      <c r="L22" s="403" t="s">
        <v>249</v>
      </c>
      <c r="M22" s="403" t="s">
        <v>249</v>
      </c>
      <c r="N22" s="403" t="s">
        <v>249</v>
      </c>
      <c r="O22" s="403" t="s">
        <v>249</v>
      </c>
      <c r="P22" s="403" t="s">
        <v>249</v>
      </c>
      <c r="Q22" s="403" t="s">
        <v>249</v>
      </c>
      <c r="R22" s="403" t="s">
        <v>249</v>
      </c>
      <c r="S22" s="403" t="s">
        <v>249</v>
      </c>
      <c r="T22" s="403" t="s">
        <v>249</v>
      </c>
      <c r="U22" s="403" t="s">
        <v>249</v>
      </c>
      <c r="V22" s="403" t="s">
        <v>249</v>
      </c>
      <c r="W22" s="403" t="s">
        <v>249</v>
      </c>
      <c r="X22" s="403" t="s">
        <v>249</v>
      </c>
      <c r="Y22" s="403" t="s">
        <v>249</v>
      </c>
      <c r="Z22" s="403" t="s">
        <v>249</v>
      </c>
      <c r="AA22" s="403" t="s">
        <v>249</v>
      </c>
      <c r="AB22" s="403" t="s">
        <v>249</v>
      </c>
    </row>
    <row r="23" spans="2:28">
      <c r="B23" s="402" t="s">
        <v>1228</v>
      </c>
      <c r="C23" s="405">
        <v>418764395</v>
      </c>
      <c r="D23" s="405" t="s">
        <v>249</v>
      </c>
      <c r="E23" s="405">
        <v>424301173</v>
      </c>
      <c r="F23" s="405" t="s">
        <v>249</v>
      </c>
      <c r="G23" s="405">
        <v>428929021</v>
      </c>
      <c r="H23" s="405" t="s">
        <v>1229</v>
      </c>
      <c r="I23" s="405">
        <v>443274551</v>
      </c>
      <c r="J23" s="405" t="s">
        <v>1229</v>
      </c>
      <c r="K23" s="405">
        <v>444234821</v>
      </c>
      <c r="L23" s="405" t="s">
        <v>1229</v>
      </c>
      <c r="M23" s="405">
        <v>445167186</v>
      </c>
      <c r="N23" s="405" t="s">
        <v>249</v>
      </c>
      <c r="O23" s="405">
        <v>445871494</v>
      </c>
      <c r="P23" s="405" t="s">
        <v>1229</v>
      </c>
      <c r="Q23" s="405">
        <v>446655355</v>
      </c>
      <c r="R23" s="405" t="s">
        <v>1230</v>
      </c>
      <c r="S23" s="405">
        <v>447022255</v>
      </c>
      <c r="T23" s="405" t="s">
        <v>1231</v>
      </c>
      <c r="U23" s="405">
        <v>447346360</v>
      </c>
      <c r="V23" s="405" t="s">
        <v>1232</v>
      </c>
      <c r="W23" s="405">
        <v>446904604</v>
      </c>
      <c r="X23" s="405" t="s">
        <v>1231</v>
      </c>
      <c r="Y23" s="405">
        <v>447033117</v>
      </c>
      <c r="Z23" s="405" t="s">
        <v>1231</v>
      </c>
      <c r="AA23" s="405" t="s">
        <v>1233</v>
      </c>
      <c r="AB23" s="405" t="s">
        <v>249</v>
      </c>
    </row>
    <row r="24" spans="2:28">
      <c r="B24" s="402" t="s">
        <v>1234</v>
      </c>
      <c r="C24" s="404">
        <v>476011981</v>
      </c>
      <c r="D24" s="404" t="s">
        <v>249</v>
      </c>
      <c r="E24" s="404">
        <v>482320203</v>
      </c>
      <c r="F24" s="404" t="s">
        <v>249</v>
      </c>
      <c r="G24" s="404">
        <v>487821535</v>
      </c>
      <c r="H24" s="404" t="s">
        <v>1229</v>
      </c>
      <c r="I24" s="404">
        <v>507876849</v>
      </c>
      <c r="J24" s="404" t="s">
        <v>1229</v>
      </c>
      <c r="K24" s="404">
        <v>509351040</v>
      </c>
      <c r="L24" s="404" t="s">
        <v>1229</v>
      </c>
      <c r="M24" s="404">
        <v>510778779</v>
      </c>
      <c r="N24" s="404" t="s">
        <v>249</v>
      </c>
      <c r="O24" s="404">
        <v>511930353</v>
      </c>
      <c r="P24" s="404" t="s">
        <v>1229</v>
      </c>
      <c r="Q24" s="404" t="s">
        <v>1233</v>
      </c>
      <c r="R24" s="404" t="s">
        <v>249</v>
      </c>
      <c r="S24" s="404">
        <v>513858582</v>
      </c>
      <c r="T24" s="404" t="s">
        <v>1231</v>
      </c>
      <c r="U24" s="404" t="s">
        <v>1233</v>
      </c>
      <c r="V24" s="404" t="s">
        <v>249</v>
      </c>
      <c r="W24" s="404" t="s">
        <v>1233</v>
      </c>
      <c r="X24" s="404" t="s">
        <v>249</v>
      </c>
      <c r="Y24" s="404" t="s">
        <v>1233</v>
      </c>
      <c r="Z24" s="404" t="s">
        <v>249</v>
      </c>
      <c r="AA24" s="404" t="s">
        <v>1233</v>
      </c>
      <c r="AB24" s="404" t="s">
        <v>249</v>
      </c>
    </row>
    <row r="25" spans="2:28">
      <c r="B25" s="402" t="s">
        <v>1235</v>
      </c>
      <c r="C25" s="405">
        <v>14951510</v>
      </c>
      <c r="D25" s="405" t="s">
        <v>249</v>
      </c>
      <c r="E25" s="405">
        <v>15459006</v>
      </c>
      <c r="F25" s="405" t="s">
        <v>249</v>
      </c>
      <c r="G25" s="405">
        <v>15925513</v>
      </c>
      <c r="H25" s="405" t="s">
        <v>249</v>
      </c>
      <c r="I25" s="405">
        <v>16865008</v>
      </c>
      <c r="J25" s="405" t="s">
        <v>249</v>
      </c>
      <c r="K25" s="405">
        <v>16939923</v>
      </c>
      <c r="L25" s="405" t="s">
        <v>249</v>
      </c>
      <c r="M25" s="405">
        <v>17030314</v>
      </c>
      <c r="N25" s="405" t="s">
        <v>249</v>
      </c>
      <c r="O25" s="405">
        <v>17131296</v>
      </c>
      <c r="P25" s="405" t="s">
        <v>249</v>
      </c>
      <c r="Q25" s="405">
        <v>17231624</v>
      </c>
      <c r="R25" s="405" t="s">
        <v>249</v>
      </c>
      <c r="S25" s="405">
        <v>17344874</v>
      </c>
      <c r="T25" s="405" t="s">
        <v>249</v>
      </c>
      <c r="U25" s="405">
        <v>17441500</v>
      </c>
      <c r="V25" s="405" t="s">
        <v>249</v>
      </c>
      <c r="W25" s="405">
        <v>17533044</v>
      </c>
      <c r="X25" s="405" t="s">
        <v>249</v>
      </c>
      <c r="Y25" s="405">
        <v>17700982</v>
      </c>
      <c r="Z25" s="405" t="s">
        <v>249</v>
      </c>
      <c r="AA25" s="405" t="s">
        <v>1233</v>
      </c>
      <c r="AB25" s="405" t="s">
        <v>249</v>
      </c>
    </row>
    <row r="27" spans="2:28">
      <c r="B27" s="398" t="s">
        <v>1236</v>
      </c>
      <c r="C27" s="397"/>
      <c r="D27" s="397"/>
      <c r="E27" s="397"/>
      <c r="F27" s="397"/>
      <c r="G27" s="397"/>
      <c r="H27" s="397"/>
      <c r="I27" s="397"/>
      <c r="J27" s="397"/>
      <c r="K27" s="397"/>
      <c r="L27" s="397"/>
      <c r="M27" s="397"/>
      <c r="N27" s="397"/>
      <c r="O27" s="397"/>
      <c r="P27" s="397"/>
      <c r="Q27" s="397"/>
      <c r="R27" s="397"/>
      <c r="S27" s="397"/>
      <c r="T27" s="397"/>
      <c r="U27" s="397"/>
      <c r="V27" s="397"/>
      <c r="W27" s="397"/>
      <c r="X27" s="397"/>
      <c r="Y27" s="397"/>
      <c r="Z27" s="397"/>
      <c r="AA27" s="397"/>
      <c r="AB27" s="397"/>
    </row>
    <row r="28" spans="2:28">
      <c r="B28" s="398" t="s">
        <v>1233</v>
      </c>
      <c r="C28" s="399" t="s">
        <v>1237</v>
      </c>
      <c r="D28" s="397"/>
      <c r="E28" s="397"/>
      <c r="F28" s="397"/>
      <c r="G28" s="397"/>
      <c r="H28" s="397"/>
      <c r="I28" s="397"/>
      <c r="J28" s="397"/>
      <c r="K28" s="397"/>
      <c r="L28" s="397"/>
      <c r="M28" s="397"/>
      <c r="N28" s="397"/>
      <c r="O28" s="397"/>
      <c r="P28" s="397"/>
      <c r="Q28" s="397"/>
      <c r="R28" s="397"/>
      <c r="S28" s="397"/>
      <c r="T28" s="397"/>
      <c r="U28" s="397"/>
      <c r="V28" s="397"/>
      <c r="W28" s="397"/>
      <c r="X28" s="397"/>
      <c r="Y28" s="397"/>
      <c r="Z28" s="397"/>
      <c r="AA28" s="397"/>
      <c r="AB28" s="397"/>
    </row>
    <row r="29" spans="2:28">
      <c r="B29" s="398" t="s">
        <v>1238</v>
      </c>
      <c r="C29" s="397"/>
      <c r="D29" s="397"/>
      <c r="E29" s="397"/>
      <c r="F29" s="397"/>
      <c r="G29" s="397"/>
      <c r="H29" s="397"/>
      <c r="I29" s="397"/>
      <c r="J29" s="397"/>
      <c r="K29" s="397"/>
      <c r="L29" s="397"/>
      <c r="M29" s="397"/>
      <c r="N29" s="397"/>
      <c r="O29" s="397"/>
      <c r="P29" s="397"/>
      <c r="Q29" s="397"/>
      <c r="R29" s="397"/>
      <c r="S29" s="397"/>
      <c r="T29" s="397"/>
      <c r="U29" s="397"/>
      <c r="V29" s="397"/>
      <c r="W29" s="397"/>
      <c r="X29" s="397"/>
      <c r="Y29" s="397"/>
      <c r="Z29" s="397"/>
      <c r="AA29" s="397"/>
      <c r="AB29" s="397"/>
    </row>
    <row r="30" spans="2:28">
      <c r="B30" s="398" t="s">
        <v>1231</v>
      </c>
      <c r="C30" s="399" t="s">
        <v>1239</v>
      </c>
    </row>
    <row r="31" spans="2:28">
      <c r="B31" s="398" t="s">
        <v>1229</v>
      </c>
      <c r="C31" s="399" t="s">
        <v>1240</v>
      </c>
    </row>
    <row r="32" spans="2:28">
      <c r="B32" s="398" t="s">
        <v>1230</v>
      </c>
      <c r="C32" s="399" t="s">
        <v>1241</v>
      </c>
    </row>
    <row r="33" spans="1:3">
      <c r="B33" s="398" t="s">
        <v>1232</v>
      </c>
      <c r="C33" s="399" t="s">
        <v>1242</v>
      </c>
    </row>
    <row r="34" spans="1:3">
      <c r="A34" t="s">
        <v>1243</v>
      </c>
    </row>
    <row r="35" spans="1:3">
      <c r="A35" s="400" t="s">
        <v>1213</v>
      </c>
      <c r="B35" s="402" t="s">
        <v>1228</v>
      </c>
      <c r="C35" s="402" t="s">
        <v>1235</v>
      </c>
    </row>
    <row r="36" spans="1:3">
      <c r="A36" s="406" t="s">
        <v>1214</v>
      </c>
      <c r="B36" s="405">
        <v>418764395</v>
      </c>
      <c r="C36" s="405">
        <v>14951510</v>
      </c>
    </row>
    <row r="37" spans="1:3">
      <c r="A37" s="406" t="s">
        <v>1215</v>
      </c>
      <c r="B37" s="405">
        <v>424301173</v>
      </c>
      <c r="C37" s="405">
        <v>15459006</v>
      </c>
    </row>
    <row r="38" spans="1:3">
      <c r="A38" s="406" t="s">
        <v>1216</v>
      </c>
      <c r="B38" s="405">
        <v>428929021</v>
      </c>
      <c r="C38" s="405">
        <v>15925513</v>
      </c>
    </row>
    <row r="39" spans="1:3">
      <c r="A39" s="406" t="s">
        <v>1217</v>
      </c>
      <c r="B39" s="405">
        <v>443274551</v>
      </c>
      <c r="C39" s="405">
        <v>16865008</v>
      </c>
    </row>
    <row r="40" spans="1:3">
      <c r="A40" s="406" t="s">
        <v>1218</v>
      </c>
      <c r="B40" s="405">
        <v>444234821</v>
      </c>
      <c r="C40" s="405">
        <v>16939923</v>
      </c>
    </row>
    <row r="41" spans="1:3">
      <c r="A41" s="406" t="s">
        <v>1219</v>
      </c>
      <c r="B41" s="405">
        <v>445167186</v>
      </c>
      <c r="C41" s="405">
        <v>17030314</v>
      </c>
    </row>
    <row r="42" spans="1:3">
      <c r="A42" s="406" t="s">
        <v>1220</v>
      </c>
      <c r="B42" s="405">
        <v>445871494</v>
      </c>
      <c r="C42" s="405">
        <v>17131296</v>
      </c>
    </row>
    <row r="43" spans="1:3">
      <c r="A43" s="406" t="s">
        <v>1221</v>
      </c>
      <c r="B43" s="405">
        <v>446655355</v>
      </c>
      <c r="C43" s="405">
        <v>17231624</v>
      </c>
    </row>
    <row r="44" spans="1:3">
      <c r="A44" s="406" t="s">
        <v>1222</v>
      </c>
      <c r="B44" s="405">
        <v>447022255</v>
      </c>
      <c r="C44" s="405">
        <v>17344874</v>
      </c>
    </row>
    <row r="45" spans="1:3">
      <c r="A45" s="406" t="s">
        <v>1223</v>
      </c>
      <c r="B45" s="405">
        <v>447346360</v>
      </c>
      <c r="C45" s="405">
        <v>17441500</v>
      </c>
    </row>
    <row r="46" spans="1:3">
      <c r="A46" s="406" t="s">
        <v>1224</v>
      </c>
      <c r="B46" s="405">
        <v>446904604</v>
      </c>
      <c r="C46" s="405">
        <v>17533044</v>
      </c>
    </row>
    <row r="47" spans="1:3">
      <c r="A47" s="406" t="s">
        <v>1225</v>
      </c>
      <c r="B47" s="405">
        <v>447033117</v>
      </c>
      <c r="C47" s="405">
        <v>17700982</v>
      </c>
    </row>
    <row r="48" spans="1:3">
      <c r="A48" s="406" t="s">
        <v>1226</v>
      </c>
      <c r="B48" s="405" t="s">
        <v>1233</v>
      </c>
      <c r="C48" s="405" t="s">
        <v>1233</v>
      </c>
    </row>
    <row r="49" spans="1:3">
      <c r="A49" s="406" t="s">
        <v>249</v>
      </c>
      <c r="B49" s="405" t="s">
        <v>249</v>
      </c>
      <c r="C49" s="405" t="s">
        <v>249</v>
      </c>
    </row>
    <row r="52" spans="1:3">
      <c r="A52" t="s">
        <v>1243</v>
      </c>
      <c r="B52" t="s">
        <v>182</v>
      </c>
      <c r="C52" t="s">
        <v>180</v>
      </c>
    </row>
    <row r="53" spans="1:3">
      <c r="A53" s="410" t="s">
        <v>1214</v>
      </c>
      <c r="B53" s="408">
        <v>418764395</v>
      </c>
      <c r="C53" s="409">
        <v>14951510</v>
      </c>
    </row>
    <row r="54" spans="1:3">
      <c r="A54" s="410" t="s">
        <v>1215</v>
      </c>
      <c r="B54" s="408">
        <v>424301173</v>
      </c>
      <c r="C54" s="409">
        <v>15459006</v>
      </c>
    </row>
    <row r="55" spans="1:3">
      <c r="A55" s="410" t="s">
        <v>1216</v>
      </c>
      <c r="B55" s="408">
        <v>428929021</v>
      </c>
      <c r="C55" s="409">
        <v>15925513</v>
      </c>
    </row>
    <row r="56" spans="1:3">
      <c r="A56" s="410" t="s">
        <v>1244</v>
      </c>
      <c r="B56" s="408">
        <v>435116254</v>
      </c>
      <c r="C56" s="409">
        <v>16319868</v>
      </c>
    </row>
    <row r="57" spans="1:3">
      <c r="A57" s="410" t="s">
        <v>1245</v>
      </c>
      <c r="B57" s="408">
        <v>441041446</v>
      </c>
      <c r="C57" s="409">
        <v>16615394</v>
      </c>
    </row>
    <row r="58" spans="1:3">
      <c r="A58" s="410" t="s">
        <v>1218</v>
      </c>
      <c r="B58" s="408">
        <v>444234821</v>
      </c>
      <c r="C58" s="409">
        <v>16939923</v>
      </c>
    </row>
    <row r="59" spans="1:3">
      <c r="A59" s="410" t="s">
        <v>1222</v>
      </c>
      <c r="B59" s="408">
        <v>447022255</v>
      </c>
      <c r="C59" s="409">
        <v>17344874</v>
      </c>
    </row>
    <row r="60" spans="1:3">
      <c r="A60" s="410" t="s">
        <v>1223</v>
      </c>
      <c r="B60" s="408">
        <v>447346360</v>
      </c>
      <c r="C60" s="409">
        <v>17441500</v>
      </c>
    </row>
    <row r="61" spans="1:3">
      <c r="A61" s="410" t="s">
        <v>1224</v>
      </c>
      <c r="B61" s="408">
        <v>446904604</v>
      </c>
      <c r="C61" s="409">
        <v>17533044</v>
      </c>
    </row>
    <row r="62" spans="1:3">
      <c r="A62" s="410" t="s">
        <v>1225</v>
      </c>
      <c r="B62" s="408">
        <v>447033117</v>
      </c>
      <c r="C62" s="409">
        <v>17700982</v>
      </c>
    </row>
  </sheetData>
  <mergeCells count="13">
    <mergeCell ref="W21:X21"/>
    <mergeCell ref="Y21:Z21"/>
    <mergeCell ref="AA21:AB21"/>
    <mergeCell ref="M21:N21"/>
    <mergeCell ref="O21:P21"/>
    <mergeCell ref="Q21:R21"/>
    <mergeCell ref="S21:T21"/>
    <mergeCell ref="U21:V21"/>
    <mergeCell ref="C21:D21"/>
    <mergeCell ref="E21:F21"/>
    <mergeCell ref="G21:H21"/>
    <mergeCell ref="I21:J21"/>
    <mergeCell ref="K21:L21"/>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5C4A0-B492-471D-BA0B-47AC3C4193E6}">
  <sheetPr>
    <tabColor theme="7" tint="0.59999389629810485"/>
  </sheetPr>
  <dimension ref="A1:O82"/>
  <sheetViews>
    <sheetView topLeftCell="A19" workbookViewId="0">
      <selection activeCell="D59" sqref="D59"/>
    </sheetView>
  </sheetViews>
  <sheetFormatPr defaultRowHeight="15"/>
  <cols>
    <col min="2" max="2" width="15.85546875" bestFit="1" customWidth="1"/>
    <col min="3" max="3" width="32.5703125" customWidth="1"/>
    <col min="4" max="4" width="28.42578125" bestFit="1" customWidth="1"/>
    <col min="5" max="5" width="32.140625" bestFit="1" customWidth="1"/>
    <col min="6" max="6" width="32.7109375" bestFit="1" customWidth="1"/>
    <col min="7" max="7" width="177.85546875" bestFit="1" customWidth="1"/>
    <col min="13" max="13" width="11" customWidth="1"/>
    <col min="15" max="15" width="20.140625" bestFit="1" customWidth="1"/>
  </cols>
  <sheetData>
    <row r="1" spans="1:15">
      <c r="A1" s="225" t="s">
        <v>101</v>
      </c>
      <c r="B1" s="225" t="s">
        <v>1246</v>
      </c>
      <c r="C1" s="225" t="s">
        <v>1247</v>
      </c>
      <c r="D1" s="225" t="s">
        <v>1248</v>
      </c>
      <c r="E1" s="225" t="s">
        <v>1249</v>
      </c>
      <c r="F1" s="225" t="s">
        <v>1250</v>
      </c>
      <c r="G1" s="225" t="s">
        <v>104</v>
      </c>
      <c r="H1" s="111" t="s">
        <v>134</v>
      </c>
      <c r="I1" s="112" t="s">
        <v>135</v>
      </c>
      <c r="J1" s="112" t="s">
        <v>65</v>
      </c>
      <c r="K1" s="112" t="s">
        <v>67</v>
      </c>
      <c r="L1" s="112" t="s">
        <v>73</v>
      </c>
      <c r="M1" s="113" t="s">
        <v>79</v>
      </c>
      <c r="O1" s="420" t="s">
        <v>1251</v>
      </c>
    </row>
    <row r="2" spans="1:15">
      <c r="A2" s="421">
        <v>1980</v>
      </c>
      <c r="B2" s="421">
        <v>22.5036767</v>
      </c>
      <c r="C2" s="516">
        <f t="shared" ref="C2:C39" si="0">B2/OECD_ref_2018</f>
        <v>0.36060378883928257</v>
      </c>
      <c r="D2">
        <f t="shared" ref="D2:D39" si="1">In_EU_2018*C2</f>
        <v>249.82991094574334</v>
      </c>
      <c r="E2">
        <f t="shared" ref="E2:E39" si="2">In_NL_2018_low*C2</f>
        <v>8.2211048318604494</v>
      </c>
      <c r="F2">
        <f t="shared" ref="F2:F39" si="3">IN_NL_2018_high*C2</f>
        <v>16.777422760387797</v>
      </c>
      <c r="G2" t="s">
        <v>1252</v>
      </c>
      <c r="H2" s="175">
        <v>2</v>
      </c>
      <c r="I2" s="66">
        <v>1</v>
      </c>
      <c r="J2" s="66">
        <v>1</v>
      </c>
      <c r="K2" s="66">
        <v>1</v>
      </c>
      <c r="L2" s="66">
        <v>1</v>
      </c>
      <c r="M2" s="66">
        <v>2</v>
      </c>
    </row>
    <row r="3" spans="1:15">
      <c r="A3" s="421">
        <v>1981</v>
      </c>
      <c r="B3" s="421">
        <v>22.558411880000001</v>
      </c>
      <c r="C3" s="516">
        <f t="shared" si="0"/>
        <v>0.36148087721705868</v>
      </c>
      <c r="D3">
        <f t="shared" si="1"/>
        <v>250.43756654475041</v>
      </c>
      <c r="E3">
        <f t="shared" si="2"/>
        <v>8.2411008377918176</v>
      </c>
      <c r="F3">
        <f t="shared" si="3"/>
        <v>16.818230103426366</v>
      </c>
      <c r="G3" t="s">
        <v>1252</v>
      </c>
      <c r="H3" s="175">
        <v>2</v>
      </c>
      <c r="I3" s="66">
        <v>1</v>
      </c>
      <c r="J3" s="66">
        <v>1</v>
      </c>
      <c r="K3" s="66">
        <v>1</v>
      </c>
      <c r="L3" s="66">
        <v>1</v>
      </c>
      <c r="M3" s="66">
        <v>2</v>
      </c>
    </row>
    <row r="4" spans="1:15">
      <c r="A4" s="421">
        <v>1982</v>
      </c>
      <c r="B4" s="421">
        <v>22.65352575</v>
      </c>
      <c r="C4" s="516">
        <f t="shared" si="0"/>
        <v>0.36300500246780787</v>
      </c>
      <c r="D4">
        <f t="shared" si="1"/>
        <v>251.49349575972195</v>
      </c>
      <c r="E4">
        <f t="shared" si="2"/>
        <v>8.2758480973911315</v>
      </c>
      <c r="F4">
        <f t="shared" si="3"/>
        <v>16.88914143176795</v>
      </c>
      <c r="G4" t="s">
        <v>1252</v>
      </c>
      <c r="H4" s="175">
        <v>2</v>
      </c>
      <c r="I4" s="66">
        <v>1</v>
      </c>
      <c r="J4" s="66">
        <v>1</v>
      </c>
      <c r="K4" s="66">
        <v>1</v>
      </c>
      <c r="L4" s="66">
        <v>1</v>
      </c>
      <c r="M4" s="66">
        <v>2</v>
      </c>
    </row>
    <row r="5" spans="1:15">
      <c r="A5" s="421">
        <v>1983</v>
      </c>
      <c r="B5" s="421">
        <v>24.461622120000001</v>
      </c>
      <c r="C5" s="516">
        <f t="shared" si="0"/>
        <v>0.39197833026221907</v>
      </c>
      <c r="D5">
        <f t="shared" si="1"/>
        <v>271.56650698896794</v>
      </c>
      <c r="E5">
        <f t="shared" si="2"/>
        <v>8.9363868174428802</v>
      </c>
      <c r="F5">
        <f t="shared" si="3"/>
        <v>18.237152141102953</v>
      </c>
      <c r="G5" t="s">
        <v>1252</v>
      </c>
      <c r="H5" s="175">
        <v>2</v>
      </c>
      <c r="I5" s="66">
        <v>1</v>
      </c>
      <c r="J5" s="66">
        <v>1</v>
      </c>
      <c r="K5" s="66">
        <v>1</v>
      </c>
      <c r="L5" s="66">
        <v>1</v>
      </c>
      <c r="M5" s="66">
        <v>2</v>
      </c>
    </row>
    <row r="6" spans="1:15">
      <c r="A6" s="421">
        <v>1984</v>
      </c>
      <c r="B6" s="421">
        <v>25.81452925</v>
      </c>
      <c r="C6" s="516">
        <f t="shared" si="0"/>
        <v>0.41365760709904276</v>
      </c>
      <c r="D6">
        <f t="shared" si="1"/>
        <v>286.58612677428778</v>
      </c>
      <c r="E6">
        <f t="shared" si="2"/>
        <v>9.430634557124522</v>
      </c>
      <c r="F6">
        <f t="shared" si="3"/>
        <v>19.245800424587799</v>
      </c>
      <c r="G6" t="s">
        <v>1252</v>
      </c>
      <c r="H6" s="175">
        <v>2</v>
      </c>
      <c r="I6" s="66">
        <v>1</v>
      </c>
      <c r="J6" s="66">
        <v>1</v>
      </c>
      <c r="K6" s="66">
        <v>1</v>
      </c>
      <c r="L6" s="66">
        <v>1</v>
      </c>
      <c r="M6" s="66">
        <v>2</v>
      </c>
    </row>
    <row r="7" spans="1:15">
      <c r="A7" s="421">
        <v>1985</v>
      </c>
      <c r="B7" s="421">
        <v>26.78568624</v>
      </c>
      <c r="C7" s="516">
        <f t="shared" si="0"/>
        <v>0.42921963702065791</v>
      </c>
      <c r="D7">
        <f t="shared" si="1"/>
        <v>297.36765672428197</v>
      </c>
      <c r="E7">
        <f t="shared" si="2"/>
        <v>9.7854202896703537</v>
      </c>
      <c r="F7">
        <f t="shared" si="3"/>
        <v>19.969838172069998</v>
      </c>
      <c r="G7" t="s">
        <v>1252</v>
      </c>
      <c r="H7" s="175">
        <v>2</v>
      </c>
      <c r="I7" s="66">
        <v>1</v>
      </c>
      <c r="J7" s="66">
        <v>1</v>
      </c>
      <c r="K7" s="66">
        <v>1</v>
      </c>
      <c r="L7" s="66">
        <v>1</v>
      </c>
      <c r="M7" s="66">
        <v>2</v>
      </c>
    </row>
    <row r="8" spans="1:15">
      <c r="A8" s="421">
        <v>1986</v>
      </c>
      <c r="B8" s="421">
        <v>28.008801429999998</v>
      </c>
      <c r="C8" s="516">
        <f t="shared" si="0"/>
        <v>0.44881909970316608</v>
      </c>
      <c r="D8">
        <f t="shared" si="1"/>
        <v>310.94636046535049</v>
      </c>
      <c r="E8">
        <f t="shared" si="2"/>
        <v>10.232252082202766</v>
      </c>
      <c r="F8">
        <f t="shared" si="3"/>
        <v>20.881721190158419</v>
      </c>
      <c r="G8" t="s">
        <v>1252</v>
      </c>
      <c r="H8" s="175">
        <v>2</v>
      </c>
      <c r="I8" s="66">
        <v>1</v>
      </c>
      <c r="J8" s="66">
        <v>1</v>
      </c>
      <c r="K8" s="66">
        <v>1</v>
      </c>
      <c r="L8" s="66">
        <v>1</v>
      </c>
      <c r="M8" s="66">
        <v>2</v>
      </c>
    </row>
    <row r="9" spans="1:15">
      <c r="A9" s="421">
        <v>1987</v>
      </c>
      <c r="B9" s="421">
        <v>29.841345990000001</v>
      </c>
      <c r="C9" s="516">
        <f t="shared" si="0"/>
        <v>0.47818419058863976</v>
      </c>
      <c r="D9">
        <f t="shared" si="1"/>
        <v>331.2907890817155</v>
      </c>
      <c r="E9">
        <f t="shared" si="2"/>
        <v>10.901722282013075</v>
      </c>
      <c r="F9">
        <f t="shared" si="3"/>
        <v>22.247959037432899</v>
      </c>
      <c r="G9" t="s">
        <v>1252</v>
      </c>
      <c r="H9" s="175">
        <v>2</v>
      </c>
      <c r="I9" s="66">
        <v>1</v>
      </c>
      <c r="J9" s="66">
        <v>1</v>
      </c>
      <c r="K9" s="66">
        <v>1</v>
      </c>
      <c r="L9" s="66">
        <v>1</v>
      </c>
      <c r="M9" s="66">
        <v>2</v>
      </c>
    </row>
    <row r="10" spans="1:15">
      <c r="A10" s="421">
        <v>1988</v>
      </c>
      <c r="B10" s="421">
        <v>31.233463759999999</v>
      </c>
      <c r="C10" s="516">
        <f t="shared" si="0"/>
        <v>0.5004917872122836</v>
      </c>
      <c r="D10">
        <f t="shared" si="1"/>
        <v>346.74571509854218</v>
      </c>
      <c r="E10">
        <f t="shared" si="2"/>
        <v>11.410294560136222</v>
      </c>
      <c r="F10">
        <f t="shared" si="3"/>
        <v>23.285840476581829</v>
      </c>
      <c r="G10" t="s">
        <v>1252</v>
      </c>
      <c r="H10" s="175">
        <v>2</v>
      </c>
      <c r="I10" s="66">
        <v>1</v>
      </c>
      <c r="J10" s="66">
        <v>1</v>
      </c>
      <c r="K10" s="66">
        <v>1</v>
      </c>
      <c r="L10" s="66">
        <v>1</v>
      </c>
      <c r="M10" s="66">
        <v>2</v>
      </c>
    </row>
    <row r="11" spans="1:15">
      <c r="A11" s="421">
        <v>1989</v>
      </c>
      <c r="B11" s="421">
        <v>31.640265190000001</v>
      </c>
      <c r="C11" s="516">
        <f t="shared" si="0"/>
        <v>0.5070104614235621</v>
      </c>
      <c r="D11">
        <f t="shared" si="1"/>
        <v>351.26191777885805</v>
      </c>
      <c r="E11">
        <f t="shared" si="2"/>
        <v>11.558908373175083</v>
      </c>
      <c r="F11">
        <f t="shared" si="3"/>
        <v>23.589127786545731</v>
      </c>
      <c r="G11" t="s">
        <v>1252</v>
      </c>
      <c r="H11" s="175">
        <v>2</v>
      </c>
      <c r="I11" s="66">
        <v>1</v>
      </c>
      <c r="J11" s="66">
        <v>1</v>
      </c>
      <c r="K11" s="66">
        <v>1</v>
      </c>
      <c r="L11" s="66">
        <v>1</v>
      </c>
      <c r="M11" s="66">
        <v>2</v>
      </c>
    </row>
    <row r="12" spans="1:15">
      <c r="A12" s="421">
        <v>1990</v>
      </c>
      <c r="B12" s="421">
        <v>32.819377369999998</v>
      </c>
      <c r="C12" s="516">
        <f t="shared" si="0"/>
        <v>0.52590481034453396</v>
      </c>
      <c r="D12">
        <f t="shared" si="1"/>
        <v>364.35211165479654</v>
      </c>
      <c r="E12">
        <f t="shared" si="2"/>
        <v>11.989664865526551</v>
      </c>
      <c r="F12">
        <f t="shared" si="3"/>
        <v>24.468204738703616</v>
      </c>
      <c r="G12" t="s">
        <v>1252</v>
      </c>
      <c r="H12" s="175">
        <v>2</v>
      </c>
      <c r="I12" s="66">
        <v>1</v>
      </c>
      <c r="J12" s="66">
        <v>1</v>
      </c>
      <c r="K12" s="66">
        <v>1</v>
      </c>
      <c r="L12" s="66">
        <v>1</v>
      </c>
      <c r="M12" s="66">
        <v>2</v>
      </c>
    </row>
    <row r="13" spans="1:15">
      <c r="A13" s="421">
        <v>1991</v>
      </c>
      <c r="B13" s="421">
        <v>33.445377110000003</v>
      </c>
      <c r="C13" s="516">
        <f t="shared" si="0"/>
        <v>0.53593596574486047</v>
      </c>
      <c r="D13">
        <f t="shared" si="1"/>
        <v>371.30179642769673</v>
      </c>
      <c r="E13">
        <f t="shared" si="2"/>
        <v>12.218356805775471</v>
      </c>
      <c r="F13">
        <f t="shared" si="3"/>
        <v>24.934913464832483</v>
      </c>
      <c r="G13" t="s">
        <v>1252</v>
      </c>
      <c r="H13" s="175">
        <v>2</v>
      </c>
      <c r="I13" s="66">
        <v>1</v>
      </c>
      <c r="J13" s="66">
        <v>1</v>
      </c>
      <c r="K13" s="66">
        <v>1</v>
      </c>
      <c r="L13" s="66">
        <v>1</v>
      </c>
      <c r="M13" s="66">
        <v>2</v>
      </c>
    </row>
    <row r="14" spans="1:15">
      <c r="A14" s="421">
        <v>1992</v>
      </c>
      <c r="B14" s="421">
        <v>34.929339040000002</v>
      </c>
      <c r="C14" s="516">
        <f t="shared" si="0"/>
        <v>0.55971529307812484</v>
      </c>
      <c r="D14">
        <f t="shared" si="1"/>
        <v>387.77635219745565</v>
      </c>
      <c r="E14">
        <f t="shared" si="2"/>
        <v>12.760481844081767</v>
      </c>
      <c r="F14">
        <f t="shared" si="3"/>
        <v>26.041268528133365</v>
      </c>
      <c r="G14" t="s">
        <v>1252</v>
      </c>
      <c r="H14" s="175">
        <v>2</v>
      </c>
      <c r="I14" s="66">
        <v>1</v>
      </c>
      <c r="J14" s="66">
        <v>1</v>
      </c>
      <c r="K14" s="66">
        <v>1</v>
      </c>
      <c r="L14" s="66">
        <v>1</v>
      </c>
      <c r="M14" s="66">
        <v>2</v>
      </c>
    </row>
    <row r="15" spans="1:15">
      <c r="A15" s="421">
        <v>1993</v>
      </c>
      <c r="B15" s="421">
        <v>35.716374469999998</v>
      </c>
      <c r="C15" s="516">
        <f t="shared" si="0"/>
        <v>0.57232691924891643</v>
      </c>
      <c r="D15">
        <f t="shared" si="1"/>
        <v>396.51381292484177</v>
      </c>
      <c r="E15">
        <f t="shared" si="2"/>
        <v>13.04800378383743</v>
      </c>
      <c r="F15">
        <f t="shared" si="3"/>
        <v>26.628036028953066</v>
      </c>
      <c r="G15" t="s">
        <v>1252</v>
      </c>
      <c r="H15" s="175">
        <v>2</v>
      </c>
      <c r="I15" s="66">
        <v>1</v>
      </c>
      <c r="J15" s="66">
        <v>1</v>
      </c>
      <c r="K15" s="66">
        <v>1</v>
      </c>
      <c r="L15" s="66">
        <v>1</v>
      </c>
      <c r="M15" s="66">
        <v>2</v>
      </c>
    </row>
    <row r="16" spans="1:15">
      <c r="A16" s="421">
        <v>1994</v>
      </c>
      <c r="B16" s="421">
        <v>38.469429210000001</v>
      </c>
      <c r="C16" s="516">
        <f t="shared" si="0"/>
        <v>0.61644246460448704</v>
      </c>
      <c r="D16">
        <f t="shared" si="1"/>
        <v>427.07750390263465</v>
      </c>
      <c r="E16">
        <f t="shared" si="2"/>
        <v>14.053757284792692</v>
      </c>
      <c r="F16">
        <f t="shared" si="3"/>
        <v>28.680552329788011</v>
      </c>
      <c r="G16" t="s">
        <v>1252</v>
      </c>
      <c r="H16" s="175">
        <v>2</v>
      </c>
      <c r="I16" s="66">
        <v>1</v>
      </c>
      <c r="J16" s="66">
        <v>1</v>
      </c>
      <c r="K16" s="66">
        <v>1</v>
      </c>
      <c r="L16" s="66">
        <v>1</v>
      </c>
      <c r="M16" s="66">
        <v>2</v>
      </c>
    </row>
    <row r="17" spans="1:13">
      <c r="A17" s="421">
        <v>1995</v>
      </c>
      <c r="B17" s="421">
        <v>39.184407389999997</v>
      </c>
      <c r="C17" s="516">
        <f t="shared" si="0"/>
        <v>0.62789942979655333</v>
      </c>
      <c r="D17">
        <f t="shared" si="1"/>
        <v>435.01500395735007</v>
      </c>
      <c r="E17">
        <f t="shared" si="2"/>
        <v>14.314955072542316</v>
      </c>
      <c r="F17">
        <f t="shared" si="3"/>
        <v>29.213598167151673</v>
      </c>
      <c r="G17" t="s">
        <v>1252</v>
      </c>
      <c r="H17" s="175">
        <v>2</v>
      </c>
      <c r="I17" s="66">
        <v>1</v>
      </c>
      <c r="J17" s="66">
        <v>1</v>
      </c>
      <c r="K17" s="66">
        <v>1</v>
      </c>
      <c r="L17" s="66">
        <v>1</v>
      </c>
      <c r="M17" s="66">
        <v>2</v>
      </c>
    </row>
    <row r="18" spans="1:13">
      <c r="A18" s="421">
        <v>1996</v>
      </c>
      <c r="B18" s="421">
        <v>41.199328379999997</v>
      </c>
      <c r="C18" s="516">
        <f t="shared" si="0"/>
        <v>0.660186960091805</v>
      </c>
      <c r="D18">
        <f t="shared" si="1"/>
        <v>457.38412782120338</v>
      </c>
      <c r="E18">
        <f t="shared" si="2"/>
        <v>15.051051529469555</v>
      </c>
      <c r="F18">
        <f t="shared" si="3"/>
        <v>30.715805194415317</v>
      </c>
      <c r="G18" t="s">
        <v>1252</v>
      </c>
      <c r="H18" s="175">
        <v>2</v>
      </c>
      <c r="I18" s="66">
        <v>1</v>
      </c>
      <c r="J18" s="66">
        <v>1</v>
      </c>
      <c r="K18" s="66">
        <v>1</v>
      </c>
      <c r="L18" s="66">
        <v>1</v>
      </c>
      <c r="M18" s="66">
        <v>2</v>
      </c>
    </row>
    <row r="19" spans="1:13">
      <c r="A19" s="421">
        <v>1997</v>
      </c>
      <c r="B19" s="421">
        <v>43.37690465</v>
      </c>
      <c r="C19" s="516">
        <f t="shared" si="0"/>
        <v>0.69508091381842041</v>
      </c>
      <c r="D19">
        <f t="shared" si="1"/>
        <v>481.5590079025398</v>
      </c>
      <c r="E19">
        <f t="shared" si="2"/>
        <v>15.846569658959998</v>
      </c>
      <c r="F19">
        <f t="shared" si="3"/>
        <v>32.33927846777506</v>
      </c>
      <c r="G19" t="s">
        <v>1252</v>
      </c>
      <c r="H19" s="175">
        <v>2</v>
      </c>
      <c r="I19" s="66">
        <v>1</v>
      </c>
      <c r="J19" s="66">
        <v>1</v>
      </c>
      <c r="K19" s="66">
        <v>1</v>
      </c>
      <c r="L19" s="66">
        <v>1</v>
      </c>
      <c r="M19" s="66">
        <v>2</v>
      </c>
    </row>
    <row r="20" spans="1:13">
      <c r="A20" s="421">
        <v>1998</v>
      </c>
      <c r="B20" s="421">
        <v>44.432741010000001</v>
      </c>
      <c r="C20" s="516">
        <f t="shared" si="0"/>
        <v>0.71199986430308837</v>
      </c>
      <c r="D20">
        <f t="shared" si="1"/>
        <v>493.28062598782259</v>
      </c>
      <c r="E20">
        <f t="shared" si="2"/>
        <v>16.232290690974732</v>
      </c>
      <c r="F20">
        <f t="shared" si="3"/>
        <v>33.126448191801046</v>
      </c>
      <c r="G20" t="s">
        <v>1252</v>
      </c>
      <c r="H20" s="175">
        <v>2</v>
      </c>
      <c r="I20" s="66">
        <v>1</v>
      </c>
      <c r="J20" s="66">
        <v>1</v>
      </c>
      <c r="K20" s="66">
        <v>1</v>
      </c>
      <c r="L20" s="66">
        <v>1</v>
      </c>
      <c r="M20" s="66">
        <v>2</v>
      </c>
    </row>
    <row r="21" spans="1:13">
      <c r="A21" s="421">
        <v>1999</v>
      </c>
      <c r="B21" s="421">
        <v>46.790113920000003</v>
      </c>
      <c r="C21" s="516">
        <f t="shared" si="0"/>
        <v>0.7497749183258422</v>
      </c>
      <c r="D21">
        <f t="shared" si="1"/>
        <v>519.45156116532667</v>
      </c>
      <c r="E21">
        <f t="shared" si="2"/>
        <v>17.093492621630713</v>
      </c>
      <c r="F21">
        <f t="shared" si="3"/>
        <v>34.883967304886937</v>
      </c>
      <c r="G21" t="s">
        <v>1252</v>
      </c>
      <c r="H21" s="175">
        <v>2</v>
      </c>
      <c r="I21" s="66">
        <v>1</v>
      </c>
      <c r="J21" s="66">
        <v>1</v>
      </c>
      <c r="K21" s="66">
        <v>1</v>
      </c>
      <c r="L21" s="66">
        <v>1</v>
      </c>
      <c r="M21" s="66">
        <v>2</v>
      </c>
    </row>
    <row r="22" spans="1:13">
      <c r="A22" s="421">
        <v>2000</v>
      </c>
      <c r="B22" s="421">
        <v>48.20224262</v>
      </c>
      <c r="C22" s="516">
        <f t="shared" si="0"/>
        <v>0.77240317442537498</v>
      </c>
      <c r="D22">
        <f t="shared" si="1"/>
        <v>535.128643273644</v>
      </c>
      <c r="E22">
        <f t="shared" si="2"/>
        <v>17.609375347531177</v>
      </c>
      <c r="F22">
        <f t="shared" si="3"/>
        <v>35.93676772091748</v>
      </c>
      <c r="G22" t="s">
        <v>1252</v>
      </c>
      <c r="H22" s="175">
        <v>2</v>
      </c>
      <c r="I22" s="66">
        <v>1</v>
      </c>
      <c r="J22" s="66">
        <v>1</v>
      </c>
      <c r="K22" s="66">
        <v>1</v>
      </c>
      <c r="L22" s="66">
        <v>1</v>
      </c>
      <c r="M22" s="66">
        <v>2</v>
      </c>
    </row>
    <row r="23" spans="1:13">
      <c r="A23" s="421">
        <v>2001</v>
      </c>
      <c r="B23" s="421">
        <v>48.30472391</v>
      </c>
      <c r="C23" s="516">
        <f t="shared" si="0"/>
        <v>0.77404535680969344</v>
      </c>
      <c r="D23">
        <f t="shared" si="1"/>
        <v>536.26636365132367</v>
      </c>
      <c r="E23">
        <f t="shared" si="2"/>
        <v>17.646814093191537</v>
      </c>
      <c r="F23">
        <f t="shared" si="3"/>
        <v>36.013171765922266</v>
      </c>
      <c r="G23" t="s">
        <v>1252</v>
      </c>
      <c r="H23" s="175">
        <v>2</v>
      </c>
      <c r="I23" s="66">
        <v>1</v>
      </c>
      <c r="J23" s="66">
        <v>1</v>
      </c>
      <c r="K23" s="66">
        <v>1</v>
      </c>
      <c r="L23" s="66">
        <v>1</v>
      </c>
      <c r="M23" s="66">
        <v>2</v>
      </c>
    </row>
    <row r="24" spans="1:13">
      <c r="A24" s="421">
        <v>2002</v>
      </c>
      <c r="B24" s="421">
        <v>50.256855190000003</v>
      </c>
      <c r="C24" s="516">
        <f t="shared" si="0"/>
        <v>0.80532673119415921</v>
      </c>
      <c r="D24">
        <f t="shared" si="1"/>
        <v>557.93841263862544</v>
      </c>
      <c r="E24">
        <f t="shared" si="2"/>
        <v>18.359972041218491</v>
      </c>
      <c r="F24">
        <f t="shared" si="3"/>
        <v>37.46856646452887</v>
      </c>
      <c r="G24" t="s">
        <v>1252</v>
      </c>
      <c r="H24" s="175">
        <v>2</v>
      </c>
      <c r="I24" s="66">
        <v>1</v>
      </c>
      <c r="J24" s="66">
        <v>1</v>
      </c>
      <c r="K24" s="66">
        <v>1</v>
      </c>
      <c r="L24" s="66">
        <v>1</v>
      </c>
      <c r="M24" s="66">
        <v>2</v>
      </c>
    </row>
    <row r="25" spans="1:13">
      <c r="A25" s="421">
        <v>2003</v>
      </c>
      <c r="B25" s="421">
        <v>51.157698490000001</v>
      </c>
      <c r="C25" s="516">
        <f t="shared" si="0"/>
        <v>0.81976203932007452</v>
      </c>
      <c r="D25">
        <f t="shared" si="1"/>
        <v>567.93933846134075</v>
      </c>
      <c r="E25">
        <f t="shared" si="2"/>
        <v>18.689070583874816</v>
      </c>
      <c r="F25">
        <f t="shared" si="3"/>
        <v>38.140182444728353</v>
      </c>
      <c r="G25" t="s">
        <v>1252</v>
      </c>
      <c r="H25" s="175">
        <v>2</v>
      </c>
      <c r="I25" s="66">
        <v>1</v>
      </c>
      <c r="J25" s="66">
        <v>1</v>
      </c>
      <c r="K25" s="66">
        <v>1</v>
      </c>
      <c r="L25" s="66">
        <v>1</v>
      </c>
      <c r="M25" s="66">
        <v>2</v>
      </c>
    </row>
    <row r="26" spans="1:13">
      <c r="A26" s="421">
        <v>2004</v>
      </c>
      <c r="B26" s="421">
        <v>53.148585580000002</v>
      </c>
      <c r="C26" s="516">
        <f t="shared" si="0"/>
        <v>0.8516644451969424</v>
      </c>
      <c r="D26">
        <f t="shared" si="1"/>
        <v>590.04164427689363</v>
      </c>
      <c r="E26">
        <f t="shared" si="2"/>
        <v>19.416386910601442</v>
      </c>
      <c r="F26">
        <f t="shared" si="3"/>
        <v>39.624471204401488</v>
      </c>
      <c r="G26" t="s">
        <v>1252</v>
      </c>
      <c r="H26" s="175">
        <v>2</v>
      </c>
      <c r="I26" s="66">
        <v>1</v>
      </c>
      <c r="J26" s="66">
        <v>1</v>
      </c>
      <c r="K26" s="66">
        <v>1</v>
      </c>
      <c r="L26" s="66">
        <v>1</v>
      </c>
      <c r="M26" s="66">
        <v>2</v>
      </c>
    </row>
    <row r="27" spans="1:13">
      <c r="A27" s="421">
        <v>2005</v>
      </c>
      <c r="B27" s="421">
        <v>53.354288410000002</v>
      </c>
      <c r="C27" s="516">
        <f t="shared" si="0"/>
        <v>0.85496067189188785</v>
      </c>
      <c r="D27">
        <f t="shared" si="1"/>
        <v>592.32530309341882</v>
      </c>
      <c r="E27">
        <f t="shared" si="2"/>
        <v>19.49153483208044</v>
      </c>
      <c r="F27">
        <f t="shared" si="3"/>
        <v>39.777831181436625</v>
      </c>
      <c r="G27" t="s">
        <v>1252</v>
      </c>
      <c r="H27" s="175">
        <v>2</v>
      </c>
      <c r="I27" s="66">
        <v>1</v>
      </c>
      <c r="J27" s="66">
        <v>1</v>
      </c>
      <c r="K27" s="66">
        <v>1</v>
      </c>
      <c r="L27" s="66">
        <v>1</v>
      </c>
      <c r="M27" s="66">
        <v>2</v>
      </c>
    </row>
    <row r="28" spans="1:13">
      <c r="A28" s="421">
        <v>2006</v>
      </c>
      <c r="B28" s="421">
        <v>55.338338159999999</v>
      </c>
      <c r="C28" s="516">
        <f t="shared" si="0"/>
        <v>0.88675351475190067</v>
      </c>
      <c r="D28">
        <f t="shared" si="1"/>
        <v>614.3517025552643</v>
      </c>
      <c r="E28">
        <f t="shared" si="2"/>
        <v>20.216353323024034</v>
      </c>
      <c r="F28">
        <f t="shared" si="3"/>
        <v>41.257022421034897</v>
      </c>
      <c r="G28" t="s">
        <v>1252</v>
      </c>
      <c r="H28" s="175">
        <v>2</v>
      </c>
      <c r="I28" s="66">
        <v>1</v>
      </c>
      <c r="J28" s="66">
        <v>1</v>
      </c>
      <c r="K28" s="66">
        <v>1</v>
      </c>
      <c r="L28" s="66">
        <v>1</v>
      </c>
      <c r="M28" s="66">
        <v>2</v>
      </c>
    </row>
    <row r="29" spans="1:13">
      <c r="A29" s="421">
        <v>2007</v>
      </c>
      <c r="B29" s="421">
        <v>56.97384194</v>
      </c>
      <c r="C29" s="516">
        <f t="shared" si="0"/>
        <v>0.91296118150748329</v>
      </c>
      <c r="D29">
        <f t="shared" si="1"/>
        <v>632.50863616019944</v>
      </c>
      <c r="E29">
        <f t="shared" si="2"/>
        <v>20.813840045195263</v>
      </c>
      <c r="F29">
        <f t="shared" si="3"/>
        <v>42.4763582082075</v>
      </c>
      <c r="G29" t="s">
        <v>1252</v>
      </c>
      <c r="H29" s="175">
        <v>2</v>
      </c>
      <c r="I29" s="66">
        <v>1</v>
      </c>
      <c r="J29" s="66">
        <v>1</v>
      </c>
      <c r="K29" s="66">
        <v>1</v>
      </c>
      <c r="L29" s="66">
        <v>1</v>
      </c>
      <c r="M29" s="66">
        <v>2</v>
      </c>
    </row>
    <row r="30" spans="1:13">
      <c r="A30" s="421">
        <v>2008</v>
      </c>
      <c r="B30" s="421">
        <v>52.894491530000003</v>
      </c>
      <c r="C30" s="516">
        <f t="shared" si="0"/>
        <v>0.84759278711310948</v>
      </c>
      <c r="D30">
        <f t="shared" si="1"/>
        <v>587.22075883983337</v>
      </c>
      <c r="E30">
        <f t="shared" si="2"/>
        <v>19.323560576040656</v>
      </c>
      <c r="F30">
        <f t="shared" si="3"/>
        <v>39.435033569183901</v>
      </c>
      <c r="G30" t="s">
        <v>1252</v>
      </c>
      <c r="H30" s="175">
        <v>2</v>
      </c>
      <c r="I30" s="66">
        <v>1</v>
      </c>
      <c r="J30" s="66">
        <v>1</v>
      </c>
      <c r="K30" s="66">
        <v>1</v>
      </c>
      <c r="L30" s="66">
        <v>1</v>
      </c>
      <c r="M30" s="66">
        <v>2</v>
      </c>
    </row>
    <row r="31" spans="1:13">
      <c r="A31" s="421">
        <v>2009</v>
      </c>
      <c r="B31" s="421">
        <v>52.81567038</v>
      </c>
      <c r="C31" s="516">
        <f t="shared" si="0"/>
        <v>0.84632973993599325</v>
      </c>
      <c r="D31">
        <f t="shared" si="1"/>
        <v>586.34570712505547</v>
      </c>
      <c r="E31">
        <f t="shared" si="2"/>
        <v>19.294765417553606</v>
      </c>
      <c r="F31">
        <f t="shared" si="3"/>
        <v>39.376269138213829</v>
      </c>
      <c r="G31" t="s">
        <v>1252</v>
      </c>
      <c r="H31" s="175">
        <v>2</v>
      </c>
      <c r="I31" s="66">
        <v>1</v>
      </c>
      <c r="J31" s="66">
        <v>1</v>
      </c>
      <c r="K31" s="66">
        <v>1</v>
      </c>
      <c r="L31" s="66">
        <v>1</v>
      </c>
      <c r="M31" s="66">
        <v>2</v>
      </c>
    </row>
    <row r="32" spans="1:13">
      <c r="A32" s="421">
        <v>2010</v>
      </c>
      <c r="B32" s="421">
        <v>55.750704589999998</v>
      </c>
      <c r="C32" s="516">
        <f t="shared" si="0"/>
        <v>0.89336136372833608</v>
      </c>
      <c r="D32">
        <f t="shared" si="1"/>
        <v>618.92968640462846</v>
      </c>
      <c r="E32">
        <f t="shared" si="2"/>
        <v>20.36700015711093</v>
      </c>
      <c r="F32">
        <f t="shared" si="3"/>
        <v>41.564458668921532</v>
      </c>
      <c r="G32" t="s">
        <v>1252</v>
      </c>
      <c r="H32" s="175">
        <v>2</v>
      </c>
      <c r="I32" s="66">
        <v>1</v>
      </c>
      <c r="J32" s="66">
        <v>1</v>
      </c>
      <c r="K32" s="66">
        <v>1</v>
      </c>
      <c r="L32" s="66">
        <v>1</v>
      </c>
      <c r="M32" s="66">
        <v>2</v>
      </c>
    </row>
    <row r="33" spans="1:13">
      <c r="A33" s="421">
        <v>2011</v>
      </c>
      <c r="B33" s="421">
        <v>56.366173369999998</v>
      </c>
      <c r="C33" s="516">
        <f t="shared" si="0"/>
        <v>0.90322376874503674</v>
      </c>
      <c r="D33">
        <f t="shared" si="1"/>
        <v>625.7624592242488</v>
      </c>
      <c r="E33">
        <f t="shared" si="2"/>
        <v>20.591844898197937</v>
      </c>
      <c r="F33">
        <f t="shared" si="3"/>
        <v>42.023316128328602</v>
      </c>
      <c r="G33" t="s">
        <v>1252</v>
      </c>
      <c r="H33" s="175">
        <v>2</v>
      </c>
      <c r="I33" s="66">
        <v>1</v>
      </c>
      <c r="J33" s="66">
        <v>1</v>
      </c>
      <c r="K33" s="66">
        <v>1</v>
      </c>
      <c r="L33" s="66">
        <v>1</v>
      </c>
      <c r="M33" s="66">
        <v>2</v>
      </c>
    </row>
    <row r="34" spans="1:13">
      <c r="A34" s="421">
        <v>2012</v>
      </c>
      <c r="B34" s="421">
        <v>56.799612029999999</v>
      </c>
      <c r="C34" s="516">
        <f t="shared" si="0"/>
        <v>0.91016928369839645</v>
      </c>
      <c r="D34">
        <f t="shared" si="1"/>
        <v>630.57438143908598</v>
      </c>
      <c r="E34">
        <f t="shared" si="2"/>
        <v>20.750189897086106</v>
      </c>
      <c r="F34">
        <f t="shared" si="3"/>
        <v>42.346462596190719</v>
      </c>
      <c r="G34" t="s">
        <v>1252</v>
      </c>
      <c r="H34" s="175">
        <v>2</v>
      </c>
      <c r="I34" s="66">
        <v>1</v>
      </c>
      <c r="J34" s="66">
        <v>1</v>
      </c>
      <c r="K34" s="66">
        <v>1</v>
      </c>
      <c r="L34" s="66">
        <v>1</v>
      </c>
      <c r="M34" s="66">
        <v>2</v>
      </c>
    </row>
    <row r="35" spans="1:13">
      <c r="A35" s="421">
        <v>2013</v>
      </c>
      <c r="B35" s="421">
        <v>57.459872150000002</v>
      </c>
      <c r="C35" s="516">
        <f t="shared" si="0"/>
        <v>0.92074943484727434</v>
      </c>
      <c r="D35">
        <f t="shared" si="1"/>
        <v>637.90441595654011</v>
      </c>
      <c r="E35">
        <f t="shared" si="2"/>
        <v>20.991397933229674</v>
      </c>
      <c r="F35">
        <f t="shared" si="3"/>
        <v>42.838713854184682</v>
      </c>
      <c r="G35" t="s">
        <v>1252</v>
      </c>
      <c r="H35" s="175">
        <v>2</v>
      </c>
      <c r="I35" s="66">
        <v>1</v>
      </c>
      <c r="J35" s="66">
        <v>1</v>
      </c>
      <c r="K35" s="66">
        <v>1</v>
      </c>
      <c r="L35" s="66">
        <v>1</v>
      </c>
      <c r="M35" s="66">
        <v>2</v>
      </c>
    </row>
    <row r="36" spans="1:13">
      <c r="A36" s="421">
        <v>2014</v>
      </c>
      <c r="B36" s="421">
        <v>56.68223965</v>
      </c>
      <c r="C36" s="516">
        <f t="shared" si="0"/>
        <v>0.90828848326310208</v>
      </c>
      <c r="D36">
        <f t="shared" si="1"/>
        <v>629.27134408950974</v>
      </c>
      <c r="E36">
        <f t="shared" si="2"/>
        <v>20.707311097625528</v>
      </c>
      <c r="F36">
        <f t="shared" si="3"/>
        <v>42.258956627014896</v>
      </c>
      <c r="G36" t="s">
        <v>1252</v>
      </c>
      <c r="H36" s="175">
        <v>2</v>
      </c>
      <c r="I36" s="66">
        <v>1</v>
      </c>
      <c r="J36" s="66">
        <v>1</v>
      </c>
      <c r="K36" s="66">
        <v>1</v>
      </c>
      <c r="L36" s="66">
        <v>1</v>
      </c>
      <c r="M36" s="66">
        <v>2</v>
      </c>
    </row>
    <row r="37" spans="1:13">
      <c r="A37" s="421">
        <v>2015</v>
      </c>
      <c r="B37" s="421">
        <v>56.774038679999997</v>
      </c>
      <c r="C37" s="516">
        <f t="shared" si="0"/>
        <v>0.90975949079982921</v>
      </c>
      <c r="D37">
        <f t="shared" si="1"/>
        <v>630.29047282102965</v>
      </c>
      <c r="E37">
        <f t="shared" si="2"/>
        <v>20.740847370793418</v>
      </c>
      <c r="F37">
        <f t="shared" si="3"/>
        <v>42.327396604883198</v>
      </c>
      <c r="G37" t="s">
        <v>1252</v>
      </c>
      <c r="H37" s="175">
        <v>2</v>
      </c>
      <c r="I37" s="66">
        <v>1</v>
      </c>
      <c r="J37" s="66">
        <v>1</v>
      </c>
      <c r="K37" s="66">
        <v>1</v>
      </c>
      <c r="L37" s="66">
        <v>1</v>
      </c>
      <c r="M37" s="66">
        <v>2</v>
      </c>
    </row>
    <row r="38" spans="1:13">
      <c r="A38" s="421">
        <v>2016</v>
      </c>
      <c r="B38" s="421">
        <v>58.404274020000003</v>
      </c>
      <c r="C38" s="516">
        <f t="shared" si="0"/>
        <v>0.93588273493191798</v>
      </c>
      <c r="D38">
        <f t="shared" si="1"/>
        <v>648.38891758818204</v>
      </c>
      <c r="E38">
        <f t="shared" si="2"/>
        <v>21.336409412028381</v>
      </c>
      <c r="F38">
        <f t="shared" si="3"/>
        <v>43.542804551892353</v>
      </c>
      <c r="G38" t="s">
        <v>1252</v>
      </c>
      <c r="H38" s="175">
        <v>2</v>
      </c>
      <c r="I38" s="66">
        <v>1</v>
      </c>
      <c r="J38" s="66">
        <v>1</v>
      </c>
      <c r="K38" s="66">
        <v>1</v>
      </c>
      <c r="L38" s="66">
        <v>1</v>
      </c>
      <c r="M38" s="66">
        <v>2</v>
      </c>
    </row>
    <row r="39" spans="1:13">
      <c r="A39" s="421">
        <v>2017</v>
      </c>
      <c r="B39" s="421">
        <v>60.762864729999997</v>
      </c>
      <c r="C39" s="516">
        <f t="shared" si="0"/>
        <v>0.97367730324559854</v>
      </c>
      <c r="D39">
        <f t="shared" si="1"/>
        <v>674.57337246158306</v>
      </c>
      <c r="E39">
        <f t="shared" si="2"/>
        <v>22.198056232717114</v>
      </c>
      <c r="F39">
        <f t="shared" si="3"/>
        <v>45.301231585302098</v>
      </c>
      <c r="G39" t="s">
        <v>1252</v>
      </c>
      <c r="H39" s="175">
        <v>2</v>
      </c>
      <c r="I39" s="66">
        <v>1</v>
      </c>
      <c r="J39" s="66">
        <v>1</v>
      </c>
      <c r="K39" s="66">
        <v>1</v>
      </c>
      <c r="L39" s="66">
        <v>1</v>
      </c>
      <c r="M39" s="66">
        <v>2</v>
      </c>
    </row>
    <row r="40" spans="1:13">
      <c r="A40" s="422">
        <v>2018</v>
      </c>
      <c r="B40" s="422">
        <v>62.40554702</v>
      </c>
      <c r="C40" s="517">
        <v>1</v>
      </c>
      <c r="D40" s="423">
        <f>In_EU_2018</f>
        <v>692.81</v>
      </c>
      <c r="E40" s="423">
        <f>In_NL_2018_low</f>
        <v>22.798165427830579</v>
      </c>
      <c r="F40" s="423">
        <f>IN_NL_2018_high</f>
        <v>46.525919248910952</v>
      </c>
      <c r="G40" t="s">
        <v>1252</v>
      </c>
      <c r="H40" s="175">
        <v>2</v>
      </c>
      <c r="I40" s="66">
        <v>1</v>
      </c>
      <c r="J40" s="66">
        <v>1</v>
      </c>
      <c r="K40" s="66">
        <v>1</v>
      </c>
      <c r="L40" s="66">
        <v>1</v>
      </c>
      <c r="M40" s="66">
        <v>2</v>
      </c>
    </row>
    <row r="41" spans="1:13">
      <c r="A41" s="422">
        <v>2019</v>
      </c>
      <c r="B41" s="422">
        <v>63.673394029999997</v>
      </c>
      <c r="C41" s="517">
        <v>1</v>
      </c>
      <c r="D41" s="423">
        <f>In_EU_2019</f>
        <v>695.5</v>
      </c>
      <c r="E41" s="423">
        <f>IN_NL_2019_low</f>
        <v>22.888549427830579</v>
      </c>
      <c r="F41" s="423">
        <f>IN_NL_2019_high</f>
        <v>46.706479507763902</v>
      </c>
      <c r="G41" t="s">
        <v>1252</v>
      </c>
      <c r="H41" s="175">
        <v>2</v>
      </c>
      <c r="I41" s="66">
        <v>1</v>
      </c>
      <c r="J41" s="66">
        <v>1</v>
      </c>
      <c r="K41" s="66">
        <v>1</v>
      </c>
      <c r="L41" s="66">
        <v>1</v>
      </c>
      <c r="M41" s="66">
        <v>2</v>
      </c>
    </row>
    <row r="42" spans="1:13">
      <c r="A42" s="421">
        <v>2020</v>
      </c>
      <c r="B42" s="421">
        <v>62.244721509999998</v>
      </c>
      <c r="C42" s="516">
        <f t="shared" ref="C42:C82" si="4">B42/OECD_ref_2019</f>
        <v>0.9775624883553895</v>
      </c>
      <c r="D42">
        <f t="shared" ref="D42:D82" si="5">In_EU_2019*C42</f>
        <v>679.89471065117345</v>
      </c>
      <c r="E42">
        <f t="shared" ref="E42:E82" si="6">IN_NL_2019_low*C42</f>
        <v>22.374987333515389</v>
      </c>
      <c r="F42">
        <f t="shared" ref="F42:F82" si="7">IN_NL_2019_high*C42</f>
        <v>45.658502329929689</v>
      </c>
      <c r="G42" t="s">
        <v>1252</v>
      </c>
      <c r="H42" s="175">
        <v>2</v>
      </c>
      <c r="I42" s="66">
        <v>1</v>
      </c>
      <c r="J42" s="66">
        <v>1</v>
      </c>
      <c r="K42" s="66">
        <v>1</v>
      </c>
      <c r="L42" s="66">
        <v>1</v>
      </c>
      <c r="M42" s="66">
        <v>2</v>
      </c>
    </row>
    <row r="43" spans="1:13">
      <c r="A43" s="421">
        <v>2021</v>
      </c>
      <c r="B43" s="421">
        <v>62.751095020000001</v>
      </c>
      <c r="C43" s="516">
        <f t="shared" si="4"/>
        <v>0.98551515866163109</v>
      </c>
      <c r="D43">
        <f t="shared" si="5"/>
        <v>685.4257928491644</v>
      </c>
      <c r="E43">
        <f t="shared" si="6"/>
        <v>22.557012420903039</v>
      </c>
      <c r="F43">
        <f t="shared" si="7"/>
        <v>46.029943562620161</v>
      </c>
      <c r="G43" t="s">
        <v>1252</v>
      </c>
      <c r="H43" s="175">
        <v>2</v>
      </c>
      <c r="I43" s="66">
        <v>1</v>
      </c>
      <c r="J43" s="66">
        <v>1</v>
      </c>
      <c r="K43" s="66">
        <v>1</v>
      </c>
      <c r="L43" s="66">
        <v>1</v>
      </c>
      <c r="M43" s="66">
        <v>2</v>
      </c>
    </row>
    <row r="44" spans="1:13">
      <c r="A44" s="421">
        <v>2022</v>
      </c>
      <c r="B44" s="421">
        <v>63.284099789999999</v>
      </c>
      <c r="C44" s="516">
        <f t="shared" si="4"/>
        <v>0.99388607681543439</v>
      </c>
      <c r="D44">
        <f t="shared" si="5"/>
        <v>691.24776642513461</v>
      </c>
      <c r="E44">
        <f t="shared" si="6"/>
        <v>22.74861059482269</v>
      </c>
      <c r="F44">
        <f t="shared" si="7"/>
        <v>46.420919679831947</v>
      </c>
      <c r="G44" t="s">
        <v>1252</v>
      </c>
      <c r="H44" s="175">
        <v>2</v>
      </c>
      <c r="I44" s="66">
        <v>1</v>
      </c>
      <c r="J44" s="66">
        <v>1</v>
      </c>
      <c r="K44" s="66">
        <v>1</v>
      </c>
      <c r="L44" s="66">
        <v>1</v>
      </c>
      <c r="M44" s="66">
        <v>2</v>
      </c>
    </row>
    <row r="45" spans="1:13">
      <c r="A45" s="421">
        <v>2023</v>
      </c>
      <c r="B45" s="421">
        <v>63.887207420000003</v>
      </c>
      <c r="C45" s="516">
        <f t="shared" si="4"/>
        <v>1.0033579706760922</v>
      </c>
      <c r="D45">
        <f t="shared" si="5"/>
        <v>697.8354686052221</v>
      </c>
      <c r="E45">
        <f t="shared" si="6"/>
        <v>22.965408505627522</v>
      </c>
      <c r="F45">
        <f t="shared" si="7"/>
        <v>46.863318496334479</v>
      </c>
      <c r="G45" t="s">
        <v>1252</v>
      </c>
      <c r="H45" s="175">
        <v>2</v>
      </c>
      <c r="I45" s="66">
        <v>1</v>
      </c>
      <c r="J45" s="66">
        <v>1</v>
      </c>
      <c r="K45" s="66">
        <v>1</v>
      </c>
      <c r="L45" s="66">
        <v>1</v>
      </c>
      <c r="M45" s="66">
        <v>2</v>
      </c>
    </row>
    <row r="46" spans="1:13">
      <c r="A46" s="421">
        <v>2024</v>
      </c>
      <c r="B46" s="421">
        <v>64.615952640000003</v>
      </c>
      <c r="C46" s="516">
        <f t="shared" si="4"/>
        <v>1.0148030213303207</v>
      </c>
      <c r="D46">
        <f t="shared" si="5"/>
        <v>705.7955013352381</v>
      </c>
      <c r="E46">
        <f t="shared" si="6"/>
        <v>23.227369113230857</v>
      </c>
      <c r="F46">
        <f t="shared" si="7"/>
        <v>47.397876520181519</v>
      </c>
      <c r="G46" t="s">
        <v>1252</v>
      </c>
      <c r="H46" s="175">
        <v>2</v>
      </c>
      <c r="I46" s="66">
        <v>1</v>
      </c>
      <c r="J46" s="66">
        <v>1</v>
      </c>
      <c r="K46" s="66">
        <v>1</v>
      </c>
      <c r="L46" s="66">
        <v>1</v>
      </c>
      <c r="M46" s="66">
        <v>2</v>
      </c>
    </row>
    <row r="47" spans="1:13">
      <c r="A47" s="421">
        <v>2025</v>
      </c>
      <c r="B47" s="421">
        <v>65.465784360000001</v>
      </c>
      <c r="C47" s="516">
        <f t="shared" si="4"/>
        <v>1.0281497532416053</v>
      </c>
      <c r="D47">
        <f t="shared" si="5"/>
        <v>715.0781533795365</v>
      </c>
      <c r="E47">
        <f t="shared" si="6"/>
        <v>23.532856446282295</v>
      </c>
      <c r="F47">
        <f t="shared" si="7"/>
        <v>48.021255380691549</v>
      </c>
      <c r="G47" t="s">
        <v>1252</v>
      </c>
      <c r="H47" s="175">
        <v>2</v>
      </c>
      <c r="I47" s="66">
        <v>1</v>
      </c>
      <c r="J47" s="66">
        <v>1</v>
      </c>
      <c r="K47" s="66">
        <v>1</v>
      </c>
      <c r="L47" s="66">
        <v>1</v>
      </c>
      <c r="M47" s="66">
        <v>2</v>
      </c>
    </row>
    <row r="48" spans="1:13">
      <c r="A48" s="421">
        <v>2026</v>
      </c>
      <c r="B48" s="421">
        <v>66.419471389999998</v>
      </c>
      <c r="C48" s="516">
        <f t="shared" si="4"/>
        <v>1.0431275480415914</v>
      </c>
      <c r="D48">
        <f t="shared" si="5"/>
        <v>725.49520966292675</v>
      </c>
      <c r="E48">
        <f t="shared" si="6"/>
        <v>23.87567644288168</v>
      </c>
      <c r="F48">
        <f t="shared" si="7"/>
        <v>48.720815446588588</v>
      </c>
      <c r="G48" t="s">
        <v>1252</v>
      </c>
      <c r="H48" s="175">
        <v>2</v>
      </c>
      <c r="I48" s="66">
        <v>1</v>
      </c>
      <c r="J48" s="66">
        <v>1</v>
      </c>
      <c r="K48" s="66">
        <v>1</v>
      </c>
      <c r="L48" s="66">
        <v>1</v>
      </c>
      <c r="M48" s="66">
        <v>2</v>
      </c>
    </row>
    <row r="49" spans="1:13">
      <c r="A49" s="421">
        <v>2027</v>
      </c>
      <c r="B49" s="421">
        <v>67.380646179999999</v>
      </c>
      <c r="C49" s="516">
        <f t="shared" si="4"/>
        <v>1.0582229392115223</v>
      </c>
      <c r="D49">
        <f t="shared" si="5"/>
        <v>735.99405422161374</v>
      </c>
      <c r="E49">
        <f t="shared" si="6"/>
        <v>24.221188049807083</v>
      </c>
      <c r="F49">
        <f t="shared" si="7"/>
        <v>49.425868024928654</v>
      </c>
      <c r="G49" t="s">
        <v>1252</v>
      </c>
      <c r="H49" s="175">
        <v>2</v>
      </c>
      <c r="I49" s="66">
        <v>1</v>
      </c>
      <c r="J49" s="66">
        <v>1</v>
      </c>
      <c r="K49" s="66">
        <v>1</v>
      </c>
      <c r="L49" s="66">
        <v>1</v>
      </c>
      <c r="M49" s="66">
        <v>2</v>
      </c>
    </row>
    <row r="50" spans="1:13">
      <c r="A50" s="421">
        <v>2028</v>
      </c>
      <c r="B50" s="421">
        <v>68.443224400000005</v>
      </c>
      <c r="C50" s="516">
        <f t="shared" si="4"/>
        <v>1.074910886134838</v>
      </c>
      <c r="D50">
        <f t="shared" si="5"/>
        <v>747.6005213067798</v>
      </c>
      <c r="E50">
        <f t="shared" si="6"/>
        <v>24.603150947810406</v>
      </c>
      <c r="F50">
        <f t="shared" si="7"/>
        <v>50.205303275929147</v>
      </c>
      <c r="G50" t="s">
        <v>1252</v>
      </c>
      <c r="H50" s="175">
        <v>2</v>
      </c>
      <c r="I50" s="66">
        <v>1</v>
      </c>
      <c r="J50" s="66">
        <v>1</v>
      </c>
      <c r="K50" s="66">
        <v>1</v>
      </c>
      <c r="L50" s="66">
        <v>1</v>
      </c>
      <c r="M50" s="66">
        <v>2</v>
      </c>
    </row>
    <row r="51" spans="1:13">
      <c r="A51" s="421">
        <v>2029</v>
      </c>
      <c r="B51" s="421">
        <v>69.561988159999999</v>
      </c>
      <c r="C51" s="516">
        <f t="shared" si="4"/>
        <v>1.0924812352114537</v>
      </c>
      <c r="D51">
        <f t="shared" si="5"/>
        <v>759.82069908956601</v>
      </c>
      <c r="E51">
        <f t="shared" si="6"/>
        <v>25.005310751114763</v>
      </c>
      <c r="F51">
        <f t="shared" si="7"/>
        <v>51.025952425020357</v>
      </c>
      <c r="G51" t="s">
        <v>1252</v>
      </c>
      <c r="H51" s="175">
        <v>2</v>
      </c>
      <c r="I51" s="66">
        <v>1</v>
      </c>
      <c r="J51" s="66">
        <v>1</v>
      </c>
      <c r="K51" s="66">
        <v>1</v>
      </c>
      <c r="L51" s="66">
        <v>1</v>
      </c>
      <c r="M51" s="66">
        <v>2</v>
      </c>
    </row>
    <row r="52" spans="1:13">
      <c r="A52" s="421">
        <v>2030</v>
      </c>
      <c r="B52" s="421">
        <v>70.721950910000004</v>
      </c>
      <c r="C52" s="516">
        <f t="shared" si="4"/>
        <v>1.1106986204737106</v>
      </c>
      <c r="D52">
        <f t="shared" si="5"/>
        <v>772.49089053946568</v>
      </c>
      <c r="E52">
        <f t="shared" si="6"/>
        <v>25.422280274135762</v>
      </c>
      <c r="F52">
        <f t="shared" si="7"/>
        <v>51.876822356456998</v>
      </c>
      <c r="G52" t="s">
        <v>1252</v>
      </c>
      <c r="H52" s="175">
        <v>2</v>
      </c>
      <c r="I52" s="66">
        <v>1</v>
      </c>
      <c r="J52" s="66">
        <v>1</v>
      </c>
      <c r="K52" s="66">
        <v>1</v>
      </c>
      <c r="L52" s="66">
        <v>1</v>
      </c>
      <c r="M52" s="66">
        <v>2</v>
      </c>
    </row>
    <row r="53" spans="1:13">
      <c r="A53" s="421">
        <v>2031</v>
      </c>
      <c r="B53" s="421">
        <v>71.938240480000005</v>
      </c>
      <c r="C53" s="516">
        <f t="shared" si="4"/>
        <v>1.1298006267124066</v>
      </c>
      <c r="D53">
        <f t="shared" si="5"/>
        <v>785.77633587847879</v>
      </c>
      <c r="E53">
        <f t="shared" si="6"/>
        <v>25.859497488100882</v>
      </c>
      <c r="F53">
        <f t="shared" si="7"/>
        <v>52.76900981940183</v>
      </c>
      <c r="G53" t="s">
        <v>1252</v>
      </c>
      <c r="H53" s="175">
        <v>2</v>
      </c>
      <c r="I53" s="66">
        <v>1</v>
      </c>
      <c r="J53" s="66">
        <v>1</v>
      </c>
      <c r="K53" s="66">
        <v>1</v>
      </c>
      <c r="L53" s="66">
        <v>1</v>
      </c>
      <c r="M53" s="66">
        <v>2</v>
      </c>
    </row>
    <row r="54" spans="1:13">
      <c r="A54" s="421">
        <v>2032</v>
      </c>
      <c r="B54" s="421">
        <v>73.165602570000004</v>
      </c>
      <c r="C54" s="516">
        <f t="shared" si="4"/>
        <v>1.1490765285030622</v>
      </c>
      <c r="D54">
        <f t="shared" si="5"/>
        <v>799.18272557387979</v>
      </c>
      <c r="E54">
        <f t="shared" si="6"/>
        <v>26.300694919002311</v>
      </c>
      <c r="F54">
        <f t="shared" si="7"/>
        <v>53.669319331380756</v>
      </c>
      <c r="G54" t="s">
        <v>1252</v>
      </c>
      <c r="H54" s="175">
        <v>2</v>
      </c>
      <c r="I54" s="66">
        <v>1</v>
      </c>
      <c r="J54" s="66">
        <v>1</v>
      </c>
      <c r="K54" s="66">
        <v>1</v>
      </c>
      <c r="L54" s="66">
        <v>1</v>
      </c>
      <c r="M54" s="66">
        <v>2</v>
      </c>
    </row>
    <row r="55" spans="1:13">
      <c r="A55" s="421">
        <v>2033</v>
      </c>
      <c r="B55" s="421">
        <v>74.40693358</v>
      </c>
      <c r="C55" s="516">
        <f t="shared" si="4"/>
        <v>1.1685718142328465</v>
      </c>
      <c r="D55">
        <f t="shared" si="5"/>
        <v>812.74169679894476</v>
      </c>
      <c r="E55">
        <f t="shared" si="6"/>
        <v>26.746913730038163</v>
      </c>
      <c r="F55">
        <f t="shared" si="7"/>
        <v>54.579875494816932</v>
      </c>
      <c r="G55" t="s">
        <v>1252</v>
      </c>
      <c r="H55" s="175">
        <v>2</v>
      </c>
      <c r="I55" s="66">
        <v>1</v>
      </c>
      <c r="J55" s="66">
        <v>1</v>
      </c>
      <c r="K55" s="66">
        <v>1</v>
      </c>
      <c r="L55" s="66">
        <v>1</v>
      </c>
      <c r="M55" s="66">
        <v>2</v>
      </c>
    </row>
    <row r="56" spans="1:13">
      <c r="A56" s="421">
        <v>2034</v>
      </c>
      <c r="B56" s="421">
        <v>75.68639623</v>
      </c>
      <c r="C56" s="516">
        <f t="shared" si="4"/>
        <v>1.188665962966259</v>
      </c>
      <c r="D56">
        <f t="shared" si="5"/>
        <v>826.71717724303312</v>
      </c>
      <c r="E56">
        <f t="shared" si="6"/>
        <v>27.206839646533052</v>
      </c>
      <c r="F56">
        <f t="shared" si="7"/>
        <v>55.518402440860022</v>
      </c>
      <c r="G56" t="s">
        <v>1252</v>
      </c>
      <c r="H56" s="175">
        <v>2</v>
      </c>
      <c r="I56" s="66">
        <v>1</v>
      </c>
      <c r="J56" s="66">
        <v>1</v>
      </c>
      <c r="K56" s="66">
        <v>1</v>
      </c>
      <c r="L56" s="66">
        <v>1</v>
      </c>
      <c r="M56" s="66">
        <v>2</v>
      </c>
    </row>
    <row r="57" spans="1:13">
      <c r="A57" s="421">
        <v>2035</v>
      </c>
      <c r="B57" s="421">
        <v>76.9915685</v>
      </c>
      <c r="C57" s="516">
        <f t="shared" si="4"/>
        <v>1.2091638850557438</v>
      </c>
      <c r="D57">
        <f t="shared" si="5"/>
        <v>840.97348205626986</v>
      </c>
      <c r="E57">
        <f t="shared" si="6"/>
        <v>27.676007349446046</v>
      </c>
      <c r="F57">
        <f t="shared" si="7"/>
        <v>56.475788218884283</v>
      </c>
      <c r="G57" t="s">
        <v>1252</v>
      </c>
      <c r="H57" s="175">
        <v>2</v>
      </c>
      <c r="I57" s="66">
        <v>1</v>
      </c>
      <c r="J57" s="66">
        <v>1</v>
      </c>
      <c r="K57" s="66">
        <v>1</v>
      </c>
      <c r="L57" s="66">
        <v>1</v>
      </c>
      <c r="M57" s="66">
        <v>2</v>
      </c>
    </row>
    <row r="58" spans="1:13">
      <c r="A58" s="421">
        <v>2036</v>
      </c>
      <c r="B58" s="421">
        <v>78.336995779999995</v>
      </c>
      <c r="C58" s="516">
        <f t="shared" si="4"/>
        <v>1.2302940179864006</v>
      </c>
      <c r="D58">
        <f t="shared" si="5"/>
        <v>855.66948950954156</v>
      </c>
      <c r="E58">
        <f t="shared" si="6"/>
        <v>28.159645441446013</v>
      </c>
      <c r="F58">
        <f t="shared" si="7"/>
        <v>57.462702339606331</v>
      </c>
      <c r="G58" t="s">
        <v>1252</v>
      </c>
      <c r="H58" s="175">
        <v>2</v>
      </c>
      <c r="I58" s="66">
        <v>1</v>
      </c>
      <c r="J58" s="66">
        <v>1</v>
      </c>
      <c r="K58" s="66">
        <v>1</v>
      </c>
      <c r="L58" s="66">
        <v>1</v>
      </c>
      <c r="M58" s="66">
        <v>2</v>
      </c>
    </row>
    <row r="59" spans="1:13">
      <c r="A59" s="421">
        <v>2037</v>
      </c>
      <c r="B59" s="421">
        <v>79.702670609999998</v>
      </c>
      <c r="C59" s="516">
        <f t="shared" si="4"/>
        <v>1.2517421416619905</v>
      </c>
      <c r="D59">
        <f t="shared" si="5"/>
        <v>870.58665952591434</v>
      </c>
      <c r="E59">
        <f t="shared" si="6"/>
        <v>28.650561880328976</v>
      </c>
      <c r="F59">
        <f t="shared" si="7"/>
        <v>58.464468688540258</v>
      </c>
      <c r="G59" t="s">
        <v>1252</v>
      </c>
      <c r="H59" s="175">
        <v>2</v>
      </c>
      <c r="I59" s="66">
        <v>1</v>
      </c>
      <c r="J59" s="66">
        <v>1</v>
      </c>
      <c r="K59" s="66">
        <v>1</v>
      </c>
      <c r="L59" s="66">
        <v>1</v>
      </c>
      <c r="M59" s="66">
        <v>2</v>
      </c>
    </row>
    <row r="60" spans="1:13">
      <c r="A60" s="421">
        <v>2038</v>
      </c>
      <c r="B60" s="421">
        <v>81.100178380000003</v>
      </c>
      <c r="C60" s="516">
        <f t="shared" si="4"/>
        <v>1.2736902063331084</v>
      </c>
      <c r="D60">
        <f t="shared" si="5"/>
        <v>885.85153850467691</v>
      </c>
      <c r="E60">
        <f t="shared" si="6"/>
        <v>29.152921243399081</v>
      </c>
      <c r="F60">
        <f t="shared" si="7"/>
        <v>59.489585521336899</v>
      </c>
      <c r="G60" t="s">
        <v>1252</v>
      </c>
      <c r="H60" s="175">
        <v>2</v>
      </c>
      <c r="I60" s="66">
        <v>1</v>
      </c>
      <c r="J60" s="66">
        <v>1</v>
      </c>
      <c r="K60" s="66">
        <v>1</v>
      </c>
      <c r="L60" s="66">
        <v>1</v>
      </c>
      <c r="M60" s="66">
        <v>2</v>
      </c>
    </row>
    <row r="61" spans="1:13">
      <c r="A61" s="421">
        <v>2039</v>
      </c>
      <c r="B61" s="421">
        <v>82.544736630000003</v>
      </c>
      <c r="C61" s="516">
        <f t="shared" si="4"/>
        <v>1.2963772056992704</v>
      </c>
      <c r="D61">
        <f t="shared" si="5"/>
        <v>901.63034656384252</v>
      </c>
      <c r="E61">
        <f t="shared" si="6"/>
        <v>29.672193749760641</v>
      </c>
      <c r="F61">
        <f t="shared" si="7"/>
        <v>60.549215392325202</v>
      </c>
      <c r="G61" t="s">
        <v>1252</v>
      </c>
      <c r="H61" s="175">
        <v>2</v>
      </c>
      <c r="I61" s="66">
        <v>1</v>
      </c>
      <c r="J61" s="66">
        <v>1</v>
      </c>
      <c r="K61" s="66">
        <v>1</v>
      </c>
      <c r="L61" s="66">
        <v>1</v>
      </c>
      <c r="M61" s="66">
        <v>2</v>
      </c>
    </row>
    <row r="62" spans="1:13">
      <c r="A62" s="421">
        <v>2040</v>
      </c>
      <c r="B62" s="421">
        <v>84.02895925</v>
      </c>
      <c r="C62" s="516">
        <f t="shared" si="4"/>
        <v>1.3196871398187033</v>
      </c>
      <c r="D62">
        <f t="shared" si="5"/>
        <v>917.84240574390822</v>
      </c>
      <c r="E62">
        <f t="shared" si="6"/>
        <v>30.205724329012757</v>
      </c>
      <c r="F62">
        <f t="shared" si="7"/>
        <v>61.637940352601824</v>
      </c>
      <c r="G62" t="s">
        <v>1252</v>
      </c>
      <c r="H62" s="175">
        <v>2</v>
      </c>
      <c r="I62" s="66">
        <v>1</v>
      </c>
      <c r="J62" s="66">
        <v>1</v>
      </c>
      <c r="K62" s="66">
        <v>1</v>
      </c>
      <c r="L62" s="66">
        <v>1</v>
      </c>
      <c r="M62" s="66">
        <v>2</v>
      </c>
    </row>
    <row r="63" spans="1:13">
      <c r="A63" s="421">
        <v>2041</v>
      </c>
      <c r="B63" s="421">
        <v>85.572727369999996</v>
      </c>
      <c r="C63" s="516">
        <f t="shared" si="4"/>
        <v>1.3439322447564526</v>
      </c>
      <c r="D63">
        <f t="shared" si="5"/>
        <v>934.70487622811277</v>
      </c>
      <c r="E63">
        <f t="shared" si="6"/>
        <v>30.760659611763369</v>
      </c>
      <c r="F63">
        <f t="shared" si="7"/>
        <v>62.770343849540396</v>
      </c>
      <c r="G63" t="s">
        <v>1252</v>
      </c>
      <c r="H63" s="175">
        <v>2</v>
      </c>
      <c r="I63" s="66">
        <v>1</v>
      </c>
      <c r="J63" s="66">
        <v>1</v>
      </c>
      <c r="K63" s="66">
        <v>1</v>
      </c>
      <c r="L63" s="66">
        <v>1</v>
      </c>
      <c r="M63" s="66">
        <v>2</v>
      </c>
    </row>
    <row r="64" spans="1:13">
      <c r="A64" s="421">
        <v>2042</v>
      </c>
      <c r="B64" s="421">
        <v>87.157978889999995</v>
      </c>
      <c r="C64" s="516">
        <f t="shared" si="4"/>
        <v>1.368828852580642</v>
      </c>
      <c r="D64">
        <f t="shared" si="5"/>
        <v>952.02046696983655</v>
      </c>
      <c r="E64">
        <f t="shared" si="6"/>
        <v>31.330506850532643</v>
      </c>
      <c r="F64">
        <f t="shared" si="7"/>
        <v>63.933176752693733</v>
      </c>
      <c r="G64" t="s">
        <v>1252</v>
      </c>
      <c r="H64" s="175">
        <v>2</v>
      </c>
      <c r="I64" s="66">
        <v>1</v>
      </c>
      <c r="J64" s="66">
        <v>1</v>
      </c>
      <c r="K64" s="66">
        <v>1</v>
      </c>
      <c r="L64" s="66">
        <v>1</v>
      </c>
      <c r="M64" s="66">
        <v>2</v>
      </c>
    </row>
    <row r="65" spans="1:13">
      <c r="A65" s="421">
        <v>2043</v>
      </c>
      <c r="B65" s="421">
        <v>88.811835630000004</v>
      </c>
      <c r="C65" s="516">
        <f t="shared" si="4"/>
        <v>1.3948029154556443</v>
      </c>
      <c r="D65">
        <f t="shared" si="5"/>
        <v>970.08542769940061</v>
      </c>
      <c r="E65">
        <f t="shared" si="6"/>
        <v>31.92501547248871</v>
      </c>
      <c r="F65">
        <f t="shared" si="7"/>
        <v>65.146333788098389</v>
      </c>
      <c r="G65" t="s">
        <v>1252</v>
      </c>
      <c r="H65" s="175">
        <v>2</v>
      </c>
      <c r="I65" s="66">
        <v>1</v>
      </c>
      <c r="J65" s="66">
        <v>1</v>
      </c>
      <c r="K65" s="66">
        <v>1</v>
      </c>
      <c r="L65" s="66">
        <v>1</v>
      </c>
      <c r="M65" s="66">
        <v>2</v>
      </c>
    </row>
    <row r="66" spans="1:13">
      <c r="A66" s="421">
        <v>2044</v>
      </c>
      <c r="B66" s="421">
        <v>90.524344569999997</v>
      </c>
      <c r="C66" s="516">
        <f t="shared" si="4"/>
        <v>1.4216981197413328</v>
      </c>
      <c r="D66">
        <f t="shared" si="5"/>
        <v>988.79104228009692</v>
      </c>
      <c r="E66">
        <f t="shared" si="6"/>
        <v>32.54060768515329</v>
      </c>
      <c r="F66">
        <f t="shared" si="7"/>
        <v>66.402514095925028</v>
      </c>
      <c r="G66" t="s">
        <v>1252</v>
      </c>
      <c r="H66" s="175">
        <v>2</v>
      </c>
      <c r="I66" s="66">
        <v>1</v>
      </c>
      <c r="J66" s="66">
        <v>1</v>
      </c>
      <c r="K66" s="66">
        <v>1</v>
      </c>
      <c r="L66" s="66">
        <v>1</v>
      </c>
      <c r="M66" s="66">
        <v>2</v>
      </c>
    </row>
    <row r="67" spans="1:13">
      <c r="A67" s="421">
        <v>2045</v>
      </c>
      <c r="B67" s="421">
        <v>92.270779849999997</v>
      </c>
      <c r="C67" s="516">
        <f t="shared" si="4"/>
        <v>1.4491261421768442</v>
      </c>
      <c r="D67">
        <f t="shared" si="5"/>
        <v>1007.8672318839951</v>
      </c>
      <c r="E67">
        <f t="shared" si="6"/>
        <v>33.168395332376143</v>
      </c>
      <c r="F67">
        <f t="shared" si="7"/>
        <v>67.683580463747731</v>
      </c>
      <c r="G67" t="s">
        <v>1252</v>
      </c>
      <c r="H67" s="175">
        <v>2</v>
      </c>
      <c r="I67" s="66">
        <v>1</v>
      </c>
      <c r="J67" s="66">
        <v>1</v>
      </c>
      <c r="K67" s="66">
        <v>1</v>
      </c>
      <c r="L67" s="66">
        <v>1</v>
      </c>
      <c r="M67" s="66">
        <v>2</v>
      </c>
    </row>
    <row r="68" spans="1:13">
      <c r="A68" s="421">
        <v>2046</v>
      </c>
      <c r="B68" s="421">
        <v>94.077414829999995</v>
      </c>
      <c r="C68" s="516">
        <f t="shared" si="4"/>
        <v>1.4774996097377031</v>
      </c>
      <c r="D68">
        <f t="shared" si="5"/>
        <v>1027.6009785725726</v>
      </c>
      <c r="E68">
        <f t="shared" si="6"/>
        <v>33.817822847081807</v>
      </c>
      <c r="F68">
        <f t="shared" si="7"/>
        <v>69.00880524494319</v>
      </c>
      <c r="G68" t="s">
        <v>1252</v>
      </c>
      <c r="H68" s="175">
        <v>2</v>
      </c>
      <c r="I68" s="66">
        <v>1</v>
      </c>
      <c r="J68" s="66">
        <v>1</v>
      </c>
      <c r="K68" s="66">
        <v>1</v>
      </c>
      <c r="L68" s="66">
        <v>1</v>
      </c>
      <c r="M68" s="66">
        <v>2</v>
      </c>
    </row>
    <row r="69" spans="1:13">
      <c r="A69" s="421">
        <v>2047</v>
      </c>
      <c r="B69" s="421">
        <v>95.914050689999996</v>
      </c>
      <c r="C69" s="516">
        <f t="shared" si="4"/>
        <v>1.5063442455228579</v>
      </c>
      <c r="D69">
        <f t="shared" si="5"/>
        <v>1047.6624227611478</v>
      </c>
      <c r="E69">
        <f t="shared" si="6"/>
        <v>34.478034718978094</v>
      </c>
      <c r="F69">
        <f t="shared" si="7"/>
        <v>70.35603663515144</v>
      </c>
      <c r="G69" t="s">
        <v>1252</v>
      </c>
      <c r="H69" s="175">
        <v>2</v>
      </c>
      <c r="I69" s="66">
        <v>1</v>
      </c>
      <c r="J69" s="66">
        <v>1</v>
      </c>
      <c r="K69" s="66">
        <v>1</v>
      </c>
      <c r="L69" s="66">
        <v>1</v>
      </c>
      <c r="M69" s="66">
        <v>2</v>
      </c>
    </row>
    <row r="70" spans="1:13">
      <c r="A70" s="421">
        <v>2048</v>
      </c>
      <c r="B70" s="421">
        <v>97.822312159999996</v>
      </c>
      <c r="C70" s="516">
        <f t="shared" si="4"/>
        <v>1.5363137720271451</v>
      </c>
      <c r="D70">
        <f t="shared" si="5"/>
        <v>1068.5062284448795</v>
      </c>
      <c r="E70">
        <f t="shared" si="6"/>
        <v>35.163993707700151</v>
      </c>
      <c r="F70">
        <f t="shared" si="7"/>
        <v>71.755807710681324</v>
      </c>
      <c r="G70" t="s">
        <v>1252</v>
      </c>
      <c r="H70" s="175">
        <v>2</v>
      </c>
      <c r="I70" s="66">
        <v>1</v>
      </c>
      <c r="J70" s="66">
        <v>1</v>
      </c>
      <c r="K70" s="66">
        <v>1</v>
      </c>
      <c r="L70" s="66">
        <v>1</v>
      </c>
      <c r="M70" s="66">
        <v>2</v>
      </c>
    </row>
    <row r="71" spans="1:13">
      <c r="A71" s="421">
        <v>2049</v>
      </c>
      <c r="B71" s="421">
        <v>99.774037800000002</v>
      </c>
      <c r="C71" s="516">
        <f t="shared" si="4"/>
        <v>1.5669659097014843</v>
      </c>
      <c r="D71">
        <f t="shared" si="5"/>
        <v>1089.8247901973823</v>
      </c>
      <c r="E71">
        <f t="shared" si="6"/>
        <v>35.865576675927933</v>
      </c>
      <c r="F71">
        <f t="shared" si="7"/>
        <v>73.187461150836995</v>
      </c>
      <c r="G71" t="s">
        <v>1252</v>
      </c>
      <c r="H71" s="175">
        <v>2</v>
      </c>
      <c r="I71" s="66">
        <v>1</v>
      </c>
      <c r="J71" s="66">
        <v>1</v>
      </c>
      <c r="K71" s="66">
        <v>1</v>
      </c>
      <c r="L71" s="66">
        <v>1</v>
      </c>
      <c r="M71" s="66">
        <v>2</v>
      </c>
    </row>
    <row r="72" spans="1:13">
      <c r="A72" s="421">
        <v>2050</v>
      </c>
      <c r="B72" s="421">
        <v>101.7943732</v>
      </c>
      <c r="C72" s="516">
        <f t="shared" si="4"/>
        <v>1.5986955737280022</v>
      </c>
      <c r="D72">
        <f t="shared" si="5"/>
        <v>1111.8927715278255</v>
      </c>
      <c r="E72">
        <f t="shared" si="6"/>
        <v>36.591822659327342</v>
      </c>
      <c r="F72">
        <f t="shared" si="7"/>
        <v>74.669442053479784</v>
      </c>
      <c r="G72" t="s">
        <v>1252</v>
      </c>
      <c r="H72" s="175">
        <v>2</v>
      </c>
      <c r="I72" s="66">
        <v>1</v>
      </c>
      <c r="J72" s="66">
        <v>1</v>
      </c>
      <c r="K72" s="66">
        <v>1</v>
      </c>
      <c r="L72" s="66">
        <v>1</v>
      </c>
      <c r="M72" s="66">
        <v>2</v>
      </c>
    </row>
    <row r="73" spans="1:13">
      <c r="A73" s="421">
        <v>2051</v>
      </c>
      <c r="B73" s="421">
        <v>103.8311403</v>
      </c>
      <c r="C73" s="516">
        <f t="shared" si="4"/>
        <v>1.630683300015066</v>
      </c>
      <c r="D73">
        <f t="shared" si="5"/>
        <v>1134.1402351604784</v>
      </c>
      <c r="E73">
        <f t="shared" si="6"/>
        <v>37.323975313532721</v>
      </c>
      <c r="F73">
        <f t="shared" si="7"/>
        <v>76.163476135806491</v>
      </c>
      <c r="G73" t="s">
        <v>1252</v>
      </c>
      <c r="H73" s="175">
        <v>2</v>
      </c>
      <c r="I73" s="66">
        <v>1</v>
      </c>
      <c r="J73" s="66">
        <v>1</v>
      </c>
      <c r="K73" s="66">
        <v>1</v>
      </c>
      <c r="L73" s="66">
        <v>1</v>
      </c>
      <c r="M73" s="66">
        <v>2</v>
      </c>
    </row>
    <row r="74" spans="1:13">
      <c r="A74" s="421">
        <v>2052</v>
      </c>
      <c r="B74" s="421">
        <v>105.9148888</v>
      </c>
      <c r="C74" s="516">
        <f t="shared" si="4"/>
        <v>1.6634088760856338</v>
      </c>
      <c r="D74">
        <f t="shared" si="5"/>
        <v>1156.9008733175583</v>
      </c>
      <c r="E74">
        <f t="shared" si="6"/>
        <v>38.073016278978137</v>
      </c>
      <c r="F74">
        <f t="shared" si="7"/>
        <v>77.691972583926244</v>
      </c>
      <c r="G74" t="s">
        <v>1252</v>
      </c>
      <c r="H74" s="175">
        <v>2</v>
      </c>
      <c r="I74" s="66">
        <v>1</v>
      </c>
      <c r="J74" s="66">
        <v>1</v>
      </c>
      <c r="K74" s="66">
        <v>1</v>
      </c>
      <c r="L74" s="66">
        <v>1</v>
      </c>
      <c r="M74" s="66">
        <v>2</v>
      </c>
    </row>
    <row r="75" spans="1:13">
      <c r="A75" s="421">
        <v>2053</v>
      </c>
      <c r="B75" s="421">
        <v>108.06990879999999</v>
      </c>
      <c r="C75" s="516">
        <f t="shared" si="4"/>
        <v>1.6972537815258031</v>
      </c>
      <c r="D75">
        <f t="shared" si="5"/>
        <v>1180.4400050511961</v>
      </c>
      <c r="E75">
        <f t="shared" si="6"/>
        <v>38.847677070025711</v>
      </c>
      <c r="F75">
        <f t="shared" si="7"/>
        <v>79.272748966309706</v>
      </c>
      <c r="G75" t="s">
        <v>1252</v>
      </c>
      <c r="H75" s="175">
        <v>2</v>
      </c>
      <c r="I75" s="66">
        <v>1</v>
      </c>
      <c r="J75" s="66">
        <v>1</v>
      </c>
      <c r="K75" s="66">
        <v>1</v>
      </c>
      <c r="L75" s="66">
        <v>1</v>
      </c>
      <c r="M75" s="66">
        <v>2</v>
      </c>
    </row>
    <row r="76" spans="1:13">
      <c r="A76" s="421">
        <v>2054</v>
      </c>
      <c r="B76" s="421">
        <v>110.2730487</v>
      </c>
      <c r="C76" s="516">
        <f t="shared" si="4"/>
        <v>1.7318544170590997</v>
      </c>
      <c r="D76">
        <f t="shared" si="5"/>
        <v>1204.5047470646039</v>
      </c>
      <c r="E76">
        <f t="shared" si="6"/>
        <v>39.639635426663915</v>
      </c>
      <c r="F76">
        <f t="shared" si="7"/>
        <v>80.88882284080124</v>
      </c>
      <c r="G76" t="s">
        <v>1252</v>
      </c>
      <c r="H76" s="175">
        <v>2</v>
      </c>
      <c r="I76" s="66">
        <v>1</v>
      </c>
      <c r="J76" s="66">
        <v>1</v>
      </c>
      <c r="K76" s="66">
        <v>1</v>
      </c>
      <c r="L76" s="66">
        <v>1</v>
      </c>
      <c r="M76" s="66">
        <v>2</v>
      </c>
    </row>
    <row r="77" spans="1:13">
      <c r="A77" s="421">
        <v>2055</v>
      </c>
      <c r="B77" s="421">
        <v>112.5594547</v>
      </c>
      <c r="C77" s="516">
        <f t="shared" si="4"/>
        <v>1.7677627589157117</v>
      </c>
      <c r="D77">
        <f t="shared" si="5"/>
        <v>1229.4789988258774</v>
      </c>
      <c r="E77">
        <f t="shared" si="6"/>
        <v>40.46152528412042</v>
      </c>
      <c r="F77">
        <f t="shared" si="7"/>
        <v>82.565975073884871</v>
      </c>
      <c r="G77" t="s">
        <v>1252</v>
      </c>
      <c r="H77" s="175">
        <v>2</v>
      </c>
      <c r="I77" s="66">
        <v>1</v>
      </c>
      <c r="J77" s="66">
        <v>1</v>
      </c>
      <c r="K77" s="66">
        <v>1</v>
      </c>
      <c r="L77" s="66">
        <v>1</v>
      </c>
      <c r="M77" s="66">
        <v>2</v>
      </c>
    </row>
    <row r="78" spans="1:13">
      <c r="A78" s="421">
        <v>2056</v>
      </c>
      <c r="B78" s="421">
        <v>114.8965238</v>
      </c>
      <c r="C78" s="516">
        <f t="shared" si="4"/>
        <v>1.8044667721947725</v>
      </c>
      <c r="D78">
        <f t="shared" si="5"/>
        <v>1255.0066400614642</v>
      </c>
      <c r="E78">
        <f t="shared" si="6"/>
        <v>41.301626906257951</v>
      </c>
      <c r="F78">
        <f t="shared" si="7"/>
        <v>84.280290317956016</v>
      </c>
      <c r="G78" t="s">
        <v>1252</v>
      </c>
      <c r="H78" s="175">
        <v>2</v>
      </c>
      <c r="I78" s="66">
        <v>1</v>
      </c>
      <c r="J78" s="66">
        <v>1</v>
      </c>
      <c r="K78" s="66">
        <v>1</v>
      </c>
      <c r="L78" s="66">
        <v>1</v>
      </c>
      <c r="M78" s="66">
        <v>2</v>
      </c>
    </row>
    <row r="79" spans="1:13">
      <c r="A79" s="421">
        <v>2057</v>
      </c>
      <c r="B79" s="421">
        <v>117.3261189</v>
      </c>
      <c r="C79" s="516">
        <f t="shared" si="4"/>
        <v>1.8426239198859304</v>
      </c>
      <c r="D79">
        <f t="shared" si="5"/>
        <v>1281.5449362806646</v>
      </c>
      <c r="E79">
        <f t="shared" si="6"/>
        <v>42.174988667212055</v>
      </c>
      <c r="F79">
        <f t="shared" si="7"/>
        <v>86.062476354667808</v>
      </c>
      <c r="G79" t="s">
        <v>1252</v>
      </c>
      <c r="H79" s="175">
        <v>2</v>
      </c>
      <c r="I79" s="66">
        <v>1</v>
      </c>
      <c r="J79" s="66">
        <v>1</v>
      </c>
      <c r="K79" s="66">
        <v>1</v>
      </c>
      <c r="L79" s="66">
        <v>1</v>
      </c>
      <c r="M79" s="66">
        <v>2</v>
      </c>
    </row>
    <row r="80" spans="1:13">
      <c r="A80" s="421">
        <v>2058</v>
      </c>
      <c r="B80" s="421">
        <v>119.8032601</v>
      </c>
      <c r="C80" s="516">
        <f t="shared" si="4"/>
        <v>1.8815277860569859</v>
      </c>
      <c r="D80">
        <f t="shared" si="5"/>
        <v>1308.6025752026337</v>
      </c>
      <c r="E80">
        <f t="shared" si="6"/>
        <v>43.065441731001961</v>
      </c>
      <c r="F80">
        <f t="shared" si="7"/>
        <v>87.879538982759001</v>
      </c>
      <c r="G80" t="s">
        <v>1252</v>
      </c>
      <c r="H80" s="175">
        <v>2</v>
      </c>
      <c r="I80" s="66">
        <v>1</v>
      </c>
      <c r="J80" s="66">
        <v>1</v>
      </c>
      <c r="K80" s="66">
        <v>1</v>
      </c>
      <c r="L80" s="66">
        <v>1</v>
      </c>
      <c r="M80" s="66">
        <v>2</v>
      </c>
    </row>
    <row r="81" spans="1:13">
      <c r="A81" s="421">
        <v>2059</v>
      </c>
      <c r="B81" s="421">
        <v>122.38200670000001</v>
      </c>
      <c r="C81" s="516">
        <f t="shared" si="4"/>
        <v>1.9220273799499237</v>
      </c>
      <c r="D81">
        <f t="shared" si="5"/>
        <v>1336.770042755172</v>
      </c>
      <c r="E81">
        <f t="shared" si="6"/>
        <v>43.992418687627534</v>
      </c>
      <c r="F81">
        <f t="shared" si="7"/>
        <v>89.771132434992253</v>
      </c>
      <c r="G81" t="s">
        <v>1252</v>
      </c>
      <c r="H81" s="175">
        <v>2</v>
      </c>
      <c r="I81" s="66">
        <v>1</v>
      </c>
      <c r="J81" s="66">
        <v>1</v>
      </c>
      <c r="K81" s="66">
        <v>1</v>
      </c>
      <c r="L81" s="66">
        <v>1</v>
      </c>
      <c r="M81" s="66">
        <v>2</v>
      </c>
    </row>
    <row r="82" spans="1:13">
      <c r="A82" s="421">
        <v>2060</v>
      </c>
      <c r="B82" s="421">
        <v>124.8903523</v>
      </c>
      <c r="C82" s="516">
        <f t="shared" si="4"/>
        <v>1.9614213158035423</v>
      </c>
      <c r="D82">
        <f t="shared" si="5"/>
        <v>1364.1685251413637</v>
      </c>
      <c r="E82">
        <f t="shared" si="6"/>
        <v>44.894088735569866</v>
      </c>
      <c r="F82">
        <f t="shared" si="7"/>
        <v>91.611084492669463</v>
      </c>
      <c r="G82" t="s">
        <v>1252</v>
      </c>
      <c r="H82" s="175">
        <v>2</v>
      </c>
      <c r="I82" s="66">
        <v>1</v>
      </c>
      <c r="J82" s="66">
        <v>1</v>
      </c>
      <c r="K82" s="66">
        <v>1</v>
      </c>
      <c r="L82" s="66">
        <v>1</v>
      </c>
      <c r="M82" s="66">
        <v>2</v>
      </c>
    </row>
  </sheetData>
  <conditionalFormatting sqref="H2:M82">
    <cfRule type="containsBlanks" dxfId="19" priority="1">
      <formula>LEN(TRIM(H2))=0</formula>
    </cfRule>
    <cfRule type="cellIs" dxfId="18" priority="2" stopIfTrue="1" operator="notBetween">
      <formula>1</formula>
      <formula>4</formula>
    </cfRule>
    <cfRule type="dataBar" priority="3">
      <dataBar>
        <cfvo type="min"/>
        <cfvo type="num" val="4"/>
        <color rgb="FFFFC000"/>
      </dataBar>
      <extLst>
        <ext xmlns:x14="http://schemas.microsoft.com/office/spreadsheetml/2009/9/main" uri="{B025F937-C7B1-47D3-B67F-A62EFF666E3E}">
          <x14:id>{AAACF436-2942-4CF6-8912-AC7886C5EC77}</x14:id>
        </ext>
      </extLst>
    </cfRule>
  </conditionalFormatting>
  <hyperlinks>
    <hyperlink ref="G2" r:id="rId1" display="https://www.oecd-ilibrary.org/environment/global-plastics-outlook_aa1edf33-en" xr:uid="{9EDD35E6-36EE-4BFE-8E25-D7C41537A6B6}"/>
    <hyperlink ref="G3:G82" r:id="rId2" display="https://www.oecd-ilibrary.org/environment/global-plastics-outlook_aa1edf33-en" xr:uid="{27CF6CBB-00F2-4703-B336-932F9AF163AF}"/>
  </hyperlinks>
  <pageMargins left="0.7" right="0.7" top="0.75" bottom="0.75" header="0.3" footer="0.3"/>
  <pageSetup orientation="portrait" r:id="rId3"/>
  <extLst>
    <ext xmlns:x14="http://schemas.microsoft.com/office/spreadsheetml/2009/9/main" uri="{78C0D931-6437-407d-A8EE-F0AAD7539E65}">
      <x14:conditionalFormattings>
        <x14:conditionalFormatting xmlns:xm="http://schemas.microsoft.com/office/excel/2006/main">
          <x14:cfRule type="dataBar" id="{AAACF436-2942-4CF6-8912-AC7886C5EC77}">
            <x14:dataBar minLength="0" maxLength="100" gradient="0">
              <x14:cfvo type="autoMin"/>
              <x14:cfvo type="num">
                <xm:f>4</xm:f>
              </x14:cfvo>
              <x14:negativeFillColor rgb="FFFF0000"/>
              <x14:axisColor rgb="FF000000"/>
            </x14:dataBar>
          </x14:cfRule>
          <xm:sqref>H2:M82</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F619-4994-4452-AA39-B74CDF0F95FE}">
  <sheetPr>
    <tabColor theme="3"/>
  </sheetPr>
  <dimension ref="A1:CV201"/>
  <sheetViews>
    <sheetView topLeftCell="U1" zoomScale="80" zoomScaleNormal="80" workbookViewId="0">
      <selection activeCell="AA11" sqref="AA11"/>
    </sheetView>
  </sheetViews>
  <sheetFormatPr defaultRowHeight="15"/>
  <cols>
    <col min="1" max="1" width="20.7109375" customWidth="1"/>
    <col min="2" max="100" width="30.7109375" customWidth="1"/>
  </cols>
  <sheetData>
    <row r="1" spans="1:100" s="4" customFormat="1" ht="30" customHeight="1" thickBot="1">
      <c r="A1" s="562" t="s">
        <v>101</v>
      </c>
      <c r="B1" s="562" t="s">
        <v>984</v>
      </c>
      <c r="C1" s="562" t="s">
        <v>1253</v>
      </c>
      <c r="D1" s="562" t="s">
        <v>1160</v>
      </c>
      <c r="E1" s="562" t="s">
        <v>1163</v>
      </c>
      <c r="F1" s="562" t="s">
        <v>979</v>
      </c>
      <c r="G1" s="562" t="s">
        <v>1254</v>
      </c>
      <c r="H1" s="562" t="s">
        <v>1070</v>
      </c>
      <c r="I1" s="562" t="s">
        <v>1164</v>
      </c>
      <c r="J1" s="562" t="s">
        <v>1165</v>
      </c>
      <c r="K1" s="562" t="s">
        <v>1255</v>
      </c>
      <c r="L1" s="562" t="s">
        <v>1166</v>
      </c>
      <c r="M1" s="562" t="s">
        <v>1075</v>
      </c>
      <c r="N1" s="562" t="s">
        <v>1067</v>
      </c>
      <c r="O1" s="562" t="s">
        <v>1256</v>
      </c>
      <c r="P1" s="562" t="s">
        <v>1167</v>
      </c>
      <c r="Q1" s="562" t="s">
        <v>1168</v>
      </c>
      <c r="R1" s="562" t="s">
        <v>1169</v>
      </c>
      <c r="S1" s="562" t="s">
        <v>1257</v>
      </c>
      <c r="T1" s="562" t="s">
        <v>1258</v>
      </c>
      <c r="U1" s="562" t="s">
        <v>1079</v>
      </c>
      <c r="V1" s="562" t="s">
        <v>1259</v>
      </c>
      <c r="W1" s="562" t="s">
        <v>1260</v>
      </c>
      <c r="X1" s="947" t="s">
        <v>2162</v>
      </c>
      <c r="Y1" s="947" t="s">
        <v>2163</v>
      </c>
      <c r="Z1" s="947" t="s">
        <v>2164</v>
      </c>
      <c r="AA1" s="947" t="s">
        <v>2165</v>
      </c>
      <c r="AB1" s="947" t="s">
        <v>2166</v>
      </c>
      <c r="AC1" s="947" t="s">
        <v>2167</v>
      </c>
      <c r="AD1" s="947" t="s">
        <v>2168</v>
      </c>
      <c r="AE1" s="563" t="s">
        <v>1261</v>
      </c>
      <c r="AF1" s="596" t="s">
        <v>1262</v>
      </c>
      <c r="AG1" s="564" t="s">
        <v>1263</v>
      </c>
      <c r="AH1" s="563" t="s">
        <v>1264</v>
      </c>
      <c r="AI1" s="564" t="s">
        <v>1265</v>
      </c>
      <c r="AJ1" s="563" t="s">
        <v>1266</v>
      </c>
      <c r="AK1" s="564" t="s">
        <v>1267</v>
      </c>
      <c r="AL1" s="565" t="s">
        <v>1268</v>
      </c>
      <c r="AM1" s="565" t="s">
        <v>1269</v>
      </c>
      <c r="AN1" s="566" t="s">
        <v>1270</v>
      </c>
      <c r="AO1" s="565" t="s">
        <v>1271</v>
      </c>
      <c r="AP1" s="563" t="s">
        <v>1272</v>
      </c>
      <c r="AQ1" s="564" t="s">
        <v>1273</v>
      </c>
      <c r="AR1" s="563" t="s">
        <v>1274</v>
      </c>
      <c r="AS1" s="564" t="s">
        <v>1275</v>
      </c>
      <c r="AT1" s="565" t="s">
        <v>1276</v>
      </c>
      <c r="AU1" s="563" t="s">
        <v>1277</v>
      </c>
      <c r="AV1" s="564" t="s">
        <v>1278</v>
      </c>
      <c r="AW1" s="567" t="s">
        <v>1279</v>
      </c>
      <c r="AX1" s="568" t="s">
        <v>1280</v>
      </c>
      <c r="AY1" s="567" t="s">
        <v>1281</v>
      </c>
      <c r="AZ1" s="568" t="s">
        <v>1282</v>
      </c>
      <c r="BA1" s="569" t="s">
        <v>1283</v>
      </c>
      <c r="BB1" s="570" t="s">
        <v>1284</v>
      </c>
      <c r="BC1" s="569" t="s">
        <v>1285</v>
      </c>
      <c r="BD1" s="570" t="s">
        <v>1286</v>
      </c>
      <c r="BE1" s="569" t="s">
        <v>1287</v>
      </c>
      <c r="BF1" s="570" t="s">
        <v>1288</v>
      </c>
      <c r="BG1" s="569" t="s">
        <v>1289</v>
      </c>
      <c r="BH1" s="570" t="s">
        <v>1290</v>
      </c>
      <c r="BI1" s="567" t="s">
        <v>1291</v>
      </c>
      <c r="BJ1" s="568" t="s">
        <v>1292</v>
      </c>
      <c r="BK1" s="567" t="s">
        <v>1293</v>
      </c>
      <c r="BL1" s="568" t="s">
        <v>1294</v>
      </c>
      <c r="BM1" s="567" t="s">
        <v>1295</v>
      </c>
      <c r="BN1" s="568" t="s">
        <v>1296</v>
      </c>
      <c r="BO1" s="567" t="s">
        <v>1297</v>
      </c>
      <c r="BP1" s="568" t="s">
        <v>1298</v>
      </c>
      <c r="BQ1" s="567" t="s">
        <v>1299</v>
      </c>
      <c r="BR1" s="568" t="s">
        <v>1300</v>
      </c>
      <c r="BS1" s="567" t="s">
        <v>1301</v>
      </c>
      <c r="BT1" s="568" t="s">
        <v>1302</v>
      </c>
      <c r="BU1" s="567" t="s">
        <v>1303</v>
      </c>
      <c r="BV1" s="568" t="s">
        <v>1304</v>
      </c>
      <c r="BW1" s="567" t="s">
        <v>1305</v>
      </c>
      <c r="BX1" s="568" t="s">
        <v>1306</v>
      </c>
      <c r="BY1" s="567" t="s">
        <v>1307</v>
      </c>
      <c r="BZ1" s="568" t="s">
        <v>1308</v>
      </c>
      <c r="CA1" s="567" t="s">
        <v>1309</v>
      </c>
      <c r="CB1" s="568" t="s">
        <v>1310</v>
      </c>
      <c r="CC1" s="567" t="s">
        <v>1311</v>
      </c>
      <c r="CD1" s="568" t="s">
        <v>1312</v>
      </c>
      <c r="CE1" s="567" t="s">
        <v>1313</v>
      </c>
      <c r="CF1" s="568" t="s">
        <v>1314</v>
      </c>
      <c r="CG1" s="567" t="s">
        <v>1315</v>
      </c>
      <c r="CH1" s="568" t="s">
        <v>1316</v>
      </c>
      <c r="CI1" s="567" t="s">
        <v>1317</v>
      </c>
      <c r="CJ1" s="568" t="s">
        <v>1318</v>
      </c>
      <c r="CK1" s="567" t="s">
        <v>1319</v>
      </c>
      <c r="CL1" s="568" t="s">
        <v>1320</v>
      </c>
      <c r="CM1" s="567" t="s">
        <v>1321</v>
      </c>
      <c r="CN1" s="568" t="s">
        <v>1322</v>
      </c>
      <c r="CO1" s="569" t="s">
        <v>1323</v>
      </c>
      <c r="CP1" s="570" t="s">
        <v>1324</v>
      </c>
      <c r="CQ1" s="569" t="s">
        <v>1325</v>
      </c>
      <c r="CR1" s="570" t="s">
        <v>1326</v>
      </c>
      <c r="CS1" s="569" t="s">
        <v>1327</v>
      </c>
      <c r="CT1" s="570" t="s">
        <v>1328</v>
      </c>
      <c r="CU1" s="569" t="s">
        <v>1329</v>
      </c>
      <c r="CV1" s="570" t="s">
        <v>1330</v>
      </c>
    </row>
    <row r="2" spans="1:100">
      <c r="A2" s="467">
        <v>0</v>
      </c>
      <c r="B2" s="595">
        <v>0.25</v>
      </c>
      <c r="C2" s="595">
        <v>0.25</v>
      </c>
      <c r="D2" s="595">
        <v>0.9</v>
      </c>
      <c r="E2" s="595">
        <v>0.9</v>
      </c>
      <c r="F2" s="595">
        <f t="shared" ref="F2:F33" si="0">1/80</f>
        <v>1.2500000000000001E-2</v>
      </c>
      <c r="G2" s="595">
        <v>0</v>
      </c>
      <c r="H2" s="595">
        <v>0.9</v>
      </c>
      <c r="I2" s="595">
        <v>0.9</v>
      </c>
      <c r="J2" s="595">
        <v>0.9</v>
      </c>
      <c r="K2" s="595">
        <v>0.9</v>
      </c>
      <c r="L2" s="595">
        <v>0.9</v>
      </c>
      <c r="M2" s="595">
        <v>0.9</v>
      </c>
      <c r="N2" s="595">
        <v>0.43</v>
      </c>
      <c r="O2" s="595">
        <v>0.01</v>
      </c>
      <c r="P2" s="595">
        <v>0.9</v>
      </c>
      <c r="Q2" s="595">
        <v>0.9</v>
      </c>
      <c r="R2" s="595">
        <v>0.9</v>
      </c>
      <c r="S2" s="595">
        <v>0.01</v>
      </c>
      <c r="T2" s="595">
        <v>0</v>
      </c>
      <c r="U2" s="595">
        <v>0.9</v>
      </c>
      <c r="V2" s="595">
        <v>0</v>
      </c>
      <c r="W2" s="610">
        <v>0.12</v>
      </c>
      <c r="X2" s="696">
        <f>AE2+(SUM($AE$4:$AE$6)/2)</f>
        <v>0.44999999999999996</v>
      </c>
      <c r="Y2" s="950">
        <f>AE2+(SUM($AE$5:$AE$6)/3)</f>
        <v>0.35</v>
      </c>
      <c r="Z2" s="951">
        <f>AE2+(SUM($AE$6)/4)</f>
        <v>0.3125</v>
      </c>
      <c r="AA2" s="949">
        <f>AE2</f>
        <v>0.3</v>
      </c>
      <c r="AB2" s="950"/>
      <c r="AC2" s="696"/>
      <c r="AD2" s="696"/>
      <c r="AE2" s="693">
        <v>0.3</v>
      </c>
      <c r="AF2" s="694">
        <v>0.72</v>
      </c>
      <c r="AG2" s="695">
        <v>0.39</v>
      </c>
      <c r="AH2" s="696">
        <v>0.230763365</v>
      </c>
      <c r="AI2" s="695">
        <v>0.1</v>
      </c>
      <c r="AJ2" s="693">
        <v>0.230763365</v>
      </c>
      <c r="AK2" s="695">
        <v>0.1</v>
      </c>
      <c r="AL2" s="697">
        <v>0.9</v>
      </c>
      <c r="AM2" s="693">
        <v>0.25</v>
      </c>
      <c r="AN2" s="693">
        <v>0.25</v>
      </c>
      <c r="AO2" s="697">
        <v>0.05</v>
      </c>
      <c r="AP2" s="693">
        <v>0.15</v>
      </c>
      <c r="AQ2" s="695">
        <f>1/140</f>
        <v>7.1428571428571426E-3</v>
      </c>
      <c r="AR2" s="693">
        <v>1.7500000000000002E-2</v>
      </c>
      <c r="AS2" s="695">
        <f t="shared" ref="AS2:AS33" si="1">1/80</f>
        <v>1.2500000000000001E-2</v>
      </c>
      <c r="AT2" s="698">
        <v>0.27100000000000002</v>
      </c>
      <c r="AU2" s="693">
        <v>0.230763365</v>
      </c>
      <c r="AV2" s="695">
        <v>0.1</v>
      </c>
      <c r="AW2" s="699">
        <v>0</v>
      </c>
      <c r="AX2" s="700">
        <f t="shared" ref="AX2:AX12" si="2">1/11</f>
        <v>9.0909090909090912E-2</v>
      </c>
      <c r="AY2" s="699">
        <v>0</v>
      </c>
      <c r="AZ2" s="700">
        <f t="shared" ref="AZ2:AZ9" si="3">1/8</f>
        <v>0.125</v>
      </c>
      <c r="BA2" s="699">
        <v>0</v>
      </c>
      <c r="BB2" s="700">
        <f t="shared" ref="BB2:BB7" si="4">1/6</f>
        <v>0.16666666666666666</v>
      </c>
      <c r="BC2" s="701">
        <v>0</v>
      </c>
      <c r="BD2" s="702">
        <f>1/3</f>
        <v>0.33333333333333331</v>
      </c>
      <c r="BE2" s="699">
        <v>0</v>
      </c>
      <c r="BF2" s="700">
        <f t="shared" ref="BF2:BF17" si="5">1/16</f>
        <v>6.25E-2</v>
      </c>
      <c r="BG2" s="701">
        <v>0</v>
      </c>
      <c r="BH2" s="700">
        <f t="shared" ref="BH2:BH9" si="6">1/8</f>
        <v>0.125</v>
      </c>
      <c r="BI2" s="701">
        <v>0</v>
      </c>
      <c r="BJ2" s="700">
        <f t="shared" ref="BJ2:BJ8" si="7">1/7</f>
        <v>0.14285714285714285</v>
      </c>
      <c r="BK2" s="701">
        <v>0</v>
      </c>
      <c r="BL2" s="700">
        <v>0.2</v>
      </c>
      <c r="BM2" s="701">
        <v>0</v>
      </c>
      <c r="BN2" s="700">
        <f t="shared" ref="BN2:BN8" si="8">1/7</f>
        <v>0.14285714285714285</v>
      </c>
      <c r="BO2" s="701">
        <v>0</v>
      </c>
      <c r="BP2" s="700">
        <v>0.2</v>
      </c>
      <c r="BQ2" s="701">
        <v>0</v>
      </c>
      <c r="BR2" s="700">
        <f t="shared" ref="BR2:BR16" si="9">1/15</f>
        <v>6.6666666666666666E-2</v>
      </c>
      <c r="BS2" s="701">
        <v>0</v>
      </c>
      <c r="BT2" s="700">
        <v>0.1</v>
      </c>
      <c r="BU2" s="701">
        <v>0</v>
      </c>
      <c r="BV2" s="700">
        <f t="shared" ref="BV2:BV16" si="10">1/15</f>
        <v>6.6666666666666666E-2</v>
      </c>
      <c r="BW2" s="701">
        <v>0</v>
      </c>
      <c r="BX2" s="700">
        <v>0.1</v>
      </c>
      <c r="BY2" s="701">
        <v>0</v>
      </c>
      <c r="BZ2" s="700">
        <f t="shared" ref="BZ2:BZ21" si="11">1/20</f>
        <v>0.05</v>
      </c>
      <c r="CA2" s="701">
        <v>0</v>
      </c>
      <c r="CB2" s="700">
        <f t="shared" ref="CB2:CB16" si="12">1/15</f>
        <v>6.6666666666666666E-2</v>
      </c>
      <c r="CC2" s="699">
        <v>0</v>
      </c>
      <c r="CD2" s="702">
        <v>0.2</v>
      </c>
      <c r="CE2" s="699">
        <v>0</v>
      </c>
      <c r="CF2" s="702">
        <v>0.5</v>
      </c>
      <c r="CG2" s="699">
        <v>0</v>
      </c>
      <c r="CH2" s="702">
        <v>0.2</v>
      </c>
      <c r="CI2" s="699">
        <v>0</v>
      </c>
      <c r="CJ2" s="702">
        <v>0.2</v>
      </c>
      <c r="CK2" s="699">
        <v>0</v>
      </c>
      <c r="CL2" s="702">
        <v>0.1</v>
      </c>
      <c r="CM2" s="699">
        <v>0</v>
      </c>
      <c r="CN2" s="702">
        <f t="shared" ref="CN2:CN8" si="13">1/7</f>
        <v>0.14285714285714285</v>
      </c>
      <c r="CO2" s="699">
        <v>0</v>
      </c>
      <c r="CP2" s="702">
        <v>0.5</v>
      </c>
      <c r="CQ2" s="699">
        <v>0</v>
      </c>
      <c r="CR2" s="700">
        <v>0.25</v>
      </c>
      <c r="CS2" s="699">
        <v>0</v>
      </c>
      <c r="CT2" s="700">
        <f t="shared" ref="CT2:CT9" si="14">1/8</f>
        <v>0.125</v>
      </c>
      <c r="CU2" s="701">
        <v>0</v>
      </c>
      <c r="CV2" s="700">
        <v>0.1</v>
      </c>
    </row>
    <row r="3" spans="1:100">
      <c r="A3" s="467">
        <v>1</v>
      </c>
      <c r="B3" s="595">
        <v>0.25</v>
      </c>
      <c r="C3" s="595">
        <v>0.25</v>
      </c>
      <c r="D3" s="595">
        <v>0.1</v>
      </c>
      <c r="E3" s="595">
        <v>0.1</v>
      </c>
      <c r="F3" s="595">
        <f t="shared" si="0"/>
        <v>1.2500000000000001E-2</v>
      </c>
      <c r="G3" s="595">
        <v>0</v>
      </c>
      <c r="H3" s="595">
        <v>0.1</v>
      </c>
      <c r="I3" s="595">
        <v>0.1</v>
      </c>
      <c r="J3" s="595">
        <v>0.1</v>
      </c>
      <c r="K3" s="595">
        <v>0.1</v>
      </c>
      <c r="L3" s="595">
        <v>0.1</v>
      </c>
      <c r="M3" s="595">
        <v>0.1</v>
      </c>
      <c r="N3" s="595">
        <v>0.56999999999999995</v>
      </c>
      <c r="O3" s="595">
        <v>0.03</v>
      </c>
      <c r="P3" s="595">
        <v>0.1</v>
      </c>
      <c r="Q3" s="595">
        <v>0.1</v>
      </c>
      <c r="R3" s="595">
        <v>0.1</v>
      </c>
      <c r="S3" s="595">
        <v>0.03</v>
      </c>
      <c r="T3" s="595">
        <v>0</v>
      </c>
      <c r="U3" s="595">
        <v>0.1</v>
      </c>
      <c r="V3" s="595">
        <v>0</v>
      </c>
      <c r="W3" s="610">
        <v>0.11</v>
      </c>
      <c r="X3" s="948">
        <f>AE3+(SUM($AE$4:$AE$6)/2)</f>
        <v>0.55000000000000004</v>
      </c>
      <c r="Y3" s="704">
        <f t="shared" ref="Y3:Y4" si="15">AE3+(SUM($AE$5:$AE$6)/3)</f>
        <v>0.45</v>
      </c>
      <c r="Z3" s="952">
        <f t="shared" ref="Z3:Z5" si="16">AE3+(SUM($AE$6)/4)</f>
        <v>0.41250000000000003</v>
      </c>
      <c r="AA3" s="704">
        <f t="shared" ref="AA3:AA6" si="17">AE3</f>
        <v>0.4</v>
      </c>
      <c r="AB3" s="704"/>
      <c r="AC3" s="706"/>
      <c r="AD3" s="706"/>
      <c r="AE3" s="703">
        <v>0.4</v>
      </c>
      <c r="AF3" s="704">
        <v>0.12</v>
      </c>
      <c r="AG3" s="705">
        <v>0.16</v>
      </c>
      <c r="AH3" s="706">
        <v>0.20243269999999999</v>
      </c>
      <c r="AI3" s="705">
        <v>0.1</v>
      </c>
      <c r="AJ3" s="703">
        <v>0.20243269999999999</v>
      </c>
      <c r="AK3" s="705">
        <v>0.1</v>
      </c>
      <c r="AL3" s="707">
        <v>0.1</v>
      </c>
      <c r="AM3" s="703">
        <v>0.25</v>
      </c>
      <c r="AN3" s="703">
        <v>0.25</v>
      </c>
      <c r="AO3" s="707">
        <v>2.5000000000000001E-2</v>
      </c>
      <c r="AP3" s="708">
        <v>0.04</v>
      </c>
      <c r="AQ3" s="705">
        <f>1/140</f>
        <v>7.1428571428571426E-3</v>
      </c>
      <c r="AR3" s="703">
        <v>1.7500000000000002E-2</v>
      </c>
      <c r="AS3" s="705">
        <f t="shared" si="1"/>
        <v>1.2500000000000001E-2</v>
      </c>
      <c r="AT3" s="709">
        <v>0.14699999999999999</v>
      </c>
      <c r="AU3" s="703">
        <v>0.20243269999999999</v>
      </c>
      <c r="AV3" s="705">
        <v>0.1</v>
      </c>
      <c r="AW3" s="710">
        <v>0</v>
      </c>
      <c r="AX3" s="711">
        <f t="shared" si="2"/>
        <v>9.0909090909090912E-2</v>
      </c>
      <c r="AY3" s="710">
        <v>0</v>
      </c>
      <c r="AZ3" s="711">
        <f t="shared" si="3"/>
        <v>0.125</v>
      </c>
      <c r="BA3" s="710">
        <v>0</v>
      </c>
      <c r="BB3" s="711">
        <f t="shared" si="4"/>
        <v>0.16666666666666666</v>
      </c>
      <c r="BC3" s="712">
        <v>0</v>
      </c>
      <c r="BD3" s="713">
        <f>1/3</f>
        <v>0.33333333333333331</v>
      </c>
      <c r="BE3" s="710">
        <v>0</v>
      </c>
      <c r="BF3" s="711">
        <f t="shared" si="5"/>
        <v>6.25E-2</v>
      </c>
      <c r="BG3" s="712">
        <v>0</v>
      </c>
      <c r="BH3" s="711">
        <f t="shared" si="6"/>
        <v>0.125</v>
      </c>
      <c r="BI3" s="712">
        <v>0</v>
      </c>
      <c r="BJ3" s="711">
        <f t="shared" si="7"/>
        <v>0.14285714285714285</v>
      </c>
      <c r="BK3" s="712">
        <v>0</v>
      </c>
      <c r="BL3" s="711">
        <v>0.2</v>
      </c>
      <c r="BM3" s="712">
        <v>0</v>
      </c>
      <c r="BN3" s="711">
        <f t="shared" si="8"/>
        <v>0.14285714285714285</v>
      </c>
      <c r="BO3" s="712">
        <v>0</v>
      </c>
      <c r="BP3" s="711">
        <v>0.2</v>
      </c>
      <c r="BQ3" s="712">
        <v>0</v>
      </c>
      <c r="BR3" s="711">
        <f t="shared" si="9"/>
        <v>6.6666666666666666E-2</v>
      </c>
      <c r="BS3" s="712">
        <v>0</v>
      </c>
      <c r="BT3" s="711">
        <v>0.1</v>
      </c>
      <c r="BU3" s="712">
        <v>0</v>
      </c>
      <c r="BV3" s="711">
        <f t="shared" si="10"/>
        <v>6.6666666666666666E-2</v>
      </c>
      <c r="BW3" s="712">
        <v>0</v>
      </c>
      <c r="BX3" s="711">
        <v>0.1</v>
      </c>
      <c r="BY3" s="712">
        <v>0</v>
      </c>
      <c r="BZ3" s="711">
        <f t="shared" si="11"/>
        <v>0.05</v>
      </c>
      <c r="CA3" s="712">
        <v>0</v>
      </c>
      <c r="CB3" s="711">
        <f t="shared" si="12"/>
        <v>6.6666666666666666E-2</v>
      </c>
      <c r="CC3" s="710">
        <v>0</v>
      </c>
      <c r="CD3" s="713">
        <v>0.2</v>
      </c>
      <c r="CE3" s="710">
        <v>1</v>
      </c>
      <c r="CF3" s="713">
        <v>0.5</v>
      </c>
      <c r="CG3" s="710">
        <v>0</v>
      </c>
      <c r="CH3" s="713">
        <v>0.2</v>
      </c>
      <c r="CI3" s="710">
        <v>0</v>
      </c>
      <c r="CJ3" s="713">
        <v>0.2</v>
      </c>
      <c r="CK3" s="710">
        <v>0</v>
      </c>
      <c r="CL3" s="713">
        <v>0.1</v>
      </c>
      <c r="CM3" s="710">
        <v>0</v>
      </c>
      <c r="CN3" s="713">
        <f t="shared" si="13"/>
        <v>0.14285714285714285</v>
      </c>
      <c r="CO3" s="710">
        <v>1</v>
      </c>
      <c r="CP3" s="713">
        <v>0.5</v>
      </c>
      <c r="CQ3" s="710">
        <v>0</v>
      </c>
      <c r="CR3" s="711">
        <v>0.25</v>
      </c>
      <c r="CS3" s="710">
        <v>0</v>
      </c>
      <c r="CT3" s="711">
        <f t="shared" si="14"/>
        <v>0.125</v>
      </c>
      <c r="CU3" s="712">
        <v>0</v>
      </c>
      <c r="CV3" s="711">
        <v>0.1</v>
      </c>
    </row>
    <row r="4" spans="1:100">
      <c r="A4" s="467">
        <v>2</v>
      </c>
      <c r="B4" s="595">
        <v>0.25</v>
      </c>
      <c r="C4" s="595">
        <v>0.25</v>
      </c>
      <c r="D4" s="595">
        <v>0</v>
      </c>
      <c r="E4" s="595">
        <v>0</v>
      </c>
      <c r="F4" s="595">
        <f t="shared" si="0"/>
        <v>1.2500000000000001E-2</v>
      </c>
      <c r="G4" s="595">
        <v>0</v>
      </c>
      <c r="H4" s="595">
        <v>0</v>
      </c>
      <c r="I4" s="595">
        <v>0</v>
      </c>
      <c r="J4" s="595">
        <v>0</v>
      </c>
      <c r="K4" s="595">
        <v>0</v>
      </c>
      <c r="L4" s="595">
        <v>0</v>
      </c>
      <c r="M4" s="595">
        <v>0</v>
      </c>
      <c r="N4" s="595">
        <v>0</v>
      </c>
      <c r="O4" s="595">
        <v>0.08</v>
      </c>
      <c r="P4" s="595">
        <v>0</v>
      </c>
      <c r="Q4" s="595">
        <v>0</v>
      </c>
      <c r="R4" s="595">
        <v>0</v>
      </c>
      <c r="S4" s="595">
        <v>0.08</v>
      </c>
      <c r="T4" s="595">
        <v>0</v>
      </c>
      <c r="U4" s="595">
        <v>0</v>
      </c>
      <c r="V4" s="595">
        <v>0</v>
      </c>
      <c r="W4" s="610">
        <v>0.11</v>
      </c>
      <c r="X4" s="706"/>
      <c r="Y4" s="704">
        <f t="shared" si="15"/>
        <v>0.2</v>
      </c>
      <c r="Z4" s="952">
        <f t="shared" si="16"/>
        <v>0.16250000000000001</v>
      </c>
      <c r="AA4" s="704">
        <f t="shared" si="17"/>
        <v>0.15</v>
      </c>
      <c r="AB4" s="704"/>
      <c r="AC4" s="706"/>
      <c r="AD4" s="706"/>
      <c r="AE4" s="703">
        <v>0.15</v>
      </c>
      <c r="AF4" s="704">
        <v>0.08</v>
      </c>
      <c r="AG4" s="705">
        <v>0.15</v>
      </c>
      <c r="AH4" s="706">
        <v>9.7155494999999994E-2</v>
      </c>
      <c r="AI4" s="705">
        <v>0.1</v>
      </c>
      <c r="AJ4" s="703">
        <v>9.7155494999999994E-2</v>
      </c>
      <c r="AK4" s="705">
        <v>0.1</v>
      </c>
      <c r="AL4" s="707">
        <v>0</v>
      </c>
      <c r="AM4" s="703">
        <v>0.25</v>
      </c>
      <c r="AN4" s="703">
        <v>0.25</v>
      </c>
      <c r="AO4" s="707">
        <v>2.5000000000000001E-2</v>
      </c>
      <c r="AP4" s="708">
        <v>0.04</v>
      </c>
      <c r="AQ4" s="705">
        <f t="shared" ref="AQ4:AQ67" si="18">1/140</f>
        <v>7.1428571428571426E-3</v>
      </c>
      <c r="AR4" s="703">
        <v>5.5555559999999997E-3</v>
      </c>
      <c r="AS4" s="705">
        <f t="shared" si="1"/>
        <v>1.2500000000000001E-2</v>
      </c>
      <c r="AT4" s="709">
        <v>7.400000000000001E-2</v>
      </c>
      <c r="AU4" s="703">
        <v>9.7155494999999994E-2</v>
      </c>
      <c r="AV4" s="705">
        <v>0.1</v>
      </c>
      <c r="AW4" s="710">
        <v>0</v>
      </c>
      <c r="AX4" s="711">
        <f t="shared" si="2"/>
        <v>9.0909090909090912E-2</v>
      </c>
      <c r="AY4" s="710">
        <v>0</v>
      </c>
      <c r="AZ4" s="711">
        <f t="shared" si="3"/>
        <v>0.125</v>
      </c>
      <c r="BA4" s="710">
        <v>0</v>
      </c>
      <c r="BB4" s="711">
        <f t="shared" si="4"/>
        <v>0.16666666666666666</v>
      </c>
      <c r="BC4" s="712">
        <v>1</v>
      </c>
      <c r="BD4" s="713">
        <f>1/3</f>
        <v>0.33333333333333331</v>
      </c>
      <c r="BE4" s="710">
        <v>0</v>
      </c>
      <c r="BF4" s="711">
        <f t="shared" si="5"/>
        <v>6.25E-2</v>
      </c>
      <c r="BG4" s="712">
        <v>0</v>
      </c>
      <c r="BH4" s="711">
        <f t="shared" si="6"/>
        <v>0.125</v>
      </c>
      <c r="BI4" s="712">
        <v>0</v>
      </c>
      <c r="BJ4" s="711">
        <f t="shared" si="7"/>
        <v>0.14285714285714285</v>
      </c>
      <c r="BK4" s="712">
        <v>0</v>
      </c>
      <c r="BL4" s="711">
        <v>0.2</v>
      </c>
      <c r="BM4" s="712">
        <v>0</v>
      </c>
      <c r="BN4" s="711">
        <f t="shared" si="8"/>
        <v>0.14285714285714285</v>
      </c>
      <c r="BO4" s="712">
        <v>0</v>
      </c>
      <c r="BP4" s="711">
        <v>0.2</v>
      </c>
      <c r="BQ4" s="712">
        <v>0</v>
      </c>
      <c r="BR4" s="711">
        <f t="shared" si="9"/>
        <v>6.6666666666666666E-2</v>
      </c>
      <c r="BS4" s="712">
        <v>0</v>
      </c>
      <c r="BT4" s="711">
        <v>0.1</v>
      </c>
      <c r="BU4" s="712">
        <v>0</v>
      </c>
      <c r="BV4" s="711">
        <f t="shared" si="10"/>
        <v>6.6666666666666666E-2</v>
      </c>
      <c r="BW4" s="712">
        <v>0</v>
      </c>
      <c r="BX4" s="711">
        <v>0.1</v>
      </c>
      <c r="BY4" s="712">
        <v>0</v>
      </c>
      <c r="BZ4" s="711">
        <f t="shared" si="11"/>
        <v>0.05</v>
      </c>
      <c r="CA4" s="712">
        <v>0</v>
      </c>
      <c r="CB4" s="711">
        <f t="shared" si="12"/>
        <v>6.6666666666666666E-2</v>
      </c>
      <c r="CC4" s="710">
        <v>0</v>
      </c>
      <c r="CD4" s="713">
        <v>0.2</v>
      </c>
      <c r="CE4" s="710">
        <v>0</v>
      </c>
      <c r="CF4" s="713">
        <v>0</v>
      </c>
      <c r="CG4" s="710">
        <v>0</v>
      </c>
      <c r="CH4" s="713">
        <v>0.2</v>
      </c>
      <c r="CI4" s="710">
        <v>0</v>
      </c>
      <c r="CJ4" s="713">
        <v>0.2</v>
      </c>
      <c r="CK4" s="710">
        <v>0</v>
      </c>
      <c r="CL4" s="713">
        <v>0.1</v>
      </c>
      <c r="CM4" s="710">
        <v>0</v>
      </c>
      <c r="CN4" s="713">
        <f t="shared" si="13"/>
        <v>0.14285714285714285</v>
      </c>
      <c r="CO4" s="710">
        <v>0</v>
      </c>
      <c r="CP4" s="713">
        <v>0</v>
      </c>
      <c r="CQ4" s="710">
        <v>0</v>
      </c>
      <c r="CR4" s="711">
        <v>0.25</v>
      </c>
      <c r="CS4" s="710">
        <v>0</v>
      </c>
      <c r="CT4" s="711">
        <f t="shared" si="14"/>
        <v>0.125</v>
      </c>
      <c r="CU4" s="712">
        <v>0</v>
      </c>
      <c r="CV4" s="711">
        <v>0.1</v>
      </c>
    </row>
    <row r="5" spans="1:100">
      <c r="A5" s="467">
        <v>3</v>
      </c>
      <c r="B5" s="595">
        <v>0.25</v>
      </c>
      <c r="C5" s="595">
        <v>0.25</v>
      </c>
      <c r="D5" s="595">
        <v>0</v>
      </c>
      <c r="E5" s="595">
        <v>0</v>
      </c>
      <c r="F5" s="595">
        <f t="shared" si="0"/>
        <v>1.2500000000000001E-2</v>
      </c>
      <c r="G5" s="595">
        <v>0</v>
      </c>
      <c r="H5" s="595">
        <v>0</v>
      </c>
      <c r="I5" s="595">
        <v>0</v>
      </c>
      <c r="J5" s="595">
        <v>0</v>
      </c>
      <c r="K5" s="595">
        <v>0</v>
      </c>
      <c r="L5" s="595">
        <v>0</v>
      </c>
      <c r="M5" s="595">
        <v>0</v>
      </c>
      <c r="N5" s="595">
        <v>0</v>
      </c>
      <c r="O5" s="595">
        <v>0.16</v>
      </c>
      <c r="P5" s="595">
        <v>0</v>
      </c>
      <c r="Q5" s="595">
        <v>0</v>
      </c>
      <c r="R5" s="595">
        <v>0</v>
      </c>
      <c r="S5" s="595">
        <v>0.16</v>
      </c>
      <c r="T5" s="595">
        <v>0</v>
      </c>
      <c r="U5" s="595">
        <v>0</v>
      </c>
      <c r="V5" s="595">
        <v>0</v>
      </c>
      <c r="W5" s="610">
        <v>0.11</v>
      </c>
      <c r="X5" s="706"/>
      <c r="Y5" s="954"/>
      <c r="Z5" s="952">
        <f t="shared" si="16"/>
        <v>0.1125</v>
      </c>
      <c r="AA5" s="704">
        <f t="shared" si="17"/>
        <v>0.1</v>
      </c>
      <c r="AB5" s="704"/>
      <c r="AC5" s="706"/>
      <c r="AD5" s="706"/>
      <c r="AE5" s="703">
        <v>0.1</v>
      </c>
      <c r="AF5" s="704">
        <v>0.04</v>
      </c>
      <c r="AG5" s="705">
        <v>0.15</v>
      </c>
      <c r="AH5" s="706">
        <v>9.7155494999999994E-2</v>
      </c>
      <c r="AI5" s="705">
        <v>0.1</v>
      </c>
      <c r="AJ5" s="703">
        <v>9.7155494999999994E-2</v>
      </c>
      <c r="AK5" s="705">
        <v>0.1</v>
      </c>
      <c r="AL5" s="707">
        <v>0</v>
      </c>
      <c r="AM5" s="703">
        <v>0.25</v>
      </c>
      <c r="AN5" s="703">
        <v>0.25</v>
      </c>
      <c r="AO5" s="707">
        <v>2.5000000000000001E-2</v>
      </c>
      <c r="AP5" s="708">
        <v>0.04</v>
      </c>
      <c r="AQ5" s="705">
        <f t="shared" si="18"/>
        <v>7.1428571428571426E-3</v>
      </c>
      <c r="AR5" s="703">
        <v>5.5555559999999997E-3</v>
      </c>
      <c r="AS5" s="705">
        <f t="shared" si="1"/>
        <v>1.2500000000000001E-2</v>
      </c>
      <c r="AT5" s="709">
        <v>7.400000000000001E-2</v>
      </c>
      <c r="AU5" s="703">
        <v>9.7155494999999994E-2</v>
      </c>
      <c r="AV5" s="705">
        <v>0.1</v>
      </c>
      <c r="AW5" s="710">
        <v>0</v>
      </c>
      <c r="AX5" s="711">
        <f t="shared" si="2"/>
        <v>9.0909090909090912E-2</v>
      </c>
      <c r="AY5" s="710">
        <v>0</v>
      </c>
      <c r="AZ5" s="711">
        <f t="shared" si="3"/>
        <v>0.125</v>
      </c>
      <c r="BA5" s="710">
        <v>0</v>
      </c>
      <c r="BB5" s="711">
        <f t="shared" si="4"/>
        <v>0.16666666666666666</v>
      </c>
      <c r="BC5" s="712">
        <v>0</v>
      </c>
      <c r="BD5" s="713">
        <v>0</v>
      </c>
      <c r="BE5" s="710">
        <v>0</v>
      </c>
      <c r="BF5" s="711">
        <f t="shared" si="5"/>
        <v>6.25E-2</v>
      </c>
      <c r="BG5" s="712">
        <v>0</v>
      </c>
      <c r="BH5" s="711">
        <f t="shared" si="6"/>
        <v>0.125</v>
      </c>
      <c r="BI5" s="712">
        <v>0</v>
      </c>
      <c r="BJ5" s="711">
        <f t="shared" si="7"/>
        <v>0.14285714285714285</v>
      </c>
      <c r="BK5" s="712">
        <v>0</v>
      </c>
      <c r="BL5" s="711">
        <v>0.2</v>
      </c>
      <c r="BM5" s="712">
        <v>0</v>
      </c>
      <c r="BN5" s="711">
        <f t="shared" si="8"/>
        <v>0.14285714285714285</v>
      </c>
      <c r="BO5" s="712">
        <v>0</v>
      </c>
      <c r="BP5" s="711">
        <v>0.2</v>
      </c>
      <c r="BQ5" s="712">
        <v>0</v>
      </c>
      <c r="BR5" s="711">
        <f t="shared" si="9"/>
        <v>6.6666666666666666E-2</v>
      </c>
      <c r="BS5" s="712">
        <v>0</v>
      </c>
      <c r="BT5" s="711">
        <v>0.1</v>
      </c>
      <c r="BU5" s="712">
        <v>0</v>
      </c>
      <c r="BV5" s="711">
        <f t="shared" si="10"/>
        <v>6.6666666666666666E-2</v>
      </c>
      <c r="BW5" s="712">
        <v>0</v>
      </c>
      <c r="BX5" s="711">
        <v>0.1</v>
      </c>
      <c r="BY5" s="712">
        <v>0</v>
      </c>
      <c r="BZ5" s="711">
        <f t="shared" si="11"/>
        <v>0.05</v>
      </c>
      <c r="CA5" s="712">
        <v>0</v>
      </c>
      <c r="CB5" s="711">
        <f t="shared" si="12"/>
        <v>6.6666666666666666E-2</v>
      </c>
      <c r="CC5" s="710">
        <v>0</v>
      </c>
      <c r="CD5" s="713">
        <v>0.2</v>
      </c>
      <c r="CE5" s="710">
        <v>0</v>
      </c>
      <c r="CF5" s="713">
        <v>0</v>
      </c>
      <c r="CG5" s="710">
        <v>0</v>
      </c>
      <c r="CH5" s="713">
        <v>0.2</v>
      </c>
      <c r="CI5" s="710">
        <v>0</v>
      </c>
      <c r="CJ5" s="713">
        <v>0.2</v>
      </c>
      <c r="CK5" s="710">
        <v>0</v>
      </c>
      <c r="CL5" s="713">
        <v>0.1</v>
      </c>
      <c r="CM5" s="710">
        <v>0</v>
      </c>
      <c r="CN5" s="713">
        <f t="shared" si="13"/>
        <v>0.14285714285714285</v>
      </c>
      <c r="CO5" s="710">
        <v>0</v>
      </c>
      <c r="CP5" s="713">
        <v>0</v>
      </c>
      <c r="CQ5" s="710">
        <v>1</v>
      </c>
      <c r="CR5" s="711">
        <v>0.25</v>
      </c>
      <c r="CS5" s="710">
        <v>0</v>
      </c>
      <c r="CT5" s="711">
        <f t="shared" si="14"/>
        <v>0.125</v>
      </c>
      <c r="CU5" s="712">
        <v>0</v>
      </c>
      <c r="CV5" s="711">
        <v>0.1</v>
      </c>
    </row>
    <row r="6" spans="1:100">
      <c r="A6" s="467">
        <v>4</v>
      </c>
      <c r="B6" s="595">
        <v>0</v>
      </c>
      <c r="C6" s="595">
        <v>0</v>
      </c>
      <c r="D6" s="595">
        <v>0</v>
      </c>
      <c r="E6" s="595">
        <v>0</v>
      </c>
      <c r="F6" s="595">
        <f t="shared" si="0"/>
        <v>1.2500000000000001E-2</v>
      </c>
      <c r="G6" s="595">
        <v>0</v>
      </c>
      <c r="H6" s="595">
        <v>0</v>
      </c>
      <c r="I6" s="595">
        <v>0</v>
      </c>
      <c r="J6" s="595">
        <v>0</v>
      </c>
      <c r="K6" s="595">
        <v>0</v>
      </c>
      <c r="L6" s="595">
        <v>0</v>
      </c>
      <c r="M6" s="595">
        <v>0</v>
      </c>
      <c r="N6" s="595">
        <v>0</v>
      </c>
      <c r="O6" s="595">
        <v>0.23</v>
      </c>
      <c r="P6" s="595">
        <v>0</v>
      </c>
      <c r="Q6" s="595">
        <v>0</v>
      </c>
      <c r="R6" s="595">
        <v>0</v>
      </c>
      <c r="S6" s="595">
        <v>0.23</v>
      </c>
      <c r="T6" s="595">
        <v>0</v>
      </c>
      <c r="U6" s="595">
        <v>0</v>
      </c>
      <c r="V6" s="595">
        <v>0.05</v>
      </c>
      <c r="W6" s="610">
        <v>0.1</v>
      </c>
      <c r="X6" s="706"/>
      <c r="Y6" s="706"/>
      <c r="Z6" s="952"/>
      <c r="AA6" s="704">
        <f t="shared" si="17"/>
        <v>0.05</v>
      </c>
      <c r="AB6" s="704"/>
      <c r="AC6" s="706"/>
      <c r="AD6" s="706"/>
      <c r="AE6" s="703">
        <v>0.05</v>
      </c>
      <c r="AF6" s="704">
        <v>0.04</v>
      </c>
      <c r="AG6" s="705">
        <v>0.15</v>
      </c>
      <c r="AH6" s="706">
        <v>9.7155494999999994E-2</v>
      </c>
      <c r="AI6" s="705">
        <v>0.1</v>
      </c>
      <c r="AJ6" s="703">
        <v>9.7155494999999994E-2</v>
      </c>
      <c r="AK6" s="705">
        <v>0.1</v>
      </c>
      <c r="AL6" s="707">
        <v>0</v>
      </c>
      <c r="AM6" s="703">
        <v>0</v>
      </c>
      <c r="AN6" s="703">
        <v>0</v>
      </c>
      <c r="AO6" s="707">
        <v>2.5000000000000001E-2</v>
      </c>
      <c r="AP6" s="708">
        <v>0.04</v>
      </c>
      <c r="AQ6" s="705">
        <f t="shared" si="18"/>
        <v>7.1428571428571426E-3</v>
      </c>
      <c r="AR6" s="703">
        <v>5.5555559999999997E-3</v>
      </c>
      <c r="AS6" s="705">
        <f t="shared" si="1"/>
        <v>1.2500000000000001E-2</v>
      </c>
      <c r="AT6" s="709">
        <v>3.7999999999999999E-2</v>
      </c>
      <c r="AU6" s="703">
        <v>9.7155494999999994E-2</v>
      </c>
      <c r="AV6" s="705">
        <v>0.1</v>
      </c>
      <c r="AW6" s="710">
        <v>0</v>
      </c>
      <c r="AX6" s="711">
        <f t="shared" si="2"/>
        <v>9.0909090909090912E-2</v>
      </c>
      <c r="AY6" s="710">
        <v>0</v>
      </c>
      <c r="AZ6" s="711">
        <f t="shared" si="3"/>
        <v>0.125</v>
      </c>
      <c r="BA6" s="710">
        <v>0</v>
      </c>
      <c r="BB6" s="711">
        <f t="shared" si="4"/>
        <v>0.16666666666666666</v>
      </c>
      <c r="BC6" s="712">
        <v>0</v>
      </c>
      <c r="BD6" s="713">
        <v>0</v>
      </c>
      <c r="BE6" s="710">
        <v>0</v>
      </c>
      <c r="BF6" s="711">
        <f t="shared" si="5"/>
        <v>6.25E-2</v>
      </c>
      <c r="BG6" s="712">
        <v>0</v>
      </c>
      <c r="BH6" s="711">
        <f t="shared" si="6"/>
        <v>0.125</v>
      </c>
      <c r="BI6" s="712">
        <v>0</v>
      </c>
      <c r="BJ6" s="711">
        <f t="shared" si="7"/>
        <v>0.14285714285714285</v>
      </c>
      <c r="BK6" s="712">
        <v>1</v>
      </c>
      <c r="BL6" s="711">
        <v>0.2</v>
      </c>
      <c r="BM6" s="712">
        <v>0</v>
      </c>
      <c r="BN6" s="711">
        <f t="shared" si="8"/>
        <v>0.14285714285714285</v>
      </c>
      <c r="BO6" s="712">
        <v>1</v>
      </c>
      <c r="BP6" s="711">
        <v>0.2</v>
      </c>
      <c r="BQ6" s="712">
        <v>0</v>
      </c>
      <c r="BR6" s="711">
        <f t="shared" si="9"/>
        <v>6.6666666666666666E-2</v>
      </c>
      <c r="BS6" s="712">
        <v>0</v>
      </c>
      <c r="BT6" s="711">
        <v>0.1</v>
      </c>
      <c r="BU6" s="712">
        <v>0</v>
      </c>
      <c r="BV6" s="711">
        <f t="shared" si="10"/>
        <v>6.6666666666666666E-2</v>
      </c>
      <c r="BW6" s="712">
        <v>0</v>
      </c>
      <c r="BX6" s="711">
        <v>0.1</v>
      </c>
      <c r="BY6" s="712">
        <v>0</v>
      </c>
      <c r="BZ6" s="711">
        <f t="shared" si="11"/>
        <v>0.05</v>
      </c>
      <c r="CA6" s="712">
        <v>0</v>
      </c>
      <c r="CB6" s="711">
        <f t="shared" si="12"/>
        <v>6.6666666666666666E-2</v>
      </c>
      <c r="CC6" s="710">
        <v>1</v>
      </c>
      <c r="CD6" s="713">
        <v>0.2</v>
      </c>
      <c r="CE6" s="710">
        <v>0</v>
      </c>
      <c r="CF6" s="713">
        <v>0</v>
      </c>
      <c r="CG6" s="710">
        <v>1</v>
      </c>
      <c r="CH6" s="713">
        <v>0.2</v>
      </c>
      <c r="CI6" s="710">
        <v>1</v>
      </c>
      <c r="CJ6" s="713">
        <v>0.2</v>
      </c>
      <c r="CK6" s="710">
        <v>0</v>
      </c>
      <c r="CL6" s="713">
        <v>0.1</v>
      </c>
      <c r="CM6" s="710">
        <v>0</v>
      </c>
      <c r="CN6" s="713">
        <f t="shared" si="13"/>
        <v>0.14285714285714285</v>
      </c>
      <c r="CO6" s="710">
        <v>0</v>
      </c>
      <c r="CP6" s="713">
        <v>0</v>
      </c>
      <c r="CQ6" s="710">
        <v>0</v>
      </c>
      <c r="CR6" s="711">
        <v>0</v>
      </c>
      <c r="CS6" s="710">
        <v>0</v>
      </c>
      <c r="CT6" s="711">
        <f t="shared" si="14"/>
        <v>0.125</v>
      </c>
      <c r="CU6" s="712">
        <v>0</v>
      </c>
      <c r="CV6" s="711">
        <v>0.1</v>
      </c>
    </row>
    <row r="7" spans="1:100">
      <c r="A7" s="467">
        <v>5</v>
      </c>
      <c r="B7" s="595">
        <v>0</v>
      </c>
      <c r="C7" s="595">
        <v>0</v>
      </c>
      <c r="D7" s="595">
        <v>0</v>
      </c>
      <c r="E7" s="595">
        <v>0</v>
      </c>
      <c r="F7" s="595">
        <f t="shared" si="0"/>
        <v>1.2500000000000001E-2</v>
      </c>
      <c r="G7" s="595">
        <v>0</v>
      </c>
      <c r="H7" s="595">
        <v>0</v>
      </c>
      <c r="I7" s="595">
        <v>0</v>
      </c>
      <c r="J7" s="595">
        <v>0</v>
      </c>
      <c r="K7" s="595">
        <v>0</v>
      </c>
      <c r="L7" s="595">
        <v>0</v>
      </c>
      <c r="M7" s="595">
        <v>0</v>
      </c>
      <c r="N7" s="595">
        <v>0</v>
      </c>
      <c r="O7" s="595">
        <v>0.23</v>
      </c>
      <c r="P7" s="595">
        <v>0</v>
      </c>
      <c r="Q7" s="595">
        <v>0</v>
      </c>
      <c r="R7" s="595">
        <v>0</v>
      </c>
      <c r="S7" s="595">
        <v>0.23</v>
      </c>
      <c r="T7" s="595">
        <v>0</v>
      </c>
      <c r="U7" s="595">
        <v>0</v>
      </c>
      <c r="V7" s="595">
        <v>0.05</v>
      </c>
      <c r="W7" s="610">
        <v>0.1</v>
      </c>
      <c r="X7" s="706"/>
      <c r="Y7" s="706"/>
      <c r="Z7" s="953"/>
      <c r="AA7" s="948"/>
      <c r="AB7" s="955"/>
      <c r="AC7" s="706"/>
      <c r="AD7" s="706"/>
      <c r="AE7" s="703">
        <v>0</v>
      </c>
      <c r="AF7" s="704">
        <v>0</v>
      </c>
      <c r="AG7" s="705">
        <v>0</v>
      </c>
      <c r="AH7" s="706">
        <v>5.5540304000000013E-2</v>
      </c>
      <c r="AI7" s="705">
        <v>0.1</v>
      </c>
      <c r="AJ7" s="703">
        <v>5.5540304000000013E-2</v>
      </c>
      <c r="AK7" s="705">
        <v>0.1</v>
      </c>
      <c r="AL7" s="707">
        <v>0</v>
      </c>
      <c r="AM7" s="703">
        <v>0</v>
      </c>
      <c r="AN7" s="703">
        <v>0</v>
      </c>
      <c r="AO7" s="707">
        <v>0.08</v>
      </c>
      <c r="AP7" s="708">
        <v>0.04</v>
      </c>
      <c r="AQ7" s="705">
        <f t="shared" si="18"/>
        <v>7.1428571428571426E-3</v>
      </c>
      <c r="AR7" s="703">
        <v>0.03</v>
      </c>
      <c r="AS7" s="705">
        <f t="shared" si="1"/>
        <v>1.2500000000000001E-2</v>
      </c>
      <c r="AT7" s="709">
        <v>2.9000000000000001E-2</v>
      </c>
      <c r="AU7" s="703">
        <v>5.5540304000000013E-2</v>
      </c>
      <c r="AV7" s="705">
        <v>0.1</v>
      </c>
      <c r="AW7" s="710">
        <v>0</v>
      </c>
      <c r="AX7" s="711">
        <f t="shared" si="2"/>
        <v>9.0909090909090912E-2</v>
      </c>
      <c r="AY7" s="710">
        <v>0</v>
      </c>
      <c r="AZ7" s="711">
        <f t="shared" si="3"/>
        <v>0.125</v>
      </c>
      <c r="BA7" s="710">
        <v>1</v>
      </c>
      <c r="BB7" s="711">
        <f t="shared" si="4"/>
        <v>0.16666666666666666</v>
      </c>
      <c r="BC7" s="712">
        <v>0</v>
      </c>
      <c r="BD7" s="713">
        <v>0</v>
      </c>
      <c r="BE7" s="710">
        <v>0</v>
      </c>
      <c r="BF7" s="711">
        <f t="shared" si="5"/>
        <v>6.25E-2</v>
      </c>
      <c r="BG7" s="712">
        <v>0</v>
      </c>
      <c r="BH7" s="711">
        <f t="shared" si="6"/>
        <v>0.125</v>
      </c>
      <c r="BI7" s="712">
        <v>0</v>
      </c>
      <c r="BJ7" s="711">
        <f t="shared" si="7"/>
        <v>0.14285714285714285</v>
      </c>
      <c r="BK7" s="712">
        <v>0</v>
      </c>
      <c r="BL7" s="711">
        <v>0</v>
      </c>
      <c r="BM7" s="712">
        <v>0</v>
      </c>
      <c r="BN7" s="711">
        <f t="shared" si="8"/>
        <v>0.14285714285714285</v>
      </c>
      <c r="BO7" s="712">
        <v>0</v>
      </c>
      <c r="BP7" s="711">
        <v>0</v>
      </c>
      <c r="BQ7" s="712">
        <v>0</v>
      </c>
      <c r="BR7" s="711">
        <f t="shared" si="9"/>
        <v>6.6666666666666666E-2</v>
      </c>
      <c r="BS7" s="712">
        <v>0</v>
      </c>
      <c r="BT7" s="711">
        <v>0.1</v>
      </c>
      <c r="BU7" s="712">
        <v>0</v>
      </c>
      <c r="BV7" s="711">
        <f t="shared" si="10"/>
        <v>6.6666666666666666E-2</v>
      </c>
      <c r="BW7" s="712">
        <v>0</v>
      </c>
      <c r="BX7" s="711">
        <v>0.1</v>
      </c>
      <c r="BY7" s="712">
        <v>0</v>
      </c>
      <c r="BZ7" s="711">
        <f t="shared" si="11"/>
        <v>0.05</v>
      </c>
      <c r="CA7" s="712">
        <v>0</v>
      </c>
      <c r="CB7" s="711">
        <f t="shared" si="12"/>
        <v>6.6666666666666666E-2</v>
      </c>
      <c r="CC7" s="710">
        <v>0</v>
      </c>
      <c r="CD7" s="713">
        <v>0</v>
      </c>
      <c r="CE7" s="710">
        <v>0</v>
      </c>
      <c r="CF7" s="713">
        <v>0</v>
      </c>
      <c r="CG7" s="710">
        <v>0</v>
      </c>
      <c r="CH7" s="713">
        <v>0</v>
      </c>
      <c r="CI7" s="710">
        <v>0</v>
      </c>
      <c r="CJ7" s="713">
        <v>0</v>
      </c>
      <c r="CK7" s="710">
        <v>0</v>
      </c>
      <c r="CL7" s="713">
        <v>0.1</v>
      </c>
      <c r="CM7" s="710">
        <v>0</v>
      </c>
      <c r="CN7" s="713">
        <f t="shared" si="13"/>
        <v>0.14285714285714285</v>
      </c>
      <c r="CO7" s="710">
        <v>0</v>
      </c>
      <c r="CP7" s="713">
        <v>0</v>
      </c>
      <c r="CQ7" s="710">
        <v>0</v>
      </c>
      <c r="CR7" s="711">
        <v>0</v>
      </c>
      <c r="CS7" s="710">
        <v>0</v>
      </c>
      <c r="CT7" s="711">
        <f t="shared" si="14"/>
        <v>0.125</v>
      </c>
      <c r="CU7" s="712">
        <v>0</v>
      </c>
      <c r="CV7" s="711">
        <v>0.1</v>
      </c>
    </row>
    <row r="8" spans="1:100">
      <c r="A8" s="467">
        <v>6</v>
      </c>
      <c r="B8" s="595">
        <v>0</v>
      </c>
      <c r="C8" s="595">
        <v>0</v>
      </c>
      <c r="D8" s="595">
        <v>0</v>
      </c>
      <c r="E8" s="595">
        <v>0</v>
      </c>
      <c r="F8" s="595">
        <f t="shared" si="0"/>
        <v>1.2500000000000001E-2</v>
      </c>
      <c r="G8" s="595">
        <v>0</v>
      </c>
      <c r="H8" s="595">
        <v>0</v>
      </c>
      <c r="I8" s="595">
        <v>0</v>
      </c>
      <c r="J8" s="595">
        <v>0</v>
      </c>
      <c r="K8" s="595">
        <v>0</v>
      </c>
      <c r="L8" s="595">
        <v>0</v>
      </c>
      <c r="M8" s="595">
        <v>0</v>
      </c>
      <c r="N8" s="595">
        <v>0</v>
      </c>
      <c r="O8" s="595">
        <v>0.16</v>
      </c>
      <c r="P8" s="595">
        <v>0</v>
      </c>
      <c r="Q8" s="595">
        <v>0</v>
      </c>
      <c r="R8" s="595">
        <v>0</v>
      </c>
      <c r="S8" s="595">
        <v>0.16</v>
      </c>
      <c r="T8" s="595">
        <v>0</v>
      </c>
      <c r="U8" s="595">
        <v>0</v>
      </c>
      <c r="V8" s="595">
        <v>0.05</v>
      </c>
      <c r="W8" s="610">
        <f t="shared" ref="W8" si="19">1/15</f>
        <v>6.6666666666666666E-2</v>
      </c>
      <c r="X8" s="706"/>
      <c r="Y8" s="706"/>
      <c r="Z8" s="706"/>
      <c r="AA8" s="706"/>
      <c r="AB8" s="704"/>
      <c r="AC8" s="706"/>
      <c r="AD8" s="706"/>
      <c r="AE8" s="703">
        <v>0</v>
      </c>
      <c r="AF8" s="704">
        <v>0</v>
      </c>
      <c r="AG8" s="705">
        <v>0</v>
      </c>
      <c r="AH8" s="706">
        <v>5.5540304000000013E-2</v>
      </c>
      <c r="AI8" s="705">
        <v>0.1</v>
      </c>
      <c r="AJ8" s="703">
        <v>5.5540304000000013E-2</v>
      </c>
      <c r="AK8" s="705">
        <v>0.1</v>
      </c>
      <c r="AL8" s="707">
        <v>0</v>
      </c>
      <c r="AM8" s="703">
        <v>0</v>
      </c>
      <c r="AN8" s="703">
        <v>0</v>
      </c>
      <c r="AO8" s="707">
        <v>0.08</v>
      </c>
      <c r="AP8" s="708">
        <v>0</v>
      </c>
      <c r="AQ8" s="705">
        <f t="shared" si="18"/>
        <v>7.1428571428571426E-3</v>
      </c>
      <c r="AR8" s="703">
        <v>0.03</v>
      </c>
      <c r="AS8" s="705">
        <f t="shared" si="1"/>
        <v>1.2500000000000001E-2</v>
      </c>
      <c r="AT8" s="709">
        <v>2.4E-2</v>
      </c>
      <c r="AU8" s="703">
        <v>5.5540304000000013E-2</v>
      </c>
      <c r="AV8" s="705">
        <v>0.1</v>
      </c>
      <c r="AW8" s="710">
        <v>0</v>
      </c>
      <c r="AX8" s="711">
        <f t="shared" si="2"/>
        <v>9.0909090909090912E-2</v>
      </c>
      <c r="AY8" s="710">
        <v>0</v>
      </c>
      <c r="AZ8" s="711">
        <f t="shared" si="3"/>
        <v>0.125</v>
      </c>
      <c r="BA8" s="710">
        <v>0</v>
      </c>
      <c r="BB8" s="711">
        <v>0</v>
      </c>
      <c r="BC8" s="712">
        <v>0</v>
      </c>
      <c r="BD8" s="713">
        <v>0</v>
      </c>
      <c r="BE8" s="710">
        <v>0</v>
      </c>
      <c r="BF8" s="711">
        <f t="shared" si="5"/>
        <v>6.25E-2</v>
      </c>
      <c r="BG8" s="712">
        <v>0</v>
      </c>
      <c r="BH8" s="711">
        <f t="shared" si="6"/>
        <v>0.125</v>
      </c>
      <c r="BI8" s="712">
        <v>1</v>
      </c>
      <c r="BJ8" s="711">
        <f t="shared" si="7"/>
        <v>0.14285714285714285</v>
      </c>
      <c r="BK8" s="712">
        <v>0</v>
      </c>
      <c r="BL8" s="711">
        <v>0</v>
      </c>
      <c r="BM8" s="712">
        <v>1</v>
      </c>
      <c r="BN8" s="711">
        <f t="shared" si="8"/>
        <v>0.14285714285714285</v>
      </c>
      <c r="BO8" s="712">
        <v>0</v>
      </c>
      <c r="BP8" s="711">
        <v>0</v>
      </c>
      <c r="BQ8" s="712">
        <v>0</v>
      </c>
      <c r="BR8" s="711">
        <f t="shared" si="9"/>
        <v>6.6666666666666666E-2</v>
      </c>
      <c r="BS8" s="712">
        <v>0</v>
      </c>
      <c r="BT8" s="711">
        <v>0.1</v>
      </c>
      <c r="BU8" s="712">
        <v>0</v>
      </c>
      <c r="BV8" s="711">
        <f t="shared" si="10"/>
        <v>6.6666666666666666E-2</v>
      </c>
      <c r="BW8" s="712">
        <v>0</v>
      </c>
      <c r="BX8" s="711">
        <v>0.1</v>
      </c>
      <c r="BY8" s="712">
        <v>0</v>
      </c>
      <c r="BZ8" s="711">
        <f t="shared" si="11"/>
        <v>0.05</v>
      </c>
      <c r="CA8" s="712">
        <v>0</v>
      </c>
      <c r="CB8" s="711">
        <f t="shared" si="12"/>
        <v>6.6666666666666666E-2</v>
      </c>
      <c r="CC8" s="710">
        <v>0</v>
      </c>
      <c r="CD8" s="713">
        <v>0</v>
      </c>
      <c r="CE8" s="710">
        <v>0</v>
      </c>
      <c r="CF8" s="713">
        <v>0</v>
      </c>
      <c r="CG8" s="710">
        <v>0</v>
      </c>
      <c r="CH8" s="713">
        <v>0</v>
      </c>
      <c r="CI8" s="710">
        <v>0</v>
      </c>
      <c r="CJ8" s="713">
        <v>0</v>
      </c>
      <c r="CK8" s="710">
        <v>0</v>
      </c>
      <c r="CL8" s="713">
        <v>0.1</v>
      </c>
      <c r="CM8" s="710">
        <v>1</v>
      </c>
      <c r="CN8" s="713">
        <f t="shared" si="13"/>
        <v>0.14285714285714285</v>
      </c>
      <c r="CO8" s="710">
        <v>0</v>
      </c>
      <c r="CP8" s="713">
        <v>0</v>
      </c>
      <c r="CQ8" s="710">
        <v>0</v>
      </c>
      <c r="CR8" s="711">
        <v>0</v>
      </c>
      <c r="CS8" s="710">
        <v>0</v>
      </c>
      <c r="CT8" s="711">
        <f t="shared" si="14"/>
        <v>0.125</v>
      </c>
      <c r="CU8" s="712">
        <v>0</v>
      </c>
      <c r="CV8" s="711">
        <v>0.1</v>
      </c>
    </row>
    <row r="9" spans="1:100">
      <c r="A9" s="467">
        <v>7</v>
      </c>
      <c r="B9" s="595">
        <v>0</v>
      </c>
      <c r="C9" s="595">
        <v>0</v>
      </c>
      <c r="D9" s="595">
        <v>0</v>
      </c>
      <c r="E9" s="595">
        <v>0</v>
      </c>
      <c r="F9" s="595">
        <f t="shared" si="0"/>
        <v>1.2500000000000001E-2</v>
      </c>
      <c r="G9" s="595">
        <v>0</v>
      </c>
      <c r="H9" s="595">
        <v>0</v>
      </c>
      <c r="I9" s="595">
        <v>0</v>
      </c>
      <c r="J9" s="595">
        <v>0</v>
      </c>
      <c r="K9" s="595">
        <v>0</v>
      </c>
      <c r="L9" s="595">
        <v>0</v>
      </c>
      <c r="M9" s="595">
        <v>0</v>
      </c>
      <c r="N9" s="595">
        <v>0</v>
      </c>
      <c r="O9" s="595">
        <v>0.08</v>
      </c>
      <c r="P9" s="595">
        <v>0</v>
      </c>
      <c r="Q9" s="595">
        <v>0</v>
      </c>
      <c r="R9" s="595">
        <v>0</v>
      </c>
      <c r="S9" s="595">
        <v>0.08</v>
      </c>
      <c r="T9" s="595">
        <v>0</v>
      </c>
      <c r="U9" s="595">
        <v>0</v>
      </c>
      <c r="V9" s="595">
        <v>0.1</v>
      </c>
      <c r="W9" s="610">
        <v>7.0000000000000007E-2</v>
      </c>
      <c r="X9" s="706"/>
      <c r="Y9" s="706"/>
      <c r="Z9" s="706"/>
      <c r="AA9" s="706"/>
      <c r="AB9" s="706"/>
      <c r="AC9" s="706"/>
      <c r="AD9" s="706"/>
      <c r="AE9" s="703">
        <v>0</v>
      </c>
      <c r="AF9" s="704">
        <v>0</v>
      </c>
      <c r="AG9" s="705">
        <v>0</v>
      </c>
      <c r="AH9" s="706">
        <v>5.5540304000000013E-2</v>
      </c>
      <c r="AI9" s="705">
        <v>0.1</v>
      </c>
      <c r="AJ9" s="703">
        <v>5.5540304000000013E-2</v>
      </c>
      <c r="AK9" s="705">
        <v>0.1</v>
      </c>
      <c r="AL9" s="707">
        <v>0</v>
      </c>
      <c r="AM9" s="703">
        <v>0</v>
      </c>
      <c r="AN9" s="703">
        <v>0</v>
      </c>
      <c r="AO9" s="707">
        <v>0.08</v>
      </c>
      <c r="AP9" s="708">
        <v>0</v>
      </c>
      <c r="AQ9" s="705">
        <f t="shared" si="18"/>
        <v>7.1428571428571426E-3</v>
      </c>
      <c r="AR9" s="703">
        <v>0.03</v>
      </c>
      <c r="AS9" s="705">
        <f t="shared" si="1"/>
        <v>1.2500000000000001E-2</v>
      </c>
      <c r="AT9" s="709">
        <v>2.4E-2</v>
      </c>
      <c r="AU9" s="703">
        <v>5.5540304000000013E-2</v>
      </c>
      <c r="AV9" s="705">
        <v>0.1</v>
      </c>
      <c r="AW9" s="710">
        <v>0</v>
      </c>
      <c r="AX9" s="711">
        <f t="shared" si="2"/>
        <v>9.0909090909090912E-2</v>
      </c>
      <c r="AY9" s="710">
        <v>1</v>
      </c>
      <c r="AZ9" s="711">
        <f t="shared" si="3"/>
        <v>0.125</v>
      </c>
      <c r="BA9" s="710">
        <v>0</v>
      </c>
      <c r="BB9" s="711">
        <v>0</v>
      </c>
      <c r="BC9" s="712">
        <v>0</v>
      </c>
      <c r="BD9" s="713">
        <v>0</v>
      </c>
      <c r="BE9" s="710">
        <v>0</v>
      </c>
      <c r="BF9" s="711">
        <f t="shared" si="5"/>
        <v>6.25E-2</v>
      </c>
      <c r="BG9" s="712">
        <v>1</v>
      </c>
      <c r="BH9" s="711">
        <f t="shared" si="6"/>
        <v>0.125</v>
      </c>
      <c r="BI9" s="712">
        <v>0</v>
      </c>
      <c r="BJ9" s="711">
        <v>0</v>
      </c>
      <c r="BK9" s="712">
        <v>0</v>
      </c>
      <c r="BL9" s="711">
        <v>0</v>
      </c>
      <c r="BM9" s="712">
        <v>0</v>
      </c>
      <c r="BN9" s="711">
        <v>0</v>
      </c>
      <c r="BO9" s="712">
        <v>0</v>
      </c>
      <c r="BP9" s="711">
        <v>0</v>
      </c>
      <c r="BQ9" s="712">
        <v>0</v>
      </c>
      <c r="BR9" s="711">
        <f t="shared" si="9"/>
        <v>6.6666666666666666E-2</v>
      </c>
      <c r="BS9" s="712">
        <v>0</v>
      </c>
      <c r="BT9" s="711">
        <v>0.1</v>
      </c>
      <c r="BU9" s="712">
        <v>0</v>
      </c>
      <c r="BV9" s="711">
        <f t="shared" si="10"/>
        <v>6.6666666666666666E-2</v>
      </c>
      <c r="BW9" s="712">
        <v>0</v>
      </c>
      <c r="BX9" s="711">
        <v>0.1</v>
      </c>
      <c r="BY9" s="712">
        <v>0</v>
      </c>
      <c r="BZ9" s="711">
        <f t="shared" si="11"/>
        <v>0.05</v>
      </c>
      <c r="CA9" s="712">
        <v>0</v>
      </c>
      <c r="CB9" s="711">
        <f t="shared" si="12"/>
        <v>6.6666666666666666E-2</v>
      </c>
      <c r="CC9" s="710">
        <v>0</v>
      </c>
      <c r="CD9" s="713">
        <v>0</v>
      </c>
      <c r="CE9" s="710">
        <v>0</v>
      </c>
      <c r="CF9" s="713">
        <v>0</v>
      </c>
      <c r="CG9" s="710">
        <v>0</v>
      </c>
      <c r="CH9" s="713">
        <v>0</v>
      </c>
      <c r="CI9" s="710">
        <v>0</v>
      </c>
      <c r="CJ9" s="713">
        <v>0</v>
      </c>
      <c r="CK9" s="710">
        <v>0</v>
      </c>
      <c r="CL9" s="713">
        <v>0.1</v>
      </c>
      <c r="CM9" s="710">
        <v>0</v>
      </c>
      <c r="CN9" s="713">
        <v>0</v>
      </c>
      <c r="CO9" s="710">
        <v>0</v>
      </c>
      <c r="CP9" s="713">
        <v>0</v>
      </c>
      <c r="CQ9" s="710">
        <v>0</v>
      </c>
      <c r="CR9" s="711">
        <v>0</v>
      </c>
      <c r="CS9" s="710">
        <v>1</v>
      </c>
      <c r="CT9" s="711">
        <f t="shared" si="14"/>
        <v>0.125</v>
      </c>
      <c r="CU9" s="712">
        <v>0</v>
      </c>
      <c r="CV9" s="711">
        <v>0.1</v>
      </c>
    </row>
    <row r="10" spans="1:100">
      <c r="A10" s="467">
        <v>8</v>
      </c>
      <c r="B10" s="595">
        <v>0</v>
      </c>
      <c r="C10" s="595">
        <v>0</v>
      </c>
      <c r="D10" s="595">
        <v>0</v>
      </c>
      <c r="E10" s="595">
        <v>0</v>
      </c>
      <c r="F10" s="595">
        <f t="shared" si="0"/>
        <v>1.2500000000000001E-2</v>
      </c>
      <c r="G10" s="595">
        <v>0</v>
      </c>
      <c r="H10" s="595">
        <v>0</v>
      </c>
      <c r="I10" s="595">
        <v>0</v>
      </c>
      <c r="J10" s="595">
        <v>0</v>
      </c>
      <c r="K10" s="595">
        <v>0</v>
      </c>
      <c r="L10" s="595">
        <v>0</v>
      </c>
      <c r="M10" s="595">
        <v>0</v>
      </c>
      <c r="N10" s="595">
        <v>0</v>
      </c>
      <c r="O10" s="595">
        <v>0.02</v>
      </c>
      <c r="P10" s="595">
        <v>0</v>
      </c>
      <c r="Q10" s="595">
        <v>0</v>
      </c>
      <c r="R10" s="595">
        <v>0</v>
      </c>
      <c r="S10" s="595">
        <v>0.02</v>
      </c>
      <c r="T10" s="595">
        <v>0</v>
      </c>
      <c r="U10" s="595">
        <v>0</v>
      </c>
      <c r="V10" s="595">
        <v>0.15</v>
      </c>
      <c r="W10" s="610">
        <v>0.06</v>
      </c>
      <c r="X10" s="706"/>
      <c r="Y10" s="706"/>
      <c r="Z10" s="706"/>
      <c r="AA10" s="706"/>
      <c r="AB10" s="706"/>
      <c r="AC10" s="706"/>
      <c r="AD10" s="706"/>
      <c r="AE10" s="703">
        <v>0</v>
      </c>
      <c r="AF10" s="704">
        <v>0</v>
      </c>
      <c r="AG10" s="705">
        <v>0</v>
      </c>
      <c r="AH10" s="706">
        <v>5.5540304000000013E-2</v>
      </c>
      <c r="AI10" s="705">
        <v>0.1</v>
      </c>
      <c r="AJ10" s="703">
        <v>5.5540304000000013E-2</v>
      </c>
      <c r="AK10" s="705">
        <v>0.1</v>
      </c>
      <c r="AL10" s="707">
        <v>0</v>
      </c>
      <c r="AM10" s="703">
        <v>0</v>
      </c>
      <c r="AN10" s="703">
        <v>0</v>
      </c>
      <c r="AO10" s="707">
        <v>0.08</v>
      </c>
      <c r="AP10" s="708">
        <v>0</v>
      </c>
      <c r="AQ10" s="705">
        <f t="shared" si="18"/>
        <v>7.1428571428571426E-3</v>
      </c>
      <c r="AR10" s="703">
        <v>0.03</v>
      </c>
      <c r="AS10" s="705">
        <f t="shared" si="1"/>
        <v>1.2500000000000001E-2</v>
      </c>
      <c r="AT10" s="709">
        <v>2.4E-2</v>
      </c>
      <c r="AU10" s="703">
        <v>5.5540304000000013E-2</v>
      </c>
      <c r="AV10" s="705">
        <v>0.1</v>
      </c>
      <c r="AW10" s="710">
        <v>0</v>
      </c>
      <c r="AX10" s="711">
        <f t="shared" si="2"/>
        <v>9.0909090909090912E-2</v>
      </c>
      <c r="AY10" s="710">
        <v>0</v>
      </c>
      <c r="AZ10" s="711">
        <v>0</v>
      </c>
      <c r="BA10" s="710">
        <v>0</v>
      </c>
      <c r="BB10" s="711">
        <v>0</v>
      </c>
      <c r="BC10" s="712">
        <v>0</v>
      </c>
      <c r="BD10" s="713">
        <v>0</v>
      </c>
      <c r="BE10" s="710">
        <v>0</v>
      </c>
      <c r="BF10" s="711">
        <f t="shared" si="5"/>
        <v>6.25E-2</v>
      </c>
      <c r="BG10" s="712">
        <v>0</v>
      </c>
      <c r="BH10" s="711">
        <v>0</v>
      </c>
      <c r="BI10" s="712">
        <v>0</v>
      </c>
      <c r="BJ10" s="711">
        <v>0</v>
      </c>
      <c r="BK10" s="712">
        <v>0</v>
      </c>
      <c r="BL10" s="711">
        <v>0</v>
      </c>
      <c r="BM10" s="712">
        <v>0</v>
      </c>
      <c r="BN10" s="711">
        <v>0</v>
      </c>
      <c r="BO10" s="712">
        <v>0</v>
      </c>
      <c r="BP10" s="711">
        <v>0</v>
      </c>
      <c r="BQ10" s="712">
        <v>0</v>
      </c>
      <c r="BR10" s="711">
        <f t="shared" si="9"/>
        <v>6.6666666666666666E-2</v>
      </c>
      <c r="BS10" s="712">
        <v>0</v>
      </c>
      <c r="BT10" s="711">
        <v>0.1</v>
      </c>
      <c r="BU10" s="712">
        <v>0</v>
      </c>
      <c r="BV10" s="711">
        <f t="shared" si="10"/>
        <v>6.6666666666666666E-2</v>
      </c>
      <c r="BW10" s="712">
        <v>0</v>
      </c>
      <c r="BX10" s="711">
        <v>0.1</v>
      </c>
      <c r="BY10" s="712">
        <v>0</v>
      </c>
      <c r="BZ10" s="711">
        <f t="shared" si="11"/>
        <v>0.05</v>
      </c>
      <c r="CA10" s="712">
        <v>0</v>
      </c>
      <c r="CB10" s="711">
        <f t="shared" si="12"/>
        <v>6.6666666666666666E-2</v>
      </c>
      <c r="CC10" s="710">
        <v>0</v>
      </c>
      <c r="CD10" s="713">
        <v>0</v>
      </c>
      <c r="CE10" s="710">
        <v>0</v>
      </c>
      <c r="CF10" s="713">
        <v>0</v>
      </c>
      <c r="CG10" s="710">
        <v>0</v>
      </c>
      <c r="CH10" s="713">
        <v>0</v>
      </c>
      <c r="CI10" s="710">
        <v>0</v>
      </c>
      <c r="CJ10" s="713">
        <v>0</v>
      </c>
      <c r="CK10" s="710">
        <v>0</v>
      </c>
      <c r="CL10" s="713">
        <v>0.1</v>
      </c>
      <c r="CM10" s="710">
        <v>0</v>
      </c>
      <c r="CN10" s="713">
        <v>0</v>
      </c>
      <c r="CO10" s="710">
        <v>0</v>
      </c>
      <c r="CP10" s="713">
        <v>0</v>
      </c>
      <c r="CQ10" s="710">
        <v>0</v>
      </c>
      <c r="CR10" s="711">
        <v>0</v>
      </c>
      <c r="CS10" s="710">
        <v>0</v>
      </c>
      <c r="CT10" s="711">
        <v>0</v>
      </c>
      <c r="CU10" s="712">
        <v>0</v>
      </c>
      <c r="CV10" s="711">
        <v>0.1</v>
      </c>
    </row>
    <row r="11" spans="1:100">
      <c r="A11" s="467">
        <v>9</v>
      </c>
      <c r="B11" s="595">
        <v>0</v>
      </c>
      <c r="C11" s="595">
        <v>0</v>
      </c>
      <c r="D11" s="595">
        <v>0</v>
      </c>
      <c r="E11" s="595">
        <v>0</v>
      </c>
      <c r="F11" s="595">
        <f t="shared" si="0"/>
        <v>1.2500000000000001E-2</v>
      </c>
      <c r="G11" s="595">
        <v>0</v>
      </c>
      <c r="H11" s="595">
        <v>0</v>
      </c>
      <c r="I11" s="595">
        <v>0</v>
      </c>
      <c r="J11" s="595">
        <v>0</v>
      </c>
      <c r="K11" s="595">
        <v>0</v>
      </c>
      <c r="L11" s="595">
        <v>0</v>
      </c>
      <c r="M11" s="595">
        <v>0</v>
      </c>
      <c r="N11" s="595">
        <v>0</v>
      </c>
      <c r="O11" s="595">
        <v>0</v>
      </c>
      <c r="P11" s="595">
        <v>0</v>
      </c>
      <c r="Q11" s="595">
        <v>0</v>
      </c>
      <c r="R11" s="595">
        <v>0</v>
      </c>
      <c r="S11" s="595">
        <v>0</v>
      </c>
      <c r="T11" s="595">
        <v>0</v>
      </c>
      <c r="U11" s="595">
        <v>0</v>
      </c>
      <c r="V11" s="595">
        <v>0.4</v>
      </c>
      <c r="W11" s="610">
        <v>0.05</v>
      </c>
      <c r="X11" s="706"/>
      <c r="Y11" s="706"/>
      <c r="Z11" s="706"/>
      <c r="AA11" s="706"/>
      <c r="AB11" s="706"/>
      <c r="AC11" s="706"/>
      <c r="AD11" s="706"/>
      <c r="AE11" s="703">
        <v>0</v>
      </c>
      <c r="AF11" s="704">
        <v>0</v>
      </c>
      <c r="AG11" s="705">
        <v>0</v>
      </c>
      <c r="AH11" s="706">
        <v>5.3176234000000155E-2</v>
      </c>
      <c r="AI11" s="705">
        <v>0.1</v>
      </c>
      <c r="AJ11" s="703">
        <v>5.3176234000000155E-2</v>
      </c>
      <c r="AK11" s="705">
        <v>0.1</v>
      </c>
      <c r="AL11" s="707">
        <v>0</v>
      </c>
      <c r="AM11" s="703">
        <v>0</v>
      </c>
      <c r="AN11" s="703">
        <v>0</v>
      </c>
      <c r="AO11" s="707">
        <v>0.08</v>
      </c>
      <c r="AP11" s="708">
        <v>0</v>
      </c>
      <c r="AQ11" s="705">
        <f t="shared" si="18"/>
        <v>7.1428571428571426E-3</v>
      </c>
      <c r="AR11" s="703">
        <v>0.03</v>
      </c>
      <c r="AS11" s="705">
        <f t="shared" si="1"/>
        <v>1.2500000000000001E-2</v>
      </c>
      <c r="AT11" s="709">
        <v>2.4E-2</v>
      </c>
      <c r="AU11" s="703">
        <v>5.3176234000000155E-2</v>
      </c>
      <c r="AV11" s="705">
        <v>0.1</v>
      </c>
      <c r="AW11" s="710">
        <v>0</v>
      </c>
      <c r="AX11" s="711">
        <f t="shared" si="2"/>
        <v>9.0909090909090912E-2</v>
      </c>
      <c r="AY11" s="710">
        <v>0</v>
      </c>
      <c r="AZ11" s="711">
        <v>0</v>
      </c>
      <c r="BA11" s="710">
        <v>0</v>
      </c>
      <c r="BB11" s="711">
        <v>0</v>
      </c>
      <c r="BC11" s="712">
        <v>0</v>
      </c>
      <c r="BD11" s="713">
        <v>0</v>
      </c>
      <c r="BE11" s="710">
        <v>0</v>
      </c>
      <c r="BF11" s="711">
        <f t="shared" si="5"/>
        <v>6.25E-2</v>
      </c>
      <c r="BG11" s="712">
        <v>0</v>
      </c>
      <c r="BH11" s="711">
        <v>0</v>
      </c>
      <c r="BI11" s="712">
        <v>0</v>
      </c>
      <c r="BJ11" s="711">
        <v>0</v>
      </c>
      <c r="BK11" s="712">
        <v>0</v>
      </c>
      <c r="BL11" s="711">
        <v>0</v>
      </c>
      <c r="BM11" s="712">
        <v>0</v>
      </c>
      <c r="BN11" s="711">
        <v>0</v>
      </c>
      <c r="BO11" s="712">
        <v>0</v>
      </c>
      <c r="BP11" s="711">
        <v>0</v>
      </c>
      <c r="BQ11" s="712">
        <v>0</v>
      </c>
      <c r="BR11" s="711">
        <f t="shared" si="9"/>
        <v>6.6666666666666666E-2</v>
      </c>
      <c r="BS11" s="712">
        <v>1</v>
      </c>
      <c r="BT11" s="711">
        <v>0.1</v>
      </c>
      <c r="BU11" s="712">
        <v>0</v>
      </c>
      <c r="BV11" s="711">
        <f t="shared" si="10"/>
        <v>6.6666666666666666E-2</v>
      </c>
      <c r="BW11" s="712">
        <v>1</v>
      </c>
      <c r="BX11" s="711">
        <v>0.1</v>
      </c>
      <c r="BY11" s="712">
        <v>0</v>
      </c>
      <c r="BZ11" s="711">
        <f t="shared" si="11"/>
        <v>0.05</v>
      </c>
      <c r="CA11" s="712">
        <v>0</v>
      </c>
      <c r="CB11" s="711">
        <f t="shared" si="12"/>
        <v>6.6666666666666666E-2</v>
      </c>
      <c r="CC11" s="710">
        <v>0</v>
      </c>
      <c r="CD11" s="713">
        <v>0</v>
      </c>
      <c r="CE11" s="710">
        <v>0</v>
      </c>
      <c r="CF11" s="713">
        <v>0</v>
      </c>
      <c r="CG11" s="710">
        <v>0</v>
      </c>
      <c r="CH11" s="713">
        <v>0</v>
      </c>
      <c r="CI11" s="710">
        <v>0</v>
      </c>
      <c r="CJ11" s="713">
        <v>0</v>
      </c>
      <c r="CK11" s="710">
        <v>1</v>
      </c>
      <c r="CL11" s="713">
        <v>0.1</v>
      </c>
      <c r="CM11" s="710">
        <v>0</v>
      </c>
      <c r="CN11" s="713">
        <v>0</v>
      </c>
      <c r="CO11" s="710">
        <v>0</v>
      </c>
      <c r="CP11" s="713">
        <v>0</v>
      </c>
      <c r="CQ11" s="710">
        <v>0</v>
      </c>
      <c r="CR11" s="711">
        <v>0</v>
      </c>
      <c r="CS11" s="710">
        <v>0</v>
      </c>
      <c r="CT11" s="711">
        <v>0</v>
      </c>
      <c r="CU11" s="712">
        <v>1</v>
      </c>
      <c r="CV11" s="711">
        <v>0.1</v>
      </c>
    </row>
    <row r="12" spans="1:100">
      <c r="A12" s="467">
        <v>10</v>
      </c>
      <c r="B12" s="595">
        <v>0</v>
      </c>
      <c r="C12" s="595">
        <v>0</v>
      </c>
      <c r="D12" s="595">
        <v>0</v>
      </c>
      <c r="E12" s="595">
        <v>0</v>
      </c>
      <c r="F12" s="595">
        <f t="shared" si="0"/>
        <v>1.2500000000000001E-2</v>
      </c>
      <c r="G12" s="595">
        <v>0</v>
      </c>
      <c r="H12" s="595">
        <v>0</v>
      </c>
      <c r="I12" s="595">
        <v>0</v>
      </c>
      <c r="J12" s="595">
        <v>0</v>
      </c>
      <c r="K12" s="595">
        <v>0</v>
      </c>
      <c r="L12" s="595">
        <v>0</v>
      </c>
      <c r="M12" s="595">
        <v>0</v>
      </c>
      <c r="N12" s="595">
        <v>0</v>
      </c>
      <c r="O12" s="595">
        <v>0</v>
      </c>
      <c r="P12" s="595">
        <v>0</v>
      </c>
      <c r="Q12" s="595">
        <v>0</v>
      </c>
      <c r="R12" s="595">
        <v>0</v>
      </c>
      <c r="S12" s="595">
        <v>0</v>
      </c>
      <c r="T12" s="595">
        <v>0</v>
      </c>
      <c r="U12" s="595">
        <v>0</v>
      </c>
      <c r="V12" s="595">
        <v>0.15</v>
      </c>
      <c r="W12" s="610">
        <v>0.05</v>
      </c>
      <c r="X12" s="706"/>
      <c r="Y12" s="706"/>
      <c r="Z12" s="706"/>
      <c r="AA12" s="706"/>
      <c r="AB12" s="706"/>
      <c r="AC12" s="706"/>
      <c r="AD12" s="706"/>
      <c r="AE12" s="703">
        <v>0</v>
      </c>
      <c r="AF12" s="704">
        <v>0</v>
      </c>
      <c r="AG12" s="705">
        <v>0</v>
      </c>
      <c r="AH12" s="706">
        <v>0</v>
      </c>
      <c r="AI12" s="705">
        <v>0</v>
      </c>
      <c r="AJ12" s="703">
        <v>0</v>
      </c>
      <c r="AK12" s="705">
        <v>0</v>
      </c>
      <c r="AL12" s="707">
        <v>0</v>
      </c>
      <c r="AM12" s="703">
        <v>0</v>
      </c>
      <c r="AN12" s="703">
        <v>0</v>
      </c>
      <c r="AO12" s="707">
        <v>0.08</v>
      </c>
      <c r="AP12" s="708">
        <v>0.01</v>
      </c>
      <c r="AQ12" s="705">
        <f t="shared" si="18"/>
        <v>7.1428571428571426E-3</v>
      </c>
      <c r="AR12" s="703">
        <v>2.8000000000000001E-2</v>
      </c>
      <c r="AS12" s="705">
        <f t="shared" si="1"/>
        <v>1.2500000000000001E-2</v>
      </c>
      <c r="AT12" s="709">
        <v>1.6E-2</v>
      </c>
      <c r="AU12" s="703">
        <v>0</v>
      </c>
      <c r="AV12" s="705">
        <v>0</v>
      </c>
      <c r="AW12" s="710">
        <v>1</v>
      </c>
      <c r="AX12" s="711">
        <f t="shared" si="2"/>
        <v>9.0909090909090912E-2</v>
      </c>
      <c r="AY12" s="710">
        <v>0</v>
      </c>
      <c r="AZ12" s="711">
        <v>0</v>
      </c>
      <c r="BA12" s="710">
        <v>0</v>
      </c>
      <c r="BB12" s="711">
        <v>0</v>
      </c>
      <c r="BC12" s="712">
        <v>0</v>
      </c>
      <c r="BD12" s="713">
        <v>0</v>
      </c>
      <c r="BE12" s="710">
        <v>0</v>
      </c>
      <c r="BF12" s="711">
        <f t="shared" si="5"/>
        <v>6.25E-2</v>
      </c>
      <c r="BG12" s="712">
        <v>0</v>
      </c>
      <c r="BH12" s="711">
        <v>0</v>
      </c>
      <c r="BI12" s="712">
        <v>0</v>
      </c>
      <c r="BJ12" s="711">
        <v>0</v>
      </c>
      <c r="BK12" s="712">
        <v>0</v>
      </c>
      <c r="BL12" s="711">
        <v>0</v>
      </c>
      <c r="BM12" s="712">
        <v>0</v>
      </c>
      <c r="BN12" s="711">
        <v>0</v>
      </c>
      <c r="BO12" s="712">
        <v>0</v>
      </c>
      <c r="BP12" s="711">
        <v>0</v>
      </c>
      <c r="BQ12" s="712">
        <v>0</v>
      </c>
      <c r="BR12" s="711">
        <f t="shared" si="9"/>
        <v>6.6666666666666666E-2</v>
      </c>
      <c r="BS12" s="712">
        <v>0</v>
      </c>
      <c r="BT12" s="711">
        <v>0</v>
      </c>
      <c r="BU12" s="712">
        <v>0</v>
      </c>
      <c r="BV12" s="711">
        <f t="shared" si="10"/>
        <v>6.6666666666666666E-2</v>
      </c>
      <c r="BW12" s="712">
        <v>0</v>
      </c>
      <c r="BX12" s="711">
        <v>0</v>
      </c>
      <c r="BY12" s="712">
        <v>0</v>
      </c>
      <c r="BZ12" s="711">
        <f t="shared" si="11"/>
        <v>0.05</v>
      </c>
      <c r="CA12" s="712">
        <v>0</v>
      </c>
      <c r="CB12" s="711">
        <f t="shared" si="12"/>
        <v>6.6666666666666666E-2</v>
      </c>
      <c r="CC12" s="710">
        <v>0</v>
      </c>
      <c r="CD12" s="713">
        <v>0</v>
      </c>
      <c r="CE12" s="710">
        <v>0</v>
      </c>
      <c r="CF12" s="713">
        <v>0</v>
      </c>
      <c r="CG12" s="710">
        <v>0</v>
      </c>
      <c r="CH12" s="713">
        <v>0</v>
      </c>
      <c r="CI12" s="710">
        <v>0</v>
      </c>
      <c r="CJ12" s="713">
        <v>0</v>
      </c>
      <c r="CK12" s="710">
        <v>0</v>
      </c>
      <c r="CL12" s="713">
        <v>0</v>
      </c>
      <c r="CM12" s="710">
        <v>0</v>
      </c>
      <c r="CN12" s="713">
        <v>0</v>
      </c>
      <c r="CO12" s="710">
        <v>0</v>
      </c>
      <c r="CP12" s="713">
        <v>0</v>
      </c>
      <c r="CQ12" s="710">
        <v>0</v>
      </c>
      <c r="CR12" s="711">
        <v>0</v>
      </c>
      <c r="CS12" s="710">
        <v>0</v>
      </c>
      <c r="CT12" s="711">
        <v>0</v>
      </c>
      <c r="CU12" s="712">
        <v>0</v>
      </c>
      <c r="CV12" s="711">
        <v>0</v>
      </c>
    </row>
    <row r="13" spans="1:100">
      <c r="A13" s="467">
        <v>11</v>
      </c>
      <c r="B13" s="595">
        <v>0</v>
      </c>
      <c r="C13" s="595">
        <v>0</v>
      </c>
      <c r="D13" s="595">
        <v>0</v>
      </c>
      <c r="E13" s="595">
        <v>0</v>
      </c>
      <c r="F13" s="595">
        <f t="shared" si="0"/>
        <v>1.2500000000000001E-2</v>
      </c>
      <c r="G13" s="595">
        <v>0</v>
      </c>
      <c r="H13" s="595">
        <v>0</v>
      </c>
      <c r="I13" s="595">
        <v>0</v>
      </c>
      <c r="J13" s="595">
        <v>0</v>
      </c>
      <c r="K13" s="595">
        <v>0</v>
      </c>
      <c r="L13" s="595">
        <v>0</v>
      </c>
      <c r="M13" s="595">
        <v>0</v>
      </c>
      <c r="N13" s="595">
        <v>0</v>
      </c>
      <c r="O13" s="595">
        <v>0</v>
      </c>
      <c r="P13" s="595">
        <v>0</v>
      </c>
      <c r="Q13" s="595">
        <v>0</v>
      </c>
      <c r="R13" s="595">
        <v>0</v>
      </c>
      <c r="S13" s="595">
        <v>0</v>
      </c>
      <c r="T13" s="595">
        <v>0</v>
      </c>
      <c r="U13" s="595">
        <v>0</v>
      </c>
      <c r="V13" s="595">
        <v>0.05</v>
      </c>
      <c r="W13" s="610">
        <v>0.05</v>
      </c>
      <c r="X13" s="706"/>
      <c r="Y13" s="706"/>
      <c r="Z13" s="706"/>
      <c r="AA13" s="706"/>
      <c r="AB13" s="706"/>
      <c r="AC13" s="706"/>
      <c r="AD13" s="706"/>
      <c r="AE13" s="703">
        <v>0</v>
      </c>
      <c r="AF13" s="704">
        <v>0</v>
      </c>
      <c r="AG13" s="705">
        <v>0</v>
      </c>
      <c r="AH13" s="706">
        <v>0</v>
      </c>
      <c r="AI13" s="705">
        <v>0</v>
      </c>
      <c r="AJ13" s="703">
        <v>0</v>
      </c>
      <c r="AK13" s="705">
        <v>0</v>
      </c>
      <c r="AL13" s="707">
        <v>0</v>
      </c>
      <c r="AM13" s="703">
        <v>0</v>
      </c>
      <c r="AN13" s="703">
        <v>0</v>
      </c>
      <c r="AO13" s="707">
        <v>0.08</v>
      </c>
      <c r="AP13" s="708">
        <v>0.01</v>
      </c>
      <c r="AQ13" s="705">
        <f t="shared" si="18"/>
        <v>7.1428571428571426E-3</v>
      </c>
      <c r="AR13" s="703">
        <v>2.8000000000000001E-2</v>
      </c>
      <c r="AS13" s="705">
        <f t="shared" si="1"/>
        <v>1.2500000000000001E-2</v>
      </c>
      <c r="AT13" s="709">
        <v>1.6E-2</v>
      </c>
      <c r="AU13" s="703">
        <v>0</v>
      </c>
      <c r="AV13" s="705">
        <v>0</v>
      </c>
      <c r="AW13" s="710">
        <v>0</v>
      </c>
      <c r="AX13" s="711">
        <v>0</v>
      </c>
      <c r="AY13" s="710">
        <v>0</v>
      </c>
      <c r="AZ13" s="711">
        <v>0</v>
      </c>
      <c r="BA13" s="710">
        <v>0</v>
      </c>
      <c r="BB13" s="711">
        <v>0</v>
      </c>
      <c r="BC13" s="712">
        <v>0</v>
      </c>
      <c r="BD13" s="713">
        <v>0</v>
      </c>
      <c r="BE13" s="710">
        <v>0</v>
      </c>
      <c r="BF13" s="711">
        <f t="shared" si="5"/>
        <v>6.25E-2</v>
      </c>
      <c r="BG13" s="712">
        <v>0</v>
      </c>
      <c r="BH13" s="711">
        <v>0</v>
      </c>
      <c r="BI13" s="712">
        <v>0</v>
      </c>
      <c r="BJ13" s="711">
        <v>0</v>
      </c>
      <c r="BK13" s="712">
        <v>0</v>
      </c>
      <c r="BL13" s="711">
        <v>0</v>
      </c>
      <c r="BM13" s="712">
        <v>0</v>
      </c>
      <c r="BN13" s="711">
        <v>0</v>
      </c>
      <c r="BO13" s="712">
        <v>0</v>
      </c>
      <c r="BP13" s="711">
        <v>0</v>
      </c>
      <c r="BQ13" s="712">
        <v>0</v>
      </c>
      <c r="BR13" s="711">
        <f t="shared" si="9"/>
        <v>6.6666666666666666E-2</v>
      </c>
      <c r="BS13" s="712">
        <v>0</v>
      </c>
      <c r="BT13" s="711">
        <v>0</v>
      </c>
      <c r="BU13" s="712">
        <v>0</v>
      </c>
      <c r="BV13" s="711">
        <f t="shared" si="10"/>
        <v>6.6666666666666666E-2</v>
      </c>
      <c r="BW13" s="712">
        <v>0</v>
      </c>
      <c r="BX13" s="711">
        <v>0</v>
      </c>
      <c r="BY13" s="712">
        <v>0</v>
      </c>
      <c r="BZ13" s="711">
        <f t="shared" si="11"/>
        <v>0.05</v>
      </c>
      <c r="CA13" s="712">
        <v>0</v>
      </c>
      <c r="CB13" s="711">
        <f t="shared" si="12"/>
        <v>6.6666666666666666E-2</v>
      </c>
      <c r="CC13" s="710">
        <v>0</v>
      </c>
      <c r="CD13" s="713">
        <v>0</v>
      </c>
      <c r="CE13" s="710">
        <v>0</v>
      </c>
      <c r="CF13" s="713">
        <v>0</v>
      </c>
      <c r="CG13" s="710">
        <v>0</v>
      </c>
      <c r="CH13" s="713">
        <v>0</v>
      </c>
      <c r="CI13" s="710">
        <v>0</v>
      </c>
      <c r="CJ13" s="713">
        <v>0</v>
      </c>
      <c r="CK13" s="710">
        <v>0</v>
      </c>
      <c r="CL13" s="713">
        <v>0</v>
      </c>
      <c r="CM13" s="710">
        <v>0</v>
      </c>
      <c r="CN13" s="713">
        <v>0</v>
      </c>
      <c r="CO13" s="710">
        <v>0</v>
      </c>
      <c r="CP13" s="713">
        <v>0</v>
      </c>
      <c r="CQ13" s="710">
        <v>0</v>
      </c>
      <c r="CR13" s="711">
        <v>0</v>
      </c>
      <c r="CS13" s="710">
        <v>0</v>
      </c>
      <c r="CT13" s="711">
        <v>0</v>
      </c>
      <c r="CU13" s="712">
        <v>0</v>
      </c>
      <c r="CV13" s="711">
        <v>0</v>
      </c>
    </row>
    <row r="14" spans="1:100">
      <c r="A14" s="467">
        <v>12</v>
      </c>
      <c r="B14" s="595">
        <v>0</v>
      </c>
      <c r="C14" s="595">
        <v>0</v>
      </c>
      <c r="D14" s="595">
        <v>0</v>
      </c>
      <c r="E14" s="595">
        <v>0</v>
      </c>
      <c r="F14" s="595">
        <f t="shared" si="0"/>
        <v>1.2500000000000001E-2</v>
      </c>
      <c r="G14" s="595">
        <v>0</v>
      </c>
      <c r="H14" s="595">
        <v>0</v>
      </c>
      <c r="I14" s="595">
        <v>0</v>
      </c>
      <c r="J14" s="595">
        <v>0</v>
      </c>
      <c r="K14" s="595">
        <v>0</v>
      </c>
      <c r="L14" s="595">
        <v>0</v>
      </c>
      <c r="M14" s="595">
        <v>0</v>
      </c>
      <c r="N14" s="595">
        <v>0</v>
      </c>
      <c r="O14" s="595">
        <v>0</v>
      </c>
      <c r="P14" s="595">
        <v>0</v>
      </c>
      <c r="Q14" s="595">
        <v>0</v>
      </c>
      <c r="R14" s="595">
        <v>0</v>
      </c>
      <c r="S14" s="595">
        <v>0</v>
      </c>
      <c r="T14" s="595">
        <v>0</v>
      </c>
      <c r="U14" s="595">
        <v>0</v>
      </c>
      <c r="V14" s="595">
        <v>0</v>
      </c>
      <c r="W14" s="610">
        <v>0</v>
      </c>
      <c r="X14" s="706"/>
      <c r="Y14" s="706"/>
      <c r="Z14" s="706"/>
      <c r="AA14" s="706"/>
      <c r="AB14" s="706"/>
      <c r="AC14" s="706"/>
      <c r="AD14" s="706"/>
      <c r="AE14" s="703">
        <v>0</v>
      </c>
      <c r="AF14" s="704">
        <v>0</v>
      </c>
      <c r="AG14" s="705">
        <v>0</v>
      </c>
      <c r="AH14" s="706">
        <v>0</v>
      </c>
      <c r="AI14" s="705">
        <v>0</v>
      </c>
      <c r="AJ14" s="703">
        <v>0</v>
      </c>
      <c r="AK14" s="705">
        <v>0</v>
      </c>
      <c r="AL14" s="707">
        <v>0</v>
      </c>
      <c r="AM14" s="703">
        <v>0</v>
      </c>
      <c r="AN14" s="703">
        <v>0</v>
      </c>
      <c r="AO14" s="707">
        <v>0.08</v>
      </c>
      <c r="AP14" s="708">
        <v>0.01</v>
      </c>
      <c r="AQ14" s="705">
        <f t="shared" si="18"/>
        <v>7.1428571428571426E-3</v>
      </c>
      <c r="AR14" s="703">
        <v>2.8000000000000001E-2</v>
      </c>
      <c r="AS14" s="705">
        <f t="shared" si="1"/>
        <v>1.2500000000000001E-2</v>
      </c>
      <c r="AT14" s="709">
        <v>1.6E-2</v>
      </c>
      <c r="AU14" s="703">
        <v>0</v>
      </c>
      <c r="AV14" s="705">
        <v>0</v>
      </c>
      <c r="AW14" s="710">
        <v>0</v>
      </c>
      <c r="AX14" s="711">
        <v>0</v>
      </c>
      <c r="AY14" s="710">
        <v>0</v>
      </c>
      <c r="AZ14" s="711">
        <v>0</v>
      </c>
      <c r="BA14" s="710">
        <v>0</v>
      </c>
      <c r="BB14" s="711">
        <v>0</v>
      </c>
      <c r="BC14" s="712">
        <v>0</v>
      </c>
      <c r="BD14" s="713">
        <v>0</v>
      </c>
      <c r="BE14" s="710">
        <v>0</v>
      </c>
      <c r="BF14" s="711">
        <f t="shared" si="5"/>
        <v>6.25E-2</v>
      </c>
      <c r="BG14" s="712">
        <v>0</v>
      </c>
      <c r="BH14" s="711">
        <v>0</v>
      </c>
      <c r="BI14" s="712">
        <v>0</v>
      </c>
      <c r="BJ14" s="711">
        <v>0</v>
      </c>
      <c r="BK14" s="712">
        <v>0</v>
      </c>
      <c r="BL14" s="711">
        <v>0</v>
      </c>
      <c r="BM14" s="712">
        <v>0</v>
      </c>
      <c r="BN14" s="711">
        <v>0</v>
      </c>
      <c r="BO14" s="712">
        <v>0</v>
      </c>
      <c r="BP14" s="711">
        <v>0</v>
      </c>
      <c r="BQ14" s="712">
        <v>0</v>
      </c>
      <c r="BR14" s="711">
        <f t="shared" si="9"/>
        <v>6.6666666666666666E-2</v>
      </c>
      <c r="BS14" s="712">
        <v>0</v>
      </c>
      <c r="BT14" s="711">
        <v>0</v>
      </c>
      <c r="BU14" s="712">
        <v>0</v>
      </c>
      <c r="BV14" s="711">
        <f t="shared" si="10"/>
        <v>6.6666666666666666E-2</v>
      </c>
      <c r="BW14" s="712">
        <v>0</v>
      </c>
      <c r="BX14" s="711">
        <v>0</v>
      </c>
      <c r="BY14" s="712">
        <v>0</v>
      </c>
      <c r="BZ14" s="711">
        <f t="shared" si="11"/>
        <v>0.05</v>
      </c>
      <c r="CA14" s="712">
        <v>0</v>
      </c>
      <c r="CB14" s="711">
        <f t="shared" si="12"/>
        <v>6.6666666666666666E-2</v>
      </c>
      <c r="CC14" s="710">
        <v>0</v>
      </c>
      <c r="CD14" s="713">
        <v>0</v>
      </c>
      <c r="CE14" s="710">
        <v>0</v>
      </c>
      <c r="CF14" s="713">
        <v>0</v>
      </c>
      <c r="CG14" s="710">
        <v>0</v>
      </c>
      <c r="CH14" s="713">
        <v>0</v>
      </c>
      <c r="CI14" s="710">
        <v>0</v>
      </c>
      <c r="CJ14" s="713">
        <v>0</v>
      </c>
      <c r="CK14" s="710">
        <v>0</v>
      </c>
      <c r="CL14" s="713">
        <v>0</v>
      </c>
      <c r="CM14" s="710">
        <v>0</v>
      </c>
      <c r="CN14" s="713">
        <v>0</v>
      </c>
      <c r="CO14" s="710">
        <v>0</v>
      </c>
      <c r="CP14" s="713">
        <v>0</v>
      </c>
      <c r="CQ14" s="710">
        <v>0</v>
      </c>
      <c r="CR14" s="711">
        <v>0</v>
      </c>
      <c r="CS14" s="710">
        <v>0</v>
      </c>
      <c r="CT14" s="711">
        <v>0</v>
      </c>
      <c r="CU14" s="712">
        <v>0</v>
      </c>
      <c r="CV14" s="711">
        <v>0</v>
      </c>
    </row>
    <row r="15" spans="1:100">
      <c r="A15" s="467">
        <v>13</v>
      </c>
      <c r="B15" s="595">
        <v>0</v>
      </c>
      <c r="C15" s="595">
        <v>0</v>
      </c>
      <c r="D15" s="595">
        <v>0</v>
      </c>
      <c r="E15" s="595">
        <v>0</v>
      </c>
      <c r="F15" s="595">
        <f t="shared" si="0"/>
        <v>1.2500000000000001E-2</v>
      </c>
      <c r="G15" s="595">
        <v>0</v>
      </c>
      <c r="H15" s="595">
        <v>0</v>
      </c>
      <c r="I15" s="595">
        <v>0</v>
      </c>
      <c r="J15" s="595">
        <v>0</v>
      </c>
      <c r="K15" s="595">
        <v>0</v>
      </c>
      <c r="L15" s="595">
        <v>0</v>
      </c>
      <c r="M15" s="595">
        <v>0</v>
      </c>
      <c r="N15" s="595">
        <v>0</v>
      </c>
      <c r="O15" s="595">
        <v>0</v>
      </c>
      <c r="P15" s="595">
        <v>0</v>
      </c>
      <c r="Q15" s="595">
        <v>0</v>
      </c>
      <c r="R15" s="595">
        <v>0</v>
      </c>
      <c r="S15" s="595">
        <v>0</v>
      </c>
      <c r="T15" s="595">
        <v>0</v>
      </c>
      <c r="U15" s="595">
        <v>0</v>
      </c>
      <c r="V15" s="595">
        <v>0</v>
      </c>
      <c r="W15" s="610">
        <v>0</v>
      </c>
      <c r="X15" s="706"/>
      <c r="Y15" s="706"/>
      <c r="Z15" s="706"/>
      <c r="AA15" s="706"/>
      <c r="AB15" s="706"/>
      <c r="AC15" s="706"/>
      <c r="AD15" s="706"/>
      <c r="AE15" s="703">
        <v>0</v>
      </c>
      <c r="AF15" s="704">
        <v>0</v>
      </c>
      <c r="AG15" s="705">
        <v>0</v>
      </c>
      <c r="AH15" s="706">
        <v>0</v>
      </c>
      <c r="AI15" s="705">
        <v>0</v>
      </c>
      <c r="AJ15" s="703">
        <v>0</v>
      </c>
      <c r="AK15" s="705">
        <v>0</v>
      </c>
      <c r="AL15" s="707">
        <v>0</v>
      </c>
      <c r="AM15" s="703">
        <v>0</v>
      </c>
      <c r="AN15" s="703">
        <v>0</v>
      </c>
      <c r="AO15" s="707">
        <v>0.08</v>
      </c>
      <c r="AP15" s="708">
        <v>0.01</v>
      </c>
      <c r="AQ15" s="705">
        <f t="shared" si="18"/>
        <v>7.1428571428571426E-3</v>
      </c>
      <c r="AR15" s="703">
        <v>2.8000000000000001E-2</v>
      </c>
      <c r="AS15" s="705">
        <f t="shared" si="1"/>
        <v>1.2500000000000001E-2</v>
      </c>
      <c r="AT15" s="709">
        <v>1.6E-2</v>
      </c>
      <c r="AU15" s="703">
        <v>0</v>
      </c>
      <c r="AV15" s="705">
        <v>0</v>
      </c>
      <c r="AW15" s="710">
        <v>0</v>
      </c>
      <c r="AX15" s="711">
        <v>0</v>
      </c>
      <c r="AY15" s="710">
        <v>0</v>
      </c>
      <c r="AZ15" s="711">
        <v>0</v>
      </c>
      <c r="BA15" s="710">
        <v>0</v>
      </c>
      <c r="BB15" s="711">
        <v>0</v>
      </c>
      <c r="BC15" s="712">
        <v>0</v>
      </c>
      <c r="BD15" s="713">
        <v>0</v>
      </c>
      <c r="BE15" s="710">
        <v>0</v>
      </c>
      <c r="BF15" s="711">
        <f t="shared" si="5"/>
        <v>6.25E-2</v>
      </c>
      <c r="BG15" s="712">
        <v>0</v>
      </c>
      <c r="BH15" s="711">
        <v>0</v>
      </c>
      <c r="BI15" s="712">
        <v>0</v>
      </c>
      <c r="BJ15" s="711">
        <v>0</v>
      </c>
      <c r="BK15" s="712">
        <v>0</v>
      </c>
      <c r="BL15" s="711">
        <v>0</v>
      </c>
      <c r="BM15" s="712">
        <v>0</v>
      </c>
      <c r="BN15" s="711">
        <v>0</v>
      </c>
      <c r="BO15" s="712">
        <v>0</v>
      </c>
      <c r="BP15" s="711">
        <v>0</v>
      </c>
      <c r="BQ15" s="712">
        <v>0</v>
      </c>
      <c r="BR15" s="711">
        <f t="shared" si="9"/>
        <v>6.6666666666666666E-2</v>
      </c>
      <c r="BS15" s="712">
        <v>0</v>
      </c>
      <c r="BT15" s="711">
        <v>0</v>
      </c>
      <c r="BU15" s="712">
        <v>0</v>
      </c>
      <c r="BV15" s="711">
        <f t="shared" si="10"/>
        <v>6.6666666666666666E-2</v>
      </c>
      <c r="BW15" s="712">
        <v>0</v>
      </c>
      <c r="BX15" s="711">
        <v>0</v>
      </c>
      <c r="BY15" s="712">
        <v>0</v>
      </c>
      <c r="BZ15" s="711">
        <f t="shared" si="11"/>
        <v>0.05</v>
      </c>
      <c r="CA15" s="712">
        <v>0</v>
      </c>
      <c r="CB15" s="711">
        <f t="shared" si="12"/>
        <v>6.6666666666666666E-2</v>
      </c>
      <c r="CC15" s="710">
        <v>0</v>
      </c>
      <c r="CD15" s="713">
        <v>0</v>
      </c>
      <c r="CE15" s="710">
        <v>0</v>
      </c>
      <c r="CF15" s="713">
        <v>0</v>
      </c>
      <c r="CG15" s="710">
        <v>0</v>
      </c>
      <c r="CH15" s="713">
        <v>0</v>
      </c>
      <c r="CI15" s="710">
        <v>0</v>
      </c>
      <c r="CJ15" s="713">
        <v>0</v>
      </c>
      <c r="CK15" s="710">
        <v>0</v>
      </c>
      <c r="CL15" s="713">
        <v>0</v>
      </c>
      <c r="CM15" s="710">
        <v>0</v>
      </c>
      <c r="CN15" s="713">
        <v>0</v>
      </c>
      <c r="CO15" s="710">
        <v>0</v>
      </c>
      <c r="CP15" s="713">
        <v>0</v>
      </c>
      <c r="CQ15" s="710">
        <v>0</v>
      </c>
      <c r="CR15" s="711">
        <v>0</v>
      </c>
      <c r="CS15" s="710">
        <v>0</v>
      </c>
      <c r="CT15" s="711">
        <v>0</v>
      </c>
      <c r="CU15" s="712">
        <v>0</v>
      </c>
      <c r="CV15" s="711">
        <v>0</v>
      </c>
    </row>
    <row r="16" spans="1:100">
      <c r="A16" s="467">
        <v>14</v>
      </c>
      <c r="B16" s="595">
        <v>0</v>
      </c>
      <c r="C16" s="595">
        <v>0</v>
      </c>
      <c r="D16" s="595">
        <v>0</v>
      </c>
      <c r="E16" s="595">
        <v>0</v>
      </c>
      <c r="F16" s="595">
        <f t="shared" si="0"/>
        <v>1.2500000000000001E-2</v>
      </c>
      <c r="G16" s="595">
        <v>0</v>
      </c>
      <c r="H16" s="595">
        <v>0</v>
      </c>
      <c r="I16" s="595">
        <v>0</v>
      </c>
      <c r="J16" s="595">
        <v>0</v>
      </c>
      <c r="K16" s="595">
        <v>0</v>
      </c>
      <c r="L16" s="595">
        <v>0</v>
      </c>
      <c r="M16" s="595">
        <v>0</v>
      </c>
      <c r="N16" s="595">
        <v>0</v>
      </c>
      <c r="O16" s="595">
        <v>0</v>
      </c>
      <c r="P16" s="595">
        <v>0</v>
      </c>
      <c r="Q16" s="595">
        <v>0</v>
      </c>
      <c r="R16" s="595">
        <v>0</v>
      </c>
      <c r="S16" s="595">
        <v>0</v>
      </c>
      <c r="T16" s="595">
        <v>0</v>
      </c>
      <c r="U16" s="595">
        <v>0</v>
      </c>
      <c r="V16" s="595">
        <v>0</v>
      </c>
      <c r="W16" s="610">
        <v>0</v>
      </c>
      <c r="X16" s="706"/>
      <c r="Y16" s="706"/>
      <c r="Z16" s="706"/>
      <c r="AA16" s="706"/>
      <c r="AB16" s="706"/>
      <c r="AC16" s="706"/>
      <c r="AD16" s="706"/>
      <c r="AE16" s="703">
        <v>0</v>
      </c>
      <c r="AF16" s="704">
        <v>0</v>
      </c>
      <c r="AG16" s="705">
        <v>0</v>
      </c>
      <c r="AH16" s="706">
        <v>0</v>
      </c>
      <c r="AI16" s="705">
        <v>0</v>
      </c>
      <c r="AJ16" s="703">
        <v>0</v>
      </c>
      <c r="AK16" s="705">
        <v>0</v>
      </c>
      <c r="AL16" s="707">
        <v>0</v>
      </c>
      <c r="AM16" s="703">
        <v>0</v>
      </c>
      <c r="AN16" s="703">
        <v>0</v>
      </c>
      <c r="AO16" s="707">
        <v>0.08</v>
      </c>
      <c r="AP16" s="708">
        <v>0.01</v>
      </c>
      <c r="AQ16" s="705">
        <f t="shared" si="18"/>
        <v>7.1428571428571426E-3</v>
      </c>
      <c r="AR16" s="703">
        <v>2.8000000000000001E-2</v>
      </c>
      <c r="AS16" s="705">
        <f t="shared" si="1"/>
        <v>1.2500000000000001E-2</v>
      </c>
      <c r="AT16" s="709">
        <v>1.6E-2</v>
      </c>
      <c r="AU16" s="703">
        <v>0</v>
      </c>
      <c r="AV16" s="705">
        <v>0</v>
      </c>
      <c r="AW16" s="710">
        <v>0</v>
      </c>
      <c r="AX16" s="711">
        <v>0</v>
      </c>
      <c r="AY16" s="710">
        <v>0</v>
      </c>
      <c r="AZ16" s="711">
        <v>0</v>
      </c>
      <c r="BA16" s="710">
        <v>0</v>
      </c>
      <c r="BB16" s="711">
        <v>0</v>
      </c>
      <c r="BC16" s="712">
        <v>0</v>
      </c>
      <c r="BD16" s="713">
        <v>0</v>
      </c>
      <c r="BE16" s="710">
        <v>0</v>
      </c>
      <c r="BF16" s="711">
        <f t="shared" si="5"/>
        <v>6.25E-2</v>
      </c>
      <c r="BG16" s="712">
        <v>0</v>
      </c>
      <c r="BH16" s="711">
        <v>0</v>
      </c>
      <c r="BI16" s="712">
        <v>0</v>
      </c>
      <c r="BJ16" s="711">
        <v>0</v>
      </c>
      <c r="BK16" s="712">
        <v>0</v>
      </c>
      <c r="BL16" s="711">
        <v>0</v>
      </c>
      <c r="BM16" s="712">
        <v>0</v>
      </c>
      <c r="BN16" s="711">
        <v>0</v>
      </c>
      <c r="BO16" s="712">
        <v>0</v>
      </c>
      <c r="BP16" s="711">
        <v>0</v>
      </c>
      <c r="BQ16" s="712">
        <v>1</v>
      </c>
      <c r="BR16" s="711">
        <f t="shared" si="9"/>
        <v>6.6666666666666666E-2</v>
      </c>
      <c r="BS16" s="712">
        <v>0</v>
      </c>
      <c r="BT16" s="711">
        <v>0</v>
      </c>
      <c r="BU16" s="712">
        <v>1</v>
      </c>
      <c r="BV16" s="711">
        <f t="shared" si="10"/>
        <v>6.6666666666666666E-2</v>
      </c>
      <c r="BW16" s="712">
        <v>0</v>
      </c>
      <c r="BX16" s="711">
        <v>0</v>
      </c>
      <c r="BY16" s="712">
        <v>0</v>
      </c>
      <c r="BZ16" s="711">
        <f t="shared" si="11"/>
        <v>0.05</v>
      </c>
      <c r="CA16" s="712">
        <v>1</v>
      </c>
      <c r="CB16" s="711">
        <f t="shared" si="12"/>
        <v>6.6666666666666666E-2</v>
      </c>
      <c r="CC16" s="710">
        <v>0</v>
      </c>
      <c r="CD16" s="713">
        <v>0</v>
      </c>
      <c r="CE16" s="710">
        <v>0</v>
      </c>
      <c r="CF16" s="713">
        <v>0</v>
      </c>
      <c r="CG16" s="710">
        <v>0</v>
      </c>
      <c r="CH16" s="713">
        <v>0</v>
      </c>
      <c r="CI16" s="710">
        <v>0</v>
      </c>
      <c r="CJ16" s="713">
        <v>0</v>
      </c>
      <c r="CK16" s="710">
        <v>0</v>
      </c>
      <c r="CL16" s="713">
        <v>0</v>
      </c>
      <c r="CM16" s="710">
        <v>0</v>
      </c>
      <c r="CN16" s="713">
        <v>0</v>
      </c>
      <c r="CO16" s="710">
        <v>0</v>
      </c>
      <c r="CP16" s="713">
        <v>0</v>
      </c>
      <c r="CQ16" s="710">
        <v>0</v>
      </c>
      <c r="CR16" s="711">
        <v>0</v>
      </c>
      <c r="CS16" s="710">
        <v>0</v>
      </c>
      <c r="CT16" s="711">
        <v>0</v>
      </c>
      <c r="CU16" s="712">
        <v>0</v>
      </c>
      <c r="CV16" s="711">
        <v>0</v>
      </c>
    </row>
    <row r="17" spans="1:100">
      <c r="A17" s="467">
        <v>15</v>
      </c>
      <c r="B17" s="595">
        <v>0</v>
      </c>
      <c r="C17" s="595">
        <v>0</v>
      </c>
      <c r="D17" s="595">
        <v>0</v>
      </c>
      <c r="E17" s="595">
        <v>0</v>
      </c>
      <c r="F17" s="595">
        <f t="shared" si="0"/>
        <v>1.2500000000000001E-2</v>
      </c>
      <c r="G17" s="595">
        <v>0</v>
      </c>
      <c r="H17" s="595">
        <v>0</v>
      </c>
      <c r="I17" s="595">
        <v>0</v>
      </c>
      <c r="J17" s="595">
        <v>0</v>
      </c>
      <c r="K17" s="595">
        <v>0</v>
      </c>
      <c r="L17" s="595">
        <v>0</v>
      </c>
      <c r="M17" s="595">
        <v>0</v>
      </c>
      <c r="N17" s="595">
        <v>0</v>
      </c>
      <c r="O17" s="595">
        <v>0</v>
      </c>
      <c r="P17" s="595">
        <v>0</v>
      </c>
      <c r="Q17" s="595">
        <v>0</v>
      </c>
      <c r="R17" s="595">
        <v>0</v>
      </c>
      <c r="S17" s="595">
        <v>0</v>
      </c>
      <c r="T17" s="595">
        <v>0</v>
      </c>
      <c r="U17" s="595">
        <v>0</v>
      </c>
      <c r="V17" s="595">
        <v>0</v>
      </c>
      <c r="W17" s="611">
        <v>0</v>
      </c>
      <c r="X17" s="706"/>
      <c r="Y17" s="706"/>
      <c r="Z17" s="706"/>
      <c r="AA17" s="706"/>
      <c r="AB17" s="706"/>
      <c r="AC17" s="706"/>
      <c r="AD17" s="706"/>
      <c r="AE17" s="703">
        <v>0</v>
      </c>
      <c r="AF17" s="704">
        <v>0</v>
      </c>
      <c r="AG17" s="705">
        <v>0</v>
      </c>
      <c r="AH17" s="706">
        <v>0</v>
      </c>
      <c r="AI17" s="705">
        <v>0</v>
      </c>
      <c r="AJ17" s="703">
        <v>0</v>
      </c>
      <c r="AK17" s="705">
        <v>0</v>
      </c>
      <c r="AL17" s="707">
        <v>0</v>
      </c>
      <c r="AM17" s="703">
        <v>0</v>
      </c>
      <c r="AN17" s="703">
        <v>0</v>
      </c>
      <c r="AO17" s="707">
        <v>0.01</v>
      </c>
      <c r="AP17" s="708">
        <v>0.01</v>
      </c>
      <c r="AQ17" s="705">
        <f t="shared" si="18"/>
        <v>7.1428571428571426E-3</v>
      </c>
      <c r="AR17" s="703">
        <v>2.8000000000000001E-2</v>
      </c>
      <c r="AS17" s="705">
        <f t="shared" si="1"/>
        <v>1.2500000000000001E-2</v>
      </c>
      <c r="AT17" s="709">
        <v>6.0000000000000001E-3</v>
      </c>
      <c r="AU17" s="703">
        <v>0</v>
      </c>
      <c r="AV17" s="705">
        <v>0</v>
      </c>
      <c r="AW17" s="710">
        <v>0</v>
      </c>
      <c r="AX17" s="711">
        <v>0</v>
      </c>
      <c r="AY17" s="710">
        <v>0</v>
      </c>
      <c r="AZ17" s="711">
        <v>0</v>
      </c>
      <c r="BA17" s="710">
        <v>0</v>
      </c>
      <c r="BB17" s="711">
        <v>0</v>
      </c>
      <c r="BC17" s="712">
        <v>0</v>
      </c>
      <c r="BD17" s="713">
        <v>0</v>
      </c>
      <c r="BE17" s="710">
        <v>1</v>
      </c>
      <c r="BF17" s="711">
        <f t="shared" si="5"/>
        <v>6.25E-2</v>
      </c>
      <c r="BG17" s="712">
        <v>0</v>
      </c>
      <c r="BH17" s="711">
        <v>0</v>
      </c>
      <c r="BI17" s="712">
        <v>0</v>
      </c>
      <c r="BJ17" s="711">
        <v>0</v>
      </c>
      <c r="BK17" s="712">
        <v>0</v>
      </c>
      <c r="BL17" s="711">
        <v>0</v>
      </c>
      <c r="BM17" s="712">
        <v>0</v>
      </c>
      <c r="BN17" s="711">
        <v>0</v>
      </c>
      <c r="BO17" s="712">
        <v>0</v>
      </c>
      <c r="BP17" s="711">
        <v>0</v>
      </c>
      <c r="BQ17" s="712">
        <v>0</v>
      </c>
      <c r="BR17" s="711">
        <v>0</v>
      </c>
      <c r="BS17" s="712">
        <v>0</v>
      </c>
      <c r="BT17" s="711">
        <v>0</v>
      </c>
      <c r="BU17" s="712">
        <v>0</v>
      </c>
      <c r="BV17" s="711">
        <v>0</v>
      </c>
      <c r="BW17" s="712">
        <v>0</v>
      </c>
      <c r="BX17" s="711">
        <v>0</v>
      </c>
      <c r="BY17" s="712">
        <v>0</v>
      </c>
      <c r="BZ17" s="711">
        <f t="shared" si="11"/>
        <v>0.05</v>
      </c>
      <c r="CA17" s="712">
        <v>0</v>
      </c>
      <c r="CB17" s="711">
        <v>0</v>
      </c>
      <c r="CC17" s="710">
        <v>0</v>
      </c>
      <c r="CD17" s="713">
        <v>0</v>
      </c>
      <c r="CE17" s="710">
        <v>0</v>
      </c>
      <c r="CF17" s="713">
        <v>0</v>
      </c>
      <c r="CG17" s="710">
        <v>0</v>
      </c>
      <c r="CH17" s="713">
        <v>0</v>
      </c>
      <c r="CI17" s="710">
        <v>0</v>
      </c>
      <c r="CJ17" s="713">
        <v>0</v>
      </c>
      <c r="CK17" s="710">
        <v>0</v>
      </c>
      <c r="CL17" s="713">
        <v>0</v>
      </c>
      <c r="CM17" s="710">
        <v>0</v>
      </c>
      <c r="CN17" s="713">
        <v>0</v>
      </c>
      <c r="CO17" s="710">
        <v>0</v>
      </c>
      <c r="CP17" s="713">
        <v>0</v>
      </c>
      <c r="CQ17" s="710">
        <v>0</v>
      </c>
      <c r="CR17" s="711">
        <v>0</v>
      </c>
      <c r="CS17" s="710">
        <v>0</v>
      </c>
      <c r="CT17" s="711">
        <v>0</v>
      </c>
      <c r="CU17" s="712">
        <v>0</v>
      </c>
      <c r="CV17" s="711">
        <v>0</v>
      </c>
    </row>
    <row r="18" spans="1:100">
      <c r="A18" s="467">
        <v>16</v>
      </c>
      <c r="B18" s="595">
        <v>0</v>
      </c>
      <c r="C18" s="595">
        <v>0</v>
      </c>
      <c r="D18" s="595">
        <v>0</v>
      </c>
      <c r="E18" s="595">
        <v>0</v>
      </c>
      <c r="F18" s="595">
        <f t="shared" si="0"/>
        <v>1.2500000000000001E-2</v>
      </c>
      <c r="G18" s="595">
        <v>0</v>
      </c>
      <c r="H18" s="595">
        <v>0</v>
      </c>
      <c r="I18" s="595">
        <v>0</v>
      </c>
      <c r="J18" s="595">
        <v>0</v>
      </c>
      <c r="K18" s="595">
        <v>0</v>
      </c>
      <c r="L18" s="595">
        <v>0</v>
      </c>
      <c r="M18" s="595">
        <v>0</v>
      </c>
      <c r="N18" s="595">
        <v>0</v>
      </c>
      <c r="O18" s="595">
        <v>0</v>
      </c>
      <c r="P18" s="595">
        <v>0</v>
      </c>
      <c r="Q18" s="595">
        <v>0</v>
      </c>
      <c r="R18" s="595">
        <v>0</v>
      </c>
      <c r="S18" s="595">
        <v>0</v>
      </c>
      <c r="T18" s="595">
        <v>0</v>
      </c>
      <c r="U18" s="595">
        <v>0</v>
      </c>
      <c r="V18" s="595">
        <v>0</v>
      </c>
      <c r="W18" s="611">
        <v>0</v>
      </c>
      <c r="X18" s="706"/>
      <c r="Y18" s="706"/>
      <c r="Z18" s="706"/>
      <c r="AA18" s="706"/>
      <c r="AB18" s="706"/>
      <c r="AC18" s="706"/>
      <c r="AD18" s="706"/>
      <c r="AE18" s="703">
        <v>0</v>
      </c>
      <c r="AF18" s="704">
        <v>0</v>
      </c>
      <c r="AG18" s="705">
        <v>0</v>
      </c>
      <c r="AH18" s="706">
        <v>0</v>
      </c>
      <c r="AI18" s="705">
        <v>0</v>
      </c>
      <c r="AJ18" s="703">
        <v>0</v>
      </c>
      <c r="AK18" s="705">
        <v>0</v>
      </c>
      <c r="AL18" s="707">
        <v>0</v>
      </c>
      <c r="AM18" s="703">
        <v>0</v>
      </c>
      <c r="AN18" s="703">
        <v>0</v>
      </c>
      <c r="AO18" s="707">
        <v>0.01</v>
      </c>
      <c r="AP18" s="708">
        <v>0.01</v>
      </c>
      <c r="AQ18" s="705">
        <f t="shared" si="18"/>
        <v>7.1428571428571426E-3</v>
      </c>
      <c r="AR18" s="703">
        <v>2.8000000000000001E-2</v>
      </c>
      <c r="AS18" s="705">
        <f t="shared" si="1"/>
        <v>1.2500000000000001E-2</v>
      </c>
      <c r="AT18" s="709">
        <v>6.0000000000000001E-3</v>
      </c>
      <c r="AU18" s="703">
        <v>0</v>
      </c>
      <c r="AV18" s="705">
        <v>0</v>
      </c>
      <c r="AW18" s="710">
        <v>0</v>
      </c>
      <c r="AX18" s="711">
        <v>0</v>
      </c>
      <c r="AY18" s="710">
        <v>0</v>
      </c>
      <c r="AZ18" s="711">
        <v>0</v>
      </c>
      <c r="BA18" s="710">
        <v>0</v>
      </c>
      <c r="BB18" s="711">
        <v>0</v>
      </c>
      <c r="BC18" s="712">
        <v>0</v>
      </c>
      <c r="BD18" s="713">
        <v>0</v>
      </c>
      <c r="BE18" s="710">
        <v>0</v>
      </c>
      <c r="BF18" s="711">
        <v>0</v>
      </c>
      <c r="BG18" s="712">
        <v>0</v>
      </c>
      <c r="BH18" s="711">
        <v>0</v>
      </c>
      <c r="BI18" s="712">
        <v>0</v>
      </c>
      <c r="BJ18" s="711">
        <v>0</v>
      </c>
      <c r="BK18" s="712">
        <v>0</v>
      </c>
      <c r="BL18" s="711">
        <v>0</v>
      </c>
      <c r="BM18" s="712">
        <v>0</v>
      </c>
      <c r="BN18" s="711">
        <v>0</v>
      </c>
      <c r="BO18" s="712">
        <v>0</v>
      </c>
      <c r="BP18" s="711">
        <v>0</v>
      </c>
      <c r="BQ18" s="712">
        <v>0</v>
      </c>
      <c r="BR18" s="711">
        <v>0</v>
      </c>
      <c r="BS18" s="712">
        <v>0</v>
      </c>
      <c r="BT18" s="711">
        <v>0</v>
      </c>
      <c r="BU18" s="712">
        <v>0</v>
      </c>
      <c r="BV18" s="711">
        <v>0</v>
      </c>
      <c r="BW18" s="712">
        <v>0</v>
      </c>
      <c r="BX18" s="711">
        <v>0</v>
      </c>
      <c r="BY18" s="712">
        <v>0</v>
      </c>
      <c r="BZ18" s="711">
        <f t="shared" si="11"/>
        <v>0.05</v>
      </c>
      <c r="CA18" s="712">
        <v>0</v>
      </c>
      <c r="CB18" s="711">
        <v>0</v>
      </c>
      <c r="CC18" s="710">
        <v>0</v>
      </c>
      <c r="CD18" s="713">
        <v>0</v>
      </c>
      <c r="CE18" s="710">
        <v>0</v>
      </c>
      <c r="CF18" s="713">
        <v>0</v>
      </c>
      <c r="CG18" s="710">
        <v>0</v>
      </c>
      <c r="CH18" s="713">
        <v>0</v>
      </c>
      <c r="CI18" s="710">
        <v>0</v>
      </c>
      <c r="CJ18" s="713">
        <v>0</v>
      </c>
      <c r="CK18" s="710">
        <v>0</v>
      </c>
      <c r="CL18" s="713">
        <v>0</v>
      </c>
      <c r="CM18" s="710">
        <v>0</v>
      </c>
      <c r="CN18" s="713">
        <v>0</v>
      </c>
      <c r="CO18" s="710">
        <v>0</v>
      </c>
      <c r="CP18" s="713">
        <v>0</v>
      </c>
      <c r="CQ18" s="710">
        <v>0</v>
      </c>
      <c r="CR18" s="711">
        <v>0</v>
      </c>
      <c r="CS18" s="710">
        <v>0</v>
      </c>
      <c r="CT18" s="711">
        <v>0</v>
      </c>
      <c r="CU18" s="712">
        <v>0</v>
      </c>
      <c r="CV18" s="711">
        <v>0</v>
      </c>
    </row>
    <row r="19" spans="1:100">
      <c r="A19" s="467">
        <v>17</v>
      </c>
      <c r="B19" s="595">
        <v>0</v>
      </c>
      <c r="C19" s="595">
        <v>0</v>
      </c>
      <c r="D19" s="595">
        <v>0</v>
      </c>
      <c r="E19" s="595">
        <v>0</v>
      </c>
      <c r="F19" s="595">
        <f t="shared" si="0"/>
        <v>1.2500000000000001E-2</v>
      </c>
      <c r="G19" s="595">
        <v>0</v>
      </c>
      <c r="H19" s="595">
        <v>0</v>
      </c>
      <c r="I19" s="595">
        <v>0</v>
      </c>
      <c r="J19" s="595">
        <v>0</v>
      </c>
      <c r="K19" s="595">
        <v>0</v>
      </c>
      <c r="L19" s="595">
        <v>0</v>
      </c>
      <c r="M19" s="595">
        <v>0</v>
      </c>
      <c r="N19" s="595">
        <v>0</v>
      </c>
      <c r="O19" s="595">
        <v>0</v>
      </c>
      <c r="P19" s="595">
        <v>0</v>
      </c>
      <c r="Q19" s="595">
        <v>0</v>
      </c>
      <c r="R19" s="595">
        <v>0</v>
      </c>
      <c r="S19" s="595">
        <v>0</v>
      </c>
      <c r="T19" s="595">
        <v>0</v>
      </c>
      <c r="U19" s="595">
        <v>0</v>
      </c>
      <c r="V19" s="595">
        <v>0</v>
      </c>
      <c r="W19" s="611">
        <v>0</v>
      </c>
      <c r="X19" s="706"/>
      <c r="Y19" s="706"/>
      <c r="Z19" s="706"/>
      <c r="AA19" s="706"/>
      <c r="AB19" s="706"/>
      <c r="AC19" s="706"/>
      <c r="AD19" s="706"/>
      <c r="AE19" s="703">
        <v>0</v>
      </c>
      <c r="AF19" s="704">
        <v>0</v>
      </c>
      <c r="AG19" s="705">
        <v>0</v>
      </c>
      <c r="AH19" s="706">
        <v>0</v>
      </c>
      <c r="AI19" s="705">
        <v>0</v>
      </c>
      <c r="AJ19" s="703">
        <v>0</v>
      </c>
      <c r="AK19" s="705">
        <v>0</v>
      </c>
      <c r="AL19" s="707">
        <v>0</v>
      </c>
      <c r="AM19" s="703">
        <v>0</v>
      </c>
      <c r="AN19" s="703">
        <v>0</v>
      </c>
      <c r="AO19" s="707">
        <v>0.01</v>
      </c>
      <c r="AP19" s="708">
        <v>0.01</v>
      </c>
      <c r="AQ19" s="705">
        <f t="shared" si="18"/>
        <v>7.1428571428571426E-3</v>
      </c>
      <c r="AR19" s="703">
        <v>2.8000000000000001E-2</v>
      </c>
      <c r="AS19" s="705">
        <f t="shared" si="1"/>
        <v>1.2500000000000001E-2</v>
      </c>
      <c r="AT19" s="709">
        <v>6.0000000000000001E-3</v>
      </c>
      <c r="AU19" s="703">
        <v>0</v>
      </c>
      <c r="AV19" s="705">
        <v>0</v>
      </c>
      <c r="AW19" s="710">
        <v>0</v>
      </c>
      <c r="AX19" s="711">
        <v>0</v>
      </c>
      <c r="AY19" s="710">
        <v>0</v>
      </c>
      <c r="AZ19" s="711">
        <v>0</v>
      </c>
      <c r="BA19" s="710">
        <v>0</v>
      </c>
      <c r="BB19" s="711">
        <v>0</v>
      </c>
      <c r="BC19" s="712">
        <v>0</v>
      </c>
      <c r="BD19" s="713">
        <v>0</v>
      </c>
      <c r="BE19" s="710">
        <v>0</v>
      </c>
      <c r="BF19" s="711">
        <v>0</v>
      </c>
      <c r="BG19" s="712">
        <v>0</v>
      </c>
      <c r="BH19" s="711">
        <v>0</v>
      </c>
      <c r="BI19" s="712">
        <v>0</v>
      </c>
      <c r="BJ19" s="711">
        <v>0</v>
      </c>
      <c r="BK19" s="712">
        <v>0</v>
      </c>
      <c r="BL19" s="711">
        <v>0</v>
      </c>
      <c r="BM19" s="712">
        <v>0</v>
      </c>
      <c r="BN19" s="711">
        <v>0</v>
      </c>
      <c r="BO19" s="712">
        <v>0</v>
      </c>
      <c r="BP19" s="711">
        <v>0</v>
      </c>
      <c r="BQ19" s="712">
        <v>0</v>
      </c>
      <c r="BR19" s="711">
        <v>0</v>
      </c>
      <c r="BS19" s="712">
        <v>0</v>
      </c>
      <c r="BT19" s="711">
        <v>0</v>
      </c>
      <c r="BU19" s="712">
        <v>0</v>
      </c>
      <c r="BV19" s="711">
        <v>0</v>
      </c>
      <c r="BW19" s="712">
        <v>0</v>
      </c>
      <c r="BX19" s="711">
        <v>0</v>
      </c>
      <c r="BY19" s="712">
        <v>0</v>
      </c>
      <c r="BZ19" s="711">
        <f t="shared" si="11"/>
        <v>0.05</v>
      </c>
      <c r="CA19" s="712">
        <v>0</v>
      </c>
      <c r="CB19" s="711">
        <v>0</v>
      </c>
      <c r="CC19" s="710">
        <v>0</v>
      </c>
      <c r="CD19" s="713">
        <v>0</v>
      </c>
      <c r="CE19" s="710">
        <v>0</v>
      </c>
      <c r="CF19" s="713">
        <v>0</v>
      </c>
      <c r="CG19" s="710">
        <v>0</v>
      </c>
      <c r="CH19" s="713">
        <v>0</v>
      </c>
      <c r="CI19" s="710">
        <v>0</v>
      </c>
      <c r="CJ19" s="713">
        <v>0</v>
      </c>
      <c r="CK19" s="710">
        <v>0</v>
      </c>
      <c r="CL19" s="713">
        <v>0</v>
      </c>
      <c r="CM19" s="710">
        <v>0</v>
      </c>
      <c r="CN19" s="713">
        <v>0</v>
      </c>
      <c r="CO19" s="710">
        <v>0</v>
      </c>
      <c r="CP19" s="713">
        <v>0</v>
      </c>
      <c r="CQ19" s="710">
        <v>0</v>
      </c>
      <c r="CR19" s="711">
        <v>0</v>
      </c>
      <c r="CS19" s="710">
        <v>0</v>
      </c>
      <c r="CT19" s="711">
        <v>0</v>
      </c>
      <c r="CU19" s="712">
        <v>0</v>
      </c>
      <c r="CV19" s="711">
        <v>0</v>
      </c>
    </row>
    <row r="20" spans="1:100">
      <c r="A20" s="467">
        <v>18</v>
      </c>
      <c r="B20" s="595">
        <v>0</v>
      </c>
      <c r="C20" s="595">
        <v>0</v>
      </c>
      <c r="D20" s="595">
        <v>0</v>
      </c>
      <c r="E20" s="595">
        <v>0</v>
      </c>
      <c r="F20" s="595">
        <f t="shared" si="0"/>
        <v>1.2500000000000001E-2</v>
      </c>
      <c r="G20" s="595">
        <v>0</v>
      </c>
      <c r="H20" s="595">
        <v>0</v>
      </c>
      <c r="I20" s="595">
        <v>0</v>
      </c>
      <c r="J20" s="595">
        <v>0</v>
      </c>
      <c r="K20" s="595">
        <v>0</v>
      </c>
      <c r="L20" s="595">
        <v>0</v>
      </c>
      <c r="M20" s="595">
        <v>0</v>
      </c>
      <c r="N20" s="595">
        <v>0</v>
      </c>
      <c r="O20" s="595">
        <v>0</v>
      </c>
      <c r="P20" s="595">
        <v>0</v>
      </c>
      <c r="Q20" s="595">
        <v>0</v>
      </c>
      <c r="R20" s="595">
        <v>0</v>
      </c>
      <c r="S20" s="595">
        <v>0</v>
      </c>
      <c r="T20" s="595">
        <v>0</v>
      </c>
      <c r="U20" s="595">
        <v>0</v>
      </c>
      <c r="V20" s="595">
        <v>0</v>
      </c>
      <c r="W20" s="611">
        <v>0</v>
      </c>
      <c r="X20" s="706"/>
      <c r="Y20" s="706"/>
      <c r="Z20" s="706"/>
      <c r="AA20" s="706"/>
      <c r="AB20" s="706"/>
      <c r="AC20" s="706"/>
      <c r="AD20" s="706"/>
      <c r="AE20" s="703">
        <v>0</v>
      </c>
      <c r="AF20" s="704">
        <v>0</v>
      </c>
      <c r="AG20" s="705">
        <v>0</v>
      </c>
      <c r="AH20" s="706">
        <v>0</v>
      </c>
      <c r="AI20" s="705">
        <v>0</v>
      </c>
      <c r="AJ20" s="703">
        <v>0</v>
      </c>
      <c r="AK20" s="705">
        <v>0</v>
      </c>
      <c r="AL20" s="707">
        <v>0</v>
      </c>
      <c r="AM20" s="703">
        <v>0</v>
      </c>
      <c r="AN20" s="703">
        <v>0</v>
      </c>
      <c r="AO20" s="707">
        <v>0.01</v>
      </c>
      <c r="AP20" s="708">
        <v>0.01</v>
      </c>
      <c r="AQ20" s="705">
        <f t="shared" si="18"/>
        <v>7.1428571428571426E-3</v>
      </c>
      <c r="AR20" s="703">
        <v>2.8000000000000001E-2</v>
      </c>
      <c r="AS20" s="705">
        <f t="shared" si="1"/>
        <v>1.2500000000000001E-2</v>
      </c>
      <c r="AT20" s="709">
        <v>6.0000000000000001E-3</v>
      </c>
      <c r="AU20" s="703">
        <v>0</v>
      </c>
      <c r="AV20" s="705">
        <v>0</v>
      </c>
      <c r="AW20" s="710">
        <v>0</v>
      </c>
      <c r="AX20" s="711">
        <v>0</v>
      </c>
      <c r="AY20" s="710">
        <v>0</v>
      </c>
      <c r="AZ20" s="711">
        <v>0</v>
      </c>
      <c r="BA20" s="710">
        <v>0</v>
      </c>
      <c r="BB20" s="711">
        <v>0</v>
      </c>
      <c r="BC20" s="712">
        <v>0</v>
      </c>
      <c r="BD20" s="713">
        <v>0</v>
      </c>
      <c r="BE20" s="710">
        <v>0</v>
      </c>
      <c r="BF20" s="711">
        <v>0</v>
      </c>
      <c r="BG20" s="712">
        <v>0</v>
      </c>
      <c r="BH20" s="711">
        <v>0</v>
      </c>
      <c r="BI20" s="712">
        <v>0</v>
      </c>
      <c r="BJ20" s="711">
        <v>0</v>
      </c>
      <c r="BK20" s="712">
        <v>0</v>
      </c>
      <c r="BL20" s="711">
        <v>0</v>
      </c>
      <c r="BM20" s="712">
        <v>0</v>
      </c>
      <c r="BN20" s="711">
        <v>0</v>
      </c>
      <c r="BO20" s="712">
        <v>0</v>
      </c>
      <c r="BP20" s="711">
        <v>0</v>
      </c>
      <c r="BQ20" s="712">
        <v>0</v>
      </c>
      <c r="BR20" s="711">
        <v>0</v>
      </c>
      <c r="BS20" s="712">
        <v>0</v>
      </c>
      <c r="BT20" s="711">
        <v>0</v>
      </c>
      <c r="BU20" s="712">
        <v>0</v>
      </c>
      <c r="BV20" s="711">
        <v>0</v>
      </c>
      <c r="BW20" s="712">
        <v>0</v>
      </c>
      <c r="BX20" s="711">
        <v>0</v>
      </c>
      <c r="BY20" s="712">
        <v>0</v>
      </c>
      <c r="BZ20" s="711">
        <f t="shared" si="11"/>
        <v>0.05</v>
      </c>
      <c r="CA20" s="712">
        <v>0</v>
      </c>
      <c r="CB20" s="711">
        <v>0</v>
      </c>
      <c r="CC20" s="710">
        <v>0</v>
      </c>
      <c r="CD20" s="713">
        <v>0</v>
      </c>
      <c r="CE20" s="710">
        <v>0</v>
      </c>
      <c r="CF20" s="713">
        <v>0</v>
      </c>
      <c r="CG20" s="710">
        <v>0</v>
      </c>
      <c r="CH20" s="713">
        <v>0</v>
      </c>
      <c r="CI20" s="710">
        <v>0</v>
      </c>
      <c r="CJ20" s="713">
        <v>0</v>
      </c>
      <c r="CK20" s="710">
        <v>0</v>
      </c>
      <c r="CL20" s="713">
        <v>0</v>
      </c>
      <c r="CM20" s="710">
        <v>0</v>
      </c>
      <c r="CN20" s="713">
        <v>0</v>
      </c>
      <c r="CO20" s="710">
        <v>0</v>
      </c>
      <c r="CP20" s="713">
        <v>0</v>
      </c>
      <c r="CQ20" s="710">
        <v>0</v>
      </c>
      <c r="CR20" s="711">
        <v>0</v>
      </c>
      <c r="CS20" s="710">
        <v>0</v>
      </c>
      <c r="CT20" s="711">
        <v>0</v>
      </c>
      <c r="CU20" s="712">
        <v>0</v>
      </c>
      <c r="CV20" s="711">
        <v>0</v>
      </c>
    </row>
    <row r="21" spans="1:100">
      <c r="A21" s="467">
        <v>19</v>
      </c>
      <c r="B21" s="595">
        <v>0</v>
      </c>
      <c r="C21" s="595">
        <v>0</v>
      </c>
      <c r="D21" s="595">
        <v>0</v>
      </c>
      <c r="E21" s="595">
        <v>0</v>
      </c>
      <c r="F21" s="595">
        <f t="shared" si="0"/>
        <v>1.2500000000000001E-2</v>
      </c>
      <c r="G21" s="595">
        <v>0</v>
      </c>
      <c r="H21" s="595">
        <v>0</v>
      </c>
      <c r="I21" s="595">
        <v>0</v>
      </c>
      <c r="J21" s="595">
        <v>0</v>
      </c>
      <c r="K21" s="595">
        <v>0</v>
      </c>
      <c r="L21" s="595">
        <v>0</v>
      </c>
      <c r="M21" s="595">
        <v>0</v>
      </c>
      <c r="N21" s="595">
        <v>0</v>
      </c>
      <c r="O21" s="595">
        <v>0</v>
      </c>
      <c r="P21" s="595">
        <v>0</v>
      </c>
      <c r="Q21" s="595">
        <v>0</v>
      </c>
      <c r="R21" s="595">
        <v>0</v>
      </c>
      <c r="S21" s="595">
        <v>0</v>
      </c>
      <c r="T21" s="595">
        <v>0</v>
      </c>
      <c r="U21" s="595">
        <v>0</v>
      </c>
      <c r="V21" s="595">
        <v>0</v>
      </c>
      <c r="W21" s="611">
        <v>0</v>
      </c>
      <c r="X21" s="706"/>
      <c r="Y21" s="706"/>
      <c r="Z21" s="706"/>
      <c r="AA21" s="706"/>
      <c r="AB21" s="706"/>
      <c r="AC21" s="706"/>
      <c r="AD21" s="706"/>
      <c r="AE21" s="703">
        <v>0</v>
      </c>
      <c r="AF21" s="704">
        <v>0</v>
      </c>
      <c r="AG21" s="705">
        <v>0</v>
      </c>
      <c r="AH21" s="706">
        <v>0</v>
      </c>
      <c r="AI21" s="705">
        <v>0</v>
      </c>
      <c r="AJ21" s="703">
        <v>0</v>
      </c>
      <c r="AK21" s="705">
        <v>0</v>
      </c>
      <c r="AL21" s="707">
        <v>0</v>
      </c>
      <c r="AM21" s="703">
        <v>0</v>
      </c>
      <c r="AN21" s="703">
        <v>0</v>
      </c>
      <c r="AO21" s="707">
        <v>0.01</v>
      </c>
      <c r="AP21" s="708">
        <v>0.01</v>
      </c>
      <c r="AQ21" s="705">
        <f t="shared" si="18"/>
        <v>7.1428571428571426E-3</v>
      </c>
      <c r="AR21" s="703">
        <v>2.8000000000000001E-2</v>
      </c>
      <c r="AS21" s="705">
        <f t="shared" si="1"/>
        <v>1.2500000000000001E-2</v>
      </c>
      <c r="AT21" s="709">
        <v>6.0000000000000001E-3</v>
      </c>
      <c r="AU21" s="703">
        <v>0</v>
      </c>
      <c r="AV21" s="705">
        <v>0</v>
      </c>
      <c r="AW21" s="710">
        <v>0</v>
      </c>
      <c r="AX21" s="711">
        <v>0</v>
      </c>
      <c r="AY21" s="710">
        <v>0</v>
      </c>
      <c r="AZ21" s="711">
        <v>0</v>
      </c>
      <c r="BA21" s="710">
        <v>0</v>
      </c>
      <c r="BB21" s="711">
        <v>0</v>
      </c>
      <c r="BC21" s="712">
        <v>0</v>
      </c>
      <c r="BD21" s="713">
        <v>0</v>
      </c>
      <c r="BE21" s="710">
        <v>0</v>
      </c>
      <c r="BF21" s="711">
        <v>0</v>
      </c>
      <c r="BG21" s="712">
        <v>0</v>
      </c>
      <c r="BH21" s="711">
        <v>0</v>
      </c>
      <c r="BI21" s="712">
        <v>0</v>
      </c>
      <c r="BJ21" s="711">
        <v>0</v>
      </c>
      <c r="BK21" s="712">
        <v>0</v>
      </c>
      <c r="BL21" s="711">
        <v>0</v>
      </c>
      <c r="BM21" s="712">
        <v>0</v>
      </c>
      <c r="BN21" s="711">
        <v>0</v>
      </c>
      <c r="BO21" s="712">
        <v>0</v>
      </c>
      <c r="BP21" s="711">
        <v>0</v>
      </c>
      <c r="BQ21" s="712">
        <v>0</v>
      </c>
      <c r="BR21" s="711">
        <v>0</v>
      </c>
      <c r="BS21" s="712">
        <v>0</v>
      </c>
      <c r="BT21" s="711">
        <v>0</v>
      </c>
      <c r="BU21" s="712">
        <v>0</v>
      </c>
      <c r="BV21" s="711">
        <v>0</v>
      </c>
      <c r="BW21" s="712">
        <v>0</v>
      </c>
      <c r="BX21" s="711">
        <v>0</v>
      </c>
      <c r="BY21" s="712">
        <v>1</v>
      </c>
      <c r="BZ21" s="711">
        <f t="shared" si="11"/>
        <v>0.05</v>
      </c>
      <c r="CA21" s="712">
        <v>0</v>
      </c>
      <c r="CB21" s="711">
        <v>0</v>
      </c>
      <c r="CC21" s="710">
        <v>0</v>
      </c>
      <c r="CD21" s="713">
        <v>0</v>
      </c>
      <c r="CE21" s="710">
        <v>0</v>
      </c>
      <c r="CF21" s="713">
        <v>0</v>
      </c>
      <c r="CG21" s="710">
        <v>0</v>
      </c>
      <c r="CH21" s="713">
        <v>0</v>
      </c>
      <c r="CI21" s="710">
        <v>0</v>
      </c>
      <c r="CJ21" s="713">
        <v>0</v>
      </c>
      <c r="CK21" s="710">
        <v>0</v>
      </c>
      <c r="CL21" s="713">
        <v>0</v>
      </c>
      <c r="CM21" s="710">
        <v>0</v>
      </c>
      <c r="CN21" s="713">
        <v>0</v>
      </c>
      <c r="CO21" s="710">
        <v>0</v>
      </c>
      <c r="CP21" s="713">
        <v>0</v>
      </c>
      <c r="CQ21" s="710">
        <v>0</v>
      </c>
      <c r="CR21" s="711">
        <v>0</v>
      </c>
      <c r="CS21" s="710">
        <v>0</v>
      </c>
      <c r="CT21" s="711">
        <v>0</v>
      </c>
      <c r="CU21" s="712">
        <v>0</v>
      </c>
      <c r="CV21" s="711">
        <v>0</v>
      </c>
    </row>
    <row r="22" spans="1:100">
      <c r="A22" s="467">
        <v>20</v>
      </c>
      <c r="B22" s="595">
        <v>0</v>
      </c>
      <c r="C22" s="595">
        <v>0</v>
      </c>
      <c r="D22" s="595">
        <v>0</v>
      </c>
      <c r="E22" s="595">
        <v>0</v>
      </c>
      <c r="F22" s="595">
        <f t="shared" si="0"/>
        <v>1.2500000000000001E-2</v>
      </c>
      <c r="G22" s="595">
        <v>0.01</v>
      </c>
      <c r="H22" s="595">
        <v>0</v>
      </c>
      <c r="I22" s="595">
        <v>0</v>
      </c>
      <c r="J22" s="595">
        <v>0</v>
      </c>
      <c r="K22" s="595">
        <v>0</v>
      </c>
      <c r="L22" s="595">
        <v>0</v>
      </c>
      <c r="M22" s="595">
        <v>0</v>
      </c>
      <c r="N22" s="595">
        <v>0</v>
      </c>
      <c r="O22" s="595">
        <v>0</v>
      </c>
      <c r="P22" s="595">
        <v>0</v>
      </c>
      <c r="Q22" s="595">
        <v>0</v>
      </c>
      <c r="R22" s="595">
        <v>0</v>
      </c>
      <c r="S22" s="595">
        <v>0</v>
      </c>
      <c r="T22" s="595">
        <v>0.01</v>
      </c>
      <c r="U22" s="595">
        <v>0</v>
      </c>
      <c r="V22" s="595">
        <v>0</v>
      </c>
      <c r="W22" s="611">
        <v>0</v>
      </c>
      <c r="X22" s="706"/>
      <c r="Y22" s="706"/>
      <c r="Z22" s="706"/>
      <c r="AA22" s="706"/>
      <c r="AB22" s="706"/>
      <c r="AC22" s="706"/>
      <c r="AD22" s="706"/>
      <c r="AE22" s="703">
        <v>0</v>
      </c>
      <c r="AF22" s="704">
        <v>0</v>
      </c>
      <c r="AG22" s="705">
        <v>0</v>
      </c>
      <c r="AH22" s="706">
        <v>0</v>
      </c>
      <c r="AI22" s="705">
        <v>0</v>
      </c>
      <c r="AJ22" s="703">
        <v>0</v>
      </c>
      <c r="AK22" s="705">
        <v>0</v>
      </c>
      <c r="AL22" s="707">
        <v>0</v>
      </c>
      <c r="AM22" s="703">
        <v>0</v>
      </c>
      <c r="AN22" s="703">
        <v>0</v>
      </c>
      <c r="AO22" s="707">
        <v>0</v>
      </c>
      <c r="AP22" s="708">
        <v>0.01</v>
      </c>
      <c r="AQ22" s="705">
        <f t="shared" si="18"/>
        <v>7.1428571428571426E-3</v>
      </c>
      <c r="AR22" s="703">
        <v>1.6250000000000001E-2</v>
      </c>
      <c r="AS22" s="705">
        <f t="shared" si="1"/>
        <v>1.2500000000000001E-2</v>
      </c>
      <c r="AT22" s="709">
        <v>5.0000000000000001E-3</v>
      </c>
      <c r="AU22" s="703">
        <v>0</v>
      </c>
      <c r="AV22" s="705">
        <v>0</v>
      </c>
      <c r="AW22" s="710">
        <v>0</v>
      </c>
      <c r="AX22" s="711">
        <v>0</v>
      </c>
      <c r="AY22" s="710">
        <v>0</v>
      </c>
      <c r="AZ22" s="711">
        <v>0</v>
      </c>
      <c r="BA22" s="710">
        <v>0</v>
      </c>
      <c r="BB22" s="711">
        <v>0</v>
      </c>
      <c r="BC22" s="712">
        <v>0</v>
      </c>
      <c r="BD22" s="713">
        <v>0</v>
      </c>
      <c r="BE22" s="710">
        <v>0</v>
      </c>
      <c r="BF22" s="711">
        <v>0</v>
      </c>
      <c r="BG22" s="712">
        <v>0</v>
      </c>
      <c r="BH22" s="711">
        <v>0</v>
      </c>
      <c r="BI22" s="712">
        <v>0</v>
      </c>
      <c r="BJ22" s="711">
        <v>0</v>
      </c>
      <c r="BK22" s="712">
        <v>0</v>
      </c>
      <c r="BL22" s="711">
        <v>0</v>
      </c>
      <c r="BM22" s="712">
        <v>0</v>
      </c>
      <c r="BN22" s="711">
        <v>0</v>
      </c>
      <c r="BO22" s="712">
        <v>0</v>
      </c>
      <c r="BP22" s="711">
        <v>0</v>
      </c>
      <c r="BQ22" s="712">
        <v>0</v>
      </c>
      <c r="BR22" s="711">
        <v>0</v>
      </c>
      <c r="BS22" s="712">
        <v>0</v>
      </c>
      <c r="BT22" s="711">
        <v>0</v>
      </c>
      <c r="BU22" s="712">
        <v>0</v>
      </c>
      <c r="BV22" s="711">
        <v>0</v>
      </c>
      <c r="BW22" s="712">
        <v>0</v>
      </c>
      <c r="BX22" s="711">
        <v>0</v>
      </c>
      <c r="BY22" s="712">
        <v>0</v>
      </c>
      <c r="BZ22" s="711">
        <v>0</v>
      </c>
      <c r="CA22" s="712">
        <v>0</v>
      </c>
      <c r="CB22" s="711">
        <v>0</v>
      </c>
      <c r="CC22" s="710">
        <v>0</v>
      </c>
      <c r="CD22" s="713">
        <v>0</v>
      </c>
      <c r="CE22" s="710">
        <v>0</v>
      </c>
      <c r="CF22" s="713">
        <v>0</v>
      </c>
      <c r="CG22" s="710">
        <v>0</v>
      </c>
      <c r="CH22" s="713">
        <v>0</v>
      </c>
      <c r="CI22" s="710">
        <v>0</v>
      </c>
      <c r="CJ22" s="713">
        <v>0</v>
      </c>
      <c r="CK22" s="710">
        <v>0</v>
      </c>
      <c r="CL22" s="713">
        <v>0</v>
      </c>
      <c r="CM22" s="710">
        <v>0</v>
      </c>
      <c r="CN22" s="713">
        <v>0</v>
      </c>
      <c r="CO22" s="710">
        <v>0</v>
      </c>
      <c r="CP22" s="713">
        <v>0</v>
      </c>
      <c r="CQ22" s="710">
        <v>0</v>
      </c>
      <c r="CR22" s="711">
        <v>0</v>
      </c>
      <c r="CS22" s="710">
        <v>0</v>
      </c>
      <c r="CT22" s="711">
        <v>0</v>
      </c>
      <c r="CU22" s="712">
        <v>0</v>
      </c>
      <c r="CV22" s="711">
        <v>0</v>
      </c>
    </row>
    <row r="23" spans="1:100">
      <c r="A23" s="467">
        <v>21</v>
      </c>
      <c r="B23" s="595">
        <v>0</v>
      </c>
      <c r="C23" s="595">
        <v>0</v>
      </c>
      <c r="D23" s="595">
        <v>0</v>
      </c>
      <c r="E23" s="595">
        <v>0</v>
      </c>
      <c r="F23" s="595">
        <f t="shared" si="0"/>
        <v>1.2500000000000001E-2</v>
      </c>
      <c r="G23" s="595">
        <v>0.01</v>
      </c>
      <c r="H23" s="595">
        <v>0</v>
      </c>
      <c r="I23" s="595">
        <v>0</v>
      </c>
      <c r="J23" s="595">
        <v>0</v>
      </c>
      <c r="K23" s="595">
        <v>0</v>
      </c>
      <c r="L23" s="595">
        <v>0</v>
      </c>
      <c r="M23" s="595">
        <v>0</v>
      </c>
      <c r="N23" s="595">
        <v>0</v>
      </c>
      <c r="O23" s="595">
        <v>0</v>
      </c>
      <c r="P23" s="595">
        <v>0</v>
      </c>
      <c r="Q23" s="595">
        <v>0</v>
      </c>
      <c r="R23" s="595">
        <v>0</v>
      </c>
      <c r="S23" s="595">
        <v>0</v>
      </c>
      <c r="T23" s="595">
        <v>0.01</v>
      </c>
      <c r="U23" s="595">
        <v>0</v>
      </c>
      <c r="V23" s="595">
        <v>0</v>
      </c>
      <c r="W23" s="611">
        <v>0</v>
      </c>
      <c r="X23" s="706"/>
      <c r="Y23" s="706"/>
      <c r="Z23" s="706"/>
      <c r="AA23" s="706"/>
      <c r="AB23" s="706"/>
      <c r="AC23" s="706"/>
      <c r="AD23" s="706"/>
      <c r="AE23" s="703">
        <v>0</v>
      </c>
      <c r="AF23" s="704">
        <v>0</v>
      </c>
      <c r="AG23" s="705">
        <v>0</v>
      </c>
      <c r="AH23" s="706">
        <v>0</v>
      </c>
      <c r="AI23" s="705">
        <v>0</v>
      </c>
      <c r="AJ23" s="703">
        <v>0</v>
      </c>
      <c r="AK23" s="705">
        <v>0</v>
      </c>
      <c r="AL23" s="707">
        <v>0</v>
      </c>
      <c r="AM23" s="703">
        <v>0</v>
      </c>
      <c r="AN23" s="703">
        <v>0</v>
      </c>
      <c r="AO23" s="707">
        <v>0</v>
      </c>
      <c r="AP23" s="708">
        <v>0.01</v>
      </c>
      <c r="AQ23" s="705">
        <f t="shared" si="18"/>
        <v>7.1428571428571426E-3</v>
      </c>
      <c r="AR23" s="703">
        <v>1.6250000000000001E-2</v>
      </c>
      <c r="AS23" s="705">
        <f t="shared" si="1"/>
        <v>1.2500000000000001E-2</v>
      </c>
      <c r="AT23" s="709">
        <v>3.0000000000000001E-3</v>
      </c>
      <c r="AU23" s="703">
        <v>0</v>
      </c>
      <c r="AV23" s="705">
        <v>0</v>
      </c>
      <c r="AW23" s="710">
        <v>0</v>
      </c>
      <c r="AX23" s="711">
        <v>0</v>
      </c>
      <c r="AY23" s="710">
        <v>0</v>
      </c>
      <c r="AZ23" s="711">
        <v>0</v>
      </c>
      <c r="BA23" s="710">
        <v>0</v>
      </c>
      <c r="BB23" s="711">
        <v>0</v>
      </c>
      <c r="BC23" s="712">
        <v>0</v>
      </c>
      <c r="BD23" s="713">
        <v>0</v>
      </c>
      <c r="BE23" s="710">
        <v>0</v>
      </c>
      <c r="BF23" s="711">
        <v>0</v>
      </c>
      <c r="BG23" s="712">
        <v>0</v>
      </c>
      <c r="BH23" s="711">
        <v>0</v>
      </c>
      <c r="BI23" s="712">
        <v>0</v>
      </c>
      <c r="BJ23" s="711">
        <v>0</v>
      </c>
      <c r="BK23" s="712">
        <v>0</v>
      </c>
      <c r="BL23" s="711">
        <v>0</v>
      </c>
      <c r="BM23" s="712">
        <v>0</v>
      </c>
      <c r="BN23" s="711">
        <v>0</v>
      </c>
      <c r="BO23" s="712">
        <v>0</v>
      </c>
      <c r="BP23" s="711">
        <v>0</v>
      </c>
      <c r="BQ23" s="712">
        <v>0</v>
      </c>
      <c r="BR23" s="711">
        <v>0</v>
      </c>
      <c r="BS23" s="712">
        <v>0</v>
      </c>
      <c r="BT23" s="711">
        <v>0</v>
      </c>
      <c r="BU23" s="712">
        <v>0</v>
      </c>
      <c r="BV23" s="711">
        <v>0</v>
      </c>
      <c r="BW23" s="712">
        <v>0</v>
      </c>
      <c r="BX23" s="711">
        <v>0</v>
      </c>
      <c r="BY23" s="712">
        <v>0</v>
      </c>
      <c r="BZ23" s="711">
        <v>0</v>
      </c>
      <c r="CA23" s="712">
        <v>0</v>
      </c>
      <c r="CB23" s="711">
        <v>0</v>
      </c>
      <c r="CC23" s="710">
        <v>0</v>
      </c>
      <c r="CD23" s="713">
        <v>0</v>
      </c>
      <c r="CE23" s="710">
        <v>0</v>
      </c>
      <c r="CF23" s="713">
        <v>0</v>
      </c>
      <c r="CG23" s="710">
        <v>0</v>
      </c>
      <c r="CH23" s="713">
        <v>0</v>
      </c>
      <c r="CI23" s="710">
        <v>0</v>
      </c>
      <c r="CJ23" s="713">
        <v>0</v>
      </c>
      <c r="CK23" s="710">
        <v>0</v>
      </c>
      <c r="CL23" s="713">
        <v>0</v>
      </c>
      <c r="CM23" s="710">
        <v>0</v>
      </c>
      <c r="CN23" s="713">
        <v>0</v>
      </c>
      <c r="CO23" s="710">
        <v>0</v>
      </c>
      <c r="CP23" s="713">
        <v>0</v>
      </c>
      <c r="CQ23" s="710">
        <v>0</v>
      </c>
      <c r="CR23" s="711">
        <v>0</v>
      </c>
      <c r="CS23" s="710">
        <v>0</v>
      </c>
      <c r="CT23" s="711">
        <v>0</v>
      </c>
      <c r="CU23" s="712">
        <v>0</v>
      </c>
      <c r="CV23" s="711">
        <v>0</v>
      </c>
    </row>
    <row r="24" spans="1:100">
      <c r="A24" s="467">
        <v>22</v>
      </c>
      <c r="B24" s="595">
        <v>0</v>
      </c>
      <c r="C24" s="595">
        <v>0</v>
      </c>
      <c r="D24" s="595">
        <v>0</v>
      </c>
      <c r="E24" s="595">
        <v>0</v>
      </c>
      <c r="F24" s="595">
        <f t="shared" si="0"/>
        <v>1.2500000000000001E-2</v>
      </c>
      <c r="G24" s="595">
        <v>0.01</v>
      </c>
      <c r="H24" s="595">
        <v>0</v>
      </c>
      <c r="I24" s="595">
        <v>0</v>
      </c>
      <c r="J24" s="595">
        <v>0</v>
      </c>
      <c r="K24" s="595">
        <v>0</v>
      </c>
      <c r="L24" s="595">
        <v>0</v>
      </c>
      <c r="M24" s="595">
        <v>0</v>
      </c>
      <c r="N24" s="595">
        <v>0</v>
      </c>
      <c r="O24" s="595">
        <v>0</v>
      </c>
      <c r="P24" s="595">
        <v>0</v>
      </c>
      <c r="Q24" s="595">
        <v>0</v>
      </c>
      <c r="R24" s="595">
        <v>0</v>
      </c>
      <c r="S24" s="595">
        <v>0</v>
      </c>
      <c r="T24" s="595">
        <v>0.01</v>
      </c>
      <c r="U24" s="595">
        <v>0</v>
      </c>
      <c r="V24" s="595">
        <v>0</v>
      </c>
      <c r="W24" s="611">
        <v>0</v>
      </c>
      <c r="X24" s="706"/>
      <c r="Y24" s="706"/>
      <c r="Z24" s="706"/>
      <c r="AA24" s="706"/>
      <c r="AB24" s="706"/>
      <c r="AC24" s="706"/>
      <c r="AD24" s="706"/>
      <c r="AE24" s="703">
        <v>0</v>
      </c>
      <c r="AF24" s="704">
        <v>0</v>
      </c>
      <c r="AG24" s="705">
        <v>0</v>
      </c>
      <c r="AH24" s="706">
        <v>0</v>
      </c>
      <c r="AI24" s="705">
        <v>0</v>
      </c>
      <c r="AJ24" s="703">
        <v>0</v>
      </c>
      <c r="AK24" s="705">
        <v>0</v>
      </c>
      <c r="AL24" s="707">
        <v>0</v>
      </c>
      <c r="AM24" s="703">
        <v>0</v>
      </c>
      <c r="AN24" s="703">
        <v>0</v>
      </c>
      <c r="AO24" s="707">
        <v>0</v>
      </c>
      <c r="AP24" s="708">
        <v>0.01</v>
      </c>
      <c r="AQ24" s="705">
        <f t="shared" si="18"/>
        <v>7.1428571428571426E-3</v>
      </c>
      <c r="AR24" s="703">
        <v>1.6250000000000001E-2</v>
      </c>
      <c r="AS24" s="705">
        <f t="shared" si="1"/>
        <v>1.2500000000000001E-2</v>
      </c>
      <c r="AT24" s="709">
        <v>3.0000000000000001E-3</v>
      </c>
      <c r="AU24" s="703">
        <v>0</v>
      </c>
      <c r="AV24" s="705">
        <v>0</v>
      </c>
      <c r="AW24" s="710">
        <v>0</v>
      </c>
      <c r="AX24" s="711">
        <v>0</v>
      </c>
      <c r="AY24" s="710">
        <v>0</v>
      </c>
      <c r="AZ24" s="711">
        <v>0</v>
      </c>
      <c r="BA24" s="710">
        <v>0</v>
      </c>
      <c r="BB24" s="711">
        <v>0</v>
      </c>
      <c r="BC24" s="712">
        <v>0</v>
      </c>
      <c r="BD24" s="713">
        <v>0</v>
      </c>
      <c r="BE24" s="710">
        <v>0</v>
      </c>
      <c r="BF24" s="711">
        <v>0</v>
      </c>
      <c r="BG24" s="712">
        <v>0</v>
      </c>
      <c r="BH24" s="711">
        <v>0</v>
      </c>
      <c r="BI24" s="712">
        <v>0</v>
      </c>
      <c r="BJ24" s="711">
        <v>0</v>
      </c>
      <c r="BK24" s="712">
        <v>0</v>
      </c>
      <c r="BL24" s="711">
        <v>0</v>
      </c>
      <c r="BM24" s="712">
        <v>0</v>
      </c>
      <c r="BN24" s="711">
        <v>0</v>
      </c>
      <c r="BO24" s="712">
        <v>0</v>
      </c>
      <c r="BP24" s="711">
        <v>0</v>
      </c>
      <c r="BQ24" s="712">
        <v>0</v>
      </c>
      <c r="BR24" s="711">
        <v>0</v>
      </c>
      <c r="BS24" s="712">
        <v>0</v>
      </c>
      <c r="BT24" s="711">
        <v>0</v>
      </c>
      <c r="BU24" s="712">
        <v>0</v>
      </c>
      <c r="BV24" s="711">
        <v>0</v>
      </c>
      <c r="BW24" s="712">
        <v>0</v>
      </c>
      <c r="BX24" s="711">
        <v>0</v>
      </c>
      <c r="BY24" s="712">
        <v>0</v>
      </c>
      <c r="BZ24" s="711">
        <v>0</v>
      </c>
      <c r="CA24" s="712">
        <v>0</v>
      </c>
      <c r="CB24" s="711">
        <v>0</v>
      </c>
      <c r="CC24" s="710">
        <v>0</v>
      </c>
      <c r="CD24" s="713">
        <v>0</v>
      </c>
      <c r="CE24" s="710">
        <v>0</v>
      </c>
      <c r="CF24" s="713">
        <v>0</v>
      </c>
      <c r="CG24" s="710">
        <v>0</v>
      </c>
      <c r="CH24" s="713">
        <v>0</v>
      </c>
      <c r="CI24" s="710">
        <v>0</v>
      </c>
      <c r="CJ24" s="713">
        <v>0</v>
      </c>
      <c r="CK24" s="710">
        <v>0</v>
      </c>
      <c r="CL24" s="713">
        <v>0</v>
      </c>
      <c r="CM24" s="710">
        <v>0</v>
      </c>
      <c r="CN24" s="713">
        <v>0</v>
      </c>
      <c r="CO24" s="710">
        <v>0</v>
      </c>
      <c r="CP24" s="713">
        <v>0</v>
      </c>
      <c r="CQ24" s="710">
        <v>0</v>
      </c>
      <c r="CR24" s="711">
        <v>0</v>
      </c>
      <c r="CS24" s="710">
        <v>0</v>
      </c>
      <c r="CT24" s="711">
        <v>0</v>
      </c>
      <c r="CU24" s="712">
        <v>0</v>
      </c>
      <c r="CV24" s="711">
        <v>0</v>
      </c>
    </row>
    <row r="25" spans="1:100">
      <c r="A25" s="467">
        <v>23</v>
      </c>
      <c r="B25" s="595">
        <v>0</v>
      </c>
      <c r="C25" s="595">
        <v>0</v>
      </c>
      <c r="D25" s="595">
        <v>0</v>
      </c>
      <c r="E25" s="595">
        <v>0</v>
      </c>
      <c r="F25" s="595">
        <f t="shared" si="0"/>
        <v>1.2500000000000001E-2</v>
      </c>
      <c r="G25" s="595">
        <v>0.01</v>
      </c>
      <c r="H25" s="595">
        <v>0</v>
      </c>
      <c r="I25" s="595">
        <v>0</v>
      </c>
      <c r="J25" s="595">
        <v>0</v>
      </c>
      <c r="K25" s="595">
        <v>0</v>
      </c>
      <c r="L25" s="595">
        <v>0</v>
      </c>
      <c r="M25" s="595">
        <v>0</v>
      </c>
      <c r="N25" s="595">
        <v>0</v>
      </c>
      <c r="O25" s="595">
        <v>0</v>
      </c>
      <c r="P25" s="595">
        <v>0</v>
      </c>
      <c r="Q25" s="595">
        <v>0</v>
      </c>
      <c r="R25" s="595">
        <v>0</v>
      </c>
      <c r="S25" s="595">
        <v>0</v>
      </c>
      <c r="T25" s="595">
        <v>0.01</v>
      </c>
      <c r="U25" s="595">
        <v>0</v>
      </c>
      <c r="V25" s="595">
        <v>0</v>
      </c>
      <c r="W25" s="611">
        <v>0</v>
      </c>
      <c r="X25" s="706"/>
      <c r="Y25" s="706"/>
      <c r="Z25" s="706"/>
      <c r="AA25" s="706"/>
      <c r="AB25" s="706"/>
      <c r="AC25" s="706"/>
      <c r="AD25" s="706"/>
      <c r="AE25" s="703">
        <v>0</v>
      </c>
      <c r="AF25" s="704">
        <v>0</v>
      </c>
      <c r="AG25" s="705">
        <v>0</v>
      </c>
      <c r="AH25" s="706">
        <v>0</v>
      </c>
      <c r="AI25" s="705">
        <v>0</v>
      </c>
      <c r="AJ25" s="703">
        <v>0</v>
      </c>
      <c r="AK25" s="705">
        <v>0</v>
      </c>
      <c r="AL25" s="707">
        <v>0</v>
      </c>
      <c r="AM25" s="703">
        <v>0</v>
      </c>
      <c r="AN25" s="703">
        <v>0</v>
      </c>
      <c r="AO25" s="707">
        <v>0</v>
      </c>
      <c r="AP25" s="708">
        <v>0.01</v>
      </c>
      <c r="AQ25" s="705">
        <f t="shared" si="18"/>
        <v>7.1428571428571426E-3</v>
      </c>
      <c r="AR25" s="703">
        <v>1.6250000000000001E-2</v>
      </c>
      <c r="AS25" s="705">
        <f t="shared" si="1"/>
        <v>1.2500000000000001E-2</v>
      </c>
      <c r="AT25" s="709">
        <v>3.0000000000000001E-3</v>
      </c>
      <c r="AU25" s="703">
        <v>0</v>
      </c>
      <c r="AV25" s="705">
        <v>0</v>
      </c>
      <c r="AW25" s="710">
        <v>0</v>
      </c>
      <c r="AX25" s="711">
        <v>0</v>
      </c>
      <c r="AY25" s="710">
        <v>0</v>
      </c>
      <c r="AZ25" s="711">
        <v>0</v>
      </c>
      <c r="BA25" s="710">
        <v>0</v>
      </c>
      <c r="BB25" s="711">
        <v>0</v>
      </c>
      <c r="BC25" s="712">
        <v>0</v>
      </c>
      <c r="BD25" s="713">
        <v>0</v>
      </c>
      <c r="BE25" s="710">
        <v>0</v>
      </c>
      <c r="BF25" s="711">
        <v>0</v>
      </c>
      <c r="BG25" s="712">
        <v>0</v>
      </c>
      <c r="BH25" s="711">
        <v>0</v>
      </c>
      <c r="BI25" s="712">
        <v>0</v>
      </c>
      <c r="BJ25" s="711">
        <v>0</v>
      </c>
      <c r="BK25" s="712">
        <v>0</v>
      </c>
      <c r="BL25" s="711">
        <v>0</v>
      </c>
      <c r="BM25" s="712">
        <v>0</v>
      </c>
      <c r="BN25" s="711">
        <v>0</v>
      </c>
      <c r="BO25" s="712">
        <v>0</v>
      </c>
      <c r="BP25" s="711">
        <v>0</v>
      </c>
      <c r="BQ25" s="712">
        <v>0</v>
      </c>
      <c r="BR25" s="711">
        <v>0</v>
      </c>
      <c r="BS25" s="712">
        <v>0</v>
      </c>
      <c r="BT25" s="711">
        <v>0</v>
      </c>
      <c r="BU25" s="712">
        <v>0</v>
      </c>
      <c r="BV25" s="711">
        <v>0</v>
      </c>
      <c r="BW25" s="712">
        <v>0</v>
      </c>
      <c r="BX25" s="711">
        <v>0</v>
      </c>
      <c r="BY25" s="712">
        <v>0</v>
      </c>
      <c r="BZ25" s="711">
        <v>0</v>
      </c>
      <c r="CA25" s="712">
        <v>0</v>
      </c>
      <c r="CB25" s="711">
        <v>0</v>
      </c>
      <c r="CC25" s="710">
        <v>0</v>
      </c>
      <c r="CD25" s="713">
        <v>0</v>
      </c>
      <c r="CE25" s="710">
        <v>0</v>
      </c>
      <c r="CF25" s="713">
        <v>0</v>
      </c>
      <c r="CG25" s="710">
        <v>0</v>
      </c>
      <c r="CH25" s="713">
        <v>0</v>
      </c>
      <c r="CI25" s="710">
        <v>0</v>
      </c>
      <c r="CJ25" s="713">
        <v>0</v>
      </c>
      <c r="CK25" s="710">
        <v>0</v>
      </c>
      <c r="CL25" s="713">
        <v>0</v>
      </c>
      <c r="CM25" s="710">
        <v>0</v>
      </c>
      <c r="CN25" s="713">
        <v>0</v>
      </c>
      <c r="CO25" s="710">
        <v>0</v>
      </c>
      <c r="CP25" s="713">
        <v>0</v>
      </c>
      <c r="CQ25" s="710">
        <v>0</v>
      </c>
      <c r="CR25" s="711">
        <v>0</v>
      </c>
      <c r="CS25" s="710">
        <v>0</v>
      </c>
      <c r="CT25" s="711">
        <v>0</v>
      </c>
      <c r="CU25" s="712">
        <v>0</v>
      </c>
      <c r="CV25" s="711">
        <v>0</v>
      </c>
    </row>
    <row r="26" spans="1:100">
      <c r="A26" s="467">
        <v>24</v>
      </c>
      <c r="B26" s="595">
        <v>0</v>
      </c>
      <c r="C26" s="595">
        <v>0</v>
      </c>
      <c r="D26" s="595">
        <v>0</v>
      </c>
      <c r="E26" s="595">
        <v>0</v>
      </c>
      <c r="F26" s="595">
        <f t="shared" si="0"/>
        <v>1.2500000000000001E-2</v>
      </c>
      <c r="G26" s="595">
        <v>0.01</v>
      </c>
      <c r="H26" s="595">
        <v>0</v>
      </c>
      <c r="I26" s="595">
        <v>0</v>
      </c>
      <c r="J26" s="595">
        <v>0</v>
      </c>
      <c r="K26" s="595">
        <v>0</v>
      </c>
      <c r="L26" s="595">
        <v>0</v>
      </c>
      <c r="M26" s="595">
        <v>0</v>
      </c>
      <c r="N26" s="595">
        <v>0</v>
      </c>
      <c r="O26" s="595">
        <v>0</v>
      </c>
      <c r="P26" s="595">
        <v>0</v>
      </c>
      <c r="Q26" s="595">
        <v>0</v>
      </c>
      <c r="R26" s="595">
        <v>0</v>
      </c>
      <c r="S26" s="595">
        <v>0</v>
      </c>
      <c r="T26" s="595">
        <v>0.01</v>
      </c>
      <c r="U26" s="595">
        <v>0</v>
      </c>
      <c r="V26" s="595">
        <v>0</v>
      </c>
      <c r="W26" s="611">
        <v>0</v>
      </c>
      <c r="X26" s="706"/>
      <c r="Y26" s="706"/>
      <c r="Z26" s="706"/>
      <c r="AA26" s="706"/>
      <c r="AB26" s="706"/>
      <c r="AC26" s="706"/>
      <c r="AD26" s="706"/>
      <c r="AE26" s="703">
        <v>0</v>
      </c>
      <c r="AF26" s="704">
        <v>0</v>
      </c>
      <c r="AG26" s="705">
        <v>0</v>
      </c>
      <c r="AH26" s="706">
        <v>0</v>
      </c>
      <c r="AI26" s="705">
        <v>0</v>
      </c>
      <c r="AJ26" s="703">
        <v>0</v>
      </c>
      <c r="AK26" s="705">
        <v>0</v>
      </c>
      <c r="AL26" s="707">
        <v>0</v>
      </c>
      <c r="AM26" s="703">
        <v>0</v>
      </c>
      <c r="AN26" s="703">
        <v>0</v>
      </c>
      <c r="AO26" s="707">
        <v>0</v>
      </c>
      <c r="AP26" s="708">
        <v>0.01</v>
      </c>
      <c r="AQ26" s="705">
        <f t="shared" si="18"/>
        <v>7.1428571428571426E-3</v>
      </c>
      <c r="AR26" s="703">
        <v>1.6250000000000001E-2</v>
      </c>
      <c r="AS26" s="705">
        <f t="shared" si="1"/>
        <v>1.2500000000000001E-2</v>
      </c>
      <c r="AT26" s="709">
        <v>3.0000000000000001E-3</v>
      </c>
      <c r="AU26" s="703">
        <v>0</v>
      </c>
      <c r="AV26" s="705">
        <v>0</v>
      </c>
      <c r="AW26" s="710">
        <v>0</v>
      </c>
      <c r="AX26" s="711">
        <v>0</v>
      </c>
      <c r="AY26" s="710">
        <v>0</v>
      </c>
      <c r="AZ26" s="711">
        <v>0</v>
      </c>
      <c r="BA26" s="710">
        <v>0</v>
      </c>
      <c r="BB26" s="711">
        <v>0</v>
      </c>
      <c r="BC26" s="712">
        <v>0</v>
      </c>
      <c r="BD26" s="713">
        <v>0</v>
      </c>
      <c r="BE26" s="710">
        <v>0</v>
      </c>
      <c r="BF26" s="711">
        <v>0</v>
      </c>
      <c r="BG26" s="712">
        <v>0</v>
      </c>
      <c r="BH26" s="711">
        <v>0</v>
      </c>
      <c r="BI26" s="712">
        <v>0</v>
      </c>
      <c r="BJ26" s="711">
        <v>0</v>
      </c>
      <c r="BK26" s="712">
        <v>0</v>
      </c>
      <c r="BL26" s="711">
        <v>0</v>
      </c>
      <c r="BM26" s="712">
        <v>0</v>
      </c>
      <c r="BN26" s="711">
        <v>0</v>
      </c>
      <c r="BO26" s="712">
        <v>0</v>
      </c>
      <c r="BP26" s="711">
        <v>0</v>
      </c>
      <c r="BQ26" s="712">
        <v>0</v>
      </c>
      <c r="BR26" s="711">
        <v>0</v>
      </c>
      <c r="BS26" s="712">
        <v>0</v>
      </c>
      <c r="BT26" s="711">
        <v>0</v>
      </c>
      <c r="BU26" s="712">
        <v>0</v>
      </c>
      <c r="BV26" s="711">
        <v>0</v>
      </c>
      <c r="BW26" s="712">
        <v>0</v>
      </c>
      <c r="BX26" s="711">
        <v>0</v>
      </c>
      <c r="BY26" s="712">
        <v>0</v>
      </c>
      <c r="BZ26" s="711">
        <v>0</v>
      </c>
      <c r="CA26" s="712">
        <v>0</v>
      </c>
      <c r="CB26" s="711">
        <v>0</v>
      </c>
      <c r="CC26" s="710">
        <v>0</v>
      </c>
      <c r="CD26" s="713">
        <v>0</v>
      </c>
      <c r="CE26" s="710">
        <v>0</v>
      </c>
      <c r="CF26" s="713">
        <v>0</v>
      </c>
      <c r="CG26" s="710">
        <v>0</v>
      </c>
      <c r="CH26" s="713">
        <v>0</v>
      </c>
      <c r="CI26" s="710">
        <v>0</v>
      </c>
      <c r="CJ26" s="713">
        <v>0</v>
      </c>
      <c r="CK26" s="710">
        <v>0</v>
      </c>
      <c r="CL26" s="713">
        <v>0</v>
      </c>
      <c r="CM26" s="710">
        <v>0</v>
      </c>
      <c r="CN26" s="713">
        <v>0</v>
      </c>
      <c r="CO26" s="710">
        <v>0</v>
      </c>
      <c r="CP26" s="713">
        <v>0</v>
      </c>
      <c r="CQ26" s="710">
        <v>0</v>
      </c>
      <c r="CR26" s="711">
        <v>0</v>
      </c>
      <c r="CS26" s="710">
        <v>0</v>
      </c>
      <c r="CT26" s="711">
        <v>0</v>
      </c>
      <c r="CU26" s="712">
        <v>0</v>
      </c>
      <c r="CV26" s="711">
        <v>0</v>
      </c>
    </row>
    <row r="27" spans="1:100">
      <c r="A27" s="467">
        <v>25</v>
      </c>
      <c r="B27" s="595">
        <v>0</v>
      </c>
      <c r="C27" s="595">
        <v>0</v>
      </c>
      <c r="D27" s="595">
        <v>0</v>
      </c>
      <c r="E27" s="595">
        <v>0</v>
      </c>
      <c r="F27" s="595">
        <f t="shared" si="0"/>
        <v>1.2500000000000001E-2</v>
      </c>
      <c r="G27" s="595">
        <v>0.01</v>
      </c>
      <c r="H27" s="595">
        <v>0</v>
      </c>
      <c r="I27" s="595">
        <v>0</v>
      </c>
      <c r="J27" s="595">
        <v>0</v>
      </c>
      <c r="K27" s="595">
        <v>0</v>
      </c>
      <c r="L27" s="595">
        <v>0</v>
      </c>
      <c r="M27" s="595">
        <v>0</v>
      </c>
      <c r="N27" s="595">
        <v>0</v>
      </c>
      <c r="O27" s="595">
        <v>0</v>
      </c>
      <c r="P27" s="595">
        <v>0</v>
      </c>
      <c r="Q27" s="595">
        <v>0</v>
      </c>
      <c r="R27" s="595">
        <v>0</v>
      </c>
      <c r="S27" s="595">
        <v>0</v>
      </c>
      <c r="T27" s="595">
        <v>0.01</v>
      </c>
      <c r="U27" s="595">
        <v>0</v>
      </c>
      <c r="V27" s="595">
        <v>0</v>
      </c>
      <c r="W27" s="611">
        <v>0</v>
      </c>
      <c r="X27" s="706"/>
      <c r="Y27" s="706"/>
      <c r="Z27" s="706"/>
      <c r="AA27" s="706"/>
      <c r="AB27" s="706"/>
      <c r="AC27" s="706"/>
      <c r="AD27" s="706"/>
      <c r="AE27" s="703">
        <v>0</v>
      </c>
      <c r="AF27" s="704">
        <v>0</v>
      </c>
      <c r="AG27" s="705">
        <v>0</v>
      </c>
      <c r="AH27" s="706">
        <v>0</v>
      </c>
      <c r="AI27" s="705">
        <v>0</v>
      </c>
      <c r="AJ27" s="703">
        <v>0</v>
      </c>
      <c r="AK27" s="705">
        <v>0</v>
      </c>
      <c r="AL27" s="707">
        <v>0</v>
      </c>
      <c r="AM27" s="703">
        <v>0</v>
      </c>
      <c r="AN27" s="703">
        <v>0</v>
      </c>
      <c r="AO27" s="707">
        <v>0</v>
      </c>
      <c r="AP27" s="708">
        <v>0</v>
      </c>
      <c r="AQ27" s="705">
        <f t="shared" si="18"/>
        <v>7.1428571428571426E-3</v>
      </c>
      <c r="AR27" s="703">
        <v>1.6250000000000001E-2</v>
      </c>
      <c r="AS27" s="705">
        <f t="shared" si="1"/>
        <v>1.2500000000000001E-2</v>
      </c>
      <c r="AT27" s="709">
        <v>2E-3</v>
      </c>
      <c r="AU27" s="703">
        <v>0</v>
      </c>
      <c r="AV27" s="705">
        <v>0</v>
      </c>
      <c r="AW27" s="710">
        <v>0</v>
      </c>
      <c r="AX27" s="711">
        <v>0</v>
      </c>
      <c r="AY27" s="710">
        <v>0</v>
      </c>
      <c r="AZ27" s="711">
        <v>0</v>
      </c>
      <c r="BA27" s="710">
        <v>0</v>
      </c>
      <c r="BB27" s="711">
        <v>0</v>
      </c>
      <c r="BC27" s="712">
        <v>0</v>
      </c>
      <c r="BD27" s="713">
        <v>0</v>
      </c>
      <c r="BE27" s="710">
        <v>0</v>
      </c>
      <c r="BF27" s="711">
        <v>0</v>
      </c>
      <c r="BG27" s="712">
        <v>0</v>
      </c>
      <c r="BH27" s="711">
        <v>0</v>
      </c>
      <c r="BI27" s="712">
        <v>0</v>
      </c>
      <c r="BJ27" s="711">
        <v>0</v>
      </c>
      <c r="BK27" s="712">
        <v>0</v>
      </c>
      <c r="BL27" s="711">
        <v>0</v>
      </c>
      <c r="BM27" s="712">
        <v>0</v>
      </c>
      <c r="BN27" s="711">
        <v>0</v>
      </c>
      <c r="BO27" s="712">
        <v>0</v>
      </c>
      <c r="BP27" s="711">
        <v>0</v>
      </c>
      <c r="BQ27" s="712">
        <v>0</v>
      </c>
      <c r="BR27" s="711">
        <v>0</v>
      </c>
      <c r="BS27" s="712">
        <v>0</v>
      </c>
      <c r="BT27" s="711">
        <v>0</v>
      </c>
      <c r="BU27" s="712">
        <v>0</v>
      </c>
      <c r="BV27" s="711">
        <v>0</v>
      </c>
      <c r="BW27" s="712">
        <v>0</v>
      </c>
      <c r="BX27" s="711">
        <v>0</v>
      </c>
      <c r="BY27" s="712">
        <v>0</v>
      </c>
      <c r="BZ27" s="711">
        <v>0</v>
      </c>
      <c r="CA27" s="712">
        <v>0</v>
      </c>
      <c r="CB27" s="711">
        <v>0</v>
      </c>
      <c r="CC27" s="710">
        <v>0</v>
      </c>
      <c r="CD27" s="713">
        <v>0</v>
      </c>
      <c r="CE27" s="710">
        <v>0</v>
      </c>
      <c r="CF27" s="713">
        <v>0</v>
      </c>
      <c r="CG27" s="710">
        <v>0</v>
      </c>
      <c r="CH27" s="713">
        <v>0</v>
      </c>
      <c r="CI27" s="710">
        <v>0</v>
      </c>
      <c r="CJ27" s="713">
        <v>0</v>
      </c>
      <c r="CK27" s="710">
        <v>0</v>
      </c>
      <c r="CL27" s="713">
        <v>0</v>
      </c>
      <c r="CM27" s="710">
        <v>0</v>
      </c>
      <c r="CN27" s="713">
        <v>0</v>
      </c>
      <c r="CO27" s="710">
        <v>0</v>
      </c>
      <c r="CP27" s="713">
        <v>0</v>
      </c>
      <c r="CQ27" s="710">
        <v>0</v>
      </c>
      <c r="CR27" s="711">
        <v>0</v>
      </c>
      <c r="CS27" s="710">
        <v>0</v>
      </c>
      <c r="CT27" s="711">
        <v>0</v>
      </c>
      <c r="CU27" s="712">
        <v>0</v>
      </c>
      <c r="CV27" s="711">
        <v>0</v>
      </c>
    </row>
    <row r="28" spans="1:100">
      <c r="A28" s="467">
        <v>26</v>
      </c>
      <c r="B28" s="595">
        <v>0</v>
      </c>
      <c r="C28" s="595">
        <v>0</v>
      </c>
      <c r="D28" s="595">
        <v>0</v>
      </c>
      <c r="E28" s="595">
        <v>0</v>
      </c>
      <c r="F28" s="595">
        <f t="shared" si="0"/>
        <v>1.2500000000000001E-2</v>
      </c>
      <c r="G28" s="595">
        <v>0.01</v>
      </c>
      <c r="H28" s="595">
        <v>0</v>
      </c>
      <c r="I28" s="595">
        <v>0</v>
      </c>
      <c r="J28" s="595">
        <v>0</v>
      </c>
      <c r="K28" s="595">
        <v>0</v>
      </c>
      <c r="L28" s="595">
        <v>0</v>
      </c>
      <c r="M28" s="595">
        <v>0</v>
      </c>
      <c r="N28" s="595">
        <v>0</v>
      </c>
      <c r="O28" s="595">
        <v>0</v>
      </c>
      <c r="P28" s="595">
        <v>0</v>
      </c>
      <c r="Q28" s="595">
        <v>0</v>
      </c>
      <c r="R28" s="595">
        <v>0</v>
      </c>
      <c r="S28" s="595">
        <v>0</v>
      </c>
      <c r="T28" s="595">
        <v>0.01</v>
      </c>
      <c r="U28" s="595">
        <v>0</v>
      </c>
      <c r="V28" s="595">
        <v>0</v>
      </c>
      <c r="W28" s="611">
        <v>0</v>
      </c>
      <c r="X28" s="706"/>
      <c r="Y28" s="706"/>
      <c r="Z28" s="706"/>
      <c r="AA28" s="706"/>
      <c r="AB28" s="706"/>
      <c r="AC28" s="706"/>
      <c r="AD28" s="706"/>
      <c r="AE28" s="703">
        <v>0</v>
      </c>
      <c r="AF28" s="704">
        <v>0</v>
      </c>
      <c r="AG28" s="705">
        <v>0</v>
      </c>
      <c r="AH28" s="706">
        <v>0</v>
      </c>
      <c r="AI28" s="705">
        <v>0</v>
      </c>
      <c r="AJ28" s="703">
        <v>0</v>
      </c>
      <c r="AK28" s="705">
        <v>0</v>
      </c>
      <c r="AL28" s="707">
        <v>0</v>
      </c>
      <c r="AM28" s="703">
        <v>0</v>
      </c>
      <c r="AN28" s="703">
        <v>0</v>
      </c>
      <c r="AO28" s="707">
        <v>0</v>
      </c>
      <c r="AP28" s="708">
        <v>0</v>
      </c>
      <c r="AQ28" s="705">
        <f t="shared" si="18"/>
        <v>7.1428571428571426E-3</v>
      </c>
      <c r="AR28" s="703">
        <v>1.6250000000000001E-2</v>
      </c>
      <c r="AS28" s="705">
        <f t="shared" si="1"/>
        <v>1.2500000000000001E-2</v>
      </c>
      <c r="AT28" s="709">
        <v>2E-3</v>
      </c>
      <c r="AU28" s="703">
        <v>0</v>
      </c>
      <c r="AV28" s="705">
        <v>0</v>
      </c>
      <c r="AW28" s="710">
        <v>0</v>
      </c>
      <c r="AX28" s="711">
        <v>0</v>
      </c>
      <c r="AY28" s="710">
        <v>0</v>
      </c>
      <c r="AZ28" s="711">
        <v>0</v>
      </c>
      <c r="BA28" s="710">
        <v>0</v>
      </c>
      <c r="BB28" s="711">
        <v>0</v>
      </c>
      <c r="BC28" s="712">
        <v>0</v>
      </c>
      <c r="BD28" s="713">
        <v>0</v>
      </c>
      <c r="BE28" s="710">
        <v>0</v>
      </c>
      <c r="BF28" s="711">
        <v>0</v>
      </c>
      <c r="BG28" s="712">
        <v>0</v>
      </c>
      <c r="BH28" s="711">
        <v>0</v>
      </c>
      <c r="BI28" s="712">
        <v>0</v>
      </c>
      <c r="BJ28" s="711">
        <v>0</v>
      </c>
      <c r="BK28" s="712">
        <v>0</v>
      </c>
      <c r="BL28" s="711">
        <v>0</v>
      </c>
      <c r="BM28" s="712">
        <v>0</v>
      </c>
      <c r="BN28" s="711">
        <v>0</v>
      </c>
      <c r="BO28" s="712">
        <v>0</v>
      </c>
      <c r="BP28" s="711">
        <v>0</v>
      </c>
      <c r="BQ28" s="712">
        <v>0</v>
      </c>
      <c r="BR28" s="711">
        <v>0</v>
      </c>
      <c r="BS28" s="712">
        <v>0</v>
      </c>
      <c r="BT28" s="711">
        <v>0</v>
      </c>
      <c r="BU28" s="712">
        <v>0</v>
      </c>
      <c r="BV28" s="711">
        <v>0</v>
      </c>
      <c r="BW28" s="712">
        <v>0</v>
      </c>
      <c r="BX28" s="711">
        <v>0</v>
      </c>
      <c r="BY28" s="712">
        <v>0</v>
      </c>
      <c r="BZ28" s="711">
        <v>0</v>
      </c>
      <c r="CA28" s="712">
        <v>0</v>
      </c>
      <c r="CB28" s="711">
        <v>0</v>
      </c>
      <c r="CC28" s="710">
        <v>0</v>
      </c>
      <c r="CD28" s="713">
        <v>0</v>
      </c>
      <c r="CE28" s="710">
        <v>0</v>
      </c>
      <c r="CF28" s="713">
        <v>0</v>
      </c>
      <c r="CG28" s="710">
        <v>0</v>
      </c>
      <c r="CH28" s="713">
        <v>0</v>
      </c>
      <c r="CI28" s="710">
        <v>0</v>
      </c>
      <c r="CJ28" s="713">
        <v>0</v>
      </c>
      <c r="CK28" s="710">
        <v>0</v>
      </c>
      <c r="CL28" s="713">
        <v>0</v>
      </c>
      <c r="CM28" s="710">
        <v>0</v>
      </c>
      <c r="CN28" s="713">
        <v>0</v>
      </c>
      <c r="CO28" s="710">
        <v>0</v>
      </c>
      <c r="CP28" s="713">
        <v>0</v>
      </c>
      <c r="CQ28" s="710">
        <v>0</v>
      </c>
      <c r="CR28" s="711">
        <v>0</v>
      </c>
      <c r="CS28" s="710">
        <v>0</v>
      </c>
      <c r="CT28" s="711">
        <v>0</v>
      </c>
      <c r="CU28" s="712">
        <v>0</v>
      </c>
      <c r="CV28" s="711">
        <v>0</v>
      </c>
    </row>
    <row r="29" spans="1:100">
      <c r="A29" s="467">
        <v>27</v>
      </c>
      <c r="B29" s="595">
        <v>0</v>
      </c>
      <c r="C29" s="595">
        <v>0</v>
      </c>
      <c r="D29" s="595">
        <v>0</v>
      </c>
      <c r="E29" s="595">
        <v>0</v>
      </c>
      <c r="F29" s="595">
        <f t="shared" si="0"/>
        <v>1.2500000000000001E-2</v>
      </c>
      <c r="G29" s="595">
        <v>0.01</v>
      </c>
      <c r="H29" s="595">
        <v>0</v>
      </c>
      <c r="I29" s="595">
        <v>0</v>
      </c>
      <c r="J29" s="595">
        <v>0</v>
      </c>
      <c r="K29" s="595">
        <v>0</v>
      </c>
      <c r="L29" s="595">
        <v>0</v>
      </c>
      <c r="M29" s="595">
        <v>0</v>
      </c>
      <c r="N29" s="595">
        <v>0</v>
      </c>
      <c r="O29" s="595">
        <v>0</v>
      </c>
      <c r="P29" s="595">
        <v>0</v>
      </c>
      <c r="Q29" s="595">
        <v>0</v>
      </c>
      <c r="R29" s="595">
        <v>0</v>
      </c>
      <c r="S29" s="595">
        <v>0</v>
      </c>
      <c r="T29" s="595">
        <v>0.01</v>
      </c>
      <c r="U29" s="595">
        <v>0</v>
      </c>
      <c r="V29" s="595">
        <v>0</v>
      </c>
      <c r="W29" s="611">
        <v>0</v>
      </c>
      <c r="X29" s="706"/>
      <c r="Y29" s="706"/>
      <c r="Z29" s="706"/>
      <c r="AA29" s="706"/>
      <c r="AB29" s="706"/>
      <c r="AC29" s="706"/>
      <c r="AD29" s="706"/>
      <c r="AE29" s="703">
        <v>0</v>
      </c>
      <c r="AF29" s="704">
        <v>0</v>
      </c>
      <c r="AG29" s="705">
        <v>0</v>
      </c>
      <c r="AH29" s="706">
        <v>0</v>
      </c>
      <c r="AI29" s="705">
        <v>0</v>
      </c>
      <c r="AJ29" s="703">
        <v>0</v>
      </c>
      <c r="AK29" s="705">
        <v>0</v>
      </c>
      <c r="AL29" s="707">
        <v>0</v>
      </c>
      <c r="AM29" s="703">
        <v>0</v>
      </c>
      <c r="AN29" s="703">
        <v>0</v>
      </c>
      <c r="AO29" s="707">
        <v>0</v>
      </c>
      <c r="AP29" s="708">
        <v>0</v>
      </c>
      <c r="AQ29" s="705">
        <f t="shared" si="18"/>
        <v>7.1428571428571426E-3</v>
      </c>
      <c r="AR29" s="703">
        <v>1.6250000000000001E-2</v>
      </c>
      <c r="AS29" s="705">
        <f t="shared" si="1"/>
        <v>1.2500000000000001E-2</v>
      </c>
      <c r="AT29" s="709">
        <v>2E-3</v>
      </c>
      <c r="AU29" s="703">
        <v>0</v>
      </c>
      <c r="AV29" s="705">
        <v>0</v>
      </c>
      <c r="AW29" s="710">
        <v>0</v>
      </c>
      <c r="AX29" s="711">
        <v>0</v>
      </c>
      <c r="AY29" s="710">
        <v>0</v>
      </c>
      <c r="AZ29" s="711">
        <v>0</v>
      </c>
      <c r="BA29" s="710">
        <v>0</v>
      </c>
      <c r="BB29" s="711">
        <v>0</v>
      </c>
      <c r="BC29" s="712">
        <v>0</v>
      </c>
      <c r="BD29" s="713">
        <v>0</v>
      </c>
      <c r="BE29" s="710">
        <v>0</v>
      </c>
      <c r="BF29" s="711">
        <v>0</v>
      </c>
      <c r="BG29" s="712">
        <v>0</v>
      </c>
      <c r="BH29" s="711">
        <v>0</v>
      </c>
      <c r="BI29" s="712">
        <v>0</v>
      </c>
      <c r="BJ29" s="711">
        <v>0</v>
      </c>
      <c r="BK29" s="712">
        <v>0</v>
      </c>
      <c r="BL29" s="711">
        <v>0</v>
      </c>
      <c r="BM29" s="712">
        <v>0</v>
      </c>
      <c r="BN29" s="711">
        <v>0</v>
      </c>
      <c r="BO29" s="712">
        <v>0</v>
      </c>
      <c r="BP29" s="711">
        <v>0</v>
      </c>
      <c r="BQ29" s="712">
        <v>0</v>
      </c>
      <c r="BR29" s="711">
        <v>0</v>
      </c>
      <c r="BS29" s="712">
        <v>0</v>
      </c>
      <c r="BT29" s="711">
        <v>0</v>
      </c>
      <c r="BU29" s="712">
        <v>0</v>
      </c>
      <c r="BV29" s="711">
        <v>0</v>
      </c>
      <c r="BW29" s="712">
        <v>0</v>
      </c>
      <c r="BX29" s="711">
        <v>0</v>
      </c>
      <c r="BY29" s="712">
        <v>0</v>
      </c>
      <c r="BZ29" s="711">
        <v>0</v>
      </c>
      <c r="CA29" s="712">
        <v>0</v>
      </c>
      <c r="CB29" s="711">
        <v>0</v>
      </c>
      <c r="CC29" s="710">
        <v>0</v>
      </c>
      <c r="CD29" s="713">
        <v>0</v>
      </c>
      <c r="CE29" s="710">
        <v>0</v>
      </c>
      <c r="CF29" s="713">
        <v>0</v>
      </c>
      <c r="CG29" s="710">
        <v>0</v>
      </c>
      <c r="CH29" s="713">
        <v>0</v>
      </c>
      <c r="CI29" s="710">
        <v>0</v>
      </c>
      <c r="CJ29" s="713">
        <v>0</v>
      </c>
      <c r="CK29" s="710">
        <v>0</v>
      </c>
      <c r="CL29" s="713">
        <v>0</v>
      </c>
      <c r="CM29" s="710">
        <v>0</v>
      </c>
      <c r="CN29" s="713">
        <v>0</v>
      </c>
      <c r="CO29" s="710">
        <v>0</v>
      </c>
      <c r="CP29" s="713">
        <v>0</v>
      </c>
      <c r="CQ29" s="710">
        <v>0</v>
      </c>
      <c r="CR29" s="711">
        <v>0</v>
      </c>
      <c r="CS29" s="710">
        <v>0</v>
      </c>
      <c r="CT29" s="711">
        <v>0</v>
      </c>
      <c r="CU29" s="712">
        <v>0</v>
      </c>
      <c r="CV29" s="711">
        <v>0</v>
      </c>
    </row>
    <row r="30" spans="1:100">
      <c r="A30" s="467">
        <v>28</v>
      </c>
      <c r="B30" s="595">
        <v>0</v>
      </c>
      <c r="C30" s="595">
        <v>0</v>
      </c>
      <c r="D30" s="595">
        <v>0</v>
      </c>
      <c r="E30" s="595">
        <v>0</v>
      </c>
      <c r="F30" s="595">
        <f t="shared" si="0"/>
        <v>1.2500000000000001E-2</v>
      </c>
      <c r="G30" s="595">
        <v>0.01</v>
      </c>
      <c r="H30" s="595">
        <v>0</v>
      </c>
      <c r="I30" s="595">
        <v>0</v>
      </c>
      <c r="J30" s="595">
        <v>0</v>
      </c>
      <c r="K30" s="595">
        <v>0</v>
      </c>
      <c r="L30" s="595">
        <v>0</v>
      </c>
      <c r="M30" s="595">
        <v>0</v>
      </c>
      <c r="N30" s="595">
        <v>0</v>
      </c>
      <c r="O30" s="595">
        <v>0</v>
      </c>
      <c r="P30" s="595">
        <v>0</v>
      </c>
      <c r="Q30" s="595">
        <v>0</v>
      </c>
      <c r="R30" s="595">
        <v>0</v>
      </c>
      <c r="S30" s="595">
        <v>0</v>
      </c>
      <c r="T30" s="595">
        <v>0.01</v>
      </c>
      <c r="U30" s="595">
        <v>0</v>
      </c>
      <c r="V30" s="595">
        <v>0</v>
      </c>
      <c r="W30" s="611">
        <v>0</v>
      </c>
      <c r="X30" s="706"/>
      <c r="Y30" s="706"/>
      <c r="Z30" s="706"/>
      <c r="AA30" s="706"/>
      <c r="AB30" s="706"/>
      <c r="AC30" s="706"/>
      <c r="AD30" s="706"/>
      <c r="AE30" s="703">
        <v>0</v>
      </c>
      <c r="AF30" s="704">
        <v>0</v>
      </c>
      <c r="AG30" s="705">
        <v>0</v>
      </c>
      <c r="AH30" s="706">
        <v>0</v>
      </c>
      <c r="AI30" s="705">
        <v>0</v>
      </c>
      <c r="AJ30" s="703">
        <v>0</v>
      </c>
      <c r="AK30" s="705">
        <v>0</v>
      </c>
      <c r="AL30" s="707">
        <v>0</v>
      </c>
      <c r="AM30" s="703">
        <v>0</v>
      </c>
      <c r="AN30" s="703">
        <v>0</v>
      </c>
      <c r="AO30" s="707">
        <v>0</v>
      </c>
      <c r="AP30" s="708">
        <v>0</v>
      </c>
      <c r="AQ30" s="705">
        <f t="shared" si="18"/>
        <v>7.1428571428571426E-3</v>
      </c>
      <c r="AR30" s="703">
        <v>1.6250000000000001E-2</v>
      </c>
      <c r="AS30" s="705">
        <f t="shared" si="1"/>
        <v>1.2500000000000001E-2</v>
      </c>
      <c r="AT30" s="709">
        <v>2E-3</v>
      </c>
      <c r="AU30" s="703">
        <v>0</v>
      </c>
      <c r="AV30" s="705">
        <v>0</v>
      </c>
      <c r="AW30" s="710">
        <v>0</v>
      </c>
      <c r="AX30" s="711">
        <v>0</v>
      </c>
      <c r="AY30" s="710">
        <v>0</v>
      </c>
      <c r="AZ30" s="711">
        <v>0</v>
      </c>
      <c r="BA30" s="710">
        <v>0</v>
      </c>
      <c r="BB30" s="711">
        <v>0</v>
      </c>
      <c r="BC30" s="712">
        <v>0</v>
      </c>
      <c r="BD30" s="713">
        <v>0</v>
      </c>
      <c r="BE30" s="710">
        <v>0</v>
      </c>
      <c r="BF30" s="711">
        <v>0</v>
      </c>
      <c r="BG30" s="712">
        <v>0</v>
      </c>
      <c r="BH30" s="711">
        <v>0</v>
      </c>
      <c r="BI30" s="712">
        <v>0</v>
      </c>
      <c r="BJ30" s="711">
        <v>0</v>
      </c>
      <c r="BK30" s="712">
        <v>0</v>
      </c>
      <c r="BL30" s="711">
        <v>0</v>
      </c>
      <c r="BM30" s="712">
        <v>0</v>
      </c>
      <c r="BN30" s="711">
        <v>0</v>
      </c>
      <c r="BO30" s="712">
        <v>0</v>
      </c>
      <c r="BP30" s="711">
        <v>0</v>
      </c>
      <c r="BQ30" s="712">
        <v>0</v>
      </c>
      <c r="BR30" s="711">
        <v>0</v>
      </c>
      <c r="BS30" s="712">
        <v>0</v>
      </c>
      <c r="BT30" s="711">
        <v>0</v>
      </c>
      <c r="BU30" s="712">
        <v>0</v>
      </c>
      <c r="BV30" s="711">
        <v>0</v>
      </c>
      <c r="BW30" s="712">
        <v>0</v>
      </c>
      <c r="BX30" s="711">
        <v>0</v>
      </c>
      <c r="BY30" s="712">
        <v>0</v>
      </c>
      <c r="BZ30" s="711">
        <v>0</v>
      </c>
      <c r="CA30" s="712">
        <v>0</v>
      </c>
      <c r="CB30" s="711">
        <v>0</v>
      </c>
      <c r="CC30" s="710">
        <v>0</v>
      </c>
      <c r="CD30" s="713">
        <v>0</v>
      </c>
      <c r="CE30" s="710">
        <v>0</v>
      </c>
      <c r="CF30" s="713">
        <v>0</v>
      </c>
      <c r="CG30" s="710">
        <v>0</v>
      </c>
      <c r="CH30" s="713">
        <v>0</v>
      </c>
      <c r="CI30" s="710">
        <v>0</v>
      </c>
      <c r="CJ30" s="713">
        <v>0</v>
      </c>
      <c r="CK30" s="710">
        <v>0</v>
      </c>
      <c r="CL30" s="713">
        <v>0</v>
      </c>
      <c r="CM30" s="710">
        <v>0</v>
      </c>
      <c r="CN30" s="713">
        <v>0</v>
      </c>
      <c r="CO30" s="710">
        <v>0</v>
      </c>
      <c r="CP30" s="713">
        <v>0</v>
      </c>
      <c r="CQ30" s="710">
        <v>0</v>
      </c>
      <c r="CR30" s="711">
        <v>0</v>
      </c>
      <c r="CS30" s="710">
        <v>0</v>
      </c>
      <c r="CT30" s="711">
        <v>0</v>
      </c>
      <c r="CU30" s="712">
        <v>0</v>
      </c>
      <c r="CV30" s="711">
        <v>0</v>
      </c>
    </row>
    <row r="31" spans="1:100">
      <c r="A31" s="467">
        <v>29</v>
      </c>
      <c r="B31" s="595">
        <v>0</v>
      </c>
      <c r="C31" s="595">
        <v>0</v>
      </c>
      <c r="D31" s="595">
        <v>0</v>
      </c>
      <c r="E31" s="595">
        <v>0</v>
      </c>
      <c r="F31" s="595">
        <f t="shared" si="0"/>
        <v>1.2500000000000001E-2</v>
      </c>
      <c r="G31" s="595">
        <v>0.01</v>
      </c>
      <c r="H31" s="595">
        <v>0</v>
      </c>
      <c r="I31" s="595">
        <v>0</v>
      </c>
      <c r="J31" s="595">
        <v>0</v>
      </c>
      <c r="K31" s="595">
        <v>0</v>
      </c>
      <c r="L31" s="595">
        <v>0</v>
      </c>
      <c r="M31" s="595">
        <v>0</v>
      </c>
      <c r="N31" s="595">
        <v>0</v>
      </c>
      <c r="O31" s="595">
        <v>0</v>
      </c>
      <c r="P31" s="595">
        <v>0</v>
      </c>
      <c r="Q31" s="595">
        <v>0</v>
      </c>
      <c r="R31" s="595">
        <v>0</v>
      </c>
      <c r="S31" s="595">
        <v>0</v>
      </c>
      <c r="T31" s="595">
        <v>0.01</v>
      </c>
      <c r="U31" s="595">
        <v>0</v>
      </c>
      <c r="V31" s="595">
        <v>0</v>
      </c>
      <c r="W31" s="611">
        <v>0</v>
      </c>
      <c r="X31" s="706"/>
      <c r="Y31" s="706"/>
      <c r="Z31" s="706"/>
      <c r="AA31" s="706"/>
      <c r="AB31" s="706"/>
      <c r="AC31" s="706"/>
      <c r="AD31" s="706"/>
      <c r="AE31" s="703">
        <v>0</v>
      </c>
      <c r="AF31" s="704">
        <v>0</v>
      </c>
      <c r="AG31" s="705">
        <v>0</v>
      </c>
      <c r="AH31" s="706">
        <v>0</v>
      </c>
      <c r="AI31" s="705">
        <v>0</v>
      </c>
      <c r="AJ31" s="703">
        <v>0</v>
      </c>
      <c r="AK31" s="705">
        <v>0</v>
      </c>
      <c r="AL31" s="707">
        <v>0</v>
      </c>
      <c r="AM31" s="703">
        <v>0</v>
      </c>
      <c r="AN31" s="703">
        <v>0</v>
      </c>
      <c r="AO31" s="707">
        <v>0</v>
      </c>
      <c r="AP31" s="708">
        <v>0</v>
      </c>
      <c r="AQ31" s="705">
        <f t="shared" si="18"/>
        <v>7.1428571428571426E-3</v>
      </c>
      <c r="AR31" s="703">
        <v>1.6250000000000001E-2</v>
      </c>
      <c r="AS31" s="705">
        <f t="shared" si="1"/>
        <v>1.2500000000000001E-2</v>
      </c>
      <c r="AT31" s="709">
        <v>2E-3</v>
      </c>
      <c r="AU31" s="703">
        <v>0</v>
      </c>
      <c r="AV31" s="705">
        <v>0</v>
      </c>
      <c r="AW31" s="710">
        <v>0</v>
      </c>
      <c r="AX31" s="711">
        <v>0</v>
      </c>
      <c r="AY31" s="710">
        <v>0</v>
      </c>
      <c r="AZ31" s="711">
        <v>0</v>
      </c>
      <c r="BA31" s="710">
        <v>0</v>
      </c>
      <c r="BB31" s="711">
        <v>0</v>
      </c>
      <c r="BC31" s="712">
        <v>0</v>
      </c>
      <c r="BD31" s="713">
        <v>0</v>
      </c>
      <c r="BE31" s="710">
        <v>0</v>
      </c>
      <c r="BF31" s="711">
        <v>0</v>
      </c>
      <c r="BG31" s="712">
        <v>0</v>
      </c>
      <c r="BH31" s="711">
        <v>0</v>
      </c>
      <c r="BI31" s="712">
        <v>0</v>
      </c>
      <c r="BJ31" s="711">
        <v>0</v>
      </c>
      <c r="BK31" s="712">
        <v>0</v>
      </c>
      <c r="BL31" s="711">
        <v>0</v>
      </c>
      <c r="BM31" s="712">
        <v>0</v>
      </c>
      <c r="BN31" s="711">
        <v>0</v>
      </c>
      <c r="BO31" s="712">
        <v>0</v>
      </c>
      <c r="BP31" s="711">
        <v>0</v>
      </c>
      <c r="BQ31" s="712">
        <v>0</v>
      </c>
      <c r="BR31" s="711">
        <v>0</v>
      </c>
      <c r="BS31" s="712">
        <v>0</v>
      </c>
      <c r="BT31" s="711">
        <v>0</v>
      </c>
      <c r="BU31" s="712">
        <v>0</v>
      </c>
      <c r="BV31" s="711">
        <v>0</v>
      </c>
      <c r="BW31" s="712">
        <v>0</v>
      </c>
      <c r="BX31" s="711">
        <v>0</v>
      </c>
      <c r="BY31" s="712">
        <v>0</v>
      </c>
      <c r="BZ31" s="711">
        <v>0</v>
      </c>
      <c r="CA31" s="712">
        <v>0</v>
      </c>
      <c r="CB31" s="711">
        <v>0</v>
      </c>
      <c r="CC31" s="710">
        <v>0</v>
      </c>
      <c r="CD31" s="713">
        <v>0</v>
      </c>
      <c r="CE31" s="710">
        <v>0</v>
      </c>
      <c r="CF31" s="713">
        <v>0</v>
      </c>
      <c r="CG31" s="710">
        <v>0</v>
      </c>
      <c r="CH31" s="713">
        <v>0</v>
      </c>
      <c r="CI31" s="710">
        <v>0</v>
      </c>
      <c r="CJ31" s="713">
        <v>0</v>
      </c>
      <c r="CK31" s="710">
        <v>0</v>
      </c>
      <c r="CL31" s="713">
        <v>0</v>
      </c>
      <c r="CM31" s="710">
        <v>0</v>
      </c>
      <c r="CN31" s="713">
        <v>0</v>
      </c>
      <c r="CO31" s="710">
        <v>0</v>
      </c>
      <c r="CP31" s="713">
        <v>0</v>
      </c>
      <c r="CQ31" s="710">
        <v>0</v>
      </c>
      <c r="CR31" s="711">
        <v>0</v>
      </c>
      <c r="CS31" s="710">
        <v>0</v>
      </c>
      <c r="CT31" s="711">
        <v>0</v>
      </c>
      <c r="CU31" s="712">
        <v>0</v>
      </c>
      <c r="CV31" s="711">
        <v>0</v>
      </c>
    </row>
    <row r="32" spans="1:100">
      <c r="A32" s="467">
        <v>30</v>
      </c>
      <c r="B32" s="595">
        <v>0</v>
      </c>
      <c r="C32" s="595">
        <v>0</v>
      </c>
      <c r="D32" s="595">
        <v>0</v>
      </c>
      <c r="E32" s="595">
        <v>0</v>
      </c>
      <c r="F32" s="595">
        <f t="shared" si="0"/>
        <v>1.2500000000000001E-2</v>
      </c>
      <c r="G32" s="595">
        <v>0.01</v>
      </c>
      <c r="H32" s="595">
        <v>0</v>
      </c>
      <c r="I32" s="595">
        <v>0</v>
      </c>
      <c r="J32" s="595">
        <v>0</v>
      </c>
      <c r="K32" s="595">
        <v>0</v>
      </c>
      <c r="L32" s="595">
        <v>0</v>
      </c>
      <c r="M32" s="595">
        <v>0</v>
      </c>
      <c r="N32" s="595">
        <v>0</v>
      </c>
      <c r="O32" s="595">
        <v>0</v>
      </c>
      <c r="P32" s="595">
        <v>0</v>
      </c>
      <c r="Q32" s="595">
        <v>0</v>
      </c>
      <c r="R32" s="595">
        <v>0</v>
      </c>
      <c r="S32" s="595">
        <v>0</v>
      </c>
      <c r="T32" s="595">
        <v>0.01</v>
      </c>
      <c r="U32" s="595">
        <v>0</v>
      </c>
      <c r="V32" s="595">
        <v>0</v>
      </c>
      <c r="W32" s="611">
        <v>0</v>
      </c>
      <c r="X32" s="706"/>
      <c r="Y32" s="706"/>
      <c r="Z32" s="706"/>
      <c r="AA32" s="706"/>
      <c r="AB32" s="706"/>
      <c r="AC32" s="706"/>
      <c r="AD32" s="706"/>
      <c r="AE32" s="703">
        <v>0</v>
      </c>
      <c r="AF32" s="704">
        <v>0</v>
      </c>
      <c r="AG32" s="705">
        <v>0</v>
      </c>
      <c r="AH32" s="706">
        <v>0</v>
      </c>
      <c r="AI32" s="705">
        <v>0</v>
      </c>
      <c r="AJ32" s="703">
        <v>0</v>
      </c>
      <c r="AK32" s="705">
        <v>0</v>
      </c>
      <c r="AL32" s="707">
        <v>0</v>
      </c>
      <c r="AM32" s="703">
        <v>0</v>
      </c>
      <c r="AN32" s="703">
        <v>0</v>
      </c>
      <c r="AO32" s="707">
        <v>0</v>
      </c>
      <c r="AP32" s="708">
        <v>0</v>
      </c>
      <c r="AQ32" s="705">
        <f t="shared" si="18"/>
        <v>7.1428571428571426E-3</v>
      </c>
      <c r="AR32" s="703">
        <v>1.6E-2</v>
      </c>
      <c r="AS32" s="705">
        <f t="shared" si="1"/>
        <v>1.2500000000000001E-2</v>
      </c>
      <c r="AT32" s="709">
        <v>2E-3</v>
      </c>
      <c r="AU32" s="703">
        <v>0</v>
      </c>
      <c r="AV32" s="705">
        <v>0</v>
      </c>
      <c r="AW32" s="710">
        <v>0</v>
      </c>
      <c r="AX32" s="711">
        <v>0</v>
      </c>
      <c r="AY32" s="710">
        <v>0</v>
      </c>
      <c r="AZ32" s="711">
        <v>0</v>
      </c>
      <c r="BA32" s="710">
        <v>0</v>
      </c>
      <c r="BB32" s="711">
        <v>0</v>
      </c>
      <c r="BC32" s="712">
        <v>0</v>
      </c>
      <c r="BD32" s="713">
        <v>0</v>
      </c>
      <c r="BE32" s="710">
        <v>0</v>
      </c>
      <c r="BF32" s="711">
        <v>0</v>
      </c>
      <c r="BG32" s="712">
        <v>0</v>
      </c>
      <c r="BH32" s="711">
        <v>0</v>
      </c>
      <c r="BI32" s="712">
        <v>0</v>
      </c>
      <c r="BJ32" s="711">
        <v>0</v>
      </c>
      <c r="BK32" s="712">
        <v>0</v>
      </c>
      <c r="BL32" s="711">
        <v>0</v>
      </c>
      <c r="BM32" s="712">
        <v>0</v>
      </c>
      <c r="BN32" s="711">
        <v>0</v>
      </c>
      <c r="BO32" s="712">
        <v>0</v>
      </c>
      <c r="BP32" s="711">
        <v>0</v>
      </c>
      <c r="BQ32" s="712">
        <v>0</v>
      </c>
      <c r="BR32" s="711">
        <v>0</v>
      </c>
      <c r="BS32" s="712">
        <v>0</v>
      </c>
      <c r="BT32" s="711">
        <v>0</v>
      </c>
      <c r="BU32" s="712">
        <v>0</v>
      </c>
      <c r="BV32" s="711">
        <v>0</v>
      </c>
      <c r="BW32" s="712">
        <v>0</v>
      </c>
      <c r="BX32" s="711">
        <v>0</v>
      </c>
      <c r="BY32" s="712">
        <v>0</v>
      </c>
      <c r="BZ32" s="711">
        <v>0</v>
      </c>
      <c r="CA32" s="712">
        <v>0</v>
      </c>
      <c r="CB32" s="711">
        <v>0</v>
      </c>
      <c r="CC32" s="710">
        <v>0</v>
      </c>
      <c r="CD32" s="713">
        <v>0</v>
      </c>
      <c r="CE32" s="710">
        <v>0</v>
      </c>
      <c r="CF32" s="713">
        <v>0</v>
      </c>
      <c r="CG32" s="710">
        <v>0</v>
      </c>
      <c r="CH32" s="713">
        <v>0</v>
      </c>
      <c r="CI32" s="710">
        <v>0</v>
      </c>
      <c r="CJ32" s="713">
        <v>0</v>
      </c>
      <c r="CK32" s="710">
        <v>0</v>
      </c>
      <c r="CL32" s="713">
        <v>0</v>
      </c>
      <c r="CM32" s="710">
        <v>0</v>
      </c>
      <c r="CN32" s="713">
        <v>0</v>
      </c>
      <c r="CO32" s="710">
        <v>0</v>
      </c>
      <c r="CP32" s="713">
        <v>0</v>
      </c>
      <c r="CQ32" s="710">
        <v>0</v>
      </c>
      <c r="CR32" s="711">
        <v>0</v>
      </c>
      <c r="CS32" s="710">
        <v>0</v>
      </c>
      <c r="CT32" s="711">
        <v>0</v>
      </c>
      <c r="CU32" s="712">
        <v>0</v>
      </c>
      <c r="CV32" s="711">
        <v>0</v>
      </c>
    </row>
    <row r="33" spans="1:100">
      <c r="A33" s="467">
        <v>31</v>
      </c>
      <c r="B33" s="595">
        <v>0</v>
      </c>
      <c r="C33" s="595">
        <v>0</v>
      </c>
      <c r="D33" s="595">
        <v>0</v>
      </c>
      <c r="E33" s="595">
        <v>0</v>
      </c>
      <c r="F33" s="595">
        <f t="shared" si="0"/>
        <v>1.2500000000000001E-2</v>
      </c>
      <c r="G33" s="595">
        <v>0.01</v>
      </c>
      <c r="H33" s="595">
        <v>0</v>
      </c>
      <c r="I33" s="595">
        <v>0</v>
      </c>
      <c r="J33" s="595">
        <v>0</v>
      </c>
      <c r="K33" s="595">
        <v>0</v>
      </c>
      <c r="L33" s="595">
        <v>0</v>
      </c>
      <c r="M33" s="595">
        <v>0</v>
      </c>
      <c r="N33" s="595">
        <v>0</v>
      </c>
      <c r="O33" s="595">
        <v>0</v>
      </c>
      <c r="P33" s="595">
        <v>0</v>
      </c>
      <c r="Q33" s="595">
        <v>0</v>
      </c>
      <c r="R33" s="595">
        <v>0</v>
      </c>
      <c r="S33" s="595">
        <v>0</v>
      </c>
      <c r="T33" s="595">
        <v>0.01</v>
      </c>
      <c r="U33" s="595">
        <v>0</v>
      </c>
      <c r="V33" s="595">
        <v>0</v>
      </c>
      <c r="W33" s="611">
        <v>0</v>
      </c>
      <c r="X33" s="706"/>
      <c r="Y33" s="706"/>
      <c r="Z33" s="706"/>
      <c r="AA33" s="706"/>
      <c r="AB33" s="706"/>
      <c r="AC33" s="706"/>
      <c r="AD33" s="706"/>
      <c r="AE33" s="703">
        <v>0</v>
      </c>
      <c r="AF33" s="704">
        <v>0</v>
      </c>
      <c r="AG33" s="705">
        <v>0</v>
      </c>
      <c r="AH33" s="706">
        <v>0</v>
      </c>
      <c r="AI33" s="705">
        <v>0</v>
      </c>
      <c r="AJ33" s="703">
        <v>0</v>
      </c>
      <c r="AK33" s="705">
        <v>0</v>
      </c>
      <c r="AL33" s="707">
        <v>0</v>
      </c>
      <c r="AM33" s="703">
        <v>0</v>
      </c>
      <c r="AN33" s="703">
        <v>0</v>
      </c>
      <c r="AO33" s="707">
        <v>0</v>
      </c>
      <c r="AP33" s="708">
        <v>0</v>
      </c>
      <c r="AQ33" s="705">
        <f t="shared" si="18"/>
        <v>7.1428571428571426E-3</v>
      </c>
      <c r="AR33" s="703">
        <v>1.6E-2</v>
      </c>
      <c r="AS33" s="705">
        <f t="shared" si="1"/>
        <v>1.2500000000000001E-2</v>
      </c>
      <c r="AT33" s="709">
        <v>2E-3</v>
      </c>
      <c r="AU33" s="703">
        <v>0</v>
      </c>
      <c r="AV33" s="705">
        <v>0</v>
      </c>
      <c r="AW33" s="710">
        <v>0</v>
      </c>
      <c r="AX33" s="711">
        <v>0</v>
      </c>
      <c r="AY33" s="710">
        <v>0</v>
      </c>
      <c r="AZ33" s="711">
        <v>0</v>
      </c>
      <c r="BA33" s="710">
        <v>0</v>
      </c>
      <c r="BB33" s="711">
        <v>0</v>
      </c>
      <c r="BC33" s="712">
        <v>0</v>
      </c>
      <c r="BD33" s="713">
        <v>0</v>
      </c>
      <c r="BE33" s="710">
        <v>0</v>
      </c>
      <c r="BF33" s="711">
        <v>0</v>
      </c>
      <c r="BG33" s="712">
        <v>0</v>
      </c>
      <c r="BH33" s="711">
        <v>0</v>
      </c>
      <c r="BI33" s="712">
        <v>0</v>
      </c>
      <c r="BJ33" s="711">
        <v>0</v>
      </c>
      <c r="BK33" s="712">
        <v>0</v>
      </c>
      <c r="BL33" s="711">
        <v>0</v>
      </c>
      <c r="BM33" s="712">
        <v>0</v>
      </c>
      <c r="BN33" s="711">
        <v>0</v>
      </c>
      <c r="BO33" s="712">
        <v>0</v>
      </c>
      <c r="BP33" s="711">
        <v>0</v>
      </c>
      <c r="BQ33" s="712">
        <v>0</v>
      </c>
      <c r="BR33" s="711">
        <v>0</v>
      </c>
      <c r="BS33" s="712">
        <v>0</v>
      </c>
      <c r="BT33" s="711">
        <v>0</v>
      </c>
      <c r="BU33" s="712">
        <v>0</v>
      </c>
      <c r="BV33" s="711">
        <v>0</v>
      </c>
      <c r="BW33" s="712">
        <v>0</v>
      </c>
      <c r="BX33" s="711">
        <v>0</v>
      </c>
      <c r="BY33" s="712">
        <v>0</v>
      </c>
      <c r="BZ33" s="711">
        <v>0</v>
      </c>
      <c r="CA33" s="712">
        <v>0</v>
      </c>
      <c r="CB33" s="711">
        <v>0</v>
      </c>
      <c r="CC33" s="710">
        <v>0</v>
      </c>
      <c r="CD33" s="713">
        <v>0</v>
      </c>
      <c r="CE33" s="710">
        <v>0</v>
      </c>
      <c r="CF33" s="713">
        <v>0</v>
      </c>
      <c r="CG33" s="710">
        <v>0</v>
      </c>
      <c r="CH33" s="713">
        <v>0</v>
      </c>
      <c r="CI33" s="710">
        <v>0</v>
      </c>
      <c r="CJ33" s="713">
        <v>0</v>
      </c>
      <c r="CK33" s="710">
        <v>0</v>
      </c>
      <c r="CL33" s="713">
        <v>0</v>
      </c>
      <c r="CM33" s="710">
        <v>0</v>
      </c>
      <c r="CN33" s="713">
        <v>0</v>
      </c>
      <c r="CO33" s="710">
        <v>0</v>
      </c>
      <c r="CP33" s="713">
        <v>0</v>
      </c>
      <c r="CQ33" s="710">
        <v>0</v>
      </c>
      <c r="CR33" s="711">
        <v>0</v>
      </c>
      <c r="CS33" s="710">
        <v>0</v>
      </c>
      <c r="CT33" s="711">
        <v>0</v>
      </c>
      <c r="CU33" s="712">
        <v>0</v>
      </c>
      <c r="CV33" s="711">
        <v>0</v>
      </c>
    </row>
    <row r="34" spans="1:100">
      <c r="A34" s="467">
        <v>32</v>
      </c>
      <c r="B34" s="595">
        <v>0</v>
      </c>
      <c r="C34" s="595">
        <v>0</v>
      </c>
      <c r="D34" s="595">
        <v>0</v>
      </c>
      <c r="E34" s="595">
        <v>0</v>
      </c>
      <c r="F34" s="595">
        <f t="shared" ref="F34:F65" si="20">1/80</f>
        <v>1.2500000000000001E-2</v>
      </c>
      <c r="G34" s="595">
        <v>0.01</v>
      </c>
      <c r="H34" s="595">
        <v>0</v>
      </c>
      <c r="I34" s="595">
        <v>0</v>
      </c>
      <c r="J34" s="595">
        <v>0</v>
      </c>
      <c r="K34" s="595">
        <v>0</v>
      </c>
      <c r="L34" s="595">
        <v>0</v>
      </c>
      <c r="M34" s="595">
        <v>0</v>
      </c>
      <c r="N34" s="595">
        <v>0</v>
      </c>
      <c r="O34" s="595">
        <v>0</v>
      </c>
      <c r="P34" s="595">
        <v>0</v>
      </c>
      <c r="Q34" s="595">
        <v>0</v>
      </c>
      <c r="R34" s="595">
        <v>0</v>
      </c>
      <c r="S34" s="595">
        <v>0</v>
      </c>
      <c r="T34" s="595">
        <v>0.01</v>
      </c>
      <c r="U34" s="595">
        <v>0</v>
      </c>
      <c r="V34" s="595">
        <v>0</v>
      </c>
      <c r="W34" s="611">
        <v>0</v>
      </c>
      <c r="X34" s="706"/>
      <c r="Y34" s="706"/>
      <c r="Z34" s="706"/>
      <c r="AA34" s="706"/>
      <c r="AB34" s="706"/>
      <c r="AC34" s="706"/>
      <c r="AD34" s="706"/>
      <c r="AE34" s="703">
        <v>0</v>
      </c>
      <c r="AF34" s="704">
        <v>0</v>
      </c>
      <c r="AG34" s="705">
        <v>0</v>
      </c>
      <c r="AH34" s="706">
        <v>0</v>
      </c>
      <c r="AI34" s="705">
        <v>0</v>
      </c>
      <c r="AJ34" s="703">
        <v>0</v>
      </c>
      <c r="AK34" s="705">
        <v>0</v>
      </c>
      <c r="AL34" s="707">
        <v>0</v>
      </c>
      <c r="AM34" s="703">
        <v>0</v>
      </c>
      <c r="AN34" s="703">
        <v>0</v>
      </c>
      <c r="AO34" s="707">
        <v>0</v>
      </c>
      <c r="AP34" s="708">
        <v>0</v>
      </c>
      <c r="AQ34" s="705">
        <f t="shared" si="18"/>
        <v>7.1428571428571426E-3</v>
      </c>
      <c r="AR34" s="703">
        <v>1.6E-2</v>
      </c>
      <c r="AS34" s="705">
        <f t="shared" ref="AS34:AS65" si="21">1/80</f>
        <v>1.2500000000000001E-2</v>
      </c>
      <c r="AT34" s="709">
        <v>2E-3</v>
      </c>
      <c r="AU34" s="703">
        <v>0</v>
      </c>
      <c r="AV34" s="705">
        <v>0</v>
      </c>
      <c r="AW34" s="710">
        <v>0</v>
      </c>
      <c r="AX34" s="711">
        <v>0</v>
      </c>
      <c r="AY34" s="710">
        <v>0</v>
      </c>
      <c r="AZ34" s="711">
        <v>0</v>
      </c>
      <c r="BA34" s="710">
        <v>0</v>
      </c>
      <c r="BB34" s="711">
        <v>0</v>
      </c>
      <c r="BC34" s="712">
        <v>0</v>
      </c>
      <c r="BD34" s="713">
        <v>0</v>
      </c>
      <c r="BE34" s="710">
        <v>0</v>
      </c>
      <c r="BF34" s="711">
        <v>0</v>
      </c>
      <c r="BG34" s="712">
        <v>0</v>
      </c>
      <c r="BH34" s="711">
        <v>0</v>
      </c>
      <c r="BI34" s="712">
        <v>0</v>
      </c>
      <c r="BJ34" s="711">
        <v>0</v>
      </c>
      <c r="BK34" s="712">
        <v>0</v>
      </c>
      <c r="BL34" s="711">
        <v>0</v>
      </c>
      <c r="BM34" s="712">
        <v>0</v>
      </c>
      <c r="BN34" s="711">
        <v>0</v>
      </c>
      <c r="BO34" s="712">
        <v>0</v>
      </c>
      <c r="BP34" s="711">
        <v>0</v>
      </c>
      <c r="BQ34" s="712">
        <v>0</v>
      </c>
      <c r="BR34" s="711">
        <v>0</v>
      </c>
      <c r="BS34" s="712">
        <v>0</v>
      </c>
      <c r="BT34" s="711">
        <v>0</v>
      </c>
      <c r="BU34" s="712">
        <v>0</v>
      </c>
      <c r="BV34" s="711">
        <v>0</v>
      </c>
      <c r="BW34" s="712">
        <v>0</v>
      </c>
      <c r="BX34" s="711">
        <v>0</v>
      </c>
      <c r="BY34" s="712">
        <v>0</v>
      </c>
      <c r="BZ34" s="711">
        <v>0</v>
      </c>
      <c r="CA34" s="712">
        <v>0</v>
      </c>
      <c r="CB34" s="711">
        <v>0</v>
      </c>
      <c r="CC34" s="710">
        <v>0</v>
      </c>
      <c r="CD34" s="713">
        <v>0</v>
      </c>
      <c r="CE34" s="710">
        <v>0</v>
      </c>
      <c r="CF34" s="713">
        <v>0</v>
      </c>
      <c r="CG34" s="710">
        <v>0</v>
      </c>
      <c r="CH34" s="713">
        <v>0</v>
      </c>
      <c r="CI34" s="710">
        <v>0</v>
      </c>
      <c r="CJ34" s="713">
        <v>0</v>
      </c>
      <c r="CK34" s="710">
        <v>0</v>
      </c>
      <c r="CL34" s="713">
        <v>0</v>
      </c>
      <c r="CM34" s="710">
        <v>0</v>
      </c>
      <c r="CN34" s="713">
        <v>0</v>
      </c>
      <c r="CO34" s="710">
        <v>0</v>
      </c>
      <c r="CP34" s="713">
        <v>0</v>
      </c>
      <c r="CQ34" s="710">
        <v>0</v>
      </c>
      <c r="CR34" s="711">
        <v>0</v>
      </c>
      <c r="CS34" s="710">
        <v>0</v>
      </c>
      <c r="CT34" s="711">
        <v>0</v>
      </c>
      <c r="CU34" s="712">
        <v>0</v>
      </c>
      <c r="CV34" s="711">
        <v>0</v>
      </c>
    </row>
    <row r="35" spans="1:100">
      <c r="A35" s="467">
        <v>33</v>
      </c>
      <c r="B35" s="595">
        <v>0</v>
      </c>
      <c r="C35" s="595">
        <v>0</v>
      </c>
      <c r="D35" s="595">
        <v>0</v>
      </c>
      <c r="E35" s="595">
        <v>0</v>
      </c>
      <c r="F35" s="595">
        <f t="shared" si="20"/>
        <v>1.2500000000000001E-2</v>
      </c>
      <c r="G35" s="595">
        <v>0.01</v>
      </c>
      <c r="H35" s="595">
        <v>0</v>
      </c>
      <c r="I35" s="595">
        <v>0</v>
      </c>
      <c r="J35" s="595">
        <v>0</v>
      </c>
      <c r="K35" s="595">
        <v>0</v>
      </c>
      <c r="L35" s="595">
        <v>0</v>
      </c>
      <c r="M35" s="595">
        <v>0</v>
      </c>
      <c r="N35" s="595">
        <v>0</v>
      </c>
      <c r="O35" s="595">
        <v>0</v>
      </c>
      <c r="P35" s="595">
        <v>0</v>
      </c>
      <c r="Q35" s="595">
        <v>0</v>
      </c>
      <c r="R35" s="595">
        <v>0</v>
      </c>
      <c r="S35" s="595">
        <v>0</v>
      </c>
      <c r="T35" s="595">
        <v>0.01</v>
      </c>
      <c r="U35" s="595">
        <v>0</v>
      </c>
      <c r="V35" s="595">
        <v>0</v>
      </c>
      <c r="W35" s="611">
        <v>0</v>
      </c>
      <c r="X35" s="706"/>
      <c r="Y35" s="706"/>
      <c r="Z35" s="706"/>
      <c r="AA35" s="706"/>
      <c r="AB35" s="706"/>
      <c r="AC35" s="706"/>
      <c r="AD35" s="706"/>
      <c r="AE35" s="703">
        <v>0</v>
      </c>
      <c r="AF35" s="704">
        <v>0</v>
      </c>
      <c r="AG35" s="705">
        <v>0</v>
      </c>
      <c r="AH35" s="706">
        <v>0</v>
      </c>
      <c r="AI35" s="705">
        <v>0</v>
      </c>
      <c r="AJ35" s="703">
        <v>0</v>
      </c>
      <c r="AK35" s="705">
        <v>0</v>
      </c>
      <c r="AL35" s="707">
        <v>0</v>
      </c>
      <c r="AM35" s="703">
        <v>0</v>
      </c>
      <c r="AN35" s="703">
        <v>0</v>
      </c>
      <c r="AO35" s="707">
        <v>0</v>
      </c>
      <c r="AP35" s="708">
        <v>0</v>
      </c>
      <c r="AQ35" s="705">
        <f t="shared" si="18"/>
        <v>7.1428571428571426E-3</v>
      </c>
      <c r="AR35" s="703">
        <v>1.6E-2</v>
      </c>
      <c r="AS35" s="705">
        <f t="shared" si="21"/>
        <v>1.2500000000000001E-2</v>
      </c>
      <c r="AT35" s="709">
        <v>2E-3</v>
      </c>
      <c r="AU35" s="703">
        <v>0</v>
      </c>
      <c r="AV35" s="705">
        <v>0</v>
      </c>
      <c r="AW35" s="710">
        <v>0</v>
      </c>
      <c r="AX35" s="711">
        <v>0</v>
      </c>
      <c r="AY35" s="710">
        <v>0</v>
      </c>
      <c r="AZ35" s="711">
        <v>0</v>
      </c>
      <c r="BA35" s="710">
        <v>0</v>
      </c>
      <c r="BB35" s="711">
        <v>0</v>
      </c>
      <c r="BC35" s="712">
        <v>0</v>
      </c>
      <c r="BD35" s="713">
        <v>0</v>
      </c>
      <c r="BE35" s="710">
        <v>0</v>
      </c>
      <c r="BF35" s="711">
        <v>0</v>
      </c>
      <c r="BG35" s="712">
        <v>0</v>
      </c>
      <c r="BH35" s="711">
        <v>0</v>
      </c>
      <c r="BI35" s="712">
        <v>0</v>
      </c>
      <c r="BJ35" s="711">
        <v>0</v>
      </c>
      <c r="BK35" s="712">
        <v>0</v>
      </c>
      <c r="BL35" s="711">
        <v>0</v>
      </c>
      <c r="BM35" s="712">
        <v>0</v>
      </c>
      <c r="BN35" s="711">
        <v>0</v>
      </c>
      <c r="BO35" s="712">
        <v>0</v>
      </c>
      <c r="BP35" s="711">
        <v>0</v>
      </c>
      <c r="BQ35" s="712">
        <v>0</v>
      </c>
      <c r="BR35" s="711">
        <v>0</v>
      </c>
      <c r="BS35" s="712">
        <v>0</v>
      </c>
      <c r="BT35" s="711">
        <v>0</v>
      </c>
      <c r="BU35" s="712">
        <v>0</v>
      </c>
      <c r="BV35" s="711">
        <v>0</v>
      </c>
      <c r="BW35" s="712">
        <v>0</v>
      </c>
      <c r="BX35" s="711">
        <v>0</v>
      </c>
      <c r="BY35" s="712">
        <v>0</v>
      </c>
      <c r="BZ35" s="711">
        <v>0</v>
      </c>
      <c r="CA35" s="712">
        <v>0</v>
      </c>
      <c r="CB35" s="711">
        <v>0</v>
      </c>
      <c r="CC35" s="710">
        <v>0</v>
      </c>
      <c r="CD35" s="713">
        <v>0</v>
      </c>
      <c r="CE35" s="710">
        <v>0</v>
      </c>
      <c r="CF35" s="713">
        <v>0</v>
      </c>
      <c r="CG35" s="710">
        <v>0</v>
      </c>
      <c r="CH35" s="713">
        <v>0</v>
      </c>
      <c r="CI35" s="710">
        <v>0</v>
      </c>
      <c r="CJ35" s="713">
        <v>0</v>
      </c>
      <c r="CK35" s="710">
        <v>0</v>
      </c>
      <c r="CL35" s="713">
        <v>0</v>
      </c>
      <c r="CM35" s="710">
        <v>0</v>
      </c>
      <c r="CN35" s="713">
        <v>0</v>
      </c>
      <c r="CO35" s="710">
        <v>0</v>
      </c>
      <c r="CP35" s="713">
        <v>0</v>
      </c>
      <c r="CQ35" s="710">
        <v>0</v>
      </c>
      <c r="CR35" s="711">
        <v>0</v>
      </c>
      <c r="CS35" s="710">
        <v>0</v>
      </c>
      <c r="CT35" s="711">
        <v>0</v>
      </c>
      <c r="CU35" s="712">
        <v>0</v>
      </c>
      <c r="CV35" s="711">
        <v>0</v>
      </c>
    </row>
    <row r="36" spans="1:100">
      <c r="A36" s="467">
        <v>34</v>
      </c>
      <c r="B36" s="595">
        <v>0</v>
      </c>
      <c r="C36" s="595">
        <v>0</v>
      </c>
      <c r="D36" s="595">
        <v>0</v>
      </c>
      <c r="E36" s="595">
        <v>0</v>
      </c>
      <c r="F36" s="595">
        <f t="shared" si="20"/>
        <v>1.2500000000000001E-2</v>
      </c>
      <c r="G36" s="595">
        <v>0.01</v>
      </c>
      <c r="H36" s="595">
        <v>0</v>
      </c>
      <c r="I36" s="595">
        <v>0</v>
      </c>
      <c r="J36" s="595">
        <v>0</v>
      </c>
      <c r="K36" s="595">
        <v>0</v>
      </c>
      <c r="L36" s="595">
        <v>0</v>
      </c>
      <c r="M36" s="595">
        <v>0</v>
      </c>
      <c r="N36" s="595">
        <v>0</v>
      </c>
      <c r="O36" s="595">
        <v>0</v>
      </c>
      <c r="P36" s="595">
        <v>0</v>
      </c>
      <c r="Q36" s="595">
        <v>0</v>
      </c>
      <c r="R36" s="595">
        <v>0</v>
      </c>
      <c r="S36" s="595">
        <v>0</v>
      </c>
      <c r="T36" s="595">
        <v>0.01</v>
      </c>
      <c r="U36" s="595">
        <v>0</v>
      </c>
      <c r="V36" s="595">
        <v>0</v>
      </c>
      <c r="W36" s="611">
        <v>0</v>
      </c>
      <c r="X36" s="706"/>
      <c r="Y36" s="706"/>
      <c r="Z36" s="706"/>
      <c r="AA36" s="706"/>
      <c r="AB36" s="706"/>
      <c r="AC36" s="706"/>
      <c r="AD36" s="706"/>
      <c r="AE36" s="703">
        <v>0</v>
      </c>
      <c r="AF36" s="704">
        <v>0</v>
      </c>
      <c r="AG36" s="705">
        <v>0</v>
      </c>
      <c r="AH36" s="706">
        <v>0</v>
      </c>
      <c r="AI36" s="705">
        <v>0</v>
      </c>
      <c r="AJ36" s="703">
        <v>0</v>
      </c>
      <c r="AK36" s="705">
        <v>0</v>
      </c>
      <c r="AL36" s="707">
        <v>0</v>
      </c>
      <c r="AM36" s="703">
        <v>0</v>
      </c>
      <c r="AN36" s="703">
        <v>0</v>
      </c>
      <c r="AO36" s="707">
        <v>0</v>
      </c>
      <c r="AP36" s="708">
        <v>0</v>
      </c>
      <c r="AQ36" s="705">
        <f t="shared" si="18"/>
        <v>7.1428571428571426E-3</v>
      </c>
      <c r="AR36" s="703">
        <v>1.6E-2</v>
      </c>
      <c r="AS36" s="705">
        <f t="shared" si="21"/>
        <v>1.2500000000000001E-2</v>
      </c>
      <c r="AT36" s="709">
        <v>2E-3</v>
      </c>
      <c r="AU36" s="703">
        <v>0</v>
      </c>
      <c r="AV36" s="705">
        <v>0</v>
      </c>
      <c r="AW36" s="710">
        <v>0</v>
      </c>
      <c r="AX36" s="711">
        <v>0</v>
      </c>
      <c r="AY36" s="710">
        <v>0</v>
      </c>
      <c r="AZ36" s="711">
        <v>0</v>
      </c>
      <c r="BA36" s="710">
        <v>0</v>
      </c>
      <c r="BB36" s="711">
        <v>0</v>
      </c>
      <c r="BC36" s="712">
        <v>0</v>
      </c>
      <c r="BD36" s="713">
        <v>0</v>
      </c>
      <c r="BE36" s="710">
        <v>0</v>
      </c>
      <c r="BF36" s="711">
        <v>0</v>
      </c>
      <c r="BG36" s="712">
        <v>0</v>
      </c>
      <c r="BH36" s="711">
        <v>0</v>
      </c>
      <c r="BI36" s="712">
        <v>0</v>
      </c>
      <c r="BJ36" s="711">
        <v>0</v>
      </c>
      <c r="BK36" s="712">
        <v>0</v>
      </c>
      <c r="BL36" s="711">
        <v>0</v>
      </c>
      <c r="BM36" s="712">
        <v>0</v>
      </c>
      <c r="BN36" s="711">
        <v>0</v>
      </c>
      <c r="BO36" s="712">
        <v>0</v>
      </c>
      <c r="BP36" s="711">
        <v>0</v>
      </c>
      <c r="BQ36" s="712">
        <v>0</v>
      </c>
      <c r="BR36" s="711">
        <v>0</v>
      </c>
      <c r="BS36" s="712">
        <v>0</v>
      </c>
      <c r="BT36" s="711">
        <v>0</v>
      </c>
      <c r="BU36" s="712">
        <v>0</v>
      </c>
      <c r="BV36" s="711">
        <v>0</v>
      </c>
      <c r="BW36" s="712">
        <v>0</v>
      </c>
      <c r="BX36" s="711">
        <v>0</v>
      </c>
      <c r="BY36" s="712">
        <v>0</v>
      </c>
      <c r="BZ36" s="711">
        <v>0</v>
      </c>
      <c r="CA36" s="712">
        <v>0</v>
      </c>
      <c r="CB36" s="711">
        <v>0</v>
      </c>
      <c r="CC36" s="710">
        <v>0</v>
      </c>
      <c r="CD36" s="713">
        <v>0</v>
      </c>
      <c r="CE36" s="710">
        <v>0</v>
      </c>
      <c r="CF36" s="713">
        <v>0</v>
      </c>
      <c r="CG36" s="710">
        <v>0</v>
      </c>
      <c r="CH36" s="713">
        <v>0</v>
      </c>
      <c r="CI36" s="710">
        <v>0</v>
      </c>
      <c r="CJ36" s="713">
        <v>0</v>
      </c>
      <c r="CK36" s="710">
        <v>0</v>
      </c>
      <c r="CL36" s="713">
        <v>0</v>
      </c>
      <c r="CM36" s="710">
        <v>0</v>
      </c>
      <c r="CN36" s="713">
        <v>0</v>
      </c>
      <c r="CO36" s="710">
        <v>0</v>
      </c>
      <c r="CP36" s="713">
        <v>0</v>
      </c>
      <c r="CQ36" s="710">
        <v>0</v>
      </c>
      <c r="CR36" s="711">
        <v>0</v>
      </c>
      <c r="CS36" s="710">
        <v>0</v>
      </c>
      <c r="CT36" s="711">
        <v>0</v>
      </c>
      <c r="CU36" s="712">
        <v>0</v>
      </c>
      <c r="CV36" s="711">
        <v>0</v>
      </c>
    </row>
    <row r="37" spans="1:100">
      <c r="A37" s="467">
        <v>35</v>
      </c>
      <c r="B37" s="595">
        <v>0</v>
      </c>
      <c r="C37" s="595">
        <v>0</v>
      </c>
      <c r="D37" s="595">
        <v>0</v>
      </c>
      <c r="E37" s="595">
        <v>0</v>
      </c>
      <c r="F37" s="595">
        <f t="shared" si="20"/>
        <v>1.2500000000000001E-2</v>
      </c>
      <c r="G37" s="595">
        <v>0.01</v>
      </c>
      <c r="H37" s="595">
        <v>0</v>
      </c>
      <c r="I37" s="595">
        <v>0</v>
      </c>
      <c r="J37" s="595">
        <v>0</v>
      </c>
      <c r="K37" s="595">
        <v>0</v>
      </c>
      <c r="L37" s="595">
        <v>0</v>
      </c>
      <c r="M37" s="595">
        <v>0</v>
      </c>
      <c r="N37" s="595">
        <v>0</v>
      </c>
      <c r="O37" s="595">
        <v>0</v>
      </c>
      <c r="P37" s="595">
        <v>0</v>
      </c>
      <c r="Q37" s="595">
        <v>0</v>
      </c>
      <c r="R37" s="595">
        <v>0</v>
      </c>
      <c r="S37" s="595">
        <v>0</v>
      </c>
      <c r="T37" s="595">
        <v>0.01</v>
      </c>
      <c r="U37" s="595">
        <v>0</v>
      </c>
      <c r="V37" s="595">
        <v>0</v>
      </c>
      <c r="W37" s="611">
        <v>0</v>
      </c>
      <c r="X37" s="706"/>
      <c r="Y37" s="706"/>
      <c r="Z37" s="706"/>
      <c r="AA37" s="706"/>
      <c r="AB37" s="706"/>
      <c r="AC37" s="706"/>
      <c r="AD37" s="706"/>
      <c r="AE37" s="703">
        <v>0</v>
      </c>
      <c r="AF37" s="704">
        <v>0</v>
      </c>
      <c r="AG37" s="705">
        <v>0</v>
      </c>
      <c r="AH37" s="706">
        <v>0</v>
      </c>
      <c r="AI37" s="705">
        <v>0</v>
      </c>
      <c r="AJ37" s="703">
        <v>0</v>
      </c>
      <c r="AK37" s="705">
        <v>0</v>
      </c>
      <c r="AL37" s="707">
        <v>0</v>
      </c>
      <c r="AM37" s="703">
        <v>0</v>
      </c>
      <c r="AN37" s="703">
        <v>0</v>
      </c>
      <c r="AO37" s="707">
        <v>0</v>
      </c>
      <c r="AP37" s="708">
        <v>0</v>
      </c>
      <c r="AQ37" s="705">
        <f t="shared" si="18"/>
        <v>7.1428571428571426E-3</v>
      </c>
      <c r="AR37" s="703">
        <v>1.6E-2</v>
      </c>
      <c r="AS37" s="705">
        <f t="shared" si="21"/>
        <v>1.2500000000000001E-2</v>
      </c>
      <c r="AT37" s="709">
        <v>2E-3</v>
      </c>
      <c r="AU37" s="703">
        <v>0</v>
      </c>
      <c r="AV37" s="705">
        <v>0</v>
      </c>
      <c r="AW37" s="710">
        <v>0</v>
      </c>
      <c r="AX37" s="711">
        <v>0</v>
      </c>
      <c r="AY37" s="710">
        <v>0</v>
      </c>
      <c r="AZ37" s="711">
        <v>0</v>
      </c>
      <c r="BA37" s="710">
        <v>0</v>
      </c>
      <c r="BB37" s="711">
        <v>0</v>
      </c>
      <c r="BC37" s="712">
        <v>0</v>
      </c>
      <c r="BD37" s="713">
        <v>0</v>
      </c>
      <c r="BE37" s="710">
        <v>0</v>
      </c>
      <c r="BF37" s="711">
        <v>0</v>
      </c>
      <c r="BG37" s="712">
        <v>0</v>
      </c>
      <c r="BH37" s="711">
        <v>0</v>
      </c>
      <c r="BI37" s="712">
        <v>0</v>
      </c>
      <c r="BJ37" s="711">
        <v>0</v>
      </c>
      <c r="BK37" s="712">
        <v>0</v>
      </c>
      <c r="BL37" s="711">
        <v>0</v>
      </c>
      <c r="BM37" s="712">
        <v>0</v>
      </c>
      <c r="BN37" s="711">
        <v>0</v>
      </c>
      <c r="BO37" s="712">
        <v>0</v>
      </c>
      <c r="BP37" s="711">
        <v>0</v>
      </c>
      <c r="BQ37" s="712">
        <v>0</v>
      </c>
      <c r="BR37" s="711">
        <v>0</v>
      </c>
      <c r="BS37" s="712">
        <v>0</v>
      </c>
      <c r="BT37" s="711">
        <v>0</v>
      </c>
      <c r="BU37" s="712">
        <v>0</v>
      </c>
      <c r="BV37" s="711">
        <v>0</v>
      </c>
      <c r="BW37" s="712">
        <v>0</v>
      </c>
      <c r="BX37" s="711">
        <v>0</v>
      </c>
      <c r="BY37" s="712">
        <v>0</v>
      </c>
      <c r="BZ37" s="711">
        <v>0</v>
      </c>
      <c r="CA37" s="712">
        <v>0</v>
      </c>
      <c r="CB37" s="711">
        <v>0</v>
      </c>
      <c r="CC37" s="710">
        <v>0</v>
      </c>
      <c r="CD37" s="713">
        <v>0</v>
      </c>
      <c r="CE37" s="710">
        <v>0</v>
      </c>
      <c r="CF37" s="713">
        <v>0</v>
      </c>
      <c r="CG37" s="710">
        <v>0</v>
      </c>
      <c r="CH37" s="713">
        <v>0</v>
      </c>
      <c r="CI37" s="710">
        <v>0</v>
      </c>
      <c r="CJ37" s="713">
        <v>0</v>
      </c>
      <c r="CK37" s="710">
        <v>0</v>
      </c>
      <c r="CL37" s="713">
        <v>0</v>
      </c>
      <c r="CM37" s="710">
        <v>0</v>
      </c>
      <c r="CN37" s="713">
        <v>0</v>
      </c>
      <c r="CO37" s="710">
        <v>0</v>
      </c>
      <c r="CP37" s="713">
        <v>0</v>
      </c>
      <c r="CQ37" s="710">
        <v>0</v>
      </c>
      <c r="CR37" s="711">
        <v>0</v>
      </c>
      <c r="CS37" s="710">
        <v>0</v>
      </c>
      <c r="CT37" s="711">
        <v>0</v>
      </c>
      <c r="CU37" s="712">
        <v>0</v>
      </c>
      <c r="CV37" s="711">
        <v>0</v>
      </c>
    </row>
    <row r="38" spans="1:100">
      <c r="A38" s="467">
        <v>36</v>
      </c>
      <c r="B38" s="595">
        <v>0</v>
      </c>
      <c r="C38" s="595">
        <v>0</v>
      </c>
      <c r="D38" s="595">
        <v>0</v>
      </c>
      <c r="E38" s="595">
        <v>0</v>
      </c>
      <c r="F38" s="595">
        <f t="shared" si="20"/>
        <v>1.2500000000000001E-2</v>
      </c>
      <c r="G38" s="595">
        <v>0.01</v>
      </c>
      <c r="H38" s="595">
        <v>0</v>
      </c>
      <c r="I38" s="595">
        <v>0</v>
      </c>
      <c r="J38" s="595">
        <v>0</v>
      </c>
      <c r="K38" s="595">
        <v>0</v>
      </c>
      <c r="L38" s="595">
        <v>0</v>
      </c>
      <c r="M38" s="595">
        <v>0</v>
      </c>
      <c r="N38" s="595">
        <v>0</v>
      </c>
      <c r="O38" s="595">
        <v>0</v>
      </c>
      <c r="P38" s="595">
        <v>0</v>
      </c>
      <c r="Q38" s="595">
        <v>0</v>
      </c>
      <c r="R38" s="595">
        <v>0</v>
      </c>
      <c r="S38" s="595">
        <v>0</v>
      </c>
      <c r="T38" s="595">
        <v>0.01</v>
      </c>
      <c r="U38" s="595">
        <v>0</v>
      </c>
      <c r="V38" s="595">
        <v>0</v>
      </c>
      <c r="W38" s="611">
        <v>0</v>
      </c>
      <c r="X38" s="706"/>
      <c r="Y38" s="706"/>
      <c r="Z38" s="706"/>
      <c r="AA38" s="706"/>
      <c r="AB38" s="706"/>
      <c r="AC38" s="706"/>
      <c r="AD38" s="706"/>
      <c r="AE38" s="703">
        <v>0</v>
      </c>
      <c r="AF38" s="704">
        <v>0</v>
      </c>
      <c r="AG38" s="705">
        <v>0</v>
      </c>
      <c r="AH38" s="706">
        <v>0</v>
      </c>
      <c r="AI38" s="705">
        <v>0</v>
      </c>
      <c r="AJ38" s="703">
        <v>0</v>
      </c>
      <c r="AK38" s="705">
        <v>0</v>
      </c>
      <c r="AL38" s="707">
        <v>0</v>
      </c>
      <c r="AM38" s="703">
        <v>0</v>
      </c>
      <c r="AN38" s="703">
        <v>0</v>
      </c>
      <c r="AO38" s="707">
        <v>0</v>
      </c>
      <c r="AP38" s="708">
        <v>0</v>
      </c>
      <c r="AQ38" s="705">
        <f t="shared" si="18"/>
        <v>7.1428571428571426E-3</v>
      </c>
      <c r="AR38" s="703">
        <v>1.6E-2</v>
      </c>
      <c r="AS38" s="705">
        <f t="shared" si="21"/>
        <v>1.2500000000000001E-2</v>
      </c>
      <c r="AT38" s="709">
        <v>2E-3</v>
      </c>
      <c r="AU38" s="703">
        <v>0</v>
      </c>
      <c r="AV38" s="705">
        <v>0</v>
      </c>
      <c r="AW38" s="710">
        <v>0</v>
      </c>
      <c r="AX38" s="711">
        <v>0</v>
      </c>
      <c r="AY38" s="710">
        <v>0</v>
      </c>
      <c r="AZ38" s="711">
        <v>0</v>
      </c>
      <c r="BA38" s="710">
        <v>0</v>
      </c>
      <c r="BB38" s="711">
        <v>0</v>
      </c>
      <c r="BC38" s="712">
        <v>0</v>
      </c>
      <c r="BD38" s="713">
        <v>0</v>
      </c>
      <c r="BE38" s="710">
        <v>0</v>
      </c>
      <c r="BF38" s="711">
        <v>0</v>
      </c>
      <c r="BG38" s="712">
        <v>0</v>
      </c>
      <c r="BH38" s="711">
        <v>0</v>
      </c>
      <c r="BI38" s="712">
        <v>0</v>
      </c>
      <c r="BJ38" s="711">
        <v>0</v>
      </c>
      <c r="BK38" s="712">
        <v>0</v>
      </c>
      <c r="BL38" s="711">
        <v>0</v>
      </c>
      <c r="BM38" s="712">
        <v>0</v>
      </c>
      <c r="BN38" s="711">
        <v>0</v>
      </c>
      <c r="BO38" s="712">
        <v>0</v>
      </c>
      <c r="BP38" s="711">
        <v>0</v>
      </c>
      <c r="BQ38" s="712">
        <v>0</v>
      </c>
      <c r="BR38" s="711">
        <v>0</v>
      </c>
      <c r="BS38" s="712">
        <v>0</v>
      </c>
      <c r="BT38" s="711">
        <v>0</v>
      </c>
      <c r="BU38" s="712">
        <v>0</v>
      </c>
      <c r="BV38" s="711">
        <v>0</v>
      </c>
      <c r="BW38" s="712">
        <v>0</v>
      </c>
      <c r="BX38" s="711">
        <v>0</v>
      </c>
      <c r="BY38" s="712">
        <v>0</v>
      </c>
      <c r="BZ38" s="711">
        <v>0</v>
      </c>
      <c r="CA38" s="712">
        <v>0</v>
      </c>
      <c r="CB38" s="711">
        <v>0</v>
      </c>
      <c r="CC38" s="710">
        <v>0</v>
      </c>
      <c r="CD38" s="713">
        <v>0</v>
      </c>
      <c r="CE38" s="710">
        <v>0</v>
      </c>
      <c r="CF38" s="713">
        <v>0</v>
      </c>
      <c r="CG38" s="710">
        <v>0</v>
      </c>
      <c r="CH38" s="713">
        <v>0</v>
      </c>
      <c r="CI38" s="710">
        <v>0</v>
      </c>
      <c r="CJ38" s="713">
        <v>0</v>
      </c>
      <c r="CK38" s="710">
        <v>0</v>
      </c>
      <c r="CL38" s="713">
        <v>0</v>
      </c>
      <c r="CM38" s="710">
        <v>0</v>
      </c>
      <c r="CN38" s="713">
        <v>0</v>
      </c>
      <c r="CO38" s="710">
        <v>0</v>
      </c>
      <c r="CP38" s="713">
        <v>0</v>
      </c>
      <c r="CQ38" s="710">
        <v>0</v>
      </c>
      <c r="CR38" s="711">
        <v>0</v>
      </c>
      <c r="CS38" s="710">
        <v>0</v>
      </c>
      <c r="CT38" s="711">
        <v>0</v>
      </c>
      <c r="CU38" s="712">
        <v>0</v>
      </c>
      <c r="CV38" s="711">
        <v>0</v>
      </c>
    </row>
    <row r="39" spans="1:100">
      <c r="A39" s="467">
        <v>37</v>
      </c>
      <c r="B39" s="595">
        <v>0</v>
      </c>
      <c r="C39" s="595">
        <v>0</v>
      </c>
      <c r="D39" s="595">
        <v>0</v>
      </c>
      <c r="E39" s="595">
        <v>0</v>
      </c>
      <c r="F39" s="595">
        <f t="shared" si="20"/>
        <v>1.2500000000000001E-2</v>
      </c>
      <c r="G39" s="595">
        <v>0.01</v>
      </c>
      <c r="H39" s="595">
        <v>0</v>
      </c>
      <c r="I39" s="595">
        <v>0</v>
      </c>
      <c r="J39" s="595">
        <v>0</v>
      </c>
      <c r="K39" s="595">
        <v>0</v>
      </c>
      <c r="L39" s="595">
        <v>0</v>
      </c>
      <c r="M39" s="595">
        <v>0</v>
      </c>
      <c r="N39" s="595">
        <v>0</v>
      </c>
      <c r="O39" s="595">
        <v>0</v>
      </c>
      <c r="P39" s="595">
        <v>0</v>
      </c>
      <c r="Q39" s="595">
        <v>0</v>
      </c>
      <c r="R39" s="595">
        <v>0</v>
      </c>
      <c r="S39" s="595">
        <v>0</v>
      </c>
      <c r="T39" s="595">
        <v>0.01</v>
      </c>
      <c r="U39" s="595">
        <v>0</v>
      </c>
      <c r="V39" s="595">
        <v>0</v>
      </c>
      <c r="W39" s="611">
        <v>0</v>
      </c>
      <c r="X39" s="706"/>
      <c r="Y39" s="706"/>
      <c r="Z39" s="706"/>
      <c r="AA39" s="706"/>
      <c r="AB39" s="706"/>
      <c r="AC39" s="706"/>
      <c r="AD39" s="706"/>
      <c r="AE39" s="703">
        <v>0</v>
      </c>
      <c r="AF39" s="704">
        <v>0</v>
      </c>
      <c r="AG39" s="705">
        <v>0</v>
      </c>
      <c r="AH39" s="706">
        <v>0</v>
      </c>
      <c r="AI39" s="705">
        <v>0</v>
      </c>
      <c r="AJ39" s="703">
        <v>0</v>
      </c>
      <c r="AK39" s="705">
        <v>0</v>
      </c>
      <c r="AL39" s="707">
        <v>0</v>
      </c>
      <c r="AM39" s="703">
        <v>0</v>
      </c>
      <c r="AN39" s="703">
        <v>0</v>
      </c>
      <c r="AO39" s="707">
        <v>0</v>
      </c>
      <c r="AP39" s="708">
        <v>0</v>
      </c>
      <c r="AQ39" s="705">
        <f t="shared" si="18"/>
        <v>7.1428571428571426E-3</v>
      </c>
      <c r="AR39" s="703">
        <v>1.6E-2</v>
      </c>
      <c r="AS39" s="705">
        <f t="shared" si="21"/>
        <v>1.2500000000000001E-2</v>
      </c>
      <c r="AT39" s="709">
        <v>2E-3</v>
      </c>
      <c r="AU39" s="703">
        <v>0</v>
      </c>
      <c r="AV39" s="705">
        <v>0</v>
      </c>
      <c r="AW39" s="710">
        <v>0</v>
      </c>
      <c r="AX39" s="711">
        <v>0</v>
      </c>
      <c r="AY39" s="710">
        <v>0</v>
      </c>
      <c r="AZ39" s="711">
        <v>0</v>
      </c>
      <c r="BA39" s="710">
        <v>0</v>
      </c>
      <c r="BB39" s="711">
        <v>0</v>
      </c>
      <c r="BC39" s="712">
        <v>0</v>
      </c>
      <c r="BD39" s="713">
        <v>0</v>
      </c>
      <c r="BE39" s="710">
        <v>0</v>
      </c>
      <c r="BF39" s="711">
        <v>0</v>
      </c>
      <c r="BG39" s="712">
        <v>0</v>
      </c>
      <c r="BH39" s="711">
        <v>0</v>
      </c>
      <c r="BI39" s="712">
        <v>0</v>
      </c>
      <c r="BJ39" s="711">
        <v>0</v>
      </c>
      <c r="BK39" s="712">
        <v>0</v>
      </c>
      <c r="BL39" s="711">
        <v>0</v>
      </c>
      <c r="BM39" s="712">
        <v>0</v>
      </c>
      <c r="BN39" s="711">
        <v>0</v>
      </c>
      <c r="BO39" s="712">
        <v>0</v>
      </c>
      <c r="BP39" s="711">
        <v>0</v>
      </c>
      <c r="BQ39" s="712">
        <v>0</v>
      </c>
      <c r="BR39" s="711">
        <v>0</v>
      </c>
      <c r="BS39" s="712">
        <v>0</v>
      </c>
      <c r="BT39" s="711">
        <v>0</v>
      </c>
      <c r="BU39" s="712">
        <v>0</v>
      </c>
      <c r="BV39" s="711">
        <v>0</v>
      </c>
      <c r="BW39" s="712">
        <v>0</v>
      </c>
      <c r="BX39" s="711">
        <v>0</v>
      </c>
      <c r="BY39" s="712">
        <v>0</v>
      </c>
      <c r="BZ39" s="711">
        <v>0</v>
      </c>
      <c r="CA39" s="712">
        <v>0</v>
      </c>
      <c r="CB39" s="711">
        <v>0</v>
      </c>
      <c r="CC39" s="710">
        <v>0</v>
      </c>
      <c r="CD39" s="713">
        <v>0</v>
      </c>
      <c r="CE39" s="710">
        <v>0</v>
      </c>
      <c r="CF39" s="713">
        <v>0</v>
      </c>
      <c r="CG39" s="710">
        <v>0</v>
      </c>
      <c r="CH39" s="713">
        <v>0</v>
      </c>
      <c r="CI39" s="710">
        <v>0</v>
      </c>
      <c r="CJ39" s="713">
        <v>0</v>
      </c>
      <c r="CK39" s="710">
        <v>0</v>
      </c>
      <c r="CL39" s="713">
        <v>0</v>
      </c>
      <c r="CM39" s="710">
        <v>0</v>
      </c>
      <c r="CN39" s="713">
        <v>0</v>
      </c>
      <c r="CO39" s="710">
        <v>0</v>
      </c>
      <c r="CP39" s="713">
        <v>0</v>
      </c>
      <c r="CQ39" s="710">
        <v>0</v>
      </c>
      <c r="CR39" s="711">
        <v>0</v>
      </c>
      <c r="CS39" s="710">
        <v>0</v>
      </c>
      <c r="CT39" s="711">
        <v>0</v>
      </c>
      <c r="CU39" s="712">
        <v>0</v>
      </c>
      <c r="CV39" s="711">
        <v>0</v>
      </c>
    </row>
    <row r="40" spans="1:100">
      <c r="A40" s="467">
        <v>38</v>
      </c>
      <c r="B40" s="595">
        <v>0</v>
      </c>
      <c r="C40" s="595">
        <v>0</v>
      </c>
      <c r="D40" s="595">
        <v>0</v>
      </c>
      <c r="E40" s="595">
        <v>0</v>
      </c>
      <c r="F40" s="595">
        <f t="shared" si="20"/>
        <v>1.2500000000000001E-2</v>
      </c>
      <c r="G40" s="595">
        <v>0.01</v>
      </c>
      <c r="H40" s="595">
        <v>0</v>
      </c>
      <c r="I40" s="595">
        <v>0</v>
      </c>
      <c r="J40" s="595">
        <v>0</v>
      </c>
      <c r="K40" s="595">
        <v>0</v>
      </c>
      <c r="L40" s="595">
        <v>0</v>
      </c>
      <c r="M40" s="595">
        <v>0</v>
      </c>
      <c r="N40" s="595">
        <v>0</v>
      </c>
      <c r="O40" s="595">
        <v>0</v>
      </c>
      <c r="P40" s="595">
        <v>0</v>
      </c>
      <c r="Q40" s="595">
        <v>0</v>
      </c>
      <c r="R40" s="595">
        <v>0</v>
      </c>
      <c r="S40" s="595">
        <v>0</v>
      </c>
      <c r="T40" s="595">
        <v>0.01</v>
      </c>
      <c r="U40" s="595">
        <v>0</v>
      </c>
      <c r="V40" s="595">
        <v>0</v>
      </c>
      <c r="W40" s="611">
        <v>0</v>
      </c>
      <c r="X40" s="706"/>
      <c r="Y40" s="706"/>
      <c r="Z40" s="706"/>
      <c r="AA40" s="706"/>
      <c r="AB40" s="706"/>
      <c r="AC40" s="706"/>
      <c r="AD40" s="706"/>
      <c r="AE40" s="703">
        <v>0</v>
      </c>
      <c r="AF40" s="704">
        <v>0</v>
      </c>
      <c r="AG40" s="705">
        <v>0</v>
      </c>
      <c r="AH40" s="706">
        <v>0</v>
      </c>
      <c r="AI40" s="705">
        <v>0</v>
      </c>
      <c r="AJ40" s="703">
        <v>0</v>
      </c>
      <c r="AK40" s="705">
        <v>0</v>
      </c>
      <c r="AL40" s="707">
        <v>0</v>
      </c>
      <c r="AM40" s="703">
        <v>0</v>
      </c>
      <c r="AN40" s="703">
        <v>0</v>
      </c>
      <c r="AO40" s="707">
        <v>0</v>
      </c>
      <c r="AP40" s="708">
        <v>0</v>
      </c>
      <c r="AQ40" s="705">
        <f t="shared" si="18"/>
        <v>7.1428571428571426E-3</v>
      </c>
      <c r="AR40" s="703">
        <v>1.6E-2</v>
      </c>
      <c r="AS40" s="705">
        <f t="shared" si="21"/>
        <v>1.2500000000000001E-2</v>
      </c>
      <c r="AT40" s="709">
        <v>2E-3</v>
      </c>
      <c r="AU40" s="703">
        <v>0</v>
      </c>
      <c r="AV40" s="705">
        <v>0</v>
      </c>
      <c r="AW40" s="710">
        <v>0</v>
      </c>
      <c r="AX40" s="711">
        <v>0</v>
      </c>
      <c r="AY40" s="710">
        <v>0</v>
      </c>
      <c r="AZ40" s="711">
        <v>0</v>
      </c>
      <c r="BA40" s="710">
        <v>0</v>
      </c>
      <c r="BB40" s="711">
        <v>0</v>
      </c>
      <c r="BC40" s="712">
        <v>0</v>
      </c>
      <c r="BD40" s="713">
        <v>0</v>
      </c>
      <c r="BE40" s="710">
        <v>0</v>
      </c>
      <c r="BF40" s="711">
        <v>0</v>
      </c>
      <c r="BG40" s="712">
        <v>0</v>
      </c>
      <c r="BH40" s="711">
        <v>0</v>
      </c>
      <c r="BI40" s="712">
        <v>0</v>
      </c>
      <c r="BJ40" s="711">
        <v>0</v>
      </c>
      <c r="BK40" s="712">
        <v>0</v>
      </c>
      <c r="BL40" s="711">
        <v>0</v>
      </c>
      <c r="BM40" s="712">
        <v>0</v>
      </c>
      <c r="BN40" s="711">
        <v>0</v>
      </c>
      <c r="BO40" s="712">
        <v>0</v>
      </c>
      <c r="BP40" s="711">
        <v>0</v>
      </c>
      <c r="BQ40" s="712">
        <v>0</v>
      </c>
      <c r="BR40" s="711">
        <v>0</v>
      </c>
      <c r="BS40" s="712">
        <v>0</v>
      </c>
      <c r="BT40" s="711">
        <v>0</v>
      </c>
      <c r="BU40" s="712">
        <v>0</v>
      </c>
      <c r="BV40" s="711">
        <v>0</v>
      </c>
      <c r="BW40" s="712">
        <v>0</v>
      </c>
      <c r="BX40" s="711">
        <v>0</v>
      </c>
      <c r="BY40" s="712">
        <v>0</v>
      </c>
      <c r="BZ40" s="711">
        <v>0</v>
      </c>
      <c r="CA40" s="712">
        <v>0</v>
      </c>
      <c r="CB40" s="711">
        <v>0</v>
      </c>
      <c r="CC40" s="710">
        <v>0</v>
      </c>
      <c r="CD40" s="713">
        <v>0</v>
      </c>
      <c r="CE40" s="710">
        <v>0</v>
      </c>
      <c r="CF40" s="713">
        <v>0</v>
      </c>
      <c r="CG40" s="710">
        <v>0</v>
      </c>
      <c r="CH40" s="713">
        <v>0</v>
      </c>
      <c r="CI40" s="710">
        <v>0</v>
      </c>
      <c r="CJ40" s="713">
        <v>0</v>
      </c>
      <c r="CK40" s="710">
        <v>0</v>
      </c>
      <c r="CL40" s="713">
        <v>0</v>
      </c>
      <c r="CM40" s="710">
        <v>0</v>
      </c>
      <c r="CN40" s="713">
        <v>0</v>
      </c>
      <c r="CO40" s="710">
        <v>0</v>
      </c>
      <c r="CP40" s="713">
        <v>0</v>
      </c>
      <c r="CQ40" s="710">
        <v>0</v>
      </c>
      <c r="CR40" s="711">
        <v>0</v>
      </c>
      <c r="CS40" s="710">
        <v>0</v>
      </c>
      <c r="CT40" s="711">
        <v>0</v>
      </c>
      <c r="CU40" s="712">
        <v>0</v>
      </c>
      <c r="CV40" s="711">
        <v>0</v>
      </c>
    </row>
    <row r="41" spans="1:100">
      <c r="A41" s="467">
        <v>39</v>
      </c>
      <c r="B41" s="595">
        <v>0</v>
      </c>
      <c r="C41" s="595">
        <v>0</v>
      </c>
      <c r="D41" s="595">
        <v>0</v>
      </c>
      <c r="E41" s="595">
        <v>0</v>
      </c>
      <c r="F41" s="595">
        <f t="shared" si="20"/>
        <v>1.2500000000000001E-2</v>
      </c>
      <c r="G41" s="595">
        <v>0.01</v>
      </c>
      <c r="H41" s="595">
        <v>0</v>
      </c>
      <c r="I41" s="595">
        <v>0</v>
      </c>
      <c r="J41" s="595">
        <v>0</v>
      </c>
      <c r="K41" s="595">
        <v>0</v>
      </c>
      <c r="L41" s="595">
        <v>0</v>
      </c>
      <c r="M41" s="595">
        <v>0</v>
      </c>
      <c r="N41" s="595">
        <v>0</v>
      </c>
      <c r="O41" s="595">
        <v>0</v>
      </c>
      <c r="P41" s="595">
        <v>0</v>
      </c>
      <c r="Q41" s="595">
        <v>0</v>
      </c>
      <c r="R41" s="595">
        <v>0</v>
      </c>
      <c r="S41" s="595">
        <v>0</v>
      </c>
      <c r="T41" s="595">
        <v>0.01</v>
      </c>
      <c r="U41" s="595">
        <v>0</v>
      </c>
      <c r="V41" s="595">
        <v>0</v>
      </c>
      <c r="W41" s="611">
        <v>0</v>
      </c>
      <c r="X41" s="706"/>
      <c r="Y41" s="706"/>
      <c r="Z41" s="706"/>
      <c r="AA41" s="706"/>
      <c r="AB41" s="706"/>
      <c r="AC41" s="706"/>
      <c r="AD41" s="706"/>
      <c r="AE41" s="703">
        <v>0</v>
      </c>
      <c r="AF41" s="704">
        <v>0</v>
      </c>
      <c r="AG41" s="705">
        <v>0</v>
      </c>
      <c r="AH41" s="706">
        <v>0</v>
      </c>
      <c r="AI41" s="705">
        <v>0</v>
      </c>
      <c r="AJ41" s="703">
        <v>0</v>
      </c>
      <c r="AK41" s="705">
        <v>0</v>
      </c>
      <c r="AL41" s="707">
        <v>0</v>
      </c>
      <c r="AM41" s="703">
        <v>0</v>
      </c>
      <c r="AN41" s="703">
        <v>0</v>
      </c>
      <c r="AO41" s="707">
        <v>0</v>
      </c>
      <c r="AP41" s="708">
        <v>0</v>
      </c>
      <c r="AQ41" s="705">
        <f t="shared" si="18"/>
        <v>7.1428571428571426E-3</v>
      </c>
      <c r="AR41" s="703">
        <v>1.6E-2</v>
      </c>
      <c r="AS41" s="705">
        <f t="shared" si="21"/>
        <v>1.2500000000000001E-2</v>
      </c>
      <c r="AT41" s="709">
        <v>2E-3</v>
      </c>
      <c r="AU41" s="703">
        <v>0</v>
      </c>
      <c r="AV41" s="705">
        <v>0</v>
      </c>
      <c r="AW41" s="710">
        <v>0</v>
      </c>
      <c r="AX41" s="711">
        <v>0</v>
      </c>
      <c r="AY41" s="710">
        <v>0</v>
      </c>
      <c r="AZ41" s="711">
        <v>0</v>
      </c>
      <c r="BA41" s="710">
        <v>0</v>
      </c>
      <c r="BB41" s="711">
        <v>0</v>
      </c>
      <c r="BC41" s="712">
        <v>0</v>
      </c>
      <c r="BD41" s="713">
        <v>0</v>
      </c>
      <c r="BE41" s="710">
        <v>0</v>
      </c>
      <c r="BF41" s="711">
        <v>0</v>
      </c>
      <c r="BG41" s="712">
        <v>0</v>
      </c>
      <c r="BH41" s="711">
        <v>0</v>
      </c>
      <c r="BI41" s="712">
        <v>0</v>
      </c>
      <c r="BJ41" s="711">
        <v>0</v>
      </c>
      <c r="BK41" s="712">
        <v>0</v>
      </c>
      <c r="BL41" s="711">
        <v>0</v>
      </c>
      <c r="BM41" s="712">
        <v>0</v>
      </c>
      <c r="BN41" s="711">
        <v>0</v>
      </c>
      <c r="BO41" s="712">
        <v>0</v>
      </c>
      <c r="BP41" s="711">
        <v>0</v>
      </c>
      <c r="BQ41" s="712">
        <v>0</v>
      </c>
      <c r="BR41" s="711">
        <v>0</v>
      </c>
      <c r="BS41" s="712">
        <v>0</v>
      </c>
      <c r="BT41" s="711">
        <v>0</v>
      </c>
      <c r="BU41" s="712">
        <v>0</v>
      </c>
      <c r="BV41" s="711">
        <v>0</v>
      </c>
      <c r="BW41" s="712">
        <v>0</v>
      </c>
      <c r="BX41" s="711">
        <v>0</v>
      </c>
      <c r="BY41" s="712">
        <v>0</v>
      </c>
      <c r="BZ41" s="711">
        <v>0</v>
      </c>
      <c r="CA41" s="712">
        <v>0</v>
      </c>
      <c r="CB41" s="711">
        <v>0</v>
      </c>
      <c r="CC41" s="710">
        <v>0</v>
      </c>
      <c r="CD41" s="713">
        <v>0</v>
      </c>
      <c r="CE41" s="710">
        <v>0</v>
      </c>
      <c r="CF41" s="713">
        <v>0</v>
      </c>
      <c r="CG41" s="710">
        <v>0</v>
      </c>
      <c r="CH41" s="713">
        <v>0</v>
      </c>
      <c r="CI41" s="710">
        <v>0</v>
      </c>
      <c r="CJ41" s="713">
        <v>0</v>
      </c>
      <c r="CK41" s="710">
        <v>0</v>
      </c>
      <c r="CL41" s="713">
        <v>0</v>
      </c>
      <c r="CM41" s="710">
        <v>0</v>
      </c>
      <c r="CN41" s="713">
        <v>0</v>
      </c>
      <c r="CO41" s="710">
        <v>0</v>
      </c>
      <c r="CP41" s="713">
        <v>0</v>
      </c>
      <c r="CQ41" s="710">
        <v>0</v>
      </c>
      <c r="CR41" s="711">
        <v>0</v>
      </c>
      <c r="CS41" s="710">
        <v>0</v>
      </c>
      <c r="CT41" s="711">
        <v>0</v>
      </c>
      <c r="CU41" s="712">
        <v>0</v>
      </c>
      <c r="CV41" s="711">
        <v>0</v>
      </c>
    </row>
    <row r="42" spans="1:100">
      <c r="A42" s="467">
        <v>40</v>
      </c>
      <c r="B42" s="595">
        <v>0</v>
      </c>
      <c r="C42" s="595">
        <v>0</v>
      </c>
      <c r="D42" s="595">
        <v>0</v>
      </c>
      <c r="E42" s="595">
        <v>0</v>
      </c>
      <c r="F42" s="595">
        <f t="shared" si="20"/>
        <v>1.2500000000000001E-2</v>
      </c>
      <c r="G42" s="595">
        <v>0.02</v>
      </c>
      <c r="H42" s="595">
        <v>0</v>
      </c>
      <c r="I42" s="595">
        <v>0</v>
      </c>
      <c r="J42" s="595">
        <v>0</v>
      </c>
      <c r="K42" s="595">
        <v>0</v>
      </c>
      <c r="L42" s="595">
        <v>0</v>
      </c>
      <c r="M42" s="595">
        <v>0</v>
      </c>
      <c r="N42" s="595">
        <v>0</v>
      </c>
      <c r="O42" s="595">
        <v>0</v>
      </c>
      <c r="P42" s="595">
        <v>0</v>
      </c>
      <c r="Q42" s="595">
        <v>0</v>
      </c>
      <c r="R42" s="595">
        <v>0</v>
      </c>
      <c r="S42" s="595">
        <v>0</v>
      </c>
      <c r="T42" s="595">
        <v>0.02</v>
      </c>
      <c r="U42" s="595">
        <v>0</v>
      </c>
      <c r="V42" s="595">
        <v>0</v>
      </c>
      <c r="W42" s="611">
        <v>0</v>
      </c>
      <c r="X42" s="706"/>
      <c r="Y42" s="706"/>
      <c r="Z42" s="706"/>
      <c r="AA42" s="706"/>
      <c r="AB42" s="706"/>
      <c r="AC42" s="706"/>
      <c r="AD42" s="706"/>
      <c r="AE42" s="703">
        <v>0</v>
      </c>
      <c r="AF42" s="704">
        <v>0</v>
      </c>
      <c r="AG42" s="705">
        <v>0</v>
      </c>
      <c r="AH42" s="706">
        <v>0</v>
      </c>
      <c r="AI42" s="705">
        <v>0</v>
      </c>
      <c r="AJ42" s="703">
        <v>0</v>
      </c>
      <c r="AK42" s="705">
        <v>0</v>
      </c>
      <c r="AL42" s="707">
        <v>0</v>
      </c>
      <c r="AM42" s="703">
        <v>0</v>
      </c>
      <c r="AN42" s="703">
        <v>0</v>
      </c>
      <c r="AO42" s="707">
        <v>0</v>
      </c>
      <c r="AP42" s="708">
        <v>0</v>
      </c>
      <c r="AQ42" s="705">
        <f t="shared" si="18"/>
        <v>7.1428571428571426E-3</v>
      </c>
      <c r="AR42" s="703">
        <v>5.0000000000000001E-3</v>
      </c>
      <c r="AS42" s="705">
        <f t="shared" si="21"/>
        <v>1.2500000000000001E-2</v>
      </c>
      <c r="AT42" s="709">
        <v>1E-3</v>
      </c>
      <c r="AU42" s="703">
        <v>0</v>
      </c>
      <c r="AV42" s="705">
        <v>0</v>
      </c>
      <c r="AW42" s="710">
        <v>0</v>
      </c>
      <c r="AX42" s="711">
        <v>0</v>
      </c>
      <c r="AY42" s="710">
        <v>0</v>
      </c>
      <c r="AZ42" s="711">
        <v>0</v>
      </c>
      <c r="BA42" s="710">
        <v>0</v>
      </c>
      <c r="BB42" s="711">
        <v>0</v>
      </c>
      <c r="BC42" s="712">
        <v>0</v>
      </c>
      <c r="BD42" s="713">
        <v>0</v>
      </c>
      <c r="BE42" s="710">
        <v>0</v>
      </c>
      <c r="BF42" s="711">
        <v>0</v>
      </c>
      <c r="BG42" s="712">
        <v>0</v>
      </c>
      <c r="BH42" s="711">
        <v>0</v>
      </c>
      <c r="BI42" s="712">
        <v>0</v>
      </c>
      <c r="BJ42" s="711">
        <v>0</v>
      </c>
      <c r="BK42" s="712">
        <v>0</v>
      </c>
      <c r="BL42" s="711">
        <v>0</v>
      </c>
      <c r="BM42" s="712">
        <v>0</v>
      </c>
      <c r="BN42" s="711">
        <v>0</v>
      </c>
      <c r="BO42" s="712">
        <v>0</v>
      </c>
      <c r="BP42" s="711">
        <v>0</v>
      </c>
      <c r="BQ42" s="712">
        <v>0</v>
      </c>
      <c r="BR42" s="711">
        <v>0</v>
      </c>
      <c r="BS42" s="712">
        <v>0</v>
      </c>
      <c r="BT42" s="711">
        <v>0</v>
      </c>
      <c r="BU42" s="712">
        <v>0</v>
      </c>
      <c r="BV42" s="711">
        <v>0</v>
      </c>
      <c r="BW42" s="712">
        <v>0</v>
      </c>
      <c r="BX42" s="711">
        <v>0</v>
      </c>
      <c r="BY42" s="712">
        <v>0</v>
      </c>
      <c r="BZ42" s="711">
        <v>0</v>
      </c>
      <c r="CA42" s="712">
        <v>0</v>
      </c>
      <c r="CB42" s="711">
        <v>0</v>
      </c>
      <c r="CC42" s="710">
        <v>0</v>
      </c>
      <c r="CD42" s="713">
        <v>0</v>
      </c>
      <c r="CE42" s="710">
        <v>0</v>
      </c>
      <c r="CF42" s="713">
        <v>0</v>
      </c>
      <c r="CG42" s="710">
        <v>0</v>
      </c>
      <c r="CH42" s="713">
        <v>0</v>
      </c>
      <c r="CI42" s="710">
        <v>0</v>
      </c>
      <c r="CJ42" s="713">
        <v>0</v>
      </c>
      <c r="CK42" s="710">
        <v>0</v>
      </c>
      <c r="CL42" s="713">
        <v>0</v>
      </c>
      <c r="CM42" s="710">
        <v>0</v>
      </c>
      <c r="CN42" s="713">
        <v>0</v>
      </c>
      <c r="CO42" s="710">
        <v>0</v>
      </c>
      <c r="CP42" s="713">
        <v>0</v>
      </c>
      <c r="CQ42" s="710">
        <v>0</v>
      </c>
      <c r="CR42" s="711">
        <v>0</v>
      </c>
      <c r="CS42" s="710">
        <v>0</v>
      </c>
      <c r="CT42" s="711">
        <v>0</v>
      </c>
      <c r="CU42" s="712">
        <v>0</v>
      </c>
      <c r="CV42" s="711">
        <v>0</v>
      </c>
    </row>
    <row r="43" spans="1:100">
      <c r="A43" s="467">
        <v>41</v>
      </c>
      <c r="B43" s="595">
        <v>0</v>
      </c>
      <c r="C43" s="595">
        <v>0</v>
      </c>
      <c r="D43" s="595">
        <v>0</v>
      </c>
      <c r="E43" s="595">
        <v>0</v>
      </c>
      <c r="F43" s="595">
        <f t="shared" si="20"/>
        <v>1.2500000000000001E-2</v>
      </c>
      <c r="G43" s="595">
        <v>0.02</v>
      </c>
      <c r="H43" s="595">
        <v>0</v>
      </c>
      <c r="I43" s="595">
        <v>0</v>
      </c>
      <c r="J43" s="595">
        <v>0</v>
      </c>
      <c r="K43" s="595">
        <v>0</v>
      </c>
      <c r="L43" s="595">
        <v>0</v>
      </c>
      <c r="M43" s="595">
        <v>0</v>
      </c>
      <c r="N43" s="595">
        <v>0</v>
      </c>
      <c r="O43" s="595">
        <v>0</v>
      </c>
      <c r="P43" s="595">
        <v>0</v>
      </c>
      <c r="Q43" s="595">
        <v>0</v>
      </c>
      <c r="R43" s="595">
        <v>0</v>
      </c>
      <c r="S43" s="595">
        <v>0</v>
      </c>
      <c r="T43" s="595">
        <v>0.02</v>
      </c>
      <c r="U43" s="595">
        <v>0</v>
      </c>
      <c r="V43" s="595">
        <v>0</v>
      </c>
      <c r="W43" s="611">
        <v>0</v>
      </c>
      <c r="X43" s="706"/>
      <c r="Y43" s="706"/>
      <c r="Z43" s="706"/>
      <c r="AA43" s="706"/>
      <c r="AB43" s="706"/>
      <c r="AC43" s="706"/>
      <c r="AD43" s="706"/>
      <c r="AE43" s="703">
        <v>0</v>
      </c>
      <c r="AF43" s="704">
        <v>0</v>
      </c>
      <c r="AG43" s="705">
        <v>0</v>
      </c>
      <c r="AH43" s="706">
        <v>0</v>
      </c>
      <c r="AI43" s="705">
        <v>0</v>
      </c>
      <c r="AJ43" s="703">
        <v>0</v>
      </c>
      <c r="AK43" s="705">
        <v>0</v>
      </c>
      <c r="AL43" s="707">
        <v>0</v>
      </c>
      <c r="AM43" s="703">
        <v>0</v>
      </c>
      <c r="AN43" s="703">
        <v>0</v>
      </c>
      <c r="AO43" s="707">
        <v>0</v>
      </c>
      <c r="AP43" s="708">
        <v>0</v>
      </c>
      <c r="AQ43" s="705">
        <f t="shared" si="18"/>
        <v>7.1428571428571426E-3</v>
      </c>
      <c r="AR43" s="703">
        <v>5.0000000000000001E-3</v>
      </c>
      <c r="AS43" s="705">
        <f t="shared" si="21"/>
        <v>1.2500000000000001E-2</v>
      </c>
      <c r="AT43" s="709">
        <v>1E-3</v>
      </c>
      <c r="AU43" s="703">
        <v>0</v>
      </c>
      <c r="AV43" s="705">
        <v>0</v>
      </c>
      <c r="AW43" s="710">
        <v>0</v>
      </c>
      <c r="AX43" s="711">
        <v>0</v>
      </c>
      <c r="AY43" s="710">
        <v>0</v>
      </c>
      <c r="AZ43" s="711">
        <v>0</v>
      </c>
      <c r="BA43" s="710">
        <v>0</v>
      </c>
      <c r="BB43" s="711">
        <v>0</v>
      </c>
      <c r="BC43" s="712">
        <v>0</v>
      </c>
      <c r="BD43" s="713">
        <v>0</v>
      </c>
      <c r="BE43" s="710">
        <v>0</v>
      </c>
      <c r="BF43" s="711">
        <v>0</v>
      </c>
      <c r="BG43" s="712">
        <v>0</v>
      </c>
      <c r="BH43" s="711">
        <v>0</v>
      </c>
      <c r="BI43" s="712">
        <v>0</v>
      </c>
      <c r="BJ43" s="711">
        <v>0</v>
      </c>
      <c r="BK43" s="712">
        <v>0</v>
      </c>
      <c r="BL43" s="711">
        <v>0</v>
      </c>
      <c r="BM43" s="712">
        <v>0</v>
      </c>
      <c r="BN43" s="711">
        <v>0</v>
      </c>
      <c r="BO43" s="712">
        <v>0</v>
      </c>
      <c r="BP43" s="711">
        <v>0</v>
      </c>
      <c r="BQ43" s="712">
        <v>0</v>
      </c>
      <c r="BR43" s="711">
        <v>0</v>
      </c>
      <c r="BS43" s="712">
        <v>0</v>
      </c>
      <c r="BT43" s="711">
        <v>0</v>
      </c>
      <c r="BU43" s="712">
        <v>0</v>
      </c>
      <c r="BV43" s="711">
        <v>0</v>
      </c>
      <c r="BW43" s="712">
        <v>0</v>
      </c>
      <c r="BX43" s="711">
        <v>0</v>
      </c>
      <c r="BY43" s="712">
        <v>0</v>
      </c>
      <c r="BZ43" s="711">
        <v>0</v>
      </c>
      <c r="CA43" s="712">
        <v>0</v>
      </c>
      <c r="CB43" s="711">
        <v>0</v>
      </c>
      <c r="CC43" s="710">
        <v>0</v>
      </c>
      <c r="CD43" s="713">
        <v>0</v>
      </c>
      <c r="CE43" s="710">
        <v>0</v>
      </c>
      <c r="CF43" s="713">
        <v>0</v>
      </c>
      <c r="CG43" s="710">
        <v>0</v>
      </c>
      <c r="CH43" s="713">
        <v>0</v>
      </c>
      <c r="CI43" s="710">
        <v>0</v>
      </c>
      <c r="CJ43" s="713">
        <v>0</v>
      </c>
      <c r="CK43" s="710">
        <v>0</v>
      </c>
      <c r="CL43" s="713">
        <v>0</v>
      </c>
      <c r="CM43" s="710">
        <v>0</v>
      </c>
      <c r="CN43" s="713">
        <v>0</v>
      </c>
      <c r="CO43" s="710">
        <v>0</v>
      </c>
      <c r="CP43" s="713">
        <v>0</v>
      </c>
      <c r="CQ43" s="710">
        <v>0</v>
      </c>
      <c r="CR43" s="711">
        <v>0</v>
      </c>
      <c r="CS43" s="710">
        <v>0</v>
      </c>
      <c r="CT43" s="711">
        <v>0</v>
      </c>
      <c r="CU43" s="712">
        <v>0</v>
      </c>
      <c r="CV43" s="711">
        <v>0</v>
      </c>
    </row>
    <row r="44" spans="1:100">
      <c r="A44" s="467">
        <v>42</v>
      </c>
      <c r="B44" s="595">
        <v>0</v>
      </c>
      <c r="C44" s="595">
        <v>0</v>
      </c>
      <c r="D44" s="595">
        <v>0</v>
      </c>
      <c r="E44" s="595">
        <v>0</v>
      </c>
      <c r="F44" s="595">
        <f t="shared" si="20"/>
        <v>1.2500000000000001E-2</v>
      </c>
      <c r="G44" s="595">
        <v>0.02</v>
      </c>
      <c r="H44" s="595">
        <v>0</v>
      </c>
      <c r="I44" s="595">
        <v>0</v>
      </c>
      <c r="J44" s="595">
        <v>0</v>
      </c>
      <c r="K44" s="595">
        <v>0</v>
      </c>
      <c r="L44" s="595">
        <v>0</v>
      </c>
      <c r="M44" s="595">
        <v>0</v>
      </c>
      <c r="N44" s="595">
        <v>0</v>
      </c>
      <c r="O44" s="595">
        <v>0</v>
      </c>
      <c r="P44" s="595">
        <v>0</v>
      </c>
      <c r="Q44" s="595">
        <v>0</v>
      </c>
      <c r="R44" s="595">
        <v>0</v>
      </c>
      <c r="S44" s="595">
        <v>0</v>
      </c>
      <c r="T44" s="595">
        <v>0.02</v>
      </c>
      <c r="U44" s="595">
        <v>0</v>
      </c>
      <c r="V44" s="595">
        <v>0</v>
      </c>
      <c r="W44" s="611">
        <v>0</v>
      </c>
      <c r="X44" s="706"/>
      <c r="Y44" s="706"/>
      <c r="Z44" s="706"/>
      <c r="AA44" s="706"/>
      <c r="AB44" s="706"/>
      <c r="AC44" s="706"/>
      <c r="AD44" s="706"/>
      <c r="AE44" s="703">
        <v>0</v>
      </c>
      <c r="AF44" s="704">
        <v>0</v>
      </c>
      <c r="AG44" s="705">
        <v>0</v>
      </c>
      <c r="AH44" s="706">
        <v>0</v>
      </c>
      <c r="AI44" s="705">
        <v>0</v>
      </c>
      <c r="AJ44" s="703">
        <v>0</v>
      </c>
      <c r="AK44" s="705">
        <v>0</v>
      </c>
      <c r="AL44" s="707">
        <v>0</v>
      </c>
      <c r="AM44" s="703">
        <v>0</v>
      </c>
      <c r="AN44" s="703">
        <v>0</v>
      </c>
      <c r="AO44" s="707">
        <v>0</v>
      </c>
      <c r="AP44" s="708">
        <v>0</v>
      </c>
      <c r="AQ44" s="705">
        <f t="shared" si="18"/>
        <v>7.1428571428571426E-3</v>
      </c>
      <c r="AR44" s="703">
        <v>5.0000000000000001E-3</v>
      </c>
      <c r="AS44" s="705">
        <f t="shared" si="21"/>
        <v>1.2500000000000001E-2</v>
      </c>
      <c r="AT44" s="709">
        <v>1E-3</v>
      </c>
      <c r="AU44" s="703">
        <v>0</v>
      </c>
      <c r="AV44" s="705">
        <v>0</v>
      </c>
      <c r="AW44" s="710">
        <v>0</v>
      </c>
      <c r="AX44" s="711">
        <v>0</v>
      </c>
      <c r="AY44" s="710">
        <v>0</v>
      </c>
      <c r="AZ44" s="711">
        <v>0</v>
      </c>
      <c r="BA44" s="710">
        <v>0</v>
      </c>
      <c r="BB44" s="711">
        <v>0</v>
      </c>
      <c r="BC44" s="712">
        <v>0</v>
      </c>
      <c r="BD44" s="713">
        <v>0</v>
      </c>
      <c r="BE44" s="710">
        <v>0</v>
      </c>
      <c r="BF44" s="711">
        <v>0</v>
      </c>
      <c r="BG44" s="712">
        <v>0</v>
      </c>
      <c r="BH44" s="711">
        <v>0</v>
      </c>
      <c r="BI44" s="712">
        <v>0</v>
      </c>
      <c r="BJ44" s="711">
        <v>0</v>
      </c>
      <c r="BK44" s="712">
        <v>0</v>
      </c>
      <c r="BL44" s="711">
        <v>0</v>
      </c>
      <c r="BM44" s="712">
        <v>0</v>
      </c>
      <c r="BN44" s="711">
        <v>0</v>
      </c>
      <c r="BO44" s="712">
        <v>0</v>
      </c>
      <c r="BP44" s="711">
        <v>0</v>
      </c>
      <c r="BQ44" s="712">
        <v>0</v>
      </c>
      <c r="BR44" s="711">
        <v>0</v>
      </c>
      <c r="BS44" s="712">
        <v>0</v>
      </c>
      <c r="BT44" s="711">
        <v>0</v>
      </c>
      <c r="BU44" s="712">
        <v>0</v>
      </c>
      <c r="BV44" s="711">
        <v>0</v>
      </c>
      <c r="BW44" s="712">
        <v>0</v>
      </c>
      <c r="BX44" s="711">
        <v>0</v>
      </c>
      <c r="BY44" s="712">
        <v>0</v>
      </c>
      <c r="BZ44" s="711">
        <v>0</v>
      </c>
      <c r="CA44" s="712">
        <v>0</v>
      </c>
      <c r="CB44" s="711">
        <v>0</v>
      </c>
      <c r="CC44" s="710">
        <v>0</v>
      </c>
      <c r="CD44" s="713">
        <v>0</v>
      </c>
      <c r="CE44" s="710">
        <v>0</v>
      </c>
      <c r="CF44" s="713">
        <v>0</v>
      </c>
      <c r="CG44" s="710">
        <v>0</v>
      </c>
      <c r="CH44" s="713">
        <v>0</v>
      </c>
      <c r="CI44" s="710">
        <v>0</v>
      </c>
      <c r="CJ44" s="713">
        <v>0</v>
      </c>
      <c r="CK44" s="710">
        <v>0</v>
      </c>
      <c r="CL44" s="713">
        <v>0</v>
      </c>
      <c r="CM44" s="710">
        <v>0</v>
      </c>
      <c r="CN44" s="713">
        <v>0</v>
      </c>
      <c r="CO44" s="710">
        <v>0</v>
      </c>
      <c r="CP44" s="713">
        <v>0</v>
      </c>
      <c r="CQ44" s="710">
        <v>0</v>
      </c>
      <c r="CR44" s="711">
        <v>0</v>
      </c>
      <c r="CS44" s="710">
        <v>0</v>
      </c>
      <c r="CT44" s="711">
        <v>0</v>
      </c>
      <c r="CU44" s="712">
        <v>0</v>
      </c>
      <c r="CV44" s="711">
        <v>0</v>
      </c>
    </row>
    <row r="45" spans="1:100">
      <c r="A45" s="467">
        <v>43</v>
      </c>
      <c r="B45" s="595">
        <v>0</v>
      </c>
      <c r="C45" s="595">
        <v>0</v>
      </c>
      <c r="D45" s="595">
        <v>0</v>
      </c>
      <c r="E45" s="595">
        <v>0</v>
      </c>
      <c r="F45" s="595">
        <f t="shared" si="20"/>
        <v>1.2500000000000001E-2</v>
      </c>
      <c r="G45" s="595">
        <v>0.02</v>
      </c>
      <c r="H45" s="595">
        <v>0</v>
      </c>
      <c r="I45" s="595">
        <v>0</v>
      </c>
      <c r="J45" s="595">
        <v>0</v>
      </c>
      <c r="K45" s="595">
        <v>0</v>
      </c>
      <c r="L45" s="595">
        <v>0</v>
      </c>
      <c r="M45" s="595">
        <v>0</v>
      </c>
      <c r="N45" s="595">
        <v>0</v>
      </c>
      <c r="O45" s="595">
        <v>0</v>
      </c>
      <c r="P45" s="595">
        <v>0</v>
      </c>
      <c r="Q45" s="595">
        <v>0</v>
      </c>
      <c r="R45" s="595">
        <v>0</v>
      </c>
      <c r="S45" s="595">
        <v>0</v>
      </c>
      <c r="T45" s="595">
        <v>0.02</v>
      </c>
      <c r="U45" s="595">
        <v>0</v>
      </c>
      <c r="V45" s="595">
        <v>0</v>
      </c>
      <c r="W45" s="611">
        <v>0</v>
      </c>
      <c r="X45" s="706"/>
      <c r="Y45" s="706"/>
      <c r="Z45" s="706"/>
      <c r="AA45" s="706"/>
      <c r="AB45" s="706"/>
      <c r="AC45" s="706"/>
      <c r="AD45" s="706"/>
      <c r="AE45" s="703">
        <v>0</v>
      </c>
      <c r="AF45" s="704">
        <v>0</v>
      </c>
      <c r="AG45" s="705">
        <v>0</v>
      </c>
      <c r="AH45" s="706">
        <v>0</v>
      </c>
      <c r="AI45" s="705">
        <v>0</v>
      </c>
      <c r="AJ45" s="703">
        <v>0</v>
      </c>
      <c r="AK45" s="705">
        <v>0</v>
      </c>
      <c r="AL45" s="707">
        <v>0</v>
      </c>
      <c r="AM45" s="703">
        <v>0</v>
      </c>
      <c r="AN45" s="703">
        <v>0</v>
      </c>
      <c r="AO45" s="707">
        <v>0</v>
      </c>
      <c r="AP45" s="708">
        <v>0</v>
      </c>
      <c r="AQ45" s="705">
        <f t="shared" si="18"/>
        <v>7.1428571428571426E-3</v>
      </c>
      <c r="AR45" s="703">
        <v>5.0000000000000001E-3</v>
      </c>
      <c r="AS45" s="705">
        <f t="shared" si="21"/>
        <v>1.2500000000000001E-2</v>
      </c>
      <c r="AT45" s="709">
        <v>1E-3</v>
      </c>
      <c r="AU45" s="703">
        <v>0</v>
      </c>
      <c r="AV45" s="705">
        <v>0</v>
      </c>
      <c r="AW45" s="710">
        <v>0</v>
      </c>
      <c r="AX45" s="711">
        <v>0</v>
      </c>
      <c r="AY45" s="710">
        <v>0</v>
      </c>
      <c r="AZ45" s="711">
        <v>0</v>
      </c>
      <c r="BA45" s="710">
        <v>0</v>
      </c>
      <c r="BB45" s="711">
        <v>0</v>
      </c>
      <c r="BC45" s="712">
        <v>0</v>
      </c>
      <c r="BD45" s="713">
        <v>0</v>
      </c>
      <c r="BE45" s="710">
        <v>0</v>
      </c>
      <c r="BF45" s="711">
        <v>0</v>
      </c>
      <c r="BG45" s="712">
        <v>0</v>
      </c>
      <c r="BH45" s="711">
        <v>0</v>
      </c>
      <c r="BI45" s="712">
        <v>0</v>
      </c>
      <c r="BJ45" s="711">
        <v>0</v>
      </c>
      <c r="BK45" s="712">
        <v>0</v>
      </c>
      <c r="BL45" s="711">
        <v>0</v>
      </c>
      <c r="BM45" s="712">
        <v>0</v>
      </c>
      <c r="BN45" s="711">
        <v>0</v>
      </c>
      <c r="BO45" s="712">
        <v>0</v>
      </c>
      <c r="BP45" s="711">
        <v>0</v>
      </c>
      <c r="BQ45" s="712">
        <v>0</v>
      </c>
      <c r="BR45" s="711">
        <v>0</v>
      </c>
      <c r="BS45" s="712">
        <v>0</v>
      </c>
      <c r="BT45" s="711">
        <v>0</v>
      </c>
      <c r="BU45" s="712">
        <v>0</v>
      </c>
      <c r="BV45" s="711">
        <v>0</v>
      </c>
      <c r="BW45" s="712">
        <v>0</v>
      </c>
      <c r="BX45" s="711">
        <v>0</v>
      </c>
      <c r="BY45" s="712">
        <v>0</v>
      </c>
      <c r="BZ45" s="711">
        <v>0</v>
      </c>
      <c r="CA45" s="712">
        <v>0</v>
      </c>
      <c r="CB45" s="711">
        <v>0</v>
      </c>
      <c r="CC45" s="710">
        <v>0</v>
      </c>
      <c r="CD45" s="713">
        <v>0</v>
      </c>
      <c r="CE45" s="710">
        <v>0</v>
      </c>
      <c r="CF45" s="713">
        <v>0</v>
      </c>
      <c r="CG45" s="710">
        <v>0</v>
      </c>
      <c r="CH45" s="713">
        <v>0</v>
      </c>
      <c r="CI45" s="710">
        <v>0</v>
      </c>
      <c r="CJ45" s="713">
        <v>0</v>
      </c>
      <c r="CK45" s="710">
        <v>0</v>
      </c>
      <c r="CL45" s="713">
        <v>0</v>
      </c>
      <c r="CM45" s="710">
        <v>0</v>
      </c>
      <c r="CN45" s="713">
        <v>0</v>
      </c>
      <c r="CO45" s="710">
        <v>0</v>
      </c>
      <c r="CP45" s="713">
        <v>0</v>
      </c>
      <c r="CQ45" s="710">
        <v>0</v>
      </c>
      <c r="CR45" s="711">
        <v>0</v>
      </c>
      <c r="CS45" s="710">
        <v>0</v>
      </c>
      <c r="CT45" s="711">
        <v>0</v>
      </c>
      <c r="CU45" s="712">
        <v>0</v>
      </c>
      <c r="CV45" s="711">
        <v>0</v>
      </c>
    </row>
    <row r="46" spans="1:100">
      <c r="A46" s="467">
        <v>44</v>
      </c>
      <c r="B46" s="595">
        <v>0</v>
      </c>
      <c r="C46" s="595">
        <v>0</v>
      </c>
      <c r="D46" s="595">
        <v>0</v>
      </c>
      <c r="E46" s="595">
        <v>0</v>
      </c>
      <c r="F46" s="595">
        <f t="shared" si="20"/>
        <v>1.2500000000000001E-2</v>
      </c>
      <c r="G46" s="595">
        <v>0.02</v>
      </c>
      <c r="H46" s="595">
        <v>0</v>
      </c>
      <c r="I46" s="595">
        <v>0</v>
      </c>
      <c r="J46" s="595">
        <v>0</v>
      </c>
      <c r="K46" s="595">
        <v>0</v>
      </c>
      <c r="L46" s="595">
        <v>0</v>
      </c>
      <c r="M46" s="595">
        <v>0</v>
      </c>
      <c r="N46" s="595">
        <v>0</v>
      </c>
      <c r="O46" s="595">
        <v>0</v>
      </c>
      <c r="P46" s="595">
        <v>0</v>
      </c>
      <c r="Q46" s="595">
        <v>0</v>
      </c>
      <c r="R46" s="595">
        <v>0</v>
      </c>
      <c r="S46" s="595">
        <v>0</v>
      </c>
      <c r="T46" s="595">
        <v>0.02</v>
      </c>
      <c r="U46" s="595">
        <v>0</v>
      </c>
      <c r="V46" s="595">
        <v>0</v>
      </c>
      <c r="W46" s="611">
        <v>0</v>
      </c>
      <c r="X46" s="706"/>
      <c r="Y46" s="706"/>
      <c r="Z46" s="706"/>
      <c r="AA46" s="706"/>
      <c r="AB46" s="706"/>
      <c r="AC46" s="706"/>
      <c r="AD46" s="706"/>
      <c r="AE46" s="703">
        <v>0</v>
      </c>
      <c r="AF46" s="704">
        <v>0</v>
      </c>
      <c r="AG46" s="705">
        <v>0</v>
      </c>
      <c r="AH46" s="706">
        <v>0</v>
      </c>
      <c r="AI46" s="705">
        <v>0</v>
      </c>
      <c r="AJ46" s="703">
        <v>0</v>
      </c>
      <c r="AK46" s="705">
        <v>0</v>
      </c>
      <c r="AL46" s="707">
        <v>0</v>
      </c>
      <c r="AM46" s="703">
        <v>0</v>
      </c>
      <c r="AN46" s="703">
        <v>0</v>
      </c>
      <c r="AO46" s="707">
        <v>0</v>
      </c>
      <c r="AP46" s="708">
        <v>0</v>
      </c>
      <c r="AQ46" s="705">
        <f t="shared" si="18"/>
        <v>7.1428571428571426E-3</v>
      </c>
      <c r="AR46" s="703">
        <v>5.0000000000000001E-3</v>
      </c>
      <c r="AS46" s="705">
        <f t="shared" si="21"/>
        <v>1.2500000000000001E-2</v>
      </c>
      <c r="AT46" s="709">
        <v>1E-3</v>
      </c>
      <c r="AU46" s="703">
        <v>0</v>
      </c>
      <c r="AV46" s="705">
        <v>0</v>
      </c>
      <c r="AW46" s="710">
        <v>0</v>
      </c>
      <c r="AX46" s="711">
        <v>0</v>
      </c>
      <c r="AY46" s="710">
        <v>0</v>
      </c>
      <c r="AZ46" s="711">
        <v>0</v>
      </c>
      <c r="BA46" s="710">
        <v>0</v>
      </c>
      <c r="BB46" s="711">
        <v>0</v>
      </c>
      <c r="BC46" s="712">
        <v>0</v>
      </c>
      <c r="BD46" s="713">
        <v>0</v>
      </c>
      <c r="BE46" s="710">
        <v>0</v>
      </c>
      <c r="BF46" s="711">
        <v>0</v>
      </c>
      <c r="BG46" s="712">
        <v>0</v>
      </c>
      <c r="BH46" s="711">
        <v>0</v>
      </c>
      <c r="BI46" s="712">
        <v>0</v>
      </c>
      <c r="BJ46" s="711">
        <v>0</v>
      </c>
      <c r="BK46" s="712">
        <v>0</v>
      </c>
      <c r="BL46" s="711">
        <v>0</v>
      </c>
      <c r="BM46" s="712">
        <v>0</v>
      </c>
      <c r="BN46" s="711">
        <v>0</v>
      </c>
      <c r="BO46" s="712">
        <v>0</v>
      </c>
      <c r="BP46" s="711">
        <v>0</v>
      </c>
      <c r="BQ46" s="712">
        <v>0</v>
      </c>
      <c r="BR46" s="711">
        <v>0</v>
      </c>
      <c r="BS46" s="712">
        <v>0</v>
      </c>
      <c r="BT46" s="711">
        <v>0</v>
      </c>
      <c r="BU46" s="712">
        <v>0</v>
      </c>
      <c r="BV46" s="711">
        <v>0</v>
      </c>
      <c r="BW46" s="712">
        <v>0</v>
      </c>
      <c r="BX46" s="711">
        <v>0</v>
      </c>
      <c r="BY46" s="712">
        <v>0</v>
      </c>
      <c r="BZ46" s="711">
        <v>0</v>
      </c>
      <c r="CA46" s="712">
        <v>0</v>
      </c>
      <c r="CB46" s="711">
        <v>0</v>
      </c>
      <c r="CC46" s="710">
        <v>0</v>
      </c>
      <c r="CD46" s="713">
        <v>0</v>
      </c>
      <c r="CE46" s="710">
        <v>0</v>
      </c>
      <c r="CF46" s="713">
        <v>0</v>
      </c>
      <c r="CG46" s="710">
        <v>0</v>
      </c>
      <c r="CH46" s="713">
        <v>0</v>
      </c>
      <c r="CI46" s="710">
        <v>0</v>
      </c>
      <c r="CJ46" s="713">
        <v>0</v>
      </c>
      <c r="CK46" s="710">
        <v>0</v>
      </c>
      <c r="CL46" s="713">
        <v>0</v>
      </c>
      <c r="CM46" s="710">
        <v>0</v>
      </c>
      <c r="CN46" s="713">
        <v>0</v>
      </c>
      <c r="CO46" s="710">
        <v>0</v>
      </c>
      <c r="CP46" s="713">
        <v>0</v>
      </c>
      <c r="CQ46" s="710">
        <v>0</v>
      </c>
      <c r="CR46" s="711">
        <v>0</v>
      </c>
      <c r="CS46" s="710">
        <v>0</v>
      </c>
      <c r="CT46" s="711">
        <v>0</v>
      </c>
      <c r="CU46" s="712">
        <v>0</v>
      </c>
      <c r="CV46" s="711">
        <v>0</v>
      </c>
    </row>
    <row r="47" spans="1:100">
      <c r="A47" s="467">
        <v>45</v>
      </c>
      <c r="B47" s="595">
        <v>0</v>
      </c>
      <c r="C47" s="595">
        <v>0</v>
      </c>
      <c r="D47" s="595">
        <v>0</v>
      </c>
      <c r="E47" s="595">
        <v>0</v>
      </c>
      <c r="F47" s="595">
        <f t="shared" si="20"/>
        <v>1.2500000000000001E-2</v>
      </c>
      <c r="G47" s="595">
        <v>0.02</v>
      </c>
      <c r="H47" s="595">
        <v>0</v>
      </c>
      <c r="I47" s="595">
        <v>0</v>
      </c>
      <c r="J47" s="595">
        <v>0</v>
      </c>
      <c r="K47" s="595">
        <v>0</v>
      </c>
      <c r="L47" s="595">
        <v>0</v>
      </c>
      <c r="M47" s="595">
        <v>0</v>
      </c>
      <c r="N47" s="595">
        <v>0</v>
      </c>
      <c r="O47" s="595">
        <v>0</v>
      </c>
      <c r="P47" s="595">
        <v>0</v>
      </c>
      <c r="Q47" s="595">
        <v>0</v>
      </c>
      <c r="R47" s="595">
        <v>0</v>
      </c>
      <c r="S47" s="595">
        <v>0</v>
      </c>
      <c r="T47" s="595">
        <v>0.02</v>
      </c>
      <c r="U47" s="595">
        <v>0</v>
      </c>
      <c r="V47" s="595">
        <v>0</v>
      </c>
      <c r="W47" s="611">
        <v>0</v>
      </c>
      <c r="X47" s="706"/>
      <c r="Y47" s="706"/>
      <c r="Z47" s="706"/>
      <c r="AA47" s="706"/>
      <c r="AB47" s="706"/>
      <c r="AC47" s="706"/>
      <c r="AD47" s="706"/>
      <c r="AE47" s="703">
        <v>0</v>
      </c>
      <c r="AF47" s="704">
        <v>0</v>
      </c>
      <c r="AG47" s="705">
        <v>0</v>
      </c>
      <c r="AH47" s="706">
        <v>0</v>
      </c>
      <c r="AI47" s="705">
        <v>0</v>
      </c>
      <c r="AJ47" s="703">
        <v>0</v>
      </c>
      <c r="AK47" s="705">
        <v>0</v>
      </c>
      <c r="AL47" s="707">
        <v>0</v>
      </c>
      <c r="AM47" s="703">
        <v>0</v>
      </c>
      <c r="AN47" s="703">
        <v>0</v>
      </c>
      <c r="AO47" s="707">
        <v>0</v>
      </c>
      <c r="AP47" s="708">
        <v>0</v>
      </c>
      <c r="AQ47" s="705">
        <f t="shared" si="18"/>
        <v>7.1428571428571426E-3</v>
      </c>
      <c r="AR47" s="703">
        <v>5.0000000000000001E-3</v>
      </c>
      <c r="AS47" s="705">
        <f t="shared" si="21"/>
        <v>1.2500000000000001E-2</v>
      </c>
      <c r="AT47" s="709">
        <v>1E-3</v>
      </c>
      <c r="AU47" s="703">
        <v>0</v>
      </c>
      <c r="AV47" s="705">
        <v>0</v>
      </c>
      <c r="AW47" s="710">
        <v>0</v>
      </c>
      <c r="AX47" s="711">
        <v>0</v>
      </c>
      <c r="AY47" s="710">
        <v>0</v>
      </c>
      <c r="AZ47" s="711">
        <v>0</v>
      </c>
      <c r="BA47" s="710">
        <v>0</v>
      </c>
      <c r="BB47" s="711">
        <v>0</v>
      </c>
      <c r="BC47" s="712">
        <v>0</v>
      </c>
      <c r="BD47" s="713">
        <v>0</v>
      </c>
      <c r="BE47" s="710">
        <v>0</v>
      </c>
      <c r="BF47" s="711">
        <v>0</v>
      </c>
      <c r="BG47" s="712">
        <v>0</v>
      </c>
      <c r="BH47" s="711">
        <v>0</v>
      </c>
      <c r="BI47" s="712">
        <v>0</v>
      </c>
      <c r="BJ47" s="711">
        <v>0</v>
      </c>
      <c r="BK47" s="712">
        <v>0</v>
      </c>
      <c r="BL47" s="711">
        <v>0</v>
      </c>
      <c r="BM47" s="712">
        <v>0</v>
      </c>
      <c r="BN47" s="711">
        <v>0</v>
      </c>
      <c r="BO47" s="712">
        <v>0</v>
      </c>
      <c r="BP47" s="711">
        <v>0</v>
      </c>
      <c r="BQ47" s="712">
        <v>0</v>
      </c>
      <c r="BR47" s="711">
        <v>0</v>
      </c>
      <c r="BS47" s="712">
        <v>0</v>
      </c>
      <c r="BT47" s="711">
        <v>0</v>
      </c>
      <c r="BU47" s="712">
        <v>0</v>
      </c>
      <c r="BV47" s="711">
        <v>0</v>
      </c>
      <c r="BW47" s="712">
        <v>0</v>
      </c>
      <c r="BX47" s="711">
        <v>0</v>
      </c>
      <c r="BY47" s="712">
        <v>0</v>
      </c>
      <c r="BZ47" s="711">
        <v>0</v>
      </c>
      <c r="CA47" s="712">
        <v>0</v>
      </c>
      <c r="CB47" s="711">
        <v>0</v>
      </c>
      <c r="CC47" s="710">
        <v>0</v>
      </c>
      <c r="CD47" s="713">
        <v>0</v>
      </c>
      <c r="CE47" s="710">
        <v>0</v>
      </c>
      <c r="CF47" s="713">
        <v>0</v>
      </c>
      <c r="CG47" s="710">
        <v>0</v>
      </c>
      <c r="CH47" s="713">
        <v>0</v>
      </c>
      <c r="CI47" s="710">
        <v>0</v>
      </c>
      <c r="CJ47" s="713">
        <v>0</v>
      </c>
      <c r="CK47" s="710">
        <v>0</v>
      </c>
      <c r="CL47" s="713">
        <v>0</v>
      </c>
      <c r="CM47" s="710">
        <v>0</v>
      </c>
      <c r="CN47" s="713">
        <v>0</v>
      </c>
      <c r="CO47" s="710">
        <v>0</v>
      </c>
      <c r="CP47" s="713">
        <v>0</v>
      </c>
      <c r="CQ47" s="710">
        <v>0</v>
      </c>
      <c r="CR47" s="711">
        <v>0</v>
      </c>
      <c r="CS47" s="710">
        <v>0</v>
      </c>
      <c r="CT47" s="711">
        <v>0</v>
      </c>
      <c r="CU47" s="712">
        <v>0</v>
      </c>
      <c r="CV47" s="711">
        <v>0</v>
      </c>
    </row>
    <row r="48" spans="1:100">
      <c r="A48" s="467">
        <v>46</v>
      </c>
      <c r="B48" s="595">
        <v>0</v>
      </c>
      <c r="C48" s="595">
        <v>0</v>
      </c>
      <c r="D48" s="595">
        <v>0</v>
      </c>
      <c r="E48" s="595">
        <v>0</v>
      </c>
      <c r="F48" s="595">
        <f t="shared" si="20"/>
        <v>1.2500000000000001E-2</v>
      </c>
      <c r="G48" s="595">
        <v>0.02</v>
      </c>
      <c r="H48" s="595">
        <v>0</v>
      </c>
      <c r="I48" s="595">
        <v>0</v>
      </c>
      <c r="J48" s="595">
        <v>0</v>
      </c>
      <c r="K48" s="595">
        <v>0</v>
      </c>
      <c r="L48" s="595">
        <v>0</v>
      </c>
      <c r="M48" s="595">
        <v>0</v>
      </c>
      <c r="N48" s="595">
        <v>0</v>
      </c>
      <c r="O48" s="595">
        <v>0</v>
      </c>
      <c r="P48" s="595">
        <v>0</v>
      </c>
      <c r="Q48" s="595">
        <v>0</v>
      </c>
      <c r="R48" s="595">
        <v>0</v>
      </c>
      <c r="S48" s="595">
        <v>0</v>
      </c>
      <c r="T48" s="595">
        <v>0.02</v>
      </c>
      <c r="U48" s="595">
        <v>0</v>
      </c>
      <c r="V48" s="595">
        <v>0</v>
      </c>
      <c r="W48" s="611">
        <v>0</v>
      </c>
      <c r="X48" s="706"/>
      <c r="Y48" s="706"/>
      <c r="Z48" s="706"/>
      <c r="AA48" s="706"/>
      <c r="AB48" s="706"/>
      <c r="AC48" s="706"/>
      <c r="AD48" s="706"/>
      <c r="AE48" s="703">
        <v>0</v>
      </c>
      <c r="AF48" s="704">
        <v>0</v>
      </c>
      <c r="AG48" s="705">
        <v>0</v>
      </c>
      <c r="AH48" s="706">
        <v>0</v>
      </c>
      <c r="AI48" s="705">
        <v>0</v>
      </c>
      <c r="AJ48" s="703">
        <v>0</v>
      </c>
      <c r="AK48" s="705">
        <v>0</v>
      </c>
      <c r="AL48" s="707">
        <v>0</v>
      </c>
      <c r="AM48" s="703">
        <v>0</v>
      </c>
      <c r="AN48" s="703">
        <v>0</v>
      </c>
      <c r="AO48" s="707">
        <v>0</v>
      </c>
      <c r="AP48" s="708">
        <v>0</v>
      </c>
      <c r="AQ48" s="705">
        <f t="shared" si="18"/>
        <v>7.1428571428571426E-3</v>
      </c>
      <c r="AR48" s="703">
        <v>5.0000000000000001E-3</v>
      </c>
      <c r="AS48" s="705">
        <f t="shared" si="21"/>
        <v>1.2500000000000001E-2</v>
      </c>
      <c r="AT48" s="709">
        <v>1E-3</v>
      </c>
      <c r="AU48" s="703">
        <v>0</v>
      </c>
      <c r="AV48" s="705">
        <v>0</v>
      </c>
      <c r="AW48" s="710">
        <v>0</v>
      </c>
      <c r="AX48" s="711">
        <v>0</v>
      </c>
      <c r="AY48" s="710">
        <v>0</v>
      </c>
      <c r="AZ48" s="711">
        <v>0</v>
      </c>
      <c r="BA48" s="710">
        <v>0</v>
      </c>
      <c r="BB48" s="711">
        <v>0</v>
      </c>
      <c r="BC48" s="712">
        <v>0</v>
      </c>
      <c r="BD48" s="713">
        <v>0</v>
      </c>
      <c r="BE48" s="710">
        <v>0</v>
      </c>
      <c r="BF48" s="711">
        <v>0</v>
      </c>
      <c r="BG48" s="712">
        <v>0</v>
      </c>
      <c r="BH48" s="711">
        <v>0</v>
      </c>
      <c r="BI48" s="712">
        <v>0</v>
      </c>
      <c r="BJ48" s="711">
        <v>0</v>
      </c>
      <c r="BK48" s="712">
        <v>0</v>
      </c>
      <c r="BL48" s="711">
        <v>0</v>
      </c>
      <c r="BM48" s="712">
        <v>0</v>
      </c>
      <c r="BN48" s="711">
        <v>0</v>
      </c>
      <c r="BO48" s="712">
        <v>0</v>
      </c>
      <c r="BP48" s="711">
        <v>0</v>
      </c>
      <c r="BQ48" s="712">
        <v>0</v>
      </c>
      <c r="BR48" s="711">
        <v>0</v>
      </c>
      <c r="BS48" s="712">
        <v>0</v>
      </c>
      <c r="BT48" s="711">
        <v>0</v>
      </c>
      <c r="BU48" s="712">
        <v>0</v>
      </c>
      <c r="BV48" s="711">
        <v>0</v>
      </c>
      <c r="BW48" s="712">
        <v>0</v>
      </c>
      <c r="BX48" s="711">
        <v>0</v>
      </c>
      <c r="BY48" s="712">
        <v>0</v>
      </c>
      <c r="BZ48" s="711">
        <v>0</v>
      </c>
      <c r="CA48" s="712">
        <v>0</v>
      </c>
      <c r="CB48" s="711">
        <v>0</v>
      </c>
      <c r="CC48" s="710">
        <v>0</v>
      </c>
      <c r="CD48" s="713">
        <v>0</v>
      </c>
      <c r="CE48" s="710">
        <v>0</v>
      </c>
      <c r="CF48" s="713">
        <v>0</v>
      </c>
      <c r="CG48" s="710">
        <v>0</v>
      </c>
      <c r="CH48" s="713">
        <v>0</v>
      </c>
      <c r="CI48" s="710">
        <v>0</v>
      </c>
      <c r="CJ48" s="713">
        <v>0</v>
      </c>
      <c r="CK48" s="710">
        <v>0</v>
      </c>
      <c r="CL48" s="713">
        <v>0</v>
      </c>
      <c r="CM48" s="710">
        <v>0</v>
      </c>
      <c r="CN48" s="713">
        <v>0</v>
      </c>
      <c r="CO48" s="710">
        <v>0</v>
      </c>
      <c r="CP48" s="713">
        <v>0</v>
      </c>
      <c r="CQ48" s="710">
        <v>0</v>
      </c>
      <c r="CR48" s="711">
        <v>0</v>
      </c>
      <c r="CS48" s="710">
        <v>0</v>
      </c>
      <c r="CT48" s="711">
        <v>0</v>
      </c>
      <c r="CU48" s="712">
        <v>0</v>
      </c>
      <c r="CV48" s="711">
        <v>0</v>
      </c>
    </row>
    <row r="49" spans="1:100">
      <c r="A49" s="467">
        <v>47</v>
      </c>
      <c r="B49" s="595">
        <v>0</v>
      </c>
      <c r="C49" s="595">
        <v>0</v>
      </c>
      <c r="D49" s="595">
        <v>0</v>
      </c>
      <c r="E49" s="595">
        <v>0</v>
      </c>
      <c r="F49" s="595">
        <f t="shared" si="20"/>
        <v>1.2500000000000001E-2</v>
      </c>
      <c r="G49" s="595">
        <v>0.02</v>
      </c>
      <c r="H49" s="595">
        <v>0</v>
      </c>
      <c r="I49" s="595">
        <v>0</v>
      </c>
      <c r="J49" s="595">
        <v>0</v>
      </c>
      <c r="K49" s="595">
        <v>0</v>
      </c>
      <c r="L49" s="595">
        <v>0</v>
      </c>
      <c r="M49" s="595">
        <v>0</v>
      </c>
      <c r="N49" s="595">
        <v>0</v>
      </c>
      <c r="O49" s="595">
        <v>0</v>
      </c>
      <c r="P49" s="595">
        <v>0</v>
      </c>
      <c r="Q49" s="595">
        <v>0</v>
      </c>
      <c r="R49" s="595">
        <v>0</v>
      </c>
      <c r="S49" s="595">
        <v>0</v>
      </c>
      <c r="T49" s="595">
        <v>0.02</v>
      </c>
      <c r="U49" s="595">
        <v>0</v>
      </c>
      <c r="V49" s="595">
        <v>0</v>
      </c>
      <c r="W49" s="611">
        <v>0</v>
      </c>
      <c r="X49" s="706"/>
      <c r="Y49" s="706"/>
      <c r="Z49" s="706"/>
      <c r="AA49" s="706"/>
      <c r="AB49" s="706"/>
      <c r="AC49" s="706"/>
      <c r="AD49" s="706"/>
      <c r="AE49" s="703">
        <v>0</v>
      </c>
      <c r="AF49" s="704">
        <v>0</v>
      </c>
      <c r="AG49" s="705">
        <v>0</v>
      </c>
      <c r="AH49" s="706">
        <v>0</v>
      </c>
      <c r="AI49" s="705">
        <v>0</v>
      </c>
      <c r="AJ49" s="703">
        <v>0</v>
      </c>
      <c r="AK49" s="705">
        <v>0</v>
      </c>
      <c r="AL49" s="707">
        <v>0</v>
      </c>
      <c r="AM49" s="703">
        <v>0</v>
      </c>
      <c r="AN49" s="703">
        <v>0</v>
      </c>
      <c r="AO49" s="707">
        <v>0</v>
      </c>
      <c r="AP49" s="708">
        <v>0</v>
      </c>
      <c r="AQ49" s="705">
        <f t="shared" si="18"/>
        <v>7.1428571428571426E-3</v>
      </c>
      <c r="AR49" s="703">
        <v>5.0000000000000001E-3</v>
      </c>
      <c r="AS49" s="705">
        <f t="shared" si="21"/>
        <v>1.2500000000000001E-2</v>
      </c>
      <c r="AT49" s="709">
        <v>1E-3</v>
      </c>
      <c r="AU49" s="703">
        <v>0</v>
      </c>
      <c r="AV49" s="705">
        <v>0</v>
      </c>
      <c r="AW49" s="710">
        <v>0</v>
      </c>
      <c r="AX49" s="711">
        <v>0</v>
      </c>
      <c r="AY49" s="710">
        <v>0</v>
      </c>
      <c r="AZ49" s="711">
        <v>0</v>
      </c>
      <c r="BA49" s="710">
        <v>0</v>
      </c>
      <c r="BB49" s="711">
        <v>0</v>
      </c>
      <c r="BC49" s="712">
        <v>0</v>
      </c>
      <c r="BD49" s="713">
        <v>0</v>
      </c>
      <c r="BE49" s="710">
        <v>0</v>
      </c>
      <c r="BF49" s="711">
        <v>0</v>
      </c>
      <c r="BG49" s="712">
        <v>0</v>
      </c>
      <c r="BH49" s="711">
        <v>0</v>
      </c>
      <c r="BI49" s="712">
        <v>0</v>
      </c>
      <c r="BJ49" s="711">
        <v>0</v>
      </c>
      <c r="BK49" s="712">
        <v>0</v>
      </c>
      <c r="BL49" s="711">
        <v>0</v>
      </c>
      <c r="BM49" s="712">
        <v>0</v>
      </c>
      <c r="BN49" s="711">
        <v>0</v>
      </c>
      <c r="BO49" s="712">
        <v>0</v>
      </c>
      <c r="BP49" s="711">
        <v>0</v>
      </c>
      <c r="BQ49" s="712">
        <v>0</v>
      </c>
      <c r="BR49" s="711">
        <v>0</v>
      </c>
      <c r="BS49" s="712">
        <v>0</v>
      </c>
      <c r="BT49" s="711">
        <v>0</v>
      </c>
      <c r="BU49" s="712">
        <v>0</v>
      </c>
      <c r="BV49" s="711">
        <v>0</v>
      </c>
      <c r="BW49" s="712">
        <v>0</v>
      </c>
      <c r="BX49" s="711">
        <v>0</v>
      </c>
      <c r="BY49" s="712">
        <v>0</v>
      </c>
      <c r="BZ49" s="711">
        <v>0</v>
      </c>
      <c r="CA49" s="712">
        <v>0</v>
      </c>
      <c r="CB49" s="711">
        <v>0</v>
      </c>
      <c r="CC49" s="710">
        <v>0</v>
      </c>
      <c r="CD49" s="713">
        <v>0</v>
      </c>
      <c r="CE49" s="710">
        <v>0</v>
      </c>
      <c r="CF49" s="713">
        <v>0</v>
      </c>
      <c r="CG49" s="710">
        <v>0</v>
      </c>
      <c r="CH49" s="713">
        <v>0</v>
      </c>
      <c r="CI49" s="710">
        <v>0</v>
      </c>
      <c r="CJ49" s="713">
        <v>0</v>
      </c>
      <c r="CK49" s="710">
        <v>0</v>
      </c>
      <c r="CL49" s="713">
        <v>0</v>
      </c>
      <c r="CM49" s="710">
        <v>0</v>
      </c>
      <c r="CN49" s="713">
        <v>0</v>
      </c>
      <c r="CO49" s="710">
        <v>0</v>
      </c>
      <c r="CP49" s="713">
        <v>0</v>
      </c>
      <c r="CQ49" s="710">
        <v>0</v>
      </c>
      <c r="CR49" s="711">
        <v>0</v>
      </c>
      <c r="CS49" s="710">
        <v>0</v>
      </c>
      <c r="CT49" s="711">
        <v>0</v>
      </c>
      <c r="CU49" s="712">
        <v>0</v>
      </c>
      <c r="CV49" s="711">
        <v>0</v>
      </c>
    </row>
    <row r="50" spans="1:100">
      <c r="A50" s="467">
        <v>48</v>
      </c>
      <c r="B50" s="595">
        <v>0</v>
      </c>
      <c r="C50" s="595">
        <v>0</v>
      </c>
      <c r="D50" s="595">
        <v>0</v>
      </c>
      <c r="E50" s="595">
        <v>0</v>
      </c>
      <c r="F50" s="595">
        <f t="shared" si="20"/>
        <v>1.2500000000000001E-2</v>
      </c>
      <c r="G50" s="595">
        <v>0.02</v>
      </c>
      <c r="H50" s="595">
        <v>0</v>
      </c>
      <c r="I50" s="595">
        <v>0</v>
      </c>
      <c r="J50" s="595">
        <v>0</v>
      </c>
      <c r="K50" s="595">
        <v>0</v>
      </c>
      <c r="L50" s="595">
        <v>0</v>
      </c>
      <c r="M50" s="595">
        <v>0</v>
      </c>
      <c r="N50" s="595">
        <v>0</v>
      </c>
      <c r="O50" s="595">
        <v>0</v>
      </c>
      <c r="P50" s="595">
        <v>0</v>
      </c>
      <c r="Q50" s="595">
        <v>0</v>
      </c>
      <c r="R50" s="595">
        <v>0</v>
      </c>
      <c r="S50" s="595">
        <v>0</v>
      </c>
      <c r="T50" s="595">
        <v>0.02</v>
      </c>
      <c r="U50" s="595">
        <v>0</v>
      </c>
      <c r="V50" s="595">
        <v>0</v>
      </c>
      <c r="W50" s="611">
        <v>0</v>
      </c>
      <c r="X50" s="706"/>
      <c r="Y50" s="706"/>
      <c r="Z50" s="706"/>
      <c r="AA50" s="706"/>
      <c r="AB50" s="706"/>
      <c r="AC50" s="706"/>
      <c r="AD50" s="706"/>
      <c r="AE50" s="703">
        <v>0</v>
      </c>
      <c r="AF50" s="704">
        <v>0</v>
      </c>
      <c r="AG50" s="705">
        <v>0</v>
      </c>
      <c r="AH50" s="706">
        <v>0</v>
      </c>
      <c r="AI50" s="705">
        <v>0</v>
      </c>
      <c r="AJ50" s="703">
        <v>0</v>
      </c>
      <c r="AK50" s="705">
        <v>0</v>
      </c>
      <c r="AL50" s="707">
        <v>0</v>
      </c>
      <c r="AM50" s="703">
        <v>0</v>
      </c>
      <c r="AN50" s="703">
        <v>0</v>
      </c>
      <c r="AO50" s="707">
        <v>0</v>
      </c>
      <c r="AP50" s="708">
        <v>0</v>
      </c>
      <c r="AQ50" s="705">
        <f t="shared" si="18"/>
        <v>7.1428571428571426E-3</v>
      </c>
      <c r="AR50" s="703">
        <v>5.0000000000000001E-3</v>
      </c>
      <c r="AS50" s="705">
        <f t="shared" si="21"/>
        <v>1.2500000000000001E-2</v>
      </c>
      <c r="AT50" s="709">
        <v>1E-3</v>
      </c>
      <c r="AU50" s="703">
        <v>0</v>
      </c>
      <c r="AV50" s="705">
        <v>0</v>
      </c>
      <c r="AW50" s="710">
        <v>0</v>
      </c>
      <c r="AX50" s="711">
        <v>0</v>
      </c>
      <c r="AY50" s="710">
        <v>0</v>
      </c>
      <c r="AZ50" s="711">
        <v>0</v>
      </c>
      <c r="BA50" s="710">
        <v>0</v>
      </c>
      <c r="BB50" s="711">
        <v>0</v>
      </c>
      <c r="BC50" s="712">
        <v>0</v>
      </c>
      <c r="BD50" s="713">
        <v>0</v>
      </c>
      <c r="BE50" s="710">
        <v>0</v>
      </c>
      <c r="BF50" s="711">
        <v>0</v>
      </c>
      <c r="BG50" s="712">
        <v>0</v>
      </c>
      <c r="BH50" s="711">
        <v>0</v>
      </c>
      <c r="BI50" s="712">
        <v>0</v>
      </c>
      <c r="BJ50" s="711">
        <v>0</v>
      </c>
      <c r="BK50" s="712">
        <v>0</v>
      </c>
      <c r="BL50" s="711">
        <v>0</v>
      </c>
      <c r="BM50" s="712">
        <v>0</v>
      </c>
      <c r="BN50" s="711">
        <v>0</v>
      </c>
      <c r="BO50" s="712">
        <v>0</v>
      </c>
      <c r="BP50" s="711">
        <v>0</v>
      </c>
      <c r="BQ50" s="712">
        <v>0</v>
      </c>
      <c r="BR50" s="711">
        <v>0</v>
      </c>
      <c r="BS50" s="712">
        <v>0</v>
      </c>
      <c r="BT50" s="711">
        <v>0</v>
      </c>
      <c r="BU50" s="712">
        <v>0</v>
      </c>
      <c r="BV50" s="711">
        <v>0</v>
      </c>
      <c r="BW50" s="712">
        <v>0</v>
      </c>
      <c r="BX50" s="711">
        <v>0</v>
      </c>
      <c r="BY50" s="712">
        <v>0</v>
      </c>
      <c r="BZ50" s="711">
        <v>0</v>
      </c>
      <c r="CA50" s="712">
        <v>0</v>
      </c>
      <c r="CB50" s="711">
        <v>0</v>
      </c>
      <c r="CC50" s="710">
        <v>0</v>
      </c>
      <c r="CD50" s="713">
        <v>0</v>
      </c>
      <c r="CE50" s="710">
        <v>0</v>
      </c>
      <c r="CF50" s="713">
        <v>0</v>
      </c>
      <c r="CG50" s="710">
        <v>0</v>
      </c>
      <c r="CH50" s="713">
        <v>0</v>
      </c>
      <c r="CI50" s="710">
        <v>0</v>
      </c>
      <c r="CJ50" s="713">
        <v>0</v>
      </c>
      <c r="CK50" s="710">
        <v>0</v>
      </c>
      <c r="CL50" s="713">
        <v>0</v>
      </c>
      <c r="CM50" s="710">
        <v>0</v>
      </c>
      <c r="CN50" s="713">
        <v>0</v>
      </c>
      <c r="CO50" s="710">
        <v>0</v>
      </c>
      <c r="CP50" s="713">
        <v>0</v>
      </c>
      <c r="CQ50" s="710">
        <v>0</v>
      </c>
      <c r="CR50" s="711">
        <v>0</v>
      </c>
      <c r="CS50" s="710">
        <v>0</v>
      </c>
      <c r="CT50" s="711">
        <v>0</v>
      </c>
      <c r="CU50" s="712">
        <v>0</v>
      </c>
      <c r="CV50" s="711">
        <v>0</v>
      </c>
    </row>
    <row r="51" spans="1:100">
      <c r="A51" s="467">
        <v>49</v>
      </c>
      <c r="B51" s="595">
        <v>0</v>
      </c>
      <c r="C51" s="595">
        <v>0</v>
      </c>
      <c r="D51" s="595">
        <v>0</v>
      </c>
      <c r="E51" s="595">
        <v>0</v>
      </c>
      <c r="F51" s="595">
        <f t="shared" si="20"/>
        <v>1.2500000000000001E-2</v>
      </c>
      <c r="G51" s="595">
        <v>0.02</v>
      </c>
      <c r="H51" s="595">
        <v>0</v>
      </c>
      <c r="I51" s="595">
        <v>0</v>
      </c>
      <c r="J51" s="595">
        <v>0</v>
      </c>
      <c r="K51" s="595">
        <v>0</v>
      </c>
      <c r="L51" s="595">
        <v>0</v>
      </c>
      <c r="M51" s="595">
        <v>0</v>
      </c>
      <c r="N51" s="595">
        <v>0</v>
      </c>
      <c r="O51" s="595">
        <v>0</v>
      </c>
      <c r="P51" s="595">
        <v>0</v>
      </c>
      <c r="Q51" s="595">
        <v>0</v>
      </c>
      <c r="R51" s="595">
        <v>0</v>
      </c>
      <c r="S51" s="595">
        <v>0</v>
      </c>
      <c r="T51" s="595">
        <v>0.02</v>
      </c>
      <c r="U51" s="595">
        <v>0</v>
      </c>
      <c r="V51" s="595">
        <v>0</v>
      </c>
      <c r="W51" s="611">
        <v>0</v>
      </c>
      <c r="X51" s="706"/>
      <c r="Y51" s="706"/>
      <c r="Z51" s="706"/>
      <c r="AA51" s="706"/>
      <c r="AB51" s="706"/>
      <c r="AC51" s="706"/>
      <c r="AD51" s="706"/>
      <c r="AE51" s="703">
        <v>0</v>
      </c>
      <c r="AF51" s="704">
        <v>0</v>
      </c>
      <c r="AG51" s="705">
        <v>0</v>
      </c>
      <c r="AH51" s="706">
        <v>0</v>
      </c>
      <c r="AI51" s="705">
        <v>0</v>
      </c>
      <c r="AJ51" s="703">
        <v>0</v>
      </c>
      <c r="AK51" s="705">
        <v>0</v>
      </c>
      <c r="AL51" s="707">
        <v>0</v>
      </c>
      <c r="AM51" s="703">
        <v>0</v>
      </c>
      <c r="AN51" s="703">
        <v>0</v>
      </c>
      <c r="AO51" s="707">
        <v>0</v>
      </c>
      <c r="AP51" s="708">
        <v>0</v>
      </c>
      <c r="AQ51" s="705">
        <f t="shared" si="18"/>
        <v>7.1428571428571426E-3</v>
      </c>
      <c r="AR51" s="703">
        <v>5.0000000000000001E-3</v>
      </c>
      <c r="AS51" s="705">
        <f t="shared" si="21"/>
        <v>1.2500000000000001E-2</v>
      </c>
      <c r="AT51" s="709">
        <v>1E-3</v>
      </c>
      <c r="AU51" s="703">
        <v>0</v>
      </c>
      <c r="AV51" s="705">
        <v>0</v>
      </c>
      <c r="AW51" s="710">
        <v>0</v>
      </c>
      <c r="AX51" s="711">
        <v>0</v>
      </c>
      <c r="AY51" s="710">
        <v>0</v>
      </c>
      <c r="AZ51" s="711">
        <v>0</v>
      </c>
      <c r="BA51" s="710">
        <v>0</v>
      </c>
      <c r="BB51" s="711">
        <v>0</v>
      </c>
      <c r="BC51" s="712">
        <v>0</v>
      </c>
      <c r="BD51" s="713">
        <v>0</v>
      </c>
      <c r="BE51" s="710">
        <v>0</v>
      </c>
      <c r="BF51" s="711">
        <v>0</v>
      </c>
      <c r="BG51" s="712">
        <v>0</v>
      </c>
      <c r="BH51" s="711">
        <v>0</v>
      </c>
      <c r="BI51" s="712">
        <v>0</v>
      </c>
      <c r="BJ51" s="711">
        <v>0</v>
      </c>
      <c r="BK51" s="712">
        <v>0</v>
      </c>
      <c r="BL51" s="711">
        <v>0</v>
      </c>
      <c r="BM51" s="712">
        <v>0</v>
      </c>
      <c r="BN51" s="711">
        <v>0</v>
      </c>
      <c r="BO51" s="712">
        <v>0</v>
      </c>
      <c r="BP51" s="711">
        <v>0</v>
      </c>
      <c r="BQ51" s="712">
        <v>0</v>
      </c>
      <c r="BR51" s="711">
        <v>0</v>
      </c>
      <c r="BS51" s="712">
        <v>0</v>
      </c>
      <c r="BT51" s="711">
        <v>0</v>
      </c>
      <c r="BU51" s="712">
        <v>0</v>
      </c>
      <c r="BV51" s="711">
        <v>0</v>
      </c>
      <c r="BW51" s="712">
        <v>0</v>
      </c>
      <c r="BX51" s="711">
        <v>0</v>
      </c>
      <c r="BY51" s="712">
        <v>0</v>
      </c>
      <c r="BZ51" s="711">
        <v>0</v>
      </c>
      <c r="CA51" s="712">
        <v>0</v>
      </c>
      <c r="CB51" s="711">
        <v>0</v>
      </c>
      <c r="CC51" s="710">
        <v>0</v>
      </c>
      <c r="CD51" s="713">
        <v>0</v>
      </c>
      <c r="CE51" s="710">
        <v>0</v>
      </c>
      <c r="CF51" s="713">
        <v>0</v>
      </c>
      <c r="CG51" s="710">
        <v>0</v>
      </c>
      <c r="CH51" s="713">
        <v>0</v>
      </c>
      <c r="CI51" s="710">
        <v>0</v>
      </c>
      <c r="CJ51" s="713">
        <v>0</v>
      </c>
      <c r="CK51" s="710">
        <v>0</v>
      </c>
      <c r="CL51" s="713">
        <v>0</v>
      </c>
      <c r="CM51" s="710">
        <v>0</v>
      </c>
      <c r="CN51" s="713">
        <v>0</v>
      </c>
      <c r="CO51" s="710">
        <v>0</v>
      </c>
      <c r="CP51" s="713">
        <v>0</v>
      </c>
      <c r="CQ51" s="710">
        <v>0</v>
      </c>
      <c r="CR51" s="711">
        <v>0</v>
      </c>
      <c r="CS51" s="710">
        <v>0</v>
      </c>
      <c r="CT51" s="711">
        <v>0</v>
      </c>
      <c r="CU51" s="712">
        <v>0</v>
      </c>
      <c r="CV51" s="711">
        <v>0</v>
      </c>
    </row>
    <row r="52" spans="1:100">
      <c r="A52" s="467">
        <v>50</v>
      </c>
      <c r="B52" s="595">
        <v>0</v>
      </c>
      <c r="C52" s="595">
        <v>0</v>
      </c>
      <c r="D52" s="595">
        <v>0</v>
      </c>
      <c r="E52" s="595">
        <v>0</v>
      </c>
      <c r="F52" s="595">
        <f t="shared" si="20"/>
        <v>1.2500000000000001E-2</v>
      </c>
      <c r="G52" s="595">
        <v>0.02</v>
      </c>
      <c r="H52" s="595">
        <v>0</v>
      </c>
      <c r="I52" s="595">
        <v>0</v>
      </c>
      <c r="J52" s="595">
        <v>0</v>
      </c>
      <c r="K52" s="595">
        <v>0</v>
      </c>
      <c r="L52" s="595">
        <v>0</v>
      </c>
      <c r="M52" s="595">
        <v>0</v>
      </c>
      <c r="N52" s="595">
        <v>0</v>
      </c>
      <c r="O52" s="595">
        <v>0</v>
      </c>
      <c r="P52" s="595">
        <v>0</v>
      </c>
      <c r="Q52" s="595">
        <v>0</v>
      </c>
      <c r="R52" s="595">
        <v>0</v>
      </c>
      <c r="S52" s="595">
        <v>0</v>
      </c>
      <c r="T52" s="595">
        <v>0.02</v>
      </c>
      <c r="U52" s="595">
        <v>0</v>
      </c>
      <c r="V52" s="595">
        <v>0</v>
      </c>
      <c r="W52" s="611">
        <v>0</v>
      </c>
      <c r="X52" s="706"/>
      <c r="Y52" s="706"/>
      <c r="Z52" s="706"/>
      <c r="AA52" s="706"/>
      <c r="AB52" s="706"/>
      <c r="AC52" s="706"/>
      <c r="AD52" s="706"/>
      <c r="AE52" s="703">
        <v>0</v>
      </c>
      <c r="AF52" s="704">
        <v>0</v>
      </c>
      <c r="AG52" s="705">
        <v>0</v>
      </c>
      <c r="AH52" s="706">
        <v>0</v>
      </c>
      <c r="AI52" s="705">
        <v>0</v>
      </c>
      <c r="AJ52" s="703">
        <v>0</v>
      </c>
      <c r="AK52" s="705">
        <v>0</v>
      </c>
      <c r="AL52" s="707">
        <v>0</v>
      </c>
      <c r="AM52" s="703">
        <v>0</v>
      </c>
      <c r="AN52" s="703">
        <v>0</v>
      </c>
      <c r="AO52" s="707">
        <v>0</v>
      </c>
      <c r="AP52" s="708">
        <v>0</v>
      </c>
      <c r="AQ52" s="705">
        <f t="shared" si="18"/>
        <v>7.1428571428571426E-3</v>
      </c>
      <c r="AR52" s="703">
        <v>5.0000000000000001E-3</v>
      </c>
      <c r="AS52" s="705">
        <f t="shared" si="21"/>
        <v>1.2500000000000001E-2</v>
      </c>
      <c r="AT52" s="709">
        <v>1E-3</v>
      </c>
      <c r="AU52" s="703">
        <v>0</v>
      </c>
      <c r="AV52" s="705">
        <v>0</v>
      </c>
      <c r="AW52" s="710">
        <v>0</v>
      </c>
      <c r="AX52" s="711">
        <v>0</v>
      </c>
      <c r="AY52" s="710">
        <v>0</v>
      </c>
      <c r="AZ52" s="711">
        <v>0</v>
      </c>
      <c r="BA52" s="710">
        <v>0</v>
      </c>
      <c r="BB52" s="711">
        <v>0</v>
      </c>
      <c r="BC52" s="712">
        <v>0</v>
      </c>
      <c r="BD52" s="713">
        <v>0</v>
      </c>
      <c r="BE52" s="710">
        <v>0</v>
      </c>
      <c r="BF52" s="711">
        <v>0</v>
      </c>
      <c r="BG52" s="712">
        <v>0</v>
      </c>
      <c r="BH52" s="711">
        <v>0</v>
      </c>
      <c r="BI52" s="712">
        <v>0</v>
      </c>
      <c r="BJ52" s="711">
        <v>0</v>
      </c>
      <c r="BK52" s="712">
        <v>0</v>
      </c>
      <c r="BL52" s="711">
        <v>0</v>
      </c>
      <c r="BM52" s="712">
        <v>0</v>
      </c>
      <c r="BN52" s="711">
        <v>0</v>
      </c>
      <c r="BO52" s="712">
        <v>0</v>
      </c>
      <c r="BP52" s="711">
        <v>0</v>
      </c>
      <c r="BQ52" s="712">
        <v>0</v>
      </c>
      <c r="BR52" s="711">
        <v>0</v>
      </c>
      <c r="BS52" s="712">
        <v>0</v>
      </c>
      <c r="BT52" s="711">
        <v>0</v>
      </c>
      <c r="BU52" s="712">
        <v>0</v>
      </c>
      <c r="BV52" s="711">
        <v>0</v>
      </c>
      <c r="BW52" s="712">
        <v>0</v>
      </c>
      <c r="BX52" s="711">
        <v>0</v>
      </c>
      <c r="BY52" s="712">
        <v>0</v>
      </c>
      <c r="BZ52" s="711">
        <v>0</v>
      </c>
      <c r="CA52" s="712">
        <v>0</v>
      </c>
      <c r="CB52" s="711">
        <v>0</v>
      </c>
      <c r="CC52" s="710">
        <v>0</v>
      </c>
      <c r="CD52" s="713">
        <v>0</v>
      </c>
      <c r="CE52" s="710">
        <v>0</v>
      </c>
      <c r="CF52" s="713">
        <v>0</v>
      </c>
      <c r="CG52" s="710">
        <v>0</v>
      </c>
      <c r="CH52" s="713">
        <v>0</v>
      </c>
      <c r="CI52" s="710">
        <v>0</v>
      </c>
      <c r="CJ52" s="713">
        <v>0</v>
      </c>
      <c r="CK52" s="710">
        <v>0</v>
      </c>
      <c r="CL52" s="713">
        <v>0</v>
      </c>
      <c r="CM52" s="710">
        <v>0</v>
      </c>
      <c r="CN52" s="713">
        <v>0</v>
      </c>
      <c r="CO52" s="710">
        <v>0</v>
      </c>
      <c r="CP52" s="713">
        <v>0</v>
      </c>
      <c r="CQ52" s="710">
        <v>0</v>
      </c>
      <c r="CR52" s="711">
        <v>0</v>
      </c>
      <c r="CS52" s="710">
        <v>0</v>
      </c>
      <c r="CT52" s="711">
        <v>0</v>
      </c>
      <c r="CU52" s="712">
        <v>0</v>
      </c>
      <c r="CV52" s="711">
        <v>0</v>
      </c>
    </row>
    <row r="53" spans="1:100">
      <c r="A53" s="467">
        <v>51</v>
      </c>
      <c r="B53" s="595">
        <v>0</v>
      </c>
      <c r="C53" s="595">
        <v>0</v>
      </c>
      <c r="D53" s="595">
        <v>0</v>
      </c>
      <c r="E53" s="595">
        <v>0</v>
      </c>
      <c r="F53" s="595">
        <f t="shared" si="20"/>
        <v>1.2500000000000001E-2</v>
      </c>
      <c r="G53" s="595">
        <v>0.02</v>
      </c>
      <c r="H53" s="595">
        <v>0</v>
      </c>
      <c r="I53" s="595">
        <v>0</v>
      </c>
      <c r="J53" s="595">
        <v>0</v>
      </c>
      <c r="K53" s="595">
        <v>0</v>
      </c>
      <c r="L53" s="595">
        <v>0</v>
      </c>
      <c r="M53" s="595">
        <v>0</v>
      </c>
      <c r="N53" s="595">
        <v>0</v>
      </c>
      <c r="O53" s="595">
        <v>0</v>
      </c>
      <c r="P53" s="595">
        <v>0</v>
      </c>
      <c r="Q53" s="595">
        <v>0</v>
      </c>
      <c r="R53" s="595">
        <v>0</v>
      </c>
      <c r="S53" s="595">
        <v>0</v>
      </c>
      <c r="T53" s="595">
        <v>0.02</v>
      </c>
      <c r="U53" s="595">
        <v>0</v>
      </c>
      <c r="V53" s="595">
        <v>0</v>
      </c>
      <c r="W53" s="611">
        <v>0</v>
      </c>
      <c r="X53" s="706"/>
      <c r="Y53" s="706"/>
      <c r="Z53" s="706"/>
      <c r="AA53" s="706"/>
      <c r="AB53" s="706"/>
      <c r="AC53" s="706"/>
      <c r="AD53" s="706"/>
      <c r="AE53" s="703">
        <v>0</v>
      </c>
      <c r="AF53" s="704">
        <v>0</v>
      </c>
      <c r="AG53" s="705">
        <v>0</v>
      </c>
      <c r="AH53" s="706">
        <v>0</v>
      </c>
      <c r="AI53" s="705">
        <v>0</v>
      </c>
      <c r="AJ53" s="703">
        <v>0</v>
      </c>
      <c r="AK53" s="705">
        <v>0</v>
      </c>
      <c r="AL53" s="707">
        <v>0</v>
      </c>
      <c r="AM53" s="703">
        <v>0</v>
      </c>
      <c r="AN53" s="703">
        <v>0</v>
      </c>
      <c r="AO53" s="707">
        <v>0</v>
      </c>
      <c r="AP53" s="708">
        <v>0</v>
      </c>
      <c r="AQ53" s="705">
        <f t="shared" si="18"/>
        <v>7.1428571428571426E-3</v>
      </c>
      <c r="AR53" s="703">
        <v>5.0000000000000001E-3</v>
      </c>
      <c r="AS53" s="705">
        <f t="shared" si="21"/>
        <v>1.2500000000000001E-2</v>
      </c>
      <c r="AT53" s="709">
        <v>1E-3</v>
      </c>
      <c r="AU53" s="703">
        <v>0</v>
      </c>
      <c r="AV53" s="705">
        <v>0</v>
      </c>
      <c r="AW53" s="710">
        <v>0</v>
      </c>
      <c r="AX53" s="711">
        <v>0</v>
      </c>
      <c r="AY53" s="710">
        <v>0</v>
      </c>
      <c r="AZ53" s="711">
        <v>0</v>
      </c>
      <c r="BA53" s="710">
        <v>0</v>
      </c>
      <c r="BB53" s="711">
        <v>0</v>
      </c>
      <c r="BC53" s="712">
        <v>0</v>
      </c>
      <c r="BD53" s="713">
        <v>0</v>
      </c>
      <c r="BE53" s="710">
        <v>0</v>
      </c>
      <c r="BF53" s="711">
        <v>0</v>
      </c>
      <c r="BG53" s="712">
        <v>0</v>
      </c>
      <c r="BH53" s="711">
        <v>0</v>
      </c>
      <c r="BI53" s="712">
        <v>0</v>
      </c>
      <c r="BJ53" s="711">
        <v>0</v>
      </c>
      <c r="BK53" s="712">
        <v>0</v>
      </c>
      <c r="BL53" s="711">
        <v>0</v>
      </c>
      <c r="BM53" s="712">
        <v>0</v>
      </c>
      <c r="BN53" s="711">
        <v>0</v>
      </c>
      <c r="BO53" s="712">
        <v>0</v>
      </c>
      <c r="BP53" s="711">
        <v>0</v>
      </c>
      <c r="BQ53" s="712">
        <v>0</v>
      </c>
      <c r="BR53" s="711">
        <v>0</v>
      </c>
      <c r="BS53" s="712">
        <v>0</v>
      </c>
      <c r="BT53" s="711">
        <v>0</v>
      </c>
      <c r="BU53" s="712">
        <v>0</v>
      </c>
      <c r="BV53" s="711">
        <v>0</v>
      </c>
      <c r="BW53" s="712">
        <v>0</v>
      </c>
      <c r="BX53" s="711">
        <v>0</v>
      </c>
      <c r="BY53" s="712">
        <v>0</v>
      </c>
      <c r="BZ53" s="711">
        <v>0</v>
      </c>
      <c r="CA53" s="712">
        <v>0</v>
      </c>
      <c r="CB53" s="711">
        <v>0</v>
      </c>
      <c r="CC53" s="710">
        <v>0</v>
      </c>
      <c r="CD53" s="713">
        <v>0</v>
      </c>
      <c r="CE53" s="710">
        <v>0</v>
      </c>
      <c r="CF53" s="713">
        <v>0</v>
      </c>
      <c r="CG53" s="710">
        <v>0</v>
      </c>
      <c r="CH53" s="713">
        <v>0</v>
      </c>
      <c r="CI53" s="710">
        <v>0</v>
      </c>
      <c r="CJ53" s="713">
        <v>0</v>
      </c>
      <c r="CK53" s="710">
        <v>0</v>
      </c>
      <c r="CL53" s="713">
        <v>0</v>
      </c>
      <c r="CM53" s="710">
        <v>0</v>
      </c>
      <c r="CN53" s="713">
        <v>0</v>
      </c>
      <c r="CO53" s="710">
        <v>0</v>
      </c>
      <c r="CP53" s="713">
        <v>0</v>
      </c>
      <c r="CQ53" s="710">
        <v>0</v>
      </c>
      <c r="CR53" s="711">
        <v>0</v>
      </c>
      <c r="CS53" s="710">
        <v>0</v>
      </c>
      <c r="CT53" s="711">
        <v>0</v>
      </c>
      <c r="CU53" s="712">
        <v>0</v>
      </c>
      <c r="CV53" s="711">
        <v>0</v>
      </c>
    </row>
    <row r="54" spans="1:100">
      <c r="A54" s="467">
        <v>52</v>
      </c>
      <c r="B54" s="595">
        <v>0</v>
      </c>
      <c r="C54" s="595">
        <v>0</v>
      </c>
      <c r="D54" s="595">
        <v>0</v>
      </c>
      <c r="E54" s="595">
        <v>0</v>
      </c>
      <c r="F54" s="595">
        <f t="shared" si="20"/>
        <v>1.2500000000000001E-2</v>
      </c>
      <c r="G54" s="595">
        <v>0.02</v>
      </c>
      <c r="H54" s="595">
        <v>0</v>
      </c>
      <c r="I54" s="595">
        <v>0</v>
      </c>
      <c r="J54" s="595">
        <v>0</v>
      </c>
      <c r="K54" s="595">
        <v>0</v>
      </c>
      <c r="L54" s="595">
        <v>0</v>
      </c>
      <c r="M54" s="595">
        <v>0</v>
      </c>
      <c r="N54" s="595">
        <v>0</v>
      </c>
      <c r="O54" s="595">
        <v>0</v>
      </c>
      <c r="P54" s="595">
        <v>0</v>
      </c>
      <c r="Q54" s="595">
        <v>0</v>
      </c>
      <c r="R54" s="595">
        <v>0</v>
      </c>
      <c r="S54" s="595">
        <v>0</v>
      </c>
      <c r="T54" s="595">
        <v>0.02</v>
      </c>
      <c r="U54" s="595">
        <v>0</v>
      </c>
      <c r="V54" s="595">
        <v>0</v>
      </c>
      <c r="W54" s="611">
        <v>0</v>
      </c>
      <c r="X54" s="706"/>
      <c r="Y54" s="706"/>
      <c r="Z54" s="706"/>
      <c r="AA54" s="706"/>
      <c r="AB54" s="706"/>
      <c r="AC54" s="706"/>
      <c r="AD54" s="706"/>
      <c r="AE54" s="703">
        <v>0</v>
      </c>
      <c r="AF54" s="704">
        <v>0</v>
      </c>
      <c r="AG54" s="705">
        <v>0</v>
      </c>
      <c r="AH54" s="706">
        <v>0</v>
      </c>
      <c r="AI54" s="705">
        <v>0</v>
      </c>
      <c r="AJ54" s="703">
        <v>0</v>
      </c>
      <c r="AK54" s="705">
        <v>0</v>
      </c>
      <c r="AL54" s="707">
        <v>0</v>
      </c>
      <c r="AM54" s="703">
        <v>0</v>
      </c>
      <c r="AN54" s="703">
        <v>0</v>
      </c>
      <c r="AO54" s="707">
        <v>0</v>
      </c>
      <c r="AP54" s="708">
        <v>0</v>
      </c>
      <c r="AQ54" s="705">
        <f t="shared" si="18"/>
        <v>7.1428571428571426E-3</v>
      </c>
      <c r="AR54" s="703">
        <v>5.0000000000000001E-3</v>
      </c>
      <c r="AS54" s="705">
        <f t="shared" si="21"/>
        <v>1.2500000000000001E-2</v>
      </c>
      <c r="AT54" s="709">
        <v>1E-3</v>
      </c>
      <c r="AU54" s="703">
        <v>0</v>
      </c>
      <c r="AV54" s="705">
        <v>0</v>
      </c>
      <c r="AW54" s="710">
        <v>0</v>
      </c>
      <c r="AX54" s="711">
        <v>0</v>
      </c>
      <c r="AY54" s="710">
        <v>0</v>
      </c>
      <c r="AZ54" s="711">
        <v>0</v>
      </c>
      <c r="BA54" s="710">
        <v>0</v>
      </c>
      <c r="BB54" s="711">
        <v>0</v>
      </c>
      <c r="BC54" s="712">
        <v>0</v>
      </c>
      <c r="BD54" s="713">
        <v>0</v>
      </c>
      <c r="BE54" s="710">
        <v>0</v>
      </c>
      <c r="BF54" s="711">
        <v>0</v>
      </c>
      <c r="BG54" s="712">
        <v>0</v>
      </c>
      <c r="BH54" s="711">
        <v>0</v>
      </c>
      <c r="BI54" s="712">
        <v>0</v>
      </c>
      <c r="BJ54" s="711">
        <v>0</v>
      </c>
      <c r="BK54" s="712">
        <v>0</v>
      </c>
      <c r="BL54" s="711">
        <v>0</v>
      </c>
      <c r="BM54" s="712">
        <v>0</v>
      </c>
      <c r="BN54" s="711">
        <v>0</v>
      </c>
      <c r="BO54" s="712">
        <v>0</v>
      </c>
      <c r="BP54" s="711">
        <v>0</v>
      </c>
      <c r="BQ54" s="712">
        <v>0</v>
      </c>
      <c r="BR54" s="711">
        <v>0</v>
      </c>
      <c r="BS54" s="712">
        <v>0</v>
      </c>
      <c r="BT54" s="711">
        <v>0</v>
      </c>
      <c r="BU54" s="712">
        <v>0</v>
      </c>
      <c r="BV54" s="711">
        <v>0</v>
      </c>
      <c r="BW54" s="712">
        <v>0</v>
      </c>
      <c r="BX54" s="711">
        <v>0</v>
      </c>
      <c r="BY54" s="712">
        <v>0</v>
      </c>
      <c r="BZ54" s="711">
        <v>0</v>
      </c>
      <c r="CA54" s="712">
        <v>0</v>
      </c>
      <c r="CB54" s="711">
        <v>0</v>
      </c>
      <c r="CC54" s="710">
        <v>0</v>
      </c>
      <c r="CD54" s="713">
        <v>0</v>
      </c>
      <c r="CE54" s="710">
        <v>0</v>
      </c>
      <c r="CF54" s="713">
        <v>0</v>
      </c>
      <c r="CG54" s="710">
        <v>0</v>
      </c>
      <c r="CH54" s="713">
        <v>0</v>
      </c>
      <c r="CI54" s="710">
        <v>0</v>
      </c>
      <c r="CJ54" s="713">
        <v>0</v>
      </c>
      <c r="CK54" s="710">
        <v>0</v>
      </c>
      <c r="CL54" s="713">
        <v>0</v>
      </c>
      <c r="CM54" s="710">
        <v>0</v>
      </c>
      <c r="CN54" s="713">
        <v>0</v>
      </c>
      <c r="CO54" s="710">
        <v>0</v>
      </c>
      <c r="CP54" s="713">
        <v>0</v>
      </c>
      <c r="CQ54" s="710">
        <v>0</v>
      </c>
      <c r="CR54" s="711">
        <v>0</v>
      </c>
      <c r="CS54" s="710">
        <v>0</v>
      </c>
      <c r="CT54" s="711">
        <v>0</v>
      </c>
      <c r="CU54" s="712">
        <v>0</v>
      </c>
      <c r="CV54" s="711">
        <v>0</v>
      </c>
    </row>
    <row r="55" spans="1:100">
      <c r="A55" s="467">
        <v>53</v>
      </c>
      <c r="B55" s="595">
        <v>0</v>
      </c>
      <c r="C55" s="595">
        <v>0</v>
      </c>
      <c r="D55" s="595">
        <v>0</v>
      </c>
      <c r="E55" s="595">
        <v>0</v>
      </c>
      <c r="F55" s="595">
        <f t="shared" si="20"/>
        <v>1.2500000000000001E-2</v>
      </c>
      <c r="G55" s="595">
        <v>0.02</v>
      </c>
      <c r="H55" s="595">
        <v>0</v>
      </c>
      <c r="I55" s="595">
        <v>0</v>
      </c>
      <c r="J55" s="595">
        <v>0</v>
      </c>
      <c r="K55" s="595">
        <v>0</v>
      </c>
      <c r="L55" s="595">
        <v>0</v>
      </c>
      <c r="M55" s="595">
        <v>0</v>
      </c>
      <c r="N55" s="595">
        <v>0</v>
      </c>
      <c r="O55" s="595">
        <v>0</v>
      </c>
      <c r="P55" s="595">
        <v>0</v>
      </c>
      <c r="Q55" s="595">
        <v>0</v>
      </c>
      <c r="R55" s="595">
        <v>0</v>
      </c>
      <c r="S55" s="595">
        <v>0</v>
      </c>
      <c r="T55" s="595">
        <v>0.02</v>
      </c>
      <c r="U55" s="595">
        <v>0</v>
      </c>
      <c r="V55" s="595">
        <v>0</v>
      </c>
      <c r="W55" s="611">
        <v>0</v>
      </c>
      <c r="X55" s="706"/>
      <c r="Y55" s="706"/>
      <c r="Z55" s="706"/>
      <c r="AA55" s="706"/>
      <c r="AB55" s="706"/>
      <c r="AC55" s="706"/>
      <c r="AD55" s="706"/>
      <c r="AE55" s="703">
        <v>0</v>
      </c>
      <c r="AF55" s="704">
        <v>0</v>
      </c>
      <c r="AG55" s="705">
        <v>0</v>
      </c>
      <c r="AH55" s="706">
        <v>0</v>
      </c>
      <c r="AI55" s="705">
        <v>0</v>
      </c>
      <c r="AJ55" s="703">
        <v>0</v>
      </c>
      <c r="AK55" s="705">
        <v>0</v>
      </c>
      <c r="AL55" s="707">
        <v>0</v>
      </c>
      <c r="AM55" s="703">
        <v>0</v>
      </c>
      <c r="AN55" s="703">
        <v>0</v>
      </c>
      <c r="AO55" s="707">
        <v>0</v>
      </c>
      <c r="AP55" s="708">
        <v>0</v>
      </c>
      <c r="AQ55" s="705">
        <f t="shared" si="18"/>
        <v>7.1428571428571426E-3</v>
      </c>
      <c r="AR55" s="703">
        <v>5.0000000000000001E-3</v>
      </c>
      <c r="AS55" s="705">
        <f t="shared" si="21"/>
        <v>1.2500000000000001E-2</v>
      </c>
      <c r="AT55" s="709">
        <v>1E-3</v>
      </c>
      <c r="AU55" s="703">
        <v>0</v>
      </c>
      <c r="AV55" s="705">
        <v>0</v>
      </c>
      <c r="AW55" s="710">
        <v>0</v>
      </c>
      <c r="AX55" s="711">
        <v>0</v>
      </c>
      <c r="AY55" s="710">
        <v>0</v>
      </c>
      <c r="AZ55" s="711">
        <v>0</v>
      </c>
      <c r="BA55" s="710">
        <v>0</v>
      </c>
      <c r="BB55" s="711">
        <v>0</v>
      </c>
      <c r="BC55" s="712">
        <v>0</v>
      </c>
      <c r="BD55" s="713">
        <v>0</v>
      </c>
      <c r="BE55" s="710">
        <v>0</v>
      </c>
      <c r="BF55" s="711">
        <v>0</v>
      </c>
      <c r="BG55" s="712">
        <v>0</v>
      </c>
      <c r="BH55" s="711">
        <v>0</v>
      </c>
      <c r="BI55" s="712">
        <v>0</v>
      </c>
      <c r="BJ55" s="711">
        <v>0</v>
      </c>
      <c r="BK55" s="712">
        <v>0</v>
      </c>
      <c r="BL55" s="711">
        <v>0</v>
      </c>
      <c r="BM55" s="712">
        <v>0</v>
      </c>
      <c r="BN55" s="711">
        <v>0</v>
      </c>
      <c r="BO55" s="712">
        <v>0</v>
      </c>
      <c r="BP55" s="711">
        <v>0</v>
      </c>
      <c r="BQ55" s="712">
        <v>0</v>
      </c>
      <c r="BR55" s="711">
        <v>0</v>
      </c>
      <c r="BS55" s="712">
        <v>0</v>
      </c>
      <c r="BT55" s="711">
        <v>0</v>
      </c>
      <c r="BU55" s="712">
        <v>0</v>
      </c>
      <c r="BV55" s="711">
        <v>0</v>
      </c>
      <c r="BW55" s="712">
        <v>0</v>
      </c>
      <c r="BX55" s="711">
        <v>0</v>
      </c>
      <c r="BY55" s="712">
        <v>0</v>
      </c>
      <c r="BZ55" s="711">
        <v>0</v>
      </c>
      <c r="CA55" s="712">
        <v>0</v>
      </c>
      <c r="CB55" s="711">
        <v>0</v>
      </c>
      <c r="CC55" s="710">
        <v>0</v>
      </c>
      <c r="CD55" s="713">
        <v>0</v>
      </c>
      <c r="CE55" s="710">
        <v>0</v>
      </c>
      <c r="CF55" s="713">
        <v>0</v>
      </c>
      <c r="CG55" s="710">
        <v>0</v>
      </c>
      <c r="CH55" s="713">
        <v>0</v>
      </c>
      <c r="CI55" s="710">
        <v>0</v>
      </c>
      <c r="CJ55" s="713">
        <v>0</v>
      </c>
      <c r="CK55" s="710">
        <v>0</v>
      </c>
      <c r="CL55" s="713">
        <v>0</v>
      </c>
      <c r="CM55" s="710">
        <v>0</v>
      </c>
      <c r="CN55" s="713">
        <v>0</v>
      </c>
      <c r="CO55" s="710">
        <v>0</v>
      </c>
      <c r="CP55" s="713">
        <v>0</v>
      </c>
      <c r="CQ55" s="710">
        <v>0</v>
      </c>
      <c r="CR55" s="711">
        <v>0</v>
      </c>
      <c r="CS55" s="710">
        <v>0</v>
      </c>
      <c r="CT55" s="711">
        <v>0</v>
      </c>
      <c r="CU55" s="712">
        <v>0</v>
      </c>
      <c r="CV55" s="711">
        <v>0</v>
      </c>
    </row>
    <row r="56" spans="1:100">
      <c r="A56" s="467">
        <v>54</v>
      </c>
      <c r="B56" s="595">
        <v>0</v>
      </c>
      <c r="C56" s="595">
        <v>0</v>
      </c>
      <c r="D56" s="595">
        <v>0</v>
      </c>
      <c r="E56" s="595">
        <v>0</v>
      </c>
      <c r="F56" s="595">
        <f t="shared" si="20"/>
        <v>1.2500000000000001E-2</v>
      </c>
      <c r="G56" s="595">
        <v>0.02</v>
      </c>
      <c r="H56" s="595">
        <v>0</v>
      </c>
      <c r="I56" s="595">
        <v>0</v>
      </c>
      <c r="J56" s="595">
        <v>0</v>
      </c>
      <c r="K56" s="595">
        <v>0</v>
      </c>
      <c r="L56" s="595">
        <v>0</v>
      </c>
      <c r="M56" s="595">
        <v>0</v>
      </c>
      <c r="N56" s="595">
        <v>0</v>
      </c>
      <c r="O56" s="595">
        <v>0</v>
      </c>
      <c r="P56" s="595">
        <v>0</v>
      </c>
      <c r="Q56" s="595">
        <v>0</v>
      </c>
      <c r="R56" s="595">
        <v>0</v>
      </c>
      <c r="S56" s="595">
        <v>0</v>
      </c>
      <c r="T56" s="595">
        <v>0.02</v>
      </c>
      <c r="U56" s="595">
        <v>0</v>
      </c>
      <c r="V56" s="595">
        <v>0</v>
      </c>
      <c r="W56" s="611">
        <v>0</v>
      </c>
      <c r="X56" s="706"/>
      <c r="Y56" s="706"/>
      <c r="Z56" s="706"/>
      <c r="AA56" s="706"/>
      <c r="AB56" s="706"/>
      <c r="AC56" s="706"/>
      <c r="AD56" s="706"/>
      <c r="AE56" s="703">
        <v>0</v>
      </c>
      <c r="AF56" s="704">
        <v>0</v>
      </c>
      <c r="AG56" s="705">
        <v>0</v>
      </c>
      <c r="AH56" s="706">
        <v>0</v>
      </c>
      <c r="AI56" s="705">
        <v>0</v>
      </c>
      <c r="AJ56" s="703">
        <v>0</v>
      </c>
      <c r="AK56" s="705">
        <v>0</v>
      </c>
      <c r="AL56" s="707">
        <v>0</v>
      </c>
      <c r="AM56" s="703">
        <v>0</v>
      </c>
      <c r="AN56" s="703">
        <v>0</v>
      </c>
      <c r="AO56" s="707">
        <v>0</v>
      </c>
      <c r="AP56" s="708">
        <v>0</v>
      </c>
      <c r="AQ56" s="705">
        <f t="shared" si="18"/>
        <v>7.1428571428571426E-3</v>
      </c>
      <c r="AR56" s="703">
        <v>5.0000000000000001E-3</v>
      </c>
      <c r="AS56" s="705">
        <f t="shared" si="21"/>
        <v>1.2500000000000001E-2</v>
      </c>
      <c r="AT56" s="709">
        <v>1E-3</v>
      </c>
      <c r="AU56" s="703">
        <v>0</v>
      </c>
      <c r="AV56" s="705">
        <v>0</v>
      </c>
      <c r="AW56" s="710">
        <v>0</v>
      </c>
      <c r="AX56" s="711">
        <v>0</v>
      </c>
      <c r="AY56" s="710">
        <v>0</v>
      </c>
      <c r="AZ56" s="711">
        <v>0</v>
      </c>
      <c r="BA56" s="710">
        <v>0</v>
      </c>
      <c r="BB56" s="711">
        <v>0</v>
      </c>
      <c r="BC56" s="712">
        <v>0</v>
      </c>
      <c r="BD56" s="713">
        <v>0</v>
      </c>
      <c r="BE56" s="710">
        <v>0</v>
      </c>
      <c r="BF56" s="711">
        <v>0</v>
      </c>
      <c r="BG56" s="712">
        <v>0</v>
      </c>
      <c r="BH56" s="711">
        <v>0</v>
      </c>
      <c r="BI56" s="712">
        <v>0</v>
      </c>
      <c r="BJ56" s="711">
        <v>0</v>
      </c>
      <c r="BK56" s="712">
        <v>0</v>
      </c>
      <c r="BL56" s="711">
        <v>0</v>
      </c>
      <c r="BM56" s="712">
        <v>0</v>
      </c>
      <c r="BN56" s="711">
        <v>0</v>
      </c>
      <c r="BO56" s="712">
        <v>0</v>
      </c>
      <c r="BP56" s="711">
        <v>0</v>
      </c>
      <c r="BQ56" s="712">
        <v>0</v>
      </c>
      <c r="BR56" s="711">
        <v>0</v>
      </c>
      <c r="BS56" s="712">
        <v>0</v>
      </c>
      <c r="BT56" s="711">
        <v>0</v>
      </c>
      <c r="BU56" s="712">
        <v>0</v>
      </c>
      <c r="BV56" s="711">
        <v>0</v>
      </c>
      <c r="BW56" s="712">
        <v>0</v>
      </c>
      <c r="BX56" s="711">
        <v>0</v>
      </c>
      <c r="BY56" s="712">
        <v>0</v>
      </c>
      <c r="BZ56" s="711">
        <v>0</v>
      </c>
      <c r="CA56" s="712">
        <v>0</v>
      </c>
      <c r="CB56" s="711">
        <v>0</v>
      </c>
      <c r="CC56" s="710">
        <v>0</v>
      </c>
      <c r="CD56" s="713">
        <v>0</v>
      </c>
      <c r="CE56" s="710">
        <v>0</v>
      </c>
      <c r="CF56" s="713">
        <v>0</v>
      </c>
      <c r="CG56" s="710">
        <v>0</v>
      </c>
      <c r="CH56" s="713">
        <v>0</v>
      </c>
      <c r="CI56" s="710">
        <v>0</v>
      </c>
      <c r="CJ56" s="713">
        <v>0</v>
      </c>
      <c r="CK56" s="710">
        <v>0</v>
      </c>
      <c r="CL56" s="713">
        <v>0</v>
      </c>
      <c r="CM56" s="710">
        <v>0</v>
      </c>
      <c r="CN56" s="713">
        <v>0</v>
      </c>
      <c r="CO56" s="710">
        <v>0</v>
      </c>
      <c r="CP56" s="713">
        <v>0</v>
      </c>
      <c r="CQ56" s="710">
        <v>0</v>
      </c>
      <c r="CR56" s="711">
        <v>0</v>
      </c>
      <c r="CS56" s="710">
        <v>0</v>
      </c>
      <c r="CT56" s="711">
        <v>0</v>
      </c>
      <c r="CU56" s="712">
        <v>0</v>
      </c>
      <c r="CV56" s="711">
        <v>0</v>
      </c>
    </row>
    <row r="57" spans="1:100">
      <c r="A57" s="467">
        <v>55</v>
      </c>
      <c r="B57" s="595">
        <v>0</v>
      </c>
      <c r="C57" s="595">
        <v>0</v>
      </c>
      <c r="D57" s="595">
        <v>0</v>
      </c>
      <c r="E57" s="595">
        <v>0</v>
      </c>
      <c r="F57" s="595">
        <f t="shared" si="20"/>
        <v>1.2500000000000001E-2</v>
      </c>
      <c r="G57" s="595">
        <v>0.02</v>
      </c>
      <c r="H57" s="595">
        <v>0</v>
      </c>
      <c r="I57" s="595">
        <v>0</v>
      </c>
      <c r="J57" s="595">
        <v>0</v>
      </c>
      <c r="K57" s="595">
        <v>0</v>
      </c>
      <c r="L57" s="595">
        <v>0</v>
      </c>
      <c r="M57" s="595">
        <v>0</v>
      </c>
      <c r="N57" s="595">
        <v>0</v>
      </c>
      <c r="O57" s="595">
        <v>0</v>
      </c>
      <c r="P57" s="595">
        <v>0</v>
      </c>
      <c r="Q57" s="595">
        <v>0</v>
      </c>
      <c r="R57" s="595">
        <v>0</v>
      </c>
      <c r="S57" s="595">
        <v>0</v>
      </c>
      <c r="T57" s="595">
        <v>0.02</v>
      </c>
      <c r="U57" s="595">
        <v>0</v>
      </c>
      <c r="V57" s="595">
        <v>0</v>
      </c>
      <c r="W57" s="611">
        <v>0</v>
      </c>
      <c r="X57" s="706"/>
      <c r="Y57" s="706"/>
      <c r="Z57" s="706"/>
      <c r="AA57" s="706"/>
      <c r="AB57" s="706"/>
      <c r="AC57" s="706"/>
      <c r="AD57" s="706"/>
      <c r="AE57" s="703">
        <v>0</v>
      </c>
      <c r="AF57" s="704">
        <v>0</v>
      </c>
      <c r="AG57" s="705">
        <v>0</v>
      </c>
      <c r="AH57" s="706">
        <v>0</v>
      </c>
      <c r="AI57" s="705">
        <v>0</v>
      </c>
      <c r="AJ57" s="703">
        <v>0</v>
      </c>
      <c r="AK57" s="705">
        <v>0</v>
      </c>
      <c r="AL57" s="707">
        <v>0</v>
      </c>
      <c r="AM57" s="703">
        <v>0</v>
      </c>
      <c r="AN57" s="703">
        <v>0</v>
      </c>
      <c r="AO57" s="707">
        <v>0</v>
      </c>
      <c r="AP57" s="708">
        <v>0</v>
      </c>
      <c r="AQ57" s="705">
        <f t="shared" si="18"/>
        <v>7.1428571428571426E-3</v>
      </c>
      <c r="AR57" s="703">
        <v>5.0000000000000001E-3</v>
      </c>
      <c r="AS57" s="705">
        <f t="shared" si="21"/>
        <v>1.2500000000000001E-2</v>
      </c>
      <c r="AT57" s="709">
        <v>1E-3</v>
      </c>
      <c r="AU57" s="703">
        <v>0</v>
      </c>
      <c r="AV57" s="705">
        <v>0</v>
      </c>
      <c r="AW57" s="710">
        <v>0</v>
      </c>
      <c r="AX57" s="711">
        <v>0</v>
      </c>
      <c r="AY57" s="710">
        <v>0</v>
      </c>
      <c r="AZ57" s="711">
        <v>0</v>
      </c>
      <c r="BA57" s="710">
        <v>0</v>
      </c>
      <c r="BB57" s="711">
        <v>0</v>
      </c>
      <c r="BC57" s="712">
        <v>0</v>
      </c>
      <c r="BD57" s="713">
        <v>0</v>
      </c>
      <c r="BE57" s="710">
        <v>0</v>
      </c>
      <c r="BF57" s="711">
        <v>0</v>
      </c>
      <c r="BG57" s="712">
        <v>0</v>
      </c>
      <c r="BH57" s="711">
        <v>0</v>
      </c>
      <c r="BI57" s="712">
        <v>0</v>
      </c>
      <c r="BJ57" s="711">
        <v>0</v>
      </c>
      <c r="BK57" s="712">
        <v>0</v>
      </c>
      <c r="BL57" s="711">
        <v>0</v>
      </c>
      <c r="BM57" s="712">
        <v>0</v>
      </c>
      <c r="BN57" s="711">
        <v>0</v>
      </c>
      <c r="BO57" s="712">
        <v>0</v>
      </c>
      <c r="BP57" s="711">
        <v>0</v>
      </c>
      <c r="BQ57" s="712">
        <v>0</v>
      </c>
      <c r="BR57" s="711">
        <v>0</v>
      </c>
      <c r="BS57" s="712">
        <v>0</v>
      </c>
      <c r="BT57" s="711">
        <v>0</v>
      </c>
      <c r="BU57" s="712">
        <v>0</v>
      </c>
      <c r="BV57" s="711">
        <v>0</v>
      </c>
      <c r="BW57" s="712">
        <v>0</v>
      </c>
      <c r="BX57" s="711">
        <v>0</v>
      </c>
      <c r="BY57" s="712">
        <v>0</v>
      </c>
      <c r="BZ57" s="711">
        <v>0</v>
      </c>
      <c r="CA57" s="712">
        <v>0</v>
      </c>
      <c r="CB57" s="711">
        <v>0</v>
      </c>
      <c r="CC57" s="710">
        <v>0</v>
      </c>
      <c r="CD57" s="713">
        <v>0</v>
      </c>
      <c r="CE57" s="710">
        <v>0</v>
      </c>
      <c r="CF57" s="713">
        <v>0</v>
      </c>
      <c r="CG57" s="710">
        <v>0</v>
      </c>
      <c r="CH57" s="713">
        <v>0</v>
      </c>
      <c r="CI57" s="710">
        <v>0</v>
      </c>
      <c r="CJ57" s="713">
        <v>0</v>
      </c>
      <c r="CK57" s="710">
        <v>0</v>
      </c>
      <c r="CL57" s="713">
        <v>0</v>
      </c>
      <c r="CM57" s="710">
        <v>0</v>
      </c>
      <c r="CN57" s="713">
        <v>0</v>
      </c>
      <c r="CO57" s="710">
        <v>0</v>
      </c>
      <c r="CP57" s="713">
        <v>0</v>
      </c>
      <c r="CQ57" s="710">
        <v>0</v>
      </c>
      <c r="CR57" s="711">
        <v>0</v>
      </c>
      <c r="CS57" s="710">
        <v>0</v>
      </c>
      <c r="CT57" s="711">
        <v>0</v>
      </c>
      <c r="CU57" s="712">
        <v>0</v>
      </c>
      <c r="CV57" s="711">
        <v>0</v>
      </c>
    </row>
    <row r="58" spans="1:100">
      <c r="A58" s="467">
        <v>56</v>
      </c>
      <c r="B58" s="595">
        <v>0</v>
      </c>
      <c r="C58" s="595">
        <v>0</v>
      </c>
      <c r="D58" s="595">
        <v>0</v>
      </c>
      <c r="E58" s="595">
        <v>0</v>
      </c>
      <c r="F58" s="595">
        <f t="shared" si="20"/>
        <v>1.2500000000000001E-2</v>
      </c>
      <c r="G58" s="595">
        <v>0.02</v>
      </c>
      <c r="H58" s="595">
        <v>0</v>
      </c>
      <c r="I58" s="595">
        <v>0</v>
      </c>
      <c r="J58" s="595">
        <v>0</v>
      </c>
      <c r="K58" s="595">
        <v>0</v>
      </c>
      <c r="L58" s="595">
        <v>0</v>
      </c>
      <c r="M58" s="595">
        <v>0</v>
      </c>
      <c r="N58" s="595">
        <v>0</v>
      </c>
      <c r="O58" s="595">
        <v>0</v>
      </c>
      <c r="P58" s="595">
        <v>0</v>
      </c>
      <c r="Q58" s="595">
        <v>0</v>
      </c>
      <c r="R58" s="595">
        <v>0</v>
      </c>
      <c r="S58" s="595">
        <v>0</v>
      </c>
      <c r="T58" s="595">
        <v>0.02</v>
      </c>
      <c r="U58" s="595">
        <v>0</v>
      </c>
      <c r="V58" s="595">
        <v>0</v>
      </c>
      <c r="W58" s="611">
        <v>0</v>
      </c>
      <c r="X58" s="706"/>
      <c r="Y58" s="706"/>
      <c r="Z58" s="706"/>
      <c r="AA58" s="706"/>
      <c r="AB58" s="706"/>
      <c r="AC58" s="706"/>
      <c r="AD58" s="706"/>
      <c r="AE58" s="703">
        <v>0</v>
      </c>
      <c r="AF58" s="704">
        <v>0</v>
      </c>
      <c r="AG58" s="705">
        <v>0</v>
      </c>
      <c r="AH58" s="706">
        <v>0</v>
      </c>
      <c r="AI58" s="705">
        <v>0</v>
      </c>
      <c r="AJ58" s="703">
        <v>0</v>
      </c>
      <c r="AK58" s="705">
        <v>0</v>
      </c>
      <c r="AL58" s="707">
        <v>0</v>
      </c>
      <c r="AM58" s="703">
        <v>0</v>
      </c>
      <c r="AN58" s="703">
        <v>0</v>
      </c>
      <c r="AO58" s="707">
        <v>0</v>
      </c>
      <c r="AP58" s="708">
        <v>0</v>
      </c>
      <c r="AQ58" s="705">
        <f t="shared" si="18"/>
        <v>7.1428571428571426E-3</v>
      </c>
      <c r="AR58" s="703">
        <v>5.0000000000000001E-3</v>
      </c>
      <c r="AS58" s="705">
        <f t="shared" si="21"/>
        <v>1.2500000000000001E-2</v>
      </c>
      <c r="AT58" s="709">
        <v>1E-3</v>
      </c>
      <c r="AU58" s="703">
        <v>0</v>
      </c>
      <c r="AV58" s="705">
        <v>0</v>
      </c>
      <c r="AW58" s="710">
        <v>0</v>
      </c>
      <c r="AX58" s="711">
        <v>0</v>
      </c>
      <c r="AY58" s="710">
        <v>0</v>
      </c>
      <c r="AZ58" s="711">
        <v>0</v>
      </c>
      <c r="BA58" s="710">
        <v>0</v>
      </c>
      <c r="BB58" s="711">
        <v>0</v>
      </c>
      <c r="BC58" s="712">
        <v>0</v>
      </c>
      <c r="BD58" s="713">
        <v>0</v>
      </c>
      <c r="BE58" s="710">
        <v>0</v>
      </c>
      <c r="BF58" s="711">
        <v>0</v>
      </c>
      <c r="BG58" s="712">
        <v>0</v>
      </c>
      <c r="BH58" s="711">
        <v>0</v>
      </c>
      <c r="BI58" s="712">
        <v>0</v>
      </c>
      <c r="BJ58" s="711">
        <v>0</v>
      </c>
      <c r="BK58" s="712">
        <v>0</v>
      </c>
      <c r="BL58" s="711">
        <v>0</v>
      </c>
      <c r="BM58" s="712">
        <v>0</v>
      </c>
      <c r="BN58" s="711">
        <v>0</v>
      </c>
      <c r="BO58" s="712">
        <v>0</v>
      </c>
      <c r="BP58" s="711">
        <v>0</v>
      </c>
      <c r="BQ58" s="712">
        <v>0</v>
      </c>
      <c r="BR58" s="711">
        <v>0</v>
      </c>
      <c r="BS58" s="712">
        <v>0</v>
      </c>
      <c r="BT58" s="711">
        <v>0</v>
      </c>
      <c r="BU58" s="712">
        <v>0</v>
      </c>
      <c r="BV58" s="711">
        <v>0</v>
      </c>
      <c r="BW58" s="712">
        <v>0</v>
      </c>
      <c r="BX58" s="711">
        <v>0</v>
      </c>
      <c r="BY58" s="712">
        <v>0</v>
      </c>
      <c r="BZ58" s="711">
        <v>0</v>
      </c>
      <c r="CA58" s="712">
        <v>0</v>
      </c>
      <c r="CB58" s="711">
        <v>0</v>
      </c>
      <c r="CC58" s="710">
        <v>0</v>
      </c>
      <c r="CD58" s="713">
        <v>0</v>
      </c>
      <c r="CE58" s="710">
        <v>0</v>
      </c>
      <c r="CF58" s="713">
        <v>0</v>
      </c>
      <c r="CG58" s="710">
        <v>0</v>
      </c>
      <c r="CH58" s="713">
        <v>0</v>
      </c>
      <c r="CI58" s="710">
        <v>0</v>
      </c>
      <c r="CJ58" s="713">
        <v>0</v>
      </c>
      <c r="CK58" s="710">
        <v>0</v>
      </c>
      <c r="CL58" s="713">
        <v>0</v>
      </c>
      <c r="CM58" s="710">
        <v>0</v>
      </c>
      <c r="CN58" s="713">
        <v>0</v>
      </c>
      <c r="CO58" s="710">
        <v>0</v>
      </c>
      <c r="CP58" s="713">
        <v>0</v>
      </c>
      <c r="CQ58" s="710">
        <v>0</v>
      </c>
      <c r="CR58" s="711">
        <v>0</v>
      </c>
      <c r="CS58" s="710">
        <v>0</v>
      </c>
      <c r="CT58" s="711">
        <v>0</v>
      </c>
      <c r="CU58" s="712">
        <v>0</v>
      </c>
      <c r="CV58" s="711">
        <v>0</v>
      </c>
    </row>
    <row r="59" spans="1:100">
      <c r="A59" s="467">
        <v>57</v>
      </c>
      <c r="B59" s="595">
        <v>0</v>
      </c>
      <c r="C59" s="595">
        <v>0</v>
      </c>
      <c r="D59" s="595">
        <v>0</v>
      </c>
      <c r="E59" s="595">
        <v>0</v>
      </c>
      <c r="F59" s="595">
        <f t="shared" si="20"/>
        <v>1.2500000000000001E-2</v>
      </c>
      <c r="G59" s="595">
        <v>0.02</v>
      </c>
      <c r="H59" s="595">
        <v>0</v>
      </c>
      <c r="I59" s="595">
        <v>0</v>
      </c>
      <c r="J59" s="595">
        <v>0</v>
      </c>
      <c r="K59" s="595">
        <v>0</v>
      </c>
      <c r="L59" s="595">
        <v>0</v>
      </c>
      <c r="M59" s="595">
        <v>0</v>
      </c>
      <c r="N59" s="595">
        <v>0</v>
      </c>
      <c r="O59" s="595">
        <v>0</v>
      </c>
      <c r="P59" s="595">
        <v>0</v>
      </c>
      <c r="Q59" s="595">
        <v>0</v>
      </c>
      <c r="R59" s="595">
        <v>0</v>
      </c>
      <c r="S59" s="595">
        <v>0</v>
      </c>
      <c r="T59" s="595">
        <v>0.02</v>
      </c>
      <c r="U59" s="595">
        <v>0</v>
      </c>
      <c r="V59" s="595">
        <v>0</v>
      </c>
      <c r="W59" s="611">
        <v>0</v>
      </c>
      <c r="X59" s="706"/>
      <c r="Y59" s="706"/>
      <c r="Z59" s="706"/>
      <c r="AA59" s="706"/>
      <c r="AB59" s="706"/>
      <c r="AC59" s="706"/>
      <c r="AD59" s="706"/>
      <c r="AE59" s="703">
        <v>0</v>
      </c>
      <c r="AF59" s="704">
        <v>0</v>
      </c>
      <c r="AG59" s="705">
        <v>0</v>
      </c>
      <c r="AH59" s="706">
        <v>0</v>
      </c>
      <c r="AI59" s="705">
        <v>0</v>
      </c>
      <c r="AJ59" s="703">
        <v>0</v>
      </c>
      <c r="AK59" s="705">
        <v>0</v>
      </c>
      <c r="AL59" s="707">
        <v>0</v>
      </c>
      <c r="AM59" s="703">
        <v>0</v>
      </c>
      <c r="AN59" s="703">
        <v>0</v>
      </c>
      <c r="AO59" s="707">
        <v>0</v>
      </c>
      <c r="AP59" s="708">
        <v>0</v>
      </c>
      <c r="AQ59" s="705">
        <f t="shared" si="18"/>
        <v>7.1428571428571426E-3</v>
      </c>
      <c r="AR59" s="703">
        <v>5.0000000000000001E-3</v>
      </c>
      <c r="AS59" s="705">
        <f t="shared" si="21"/>
        <v>1.2500000000000001E-2</v>
      </c>
      <c r="AT59" s="709">
        <v>1E-3</v>
      </c>
      <c r="AU59" s="703">
        <v>0</v>
      </c>
      <c r="AV59" s="705">
        <v>0</v>
      </c>
      <c r="AW59" s="710">
        <v>0</v>
      </c>
      <c r="AX59" s="711">
        <v>0</v>
      </c>
      <c r="AY59" s="710">
        <v>0</v>
      </c>
      <c r="AZ59" s="711">
        <v>0</v>
      </c>
      <c r="BA59" s="710">
        <v>0</v>
      </c>
      <c r="BB59" s="711">
        <v>0</v>
      </c>
      <c r="BC59" s="712">
        <v>0</v>
      </c>
      <c r="BD59" s="713">
        <v>0</v>
      </c>
      <c r="BE59" s="710">
        <v>0</v>
      </c>
      <c r="BF59" s="711">
        <v>0</v>
      </c>
      <c r="BG59" s="712">
        <v>0</v>
      </c>
      <c r="BH59" s="711">
        <v>0</v>
      </c>
      <c r="BI59" s="712">
        <v>0</v>
      </c>
      <c r="BJ59" s="711">
        <v>0</v>
      </c>
      <c r="BK59" s="712">
        <v>0</v>
      </c>
      <c r="BL59" s="711">
        <v>0</v>
      </c>
      <c r="BM59" s="712">
        <v>0</v>
      </c>
      <c r="BN59" s="711">
        <v>0</v>
      </c>
      <c r="BO59" s="712">
        <v>0</v>
      </c>
      <c r="BP59" s="711">
        <v>0</v>
      </c>
      <c r="BQ59" s="712">
        <v>0</v>
      </c>
      <c r="BR59" s="711">
        <v>0</v>
      </c>
      <c r="BS59" s="712">
        <v>0</v>
      </c>
      <c r="BT59" s="711">
        <v>0</v>
      </c>
      <c r="BU59" s="712">
        <v>0</v>
      </c>
      <c r="BV59" s="711">
        <v>0</v>
      </c>
      <c r="BW59" s="712">
        <v>0</v>
      </c>
      <c r="BX59" s="711">
        <v>0</v>
      </c>
      <c r="BY59" s="712">
        <v>0</v>
      </c>
      <c r="BZ59" s="711">
        <v>0</v>
      </c>
      <c r="CA59" s="712">
        <v>0</v>
      </c>
      <c r="CB59" s="711">
        <v>0</v>
      </c>
      <c r="CC59" s="710">
        <v>0</v>
      </c>
      <c r="CD59" s="713">
        <v>0</v>
      </c>
      <c r="CE59" s="710">
        <v>0</v>
      </c>
      <c r="CF59" s="713">
        <v>0</v>
      </c>
      <c r="CG59" s="710">
        <v>0</v>
      </c>
      <c r="CH59" s="713">
        <v>0</v>
      </c>
      <c r="CI59" s="710">
        <v>0</v>
      </c>
      <c r="CJ59" s="713">
        <v>0</v>
      </c>
      <c r="CK59" s="710">
        <v>0</v>
      </c>
      <c r="CL59" s="713">
        <v>0</v>
      </c>
      <c r="CM59" s="710">
        <v>0</v>
      </c>
      <c r="CN59" s="713">
        <v>0</v>
      </c>
      <c r="CO59" s="710">
        <v>0</v>
      </c>
      <c r="CP59" s="713">
        <v>0</v>
      </c>
      <c r="CQ59" s="710">
        <v>0</v>
      </c>
      <c r="CR59" s="711">
        <v>0</v>
      </c>
      <c r="CS59" s="710">
        <v>0</v>
      </c>
      <c r="CT59" s="711">
        <v>0</v>
      </c>
      <c r="CU59" s="712">
        <v>0</v>
      </c>
      <c r="CV59" s="711">
        <v>0</v>
      </c>
    </row>
    <row r="60" spans="1:100">
      <c r="A60" s="467">
        <v>58</v>
      </c>
      <c r="B60" s="595">
        <v>0</v>
      </c>
      <c r="C60" s="595">
        <v>0</v>
      </c>
      <c r="D60" s="595">
        <v>0</v>
      </c>
      <c r="E60" s="595">
        <v>0</v>
      </c>
      <c r="F60" s="595">
        <f t="shared" si="20"/>
        <v>1.2500000000000001E-2</v>
      </c>
      <c r="G60" s="595">
        <v>0.02</v>
      </c>
      <c r="H60" s="595">
        <v>0</v>
      </c>
      <c r="I60" s="595">
        <v>0</v>
      </c>
      <c r="J60" s="595">
        <v>0</v>
      </c>
      <c r="K60" s="595">
        <v>0</v>
      </c>
      <c r="L60" s="595">
        <v>0</v>
      </c>
      <c r="M60" s="595">
        <v>0</v>
      </c>
      <c r="N60" s="595">
        <v>0</v>
      </c>
      <c r="O60" s="595">
        <v>0</v>
      </c>
      <c r="P60" s="595">
        <v>0</v>
      </c>
      <c r="Q60" s="595">
        <v>0</v>
      </c>
      <c r="R60" s="595">
        <v>0</v>
      </c>
      <c r="S60" s="595">
        <v>0</v>
      </c>
      <c r="T60" s="595">
        <v>0.02</v>
      </c>
      <c r="U60" s="595">
        <v>0</v>
      </c>
      <c r="V60" s="595">
        <v>0</v>
      </c>
      <c r="W60" s="611">
        <v>0</v>
      </c>
      <c r="X60" s="706"/>
      <c r="Y60" s="706"/>
      <c r="Z60" s="706"/>
      <c r="AA60" s="706"/>
      <c r="AB60" s="706"/>
      <c r="AC60" s="706"/>
      <c r="AD60" s="706"/>
      <c r="AE60" s="703">
        <v>0</v>
      </c>
      <c r="AF60" s="704">
        <v>0</v>
      </c>
      <c r="AG60" s="705">
        <v>0</v>
      </c>
      <c r="AH60" s="706">
        <v>0</v>
      </c>
      <c r="AI60" s="705">
        <v>0</v>
      </c>
      <c r="AJ60" s="703">
        <v>0</v>
      </c>
      <c r="AK60" s="705">
        <v>0</v>
      </c>
      <c r="AL60" s="707">
        <v>0</v>
      </c>
      <c r="AM60" s="703">
        <v>0</v>
      </c>
      <c r="AN60" s="703">
        <v>0</v>
      </c>
      <c r="AO60" s="707">
        <v>0</v>
      </c>
      <c r="AP60" s="708">
        <v>0</v>
      </c>
      <c r="AQ60" s="705">
        <f t="shared" si="18"/>
        <v>7.1428571428571426E-3</v>
      </c>
      <c r="AR60" s="703">
        <v>5.0000000000000001E-3</v>
      </c>
      <c r="AS60" s="705">
        <f t="shared" si="21"/>
        <v>1.2500000000000001E-2</v>
      </c>
      <c r="AT60" s="709">
        <v>1E-3</v>
      </c>
      <c r="AU60" s="703">
        <v>0</v>
      </c>
      <c r="AV60" s="705">
        <v>0</v>
      </c>
      <c r="AW60" s="710">
        <v>0</v>
      </c>
      <c r="AX60" s="711">
        <v>0</v>
      </c>
      <c r="AY60" s="710">
        <v>0</v>
      </c>
      <c r="AZ60" s="711">
        <v>0</v>
      </c>
      <c r="BA60" s="710">
        <v>0</v>
      </c>
      <c r="BB60" s="711">
        <v>0</v>
      </c>
      <c r="BC60" s="712">
        <v>0</v>
      </c>
      <c r="BD60" s="713">
        <v>0</v>
      </c>
      <c r="BE60" s="710">
        <v>0</v>
      </c>
      <c r="BF60" s="711">
        <v>0</v>
      </c>
      <c r="BG60" s="712">
        <v>0</v>
      </c>
      <c r="BH60" s="711">
        <v>0</v>
      </c>
      <c r="BI60" s="712">
        <v>0</v>
      </c>
      <c r="BJ60" s="711">
        <v>0</v>
      </c>
      <c r="BK60" s="712">
        <v>0</v>
      </c>
      <c r="BL60" s="711">
        <v>0</v>
      </c>
      <c r="BM60" s="712">
        <v>0</v>
      </c>
      <c r="BN60" s="711">
        <v>0</v>
      </c>
      <c r="BO60" s="712">
        <v>0</v>
      </c>
      <c r="BP60" s="711">
        <v>0</v>
      </c>
      <c r="BQ60" s="712">
        <v>0</v>
      </c>
      <c r="BR60" s="711">
        <v>0</v>
      </c>
      <c r="BS60" s="712">
        <v>0</v>
      </c>
      <c r="BT60" s="711">
        <v>0</v>
      </c>
      <c r="BU60" s="712">
        <v>0</v>
      </c>
      <c r="BV60" s="711">
        <v>0</v>
      </c>
      <c r="BW60" s="712">
        <v>0</v>
      </c>
      <c r="BX60" s="711">
        <v>0</v>
      </c>
      <c r="BY60" s="712">
        <v>0</v>
      </c>
      <c r="BZ60" s="711">
        <v>0</v>
      </c>
      <c r="CA60" s="712">
        <v>0</v>
      </c>
      <c r="CB60" s="711">
        <v>0</v>
      </c>
      <c r="CC60" s="710">
        <v>0</v>
      </c>
      <c r="CD60" s="713">
        <v>0</v>
      </c>
      <c r="CE60" s="710">
        <v>0</v>
      </c>
      <c r="CF60" s="713">
        <v>0</v>
      </c>
      <c r="CG60" s="710">
        <v>0</v>
      </c>
      <c r="CH60" s="713">
        <v>0</v>
      </c>
      <c r="CI60" s="710">
        <v>0</v>
      </c>
      <c r="CJ60" s="713">
        <v>0</v>
      </c>
      <c r="CK60" s="710">
        <v>0</v>
      </c>
      <c r="CL60" s="713">
        <v>0</v>
      </c>
      <c r="CM60" s="710">
        <v>0</v>
      </c>
      <c r="CN60" s="713">
        <v>0</v>
      </c>
      <c r="CO60" s="710">
        <v>0</v>
      </c>
      <c r="CP60" s="713">
        <v>0</v>
      </c>
      <c r="CQ60" s="710">
        <v>0</v>
      </c>
      <c r="CR60" s="711">
        <v>0</v>
      </c>
      <c r="CS60" s="710">
        <v>0</v>
      </c>
      <c r="CT60" s="711">
        <v>0</v>
      </c>
      <c r="CU60" s="712">
        <v>0</v>
      </c>
      <c r="CV60" s="711">
        <v>0</v>
      </c>
    </row>
    <row r="61" spans="1:100">
      <c r="A61" s="467">
        <v>59</v>
      </c>
      <c r="B61" s="595">
        <v>0</v>
      </c>
      <c r="C61" s="595">
        <v>0</v>
      </c>
      <c r="D61" s="595">
        <v>0</v>
      </c>
      <c r="E61" s="595">
        <v>0</v>
      </c>
      <c r="F61" s="595">
        <f t="shared" si="20"/>
        <v>1.2500000000000001E-2</v>
      </c>
      <c r="G61" s="595">
        <v>0.02</v>
      </c>
      <c r="H61" s="595">
        <v>0</v>
      </c>
      <c r="I61" s="595">
        <v>0</v>
      </c>
      <c r="J61" s="595">
        <v>0</v>
      </c>
      <c r="K61" s="595">
        <v>0</v>
      </c>
      <c r="L61" s="595">
        <v>0</v>
      </c>
      <c r="M61" s="595">
        <v>0</v>
      </c>
      <c r="N61" s="595">
        <v>0</v>
      </c>
      <c r="O61" s="595">
        <v>0</v>
      </c>
      <c r="P61" s="595">
        <v>0</v>
      </c>
      <c r="Q61" s="595">
        <v>0</v>
      </c>
      <c r="R61" s="595">
        <v>0</v>
      </c>
      <c r="S61" s="595">
        <v>0</v>
      </c>
      <c r="T61" s="595">
        <v>0.02</v>
      </c>
      <c r="U61" s="595">
        <v>0</v>
      </c>
      <c r="V61" s="595">
        <v>0</v>
      </c>
      <c r="W61" s="611">
        <v>0</v>
      </c>
      <c r="X61" s="706"/>
      <c r="Y61" s="706"/>
      <c r="Z61" s="706"/>
      <c r="AA61" s="706"/>
      <c r="AB61" s="706"/>
      <c r="AC61" s="706"/>
      <c r="AD61" s="706"/>
      <c r="AE61" s="703">
        <v>0</v>
      </c>
      <c r="AF61" s="704">
        <v>0</v>
      </c>
      <c r="AG61" s="705">
        <v>0</v>
      </c>
      <c r="AH61" s="706">
        <v>0</v>
      </c>
      <c r="AI61" s="705">
        <v>0</v>
      </c>
      <c r="AJ61" s="703">
        <v>0</v>
      </c>
      <c r="AK61" s="705">
        <v>0</v>
      </c>
      <c r="AL61" s="707">
        <v>0</v>
      </c>
      <c r="AM61" s="703">
        <v>0</v>
      </c>
      <c r="AN61" s="703">
        <v>0</v>
      </c>
      <c r="AO61" s="707">
        <v>0</v>
      </c>
      <c r="AP61" s="708">
        <v>0</v>
      </c>
      <c r="AQ61" s="705">
        <f t="shared" si="18"/>
        <v>7.1428571428571426E-3</v>
      </c>
      <c r="AR61" s="703">
        <v>5.0000000000000001E-3</v>
      </c>
      <c r="AS61" s="705">
        <f t="shared" si="21"/>
        <v>1.2500000000000001E-2</v>
      </c>
      <c r="AT61" s="709">
        <v>1E-3</v>
      </c>
      <c r="AU61" s="703">
        <v>0</v>
      </c>
      <c r="AV61" s="705">
        <v>0</v>
      </c>
      <c r="AW61" s="710">
        <v>0</v>
      </c>
      <c r="AX61" s="711">
        <v>0</v>
      </c>
      <c r="AY61" s="710">
        <v>0</v>
      </c>
      <c r="AZ61" s="711">
        <v>0</v>
      </c>
      <c r="BA61" s="710">
        <v>0</v>
      </c>
      <c r="BB61" s="711">
        <v>0</v>
      </c>
      <c r="BC61" s="712">
        <v>0</v>
      </c>
      <c r="BD61" s="713">
        <v>0</v>
      </c>
      <c r="BE61" s="710">
        <v>0</v>
      </c>
      <c r="BF61" s="711">
        <v>0</v>
      </c>
      <c r="BG61" s="712">
        <v>0</v>
      </c>
      <c r="BH61" s="711">
        <v>0</v>
      </c>
      <c r="BI61" s="712">
        <v>0</v>
      </c>
      <c r="BJ61" s="711">
        <v>0</v>
      </c>
      <c r="BK61" s="712">
        <v>0</v>
      </c>
      <c r="BL61" s="711">
        <v>0</v>
      </c>
      <c r="BM61" s="712">
        <v>0</v>
      </c>
      <c r="BN61" s="711">
        <v>0</v>
      </c>
      <c r="BO61" s="712">
        <v>0</v>
      </c>
      <c r="BP61" s="711">
        <v>0</v>
      </c>
      <c r="BQ61" s="712">
        <v>0</v>
      </c>
      <c r="BR61" s="711">
        <v>0</v>
      </c>
      <c r="BS61" s="712">
        <v>0</v>
      </c>
      <c r="BT61" s="711">
        <v>0</v>
      </c>
      <c r="BU61" s="712">
        <v>0</v>
      </c>
      <c r="BV61" s="711">
        <v>0</v>
      </c>
      <c r="BW61" s="712">
        <v>0</v>
      </c>
      <c r="BX61" s="711">
        <v>0</v>
      </c>
      <c r="BY61" s="712">
        <v>0</v>
      </c>
      <c r="BZ61" s="711">
        <v>0</v>
      </c>
      <c r="CA61" s="712">
        <v>0</v>
      </c>
      <c r="CB61" s="711">
        <v>0</v>
      </c>
      <c r="CC61" s="710">
        <v>0</v>
      </c>
      <c r="CD61" s="713">
        <v>0</v>
      </c>
      <c r="CE61" s="710">
        <v>0</v>
      </c>
      <c r="CF61" s="713">
        <v>0</v>
      </c>
      <c r="CG61" s="710">
        <v>0</v>
      </c>
      <c r="CH61" s="713">
        <v>0</v>
      </c>
      <c r="CI61" s="710">
        <v>0</v>
      </c>
      <c r="CJ61" s="713">
        <v>0</v>
      </c>
      <c r="CK61" s="710">
        <v>0</v>
      </c>
      <c r="CL61" s="713">
        <v>0</v>
      </c>
      <c r="CM61" s="710">
        <v>0</v>
      </c>
      <c r="CN61" s="713">
        <v>0</v>
      </c>
      <c r="CO61" s="710">
        <v>0</v>
      </c>
      <c r="CP61" s="713">
        <v>0</v>
      </c>
      <c r="CQ61" s="710">
        <v>0</v>
      </c>
      <c r="CR61" s="711">
        <v>0</v>
      </c>
      <c r="CS61" s="710">
        <v>0</v>
      </c>
      <c r="CT61" s="711">
        <v>0</v>
      </c>
      <c r="CU61" s="712">
        <v>0</v>
      </c>
      <c r="CV61" s="711">
        <v>0</v>
      </c>
    </row>
    <row r="62" spans="1:100">
      <c r="A62" s="467">
        <v>60</v>
      </c>
      <c r="B62" s="595">
        <v>0</v>
      </c>
      <c r="C62" s="595">
        <v>0</v>
      </c>
      <c r="D62" s="595">
        <v>0</v>
      </c>
      <c r="E62" s="595">
        <v>0</v>
      </c>
      <c r="F62" s="595">
        <f t="shared" si="20"/>
        <v>1.2500000000000001E-2</v>
      </c>
      <c r="G62" s="595">
        <v>0.02</v>
      </c>
      <c r="H62" s="595">
        <v>0</v>
      </c>
      <c r="I62" s="595">
        <v>0</v>
      </c>
      <c r="J62" s="595">
        <v>0</v>
      </c>
      <c r="K62" s="595">
        <v>0</v>
      </c>
      <c r="L62" s="595">
        <v>0</v>
      </c>
      <c r="M62" s="595">
        <v>0</v>
      </c>
      <c r="N62" s="595">
        <v>0</v>
      </c>
      <c r="O62" s="595">
        <v>0</v>
      </c>
      <c r="P62" s="595">
        <v>0</v>
      </c>
      <c r="Q62" s="595">
        <v>0</v>
      </c>
      <c r="R62" s="595">
        <v>0</v>
      </c>
      <c r="S62" s="595">
        <v>0</v>
      </c>
      <c r="T62" s="595">
        <v>0.02</v>
      </c>
      <c r="U62" s="595">
        <v>0</v>
      </c>
      <c r="V62" s="595">
        <v>0</v>
      </c>
      <c r="W62" s="611">
        <v>0</v>
      </c>
      <c r="X62" s="706"/>
      <c r="Y62" s="706"/>
      <c r="Z62" s="706"/>
      <c r="AA62" s="706"/>
      <c r="AB62" s="706"/>
      <c r="AC62" s="706"/>
      <c r="AD62" s="706"/>
      <c r="AE62" s="703">
        <v>0</v>
      </c>
      <c r="AF62" s="704">
        <v>0</v>
      </c>
      <c r="AG62" s="705">
        <v>0</v>
      </c>
      <c r="AH62" s="706">
        <v>0</v>
      </c>
      <c r="AI62" s="705">
        <v>0</v>
      </c>
      <c r="AJ62" s="703">
        <v>0</v>
      </c>
      <c r="AK62" s="705">
        <v>0</v>
      </c>
      <c r="AL62" s="707">
        <v>0</v>
      </c>
      <c r="AM62" s="703">
        <v>0</v>
      </c>
      <c r="AN62" s="703">
        <v>0</v>
      </c>
      <c r="AO62" s="707">
        <v>0</v>
      </c>
      <c r="AP62" s="708">
        <v>0</v>
      </c>
      <c r="AQ62" s="705">
        <f t="shared" si="18"/>
        <v>7.1428571428571426E-3</v>
      </c>
      <c r="AR62" s="703">
        <v>5.0000000000000001E-3</v>
      </c>
      <c r="AS62" s="705">
        <f t="shared" si="21"/>
        <v>1.2500000000000001E-2</v>
      </c>
      <c r="AT62" s="709">
        <v>1E-3</v>
      </c>
      <c r="AU62" s="703">
        <v>0</v>
      </c>
      <c r="AV62" s="705">
        <v>0</v>
      </c>
      <c r="AW62" s="710">
        <v>0</v>
      </c>
      <c r="AX62" s="711">
        <v>0</v>
      </c>
      <c r="AY62" s="710">
        <v>0</v>
      </c>
      <c r="AZ62" s="711">
        <v>0</v>
      </c>
      <c r="BA62" s="710">
        <v>0</v>
      </c>
      <c r="BB62" s="711">
        <v>0</v>
      </c>
      <c r="BC62" s="712">
        <v>0</v>
      </c>
      <c r="BD62" s="713">
        <v>0</v>
      </c>
      <c r="BE62" s="710">
        <v>0</v>
      </c>
      <c r="BF62" s="711">
        <v>0</v>
      </c>
      <c r="BG62" s="712">
        <v>0</v>
      </c>
      <c r="BH62" s="711">
        <v>0</v>
      </c>
      <c r="BI62" s="712">
        <v>0</v>
      </c>
      <c r="BJ62" s="711">
        <v>0</v>
      </c>
      <c r="BK62" s="712">
        <v>0</v>
      </c>
      <c r="BL62" s="711">
        <v>0</v>
      </c>
      <c r="BM62" s="712">
        <v>0</v>
      </c>
      <c r="BN62" s="711">
        <v>0</v>
      </c>
      <c r="BO62" s="712">
        <v>0</v>
      </c>
      <c r="BP62" s="711">
        <v>0</v>
      </c>
      <c r="BQ62" s="712">
        <v>0</v>
      </c>
      <c r="BR62" s="711">
        <v>0</v>
      </c>
      <c r="BS62" s="712">
        <v>0</v>
      </c>
      <c r="BT62" s="711">
        <v>0</v>
      </c>
      <c r="BU62" s="712">
        <v>0</v>
      </c>
      <c r="BV62" s="711">
        <v>0</v>
      </c>
      <c r="BW62" s="712">
        <v>0</v>
      </c>
      <c r="BX62" s="711">
        <v>0</v>
      </c>
      <c r="BY62" s="712">
        <v>0</v>
      </c>
      <c r="BZ62" s="711">
        <v>0</v>
      </c>
      <c r="CA62" s="712">
        <v>0</v>
      </c>
      <c r="CB62" s="711">
        <v>0</v>
      </c>
      <c r="CC62" s="710">
        <v>0</v>
      </c>
      <c r="CD62" s="713">
        <v>0</v>
      </c>
      <c r="CE62" s="710">
        <v>0</v>
      </c>
      <c r="CF62" s="713">
        <v>0</v>
      </c>
      <c r="CG62" s="710">
        <v>0</v>
      </c>
      <c r="CH62" s="713">
        <v>0</v>
      </c>
      <c r="CI62" s="710">
        <v>0</v>
      </c>
      <c r="CJ62" s="713">
        <v>0</v>
      </c>
      <c r="CK62" s="710">
        <v>0</v>
      </c>
      <c r="CL62" s="713">
        <v>0</v>
      </c>
      <c r="CM62" s="710">
        <v>0</v>
      </c>
      <c r="CN62" s="713">
        <v>0</v>
      </c>
      <c r="CO62" s="710">
        <v>0</v>
      </c>
      <c r="CP62" s="713">
        <v>0</v>
      </c>
      <c r="CQ62" s="710">
        <v>0</v>
      </c>
      <c r="CR62" s="711">
        <v>0</v>
      </c>
      <c r="CS62" s="710">
        <v>0</v>
      </c>
      <c r="CT62" s="711">
        <v>0</v>
      </c>
      <c r="CU62" s="712">
        <v>0</v>
      </c>
      <c r="CV62" s="711">
        <v>0</v>
      </c>
    </row>
    <row r="63" spans="1:100">
      <c r="A63" s="467">
        <v>61</v>
      </c>
      <c r="B63" s="595">
        <v>0</v>
      </c>
      <c r="C63" s="595">
        <v>0</v>
      </c>
      <c r="D63" s="595">
        <v>0</v>
      </c>
      <c r="E63" s="595">
        <v>0</v>
      </c>
      <c r="F63" s="595">
        <f t="shared" si="20"/>
        <v>1.2500000000000001E-2</v>
      </c>
      <c r="G63" s="595">
        <v>0.02</v>
      </c>
      <c r="H63" s="595">
        <v>0</v>
      </c>
      <c r="I63" s="595">
        <v>0</v>
      </c>
      <c r="J63" s="595">
        <v>0</v>
      </c>
      <c r="K63" s="595">
        <v>0</v>
      </c>
      <c r="L63" s="595">
        <v>0</v>
      </c>
      <c r="M63" s="595">
        <v>0</v>
      </c>
      <c r="N63" s="595">
        <v>0</v>
      </c>
      <c r="O63" s="595">
        <v>0</v>
      </c>
      <c r="P63" s="595">
        <v>0</v>
      </c>
      <c r="Q63" s="595">
        <v>0</v>
      </c>
      <c r="R63" s="595">
        <v>0</v>
      </c>
      <c r="S63" s="595">
        <v>0</v>
      </c>
      <c r="T63" s="595">
        <v>0.02</v>
      </c>
      <c r="U63" s="595">
        <v>0</v>
      </c>
      <c r="V63" s="595">
        <v>0</v>
      </c>
      <c r="W63" s="611">
        <v>0</v>
      </c>
      <c r="X63" s="706"/>
      <c r="Y63" s="706"/>
      <c r="Z63" s="706"/>
      <c r="AA63" s="706"/>
      <c r="AB63" s="706"/>
      <c r="AC63" s="706"/>
      <c r="AD63" s="706"/>
      <c r="AE63" s="703">
        <v>0</v>
      </c>
      <c r="AF63" s="704">
        <v>0</v>
      </c>
      <c r="AG63" s="705">
        <v>0</v>
      </c>
      <c r="AH63" s="706">
        <v>0</v>
      </c>
      <c r="AI63" s="705">
        <v>0</v>
      </c>
      <c r="AJ63" s="703">
        <v>0</v>
      </c>
      <c r="AK63" s="705">
        <v>0</v>
      </c>
      <c r="AL63" s="707">
        <v>0</v>
      </c>
      <c r="AM63" s="703">
        <v>0</v>
      </c>
      <c r="AN63" s="703">
        <v>0</v>
      </c>
      <c r="AO63" s="707">
        <v>0</v>
      </c>
      <c r="AP63" s="708">
        <v>0</v>
      </c>
      <c r="AQ63" s="705">
        <f t="shared" si="18"/>
        <v>7.1428571428571426E-3</v>
      </c>
      <c r="AR63" s="703">
        <v>5.0000000000000001E-3</v>
      </c>
      <c r="AS63" s="705">
        <f t="shared" si="21"/>
        <v>1.2500000000000001E-2</v>
      </c>
      <c r="AT63" s="709">
        <v>1E-3</v>
      </c>
      <c r="AU63" s="703">
        <v>0</v>
      </c>
      <c r="AV63" s="705">
        <v>0</v>
      </c>
      <c r="AW63" s="710">
        <v>0</v>
      </c>
      <c r="AX63" s="711">
        <v>0</v>
      </c>
      <c r="AY63" s="710">
        <v>0</v>
      </c>
      <c r="AZ63" s="711">
        <v>0</v>
      </c>
      <c r="BA63" s="710">
        <v>0</v>
      </c>
      <c r="BB63" s="711">
        <v>0</v>
      </c>
      <c r="BC63" s="712">
        <v>0</v>
      </c>
      <c r="BD63" s="713">
        <v>0</v>
      </c>
      <c r="BE63" s="710">
        <v>0</v>
      </c>
      <c r="BF63" s="711">
        <v>0</v>
      </c>
      <c r="BG63" s="712">
        <v>0</v>
      </c>
      <c r="BH63" s="711">
        <v>0</v>
      </c>
      <c r="BI63" s="712">
        <v>0</v>
      </c>
      <c r="BJ63" s="711">
        <v>0</v>
      </c>
      <c r="BK63" s="712">
        <v>0</v>
      </c>
      <c r="BL63" s="711">
        <v>0</v>
      </c>
      <c r="BM63" s="712">
        <v>0</v>
      </c>
      <c r="BN63" s="711">
        <v>0</v>
      </c>
      <c r="BO63" s="712">
        <v>0</v>
      </c>
      <c r="BP63" s="711">
        <v>0</v>
      </c>
      <c r="BQ63" s="712">
        <v>0</v>
      </c>
      <c r="BR63" s="711">
        <v>0</v>
      </c>
      <c r="BS63" s="712">
        <v>0</v>
      </c>
      <c r="BT63" s="711">
        <v>0</v>
      </c>
      <c r="BU63" s="712">
        <v>0</v>
      </c>
      <c r="BV63" s="711">
        <v>0</v>
      </c>
      <c r="BW63" s="712">
        <v>0</v>
      </c>
      <c r="BX63" s="711">
        <v>0</v>
      </c>
      <c r="BY63" s="712">
        <v>0</v>
      </c>
      <c r="BZ63" s="711">
        <v>0</v>
      </c>
      <c r="CA63" s="712">
        <v>0</v>
      </c>
      <c r="CB63" s="711">
        <v>0</v>
      </c>
      <c r="CC63" s="710">
        <v>0</v>
      </c>
      <c r="CD63" s="713">
        <v>0</v>
      </c>
      <c r="CE63" s="710">
        <v>0</v>
      </c>
      <c r="CF63" s="713">
        <v>0</v>
      </c>
      <c r="CG63" s="710">
        <v>0</v>
      </c>
      <c r="CH63" s="713">
        <v>0</v>
      </c>
      <c r="CI63" s="710">
        <v>0</v>
      </c>
      <c r="CJ63" s="713">
        <v>0</v>
      </c>
      <c r="CK63" s="710">
        <v>0</v>
      </c>
      <c r="CL63" s="713">
        <v>0</v>
      </c>
      <c r="CM63" s="710">
        <v>0</v>
      </c>
      <c r="CN63" s="713">
        <v>0</v>
      </c>
      <c r="CO63" s="710">
        <v>0</v>
      </c>
      <c r="CP63" s="713">
        <v>0</v>
      </c>
      <c r="CQ63" s="710">
        <v>0</v>
      </c>
      <c r="CR63" s="711">
        <v>0</v>
      </c>
      <c r="CS63" s="710">
        <v>0</v>
      </c>
      <c r="CT63" s="711">
        <v>0</v>
      </c>
      <c r="CU63" s="712">
        <v>0</v>
      </c>
      <c r="CV63" s="711">
        <v>0</v>
      </c>
    </row>
    <row r="64" spans="1:100">
      <c r="A64" s="467">
        <v>62</v>
      </c>
      <c r="B64" s="595">
        <v>0</v>
      </c>
      <c r="C64" s="595">
        <v>0</v>
      </c>
      <c r="D64" s="595">
        <v>0</v>
      </c>
      <c r="E64" s="595">
        <v>0</v>
      </c>
      <c r="F64" s="595">
        <f t="shared" si="20"/>
        <v>1.2500000000000001E-2</v>
      </c>
      <c r="G64" s="595">
        <v>0.02</v>
      </c>
      <c r="H64" s="595">
        <v>0</v>
      </c>
      <c r="I64" s="595">
        <v>0</v>
      </c>
      <c r="J64" s="595">
        <v>0</v>
      </c>
      <c r="K64" s="595">
        <v>0</v>
      </c>
      <c r="L64" s="595">
        <v>0</v>
      </c>
      <c r="M64" s="595">
        <v>0</v>
      </c>
      <c r="N64" s="595">
        <v>0</v>
      </c>
      <c r="O64" s="595">
        <v>0</v>
      </c>
      <c r="P64" s="595">
        <v>0</v>
      </c>
      <c r="Q64" s="595">
        <v>0</v>
      </c>
      <c r="R64" s="595">
        <v>0</v>
      </c>
      <c r="S64" s="595">
        <v>0</v>
      </c>
      <c r="T64" s="595">
        <v>0.02</v>
      </c>
      <c r="U64" s="595">
        <v>0</v>
      </c>
      <c r="V64" s="595">
        <v>0</v>
      </c>
      <c r="W64" s="611">
        <v>0</v>
      </c>
      <c r="X64" s="706"/>
      <c r="Y64" s="706"/>
      <c r="Z64" s="706"/>
      <c r="AA64" s="706"/>
      <c r="AB64" s="706"/>
      <c r="AC64" s="706"/>
      <c r="AD64" s="706"/>
      <c r="AE64" s="703">
        <v>0</v>
      </c>
      <c r="AF64" s="704">
        <v>0</v>
      </c>
      <c r="AG64" s="705">
        <v>0</v>
      </c>
      <c r="AH64" s="706">
        <v>0</v>
      </c>
      <c r="AI64" s="705">
        <v>0</v>
      </c>
      <c r="AJ64" s="703">
        <v>0</v>
      </c>
      <c r="AK64" s="705">
        <v>0</v>
      </c>
      <c r="AL64" s="707">
        <v>0</v>
      </c>
      <c r="AM64" s="703">
        <v>0</v>
      </c>
      <c r="AN64" s="703">
        <v>0</v>
      </c>
      <c r="AO64" s="707">
        <v>0</v>
      </c>
      <c r="AP64" s="708">
        <v>0</v>
      </c>
      <c r="AQ64" s="705">
        <f t="shared" si="18"/>
        <v>7.1428571428571426E-3</v>
      </c>
      <c r="AR64" s="703">
        <v>5.0000000000000001E-3</v>
      </c>
      <c r="AS64" s="705">
        <f t="shared" si="21"/>
        <v>1.2500000000000001E-2</v>
      </c>
      <c r="AT64" s="709">
        <v>1E-3</v>
      </c>
      <c r="AU64" s="703">
        <v>0</v>
      </c>
      <c r="AV64" s="705">
        <v>0</v>
      </c>
      <c r="AW64" s="710">
        <v>0</v>
      </c>
      <c r="AX64" s="711">
        <v>0</v>
      </c>
      <c r="AY64" s="710">
        <v>0</v>
      </c>
      <c r="AZ64" s="711">
        <v>0</v>
      </c>
      <c r="BA64" s="710">
        <v>0</v>
      </c>
      <c r="BB64" s="711">
        <v>0</v>
      </c>
      <c r="BC64" s="712">
        <v>0</v>
      </c>
      <c r="BD64" s="713">
        <v>0</v>
      </c>
      <c r="BE64" s="710">
        <v>0</v>
      </c>
      <c r="BF64" s="711">
        <v>0</v>
      </c>
      <c r="BG64" s="712">
        <v>0</v>
      </c>
      <c r="BH64" s="711">
        <v>0</v>
      </c>
      <c r="BI64" s="712">
        <v>0</v>
      </c>
      <c r="BJ64" s="711">
        <v>0</v>
      </c>
      <c r="BK64" s="712">
        <v>0</v>
      </c>
      <c r="BL64" s="711">
        <v>0</v>
      </c>
      <c r="BM64" s="712">
        <v>0</v>
      </c>
      <c r="BN64" s="711">
        <v>0</v>
      </c>
      <c r="BO64" s="712">
        <v>0</v>
      </c>
      <c r="BP64" s="711">
        <v>0</v>
      </c>
      <c r="BQ64" s="712">
        <v>0</v>
      </c>
      <c r="BR64" s="711">
        <v>0</v>
      </c>
      <c r="BS64" s="712">
        <v>0</v>
      </c>
      <c r="BT64" s="711">
        <v>0</v>
      </c>
      <c r="BU64" s="712">
        <v>0</v>
      </c>
      <c r="BV64" s="711">
        <v>0</v>
      </c>
      <c r="BW64" s="712">
        <v>0</v>
      </c>
      <c r="BX64" s="711">
        <v>0</v>
      </c>
      <c r="BY64" s="712">
        <v>0</v>
      </c>
      <c r="BZ64" s="711">
        <v>0</v>
      </c>
      <c r="CA64" s="712">
        <v>0</v>
      </c>
      <c r="CB64" s="711">
        <v>0</v>
      </c>
      <c r="CC64" s="710">
        <v>0</v>
      </c>
      <c r="CD64" s="713">
        <v>0</v>
      </c>
      <c r="CE64" s="710">
        <v>0</v>
      </c>
      <c r="CF64" s="713">
        <v>0</v>
      </c>
      <c r="CG64" s="710">
        <v>0</v>
      </c>
      <c r="CH64" s="713">
        <v>0</v>
      </c>
      <c r="CI64" s="710">
        <v>0</v>
      </c>
      <c r="CJ64" s="713">
        <v>0</v>
      </c>
      <c r="CK64" s="710">
        <v>0</v>
      </c>
      <c r="CL64" s="713">
        <v>0</v>
      </c>
      <c r="CM64" s="710">
        <v>0</v>
      </c>
      <c r="CN64" s="713">
        <v>0</v>
      </c>
      <c r="CO64" s="710">
        <v>0</v>
      </c>
      <c r="CP64" s="713">
        <v>0</v>
      </c>
      <c r="CQ64" s="710">
        <v>0</v>
      </c>
      <c r="CR64" s="711">
        <v>0</v>
      </c>
      <c r="CS64" s="710">
        <v>0</v>
      </c>
      <c r="CT64" s="711">
        <v>0</v>
      </c>
      <c r="CU64" s="712">
        <v>0</v>
      </c>
      <c r="CV64" s="711">
        <v>0</v>
      </c>
    </row>
    <row r="65" spans="1:100">
      <c r="A65" s="467">
        <v>63</v>
      </c>
      <c r="B65" s="595">
        <v>0</v>
      </c>
      <c r="C65" s="595">
        <v>0</v>
      </c>
      <c r="D65" s="595">
        <v>0</v>
      </c>
      <c r="E65" s="595">
        <v>0</v>
      </c>
      <c r="F65" s="595">
        <f t="shared" si="20"/>
        <v>1.2500000000000001E-2</v>
      </c>
      <c r="G65" s="595">
        <v>0.02</v>
      </c>
      <c r="H65" s="595">
        <v>0</v>
      </c>
      <c r="I65" s="595">
        <v>0</v>
      </c>
      <c r="J65" s="595">
        <v>0</v>
      </c>
      <c r="K65" s="595">
        <v>0</v>
      </c>
      <c r="L65" s="595">
        <v>0</v>
      </c>
      <c r="M65" s="595">
        <v>0</v>
      </c>
      <c r="N65" s="595">
        <v>0</v>
      </c>
      <c r="O65" s="595">
        <v>0</v>
      </c>
      <c r="P65" s="595">
        <v>0</v>
      </c>
      <c r="Q65" s="595">
        <v>0</v>
      </c>
      <c r="R65" s="595">
        <v>0</v>
      </c>
      <c r="S65" s="595">
        <v>0</v>
      </c>
      <c r="T65" s="595">
        <v>0.02</v>
      </c>
      <c r="U65" s="595">
        <v>0</v>
      </c>
      <c r="V65" s="595">
        <v>0</v>
      </c>
      <c r="W65" s="611">
        <v>0</v>
      </c>
      <c r="X65" s="706"/>
      <c r="Y65" s="706"/>
      <c r="Z65" s="706"/>
      <c r="AA65" s="706"/>
      <c r="AB65" s="706"/>
      <c r="AC65" s="706"/>
      <c r="AD65" s="706"/>
      <c r="AE65" s="703">
        <v>0</v>
      </c>
      <c r="AF65" s="704">
        <v>0</v>
      </c>
      <c r="AG65" s="705">
        <v>0</v>
      </c>
      <c r="AH65" s="706">
        <v>0</v>
      </c>
      <c r="AI65" s="705">
        <v>0</v>
      </c>
      <c r="AJ65" s="703">
        <v>0</v>
      </c>
      <c r="AK65" s="705">
        <v>0</v>
      </c>
      <c r="AL65" s="707">
        <v>0</v>
      </c>
      <c r="AM65" s="703">
        <v>0</v>
      </c>
      <c r="AN65" s="703">
        <v>0</v>
      </c>
      <c r="AO65" s="707">
        <v>0</v>
      </c>
      <c r="AP65" s="708">
        <v>0</v>
      </c>
      <c r="AQ65" s="705">
        <f t="shared" si="18"/>
        <v>7.1428571428571426E-3</v>
      </c>
      <c r="AR65" s="703">
        <v>5.0000000000000001E-3</v>
      </c>
      <c r="AS65" s="705">
        <f t="shared" si="21"/>
        <v>1.2500000000000001E-2</v>
      </c>
      <c r="AT65" s="709">
        <v>1E-3</v>
      </c>
      <c r="AU65" s="703">
        <v>0</v>
      </c>
      <c r="AV65" s="705">
        <v>0</v>
      </c>
      <c r="AW65" s="710">
        <v>0</v>
      </c>
      <c r="AX65" s="711">
        <v>0</v>
      </c>
      <c r="AY65" s="710">
        <v>0</v>
      </c>
      <c r="AZ65" s="711">
        <v>0</v>
      </c>
      <c r="BA65" s="710">
        <v>0</v>
      </c>
      <c r="BB65" s="711">
        <v>0</v>
      </c>
      <c r="BC65" s="712">
        <v>0</v>
      </c>
      <c r="BD65" s="713">
        <v>0</v>
      </c>
      <c r="BE65" s="710">
        <v>0</v>
      </c>
      <c r="BF65" s="711">
        <v>0</v>
      </c>
      <c r="BG65" s="712">
        <v>0</v>
      </c>
      <c r="BH65" s="711">
        <v>0</v>
      </c>
      <c r="BI65" s="712">
        <v>0</v>
      </c>
      <c r="BJ65" s="711">
        <v>0</v>
      </c>
      <c r="BK65" s="712">
        <v>0</v>
      </c>
      <c r="BL65" s="711">
        <v>0</v>
      </c>
      <c r="BM65" s="712">
        <v>0</v>
      </c>
      <c r="BN65" s="711">
        <v>0</v>
      </c>
      <c r="BO65" s="712">
        <v>0</v>
      </c>
      <c r="BP65" s="711">
        <v>0</v>
      </c>
      <c r="BQ65" s="712">
        <v>0</v>
      </c>
      <c r="BR65" s="711">
        <v>0</v>
      </c>
      <c r="BS65" s="712">
        <v>0</v>
      </c>
      <c r="BT65" s="711">
        <v>0</v>
      </c>
      <c r="BU65" s="712">
        <v>0</v>
      </c>
      <c r="BV65" s="711">
        <v>0</v>
      </c>
      <c r="BW65" s="712">
        <v>0</v>
      </c>
      <c r="BX65" s="711">
        <v>0</v>
      </c>
      <c r="BY65" s="712">
        <v>0</v>
      </c>
      <c r="BZ65" s="711">
        <v>0</v>
      </c>
      <c r="CA65" s="712">
        <v>0</v>
      </c>
      <c r="CB65" s="711">
        <v>0</v>
      </c>
      <c r="CC65" s="710">
        <v>0</v>
      </c>
      <c r="CD65" s="713">
        <v>0</v>
      </c>
      <c r="CE65" s="710">
        <v>0</v>
      </c>
      <c r="CF65" s="713">
        <v>0</v>
      </c>
      <c r="CG65" s="710">
        <v>0</v>
      </c>
      <c r="CH65" s="713">
        <v>0</v>
      </c>
      <c r="CI65" s="710">
        <v>0</v>
      </c>
      <c r="CJ65" s="713">
        <v>0</v>
      </c>
      <c r="CK65" s="710">
        <v>0</v>
      </c>
      <c r="CL65" s="713">
        <v>0</v>
      </c>
      <c r="CM65" s="710">
        <v>0</v>
      </c>
      <c r="CN65" s="713">
        <v>0</v>
      </c>
      <c r="CO65" s="710">
        <v>0</v>
      </c>
      <c r="CP65" s="713">
        <v>0</v>
      </c>
      <c r="CQ65" s="710">
        <v>0</v>
      </c>
      <c r="CR65" s="711">
        <v>0</v>
      </c>
      <c r="CS65" s="710">
        <v>0</v>
      </c>
      <c r="CT65" s="711">
        <v>0</v>
      </c>
      <c r="CU65" s="712">
        <v>0</v>
      </c>
      <c r="CV65" s="711">
        <v>0</v>
      </c>
    </row>
    <row r="66" spans="1:100">
      <c r="A66" s="467">
        <v>64</v>
      </c>
      <c r="B66" s="595">
        <v>0</v>
      </c>
      <c r="C66" s="595">
        <v>0</v>
      </c>
      <c r="D66" s="595">
        <v>0</v>
      </c>
      <c r="E66" s="595">
        <v>0</v>
      </c>
      <c r="F66" s="595">
        <f t="shared" ref="F66:F81" si="22">1/80</f>
        <v>1.2500000000000001E-2</v>
      </c>
      <c r="G66" s="595">
        <v>0.02</v>
      </c>
      <c r="H66" s="595">
        <v>0</v>
      </c>
      <c r="I66" s="595">
        <v>0</v>
      </c>
      <c r="J66" s="595">
        <v>0</v>
      </c>
      <c r="K66" s="595">
        <v>0</v>
      </c>
      <c r="L66" s="595">
        <v>0</v>
      </c>
      <c r="M66" s="595">
        <v>0</v>
      </c>
      <c r="N66" s="595">
        <v>0</v>
      </c>
      <c r="O66" s="595">
        <v>0</v>
      </c>
      <c r="P66" s="595">
        <v>0</v>
      </c>
      <c r="Q66" s="595">
        <v>0</v>
      </c>
      <c r="R66" s="595">
        <v>0</v>
      </c>
      <c r="S66" s="595">
        <v>0</v>
      </c>
      <c r="T66" s="595">
        <v>0.02</v>
      </c>
      <c r="U66" s="595">
        <v>0</v>
      </c>
      <c r="V66" s="595">
        <v>0</v>
      </c>
      <c r="W66" s="611">
        <v>0</v>
      </c>
      <c r="X66" s="706"/>
      <c r="Y66" s="706"/>
      <c r="Z66" s="706"/>
      <c r="AA66" s="706"/>
      <c r="AB66" s="706"/>
      <c r="AC66" s="706"/>
      <c r="AD66" s="706"/>
      <c r="AE66" s="703">
        <v>0</v>
      </c>
      <c r="AF66" s="704">
        <v>0</v>
      </c>
      <c r="AG66" s="705">
        <v>0</v>
      </c>
      <c r="AH66" s="706">
        <v>0</v>
      </c>
      <c r="AI66" s="705">
        <v>0</v>
      </c>
      <c r="AJ66" s="703">
        <v>0</v>
      </c>
      <c r="AK66" s="705">
        <v>0</v>
      </c>
      <c r="AL66" s="707">
        <v>0</v>
      </c>
      <c r="AM66" s="703">
        <v>0</v>
      </c>
      <c r="AN66" s="703">
        <v>0</v>
      </c>
      <c r="AO66" s="707">
        <v>0</v>
      </c>
      <c r="AP66" s="708">
        <v>0</v>
      </c>
      <c r="AQ66" s="705">
        <f t="shared" si="18"/>
        <v>7.1428571428571426E-3</v>
      </c>
      <c r="AR66" s="703">
        <v>5.0000000000000001E-3</v>
      </c>
      <c r="AS66" s="705">
        <f t="shared" ref="AS66:AS81" si="23">1/80</f>
        <v>1.2500000000000001E-2</v>
      </c>
      <c r="AT66" s="709">
        <v>1E-3</v>
      </c>
      <c r="AU66" s="703">
        <v>0</v>
      </c>
      <c r="AV66" s="705">
        <v>0</v>
      </c>
      <c r="AW66" s="710">
        <v>0</v>
      </c>
      <c r="AX66" s="711">
        <v>0</v>
      </c>
      <c r="AY66" s="710">
        <v>0</v>
      </c>
      <c r="AZ66" s="711">
        <v>0</v>
      </c>
      <c r="BA66" s="710">
        <v>0</v>
      </c>
      <c r="BB66" s="711">
        <v>0</v>
      </c>
      <c r="BC66" s="712">
        <v>0</v>
      </c>
      <c r="BD66" s="713">
        <v>0</v>
      </c>
      <c r="BE66" s="710">
        <v>0</v>
      </c>
      <c r="BF66" s="711">
        <v>0</v>
      </c>
      <c r="BG66" s="712">
        <v>0</v>
      </c>
      <c r="BH66" s="711">
        <v>0</v>
      </c>
      <c r="BI66" s="712">
        <v>0</v>
      </c>
      <c r="BJ66" s="711">
        <v>0</v>
      </c>
      <c r="BK66" s="712">
        <v>0</v>
      </c>
      <c r="BL66" s="711">
        <v>0</v>
      </c>
      <c r="BM66" s="712">
        <v>0</v>
      </c>
      <c r="BN66" s="711">
        <v>0</v>
      </c>
      <c r="BO66" s="712">
        <v>0</v>
      </c>
      <c r="BP66" s="711">
        <v>0</v>
      </c>
      <c r="BQ66" s="712">
        <v>0</v>
      </c>
      <c r="BR66" s="711">
        <v>0</v>
      </c>
      <c r="BS66" s="712">
        <v>0</v>
      </c>
      <c r="BT66" s="711">
        <v>0</v>
      </c>
      <c r="BU66" s="712">
        <v>0</v>
      </c>
      <c r="BV66" s="711">
        <v>0</v>
      </c>
      <c r="BW66" s="712">
        <v>0</v>
      </c>
      <c r="BX66" s="711">
        <v>0</v>
      </c>
      <c r="BY66" s="712">
        <v>0</v>
      </c>
      <c r="BZ66" s="711">
        <v>0</v>
      </c>
      <c r="CA66" s="712">
        <v>0</v>
      </c>
      <c r="CB66" s="711">
        <v>0</v>
      </c>
      <c r="CC66" s="710">
        <v>0</v>
      </c>
      <c r="CD66" s="713">
        <v>0</v>
      </c>
      <c r="CE66" s="710">
        <v>0</v>
      </c>
      <c r="CF66" s="713">
        <v>0</v>
      </c>
      <c r="CG66" s="710">
        <v>0</v>
      </c>
      <c r="CH66" s="713">
        <v>0</v>
      </c>
      <c r="CI66" s="710">
        <v>0</v>
      </c>
      <c r="CJ66" s="713">
        <v>0</v>
      </c>
      <c r="CK66" s="710">
        <v>0</v>
      </c>
      <c r="CL66" s="713">
        <v>0</v>
      </c>
      <c r="CM66" s="710">
        <v>0</v>
      </c>
      <c r="CN66" s="713">
        <v>0</v>
      </c>
      <c r="CO66" s="710">
        <v>0</v>
      </c>
      <c r="CP66" s="713">
        <v>0</v>
      </c>
      <c r="CQ66" s="710">
        <v>0</v>
      </c>
      <c r="CR66" s="711">
        <v>0</v>
      </c>
      <c r="CS66" s="710">
        <v>0</v>
      </c>
      <c r="CT66" s="711">
        <v>0</v>
      </c>
      <c r="CU66" s="712">
        <v>0</v>
      </c>
      <c r="CV66" s="711">
        <v>0</v>
      </c>
    </row>
    <row r="67" spans="1:100">
      <c r="A67" s="467">
        <v>65</v>
      </c>
      <c r="B67" s="595">
        <v>0</v>
      </c>
      <c r="C67" s="595">
        <v>0</v>
      </c>
      <c r="D67" s="595">
        <v>0</v>
      </c>
      <c r="E67" s="595">
        <v>0</v>
      </c>
      <c r="F67" s="595">
        <f t="shared" si="22"/>
        <v>1.2500000000000001E-2</v>
      </c>
      <c r="G67" s="595">
        <v>0.02</v>
      </c>
      <c r="H67" s="595">
        <v>0</v>
      </c>
      <c r="I67" s="595">
        <v>0</v>
      </c>
      <c r="J67" s="595">
        <v>0</v>
      </c>
      <c r="K67" s="595">
        <v>0</v>
      </c>
      <c r="L67" s="595">
        <v>0</v>
      </c>
      <c r="M67" s="595">
        <v>0</v>
      </c>
      <c r="N67" s="595">
        <v>0</v>
      </c>
      <c r="O67" s="595">
        <v>0</v>
      </c>
      <c r="P67" s="595">
        <v>0</v>
      </c>
      <c r="Q67" s="595">
        <v>0</v>
      </c>
      <c r="R67" s="595">
        <v>0</v>
      </c>
      <c r="S67" s="595">
        <v>0</v>
      </c>
      <c r="T67" s="595">
        <v>0.02</v>
      </c>
      <c r="U67" s="595">
        <v>0</v>
      </c>
      <c r="V67" s="595">
        <v>0</v>
      </c>
      <c r="W67" s="611">
        <v>0</v>
      </c>
      <c r="X67" s="706"/>
      <c r="Y67" s="706"/>
      <c r="Z67" s="706"/>
      <c r="AA67" s="706"/>
      <c r="AB67" s="706"/>
      <c r="AC67" s="706"/>
      <c r="AD67" s="706"/>
      <c r="AE67" s="703">
        <v>0</v>
      </c>
      <c r="AF67" s="704">
        <v>0</v>
      </c>
      <c r="AG67" s="705">
        <v>0</v>
      </c>
      <c r="AH67" s="706">
        <v>0</v>
      </c>
      <c r="AI67" s="705">
        <v>0</v>
      </c>
      <c r="AJ67" s="703">
        <v>0</v>
      </c>
      <c r="AK67" s="705">
        <v>0</v>
      </c>
      <c r="AL67" s="707">
        <v>0</v>
      </c>
      <c r="AM67" s="703">
        <v>0</v>
      </c>
      <c r="AN67" s="703">
        <v>0</v>
      </c>
      <c r="AO67" s="707">
        <v>0</v>
      </c>
      <c r="AP67" s="708">
        <v>0</v>
      </c>
      <c r="AQ67" s="705">
        <f t="shared" si="18"/>
        <v>7.1428571428571426E-3</v>
      </c>
      <c r="AR67" s="703">
        <v>5.0000000000000001E-3</v>
      </c>
      <c r="AS67" s="705">
        <f t="shared" si="23"/>
        <v>1.2500000000000001E-2</v>
      </c>
      <c r="AT67" s="709">
        <v>1E-3</v>
      </c>
      <c r="AU67" s="703">
        <v>0</v>
      </c>
      <c r="AV67" s="705">
        <v>0</v>
      </c>
      <c r="AW67" s="710">
        <v>0</v>
      </c>
      <c r="AX67" s="711">
        <v>0</v>
      </c>
      <c r="AY67" s="710">
        <v>0</v>
      </c>
      <c r="AZ67" s="711">
        <v>0</v>
      </c>
      <c r="BA67" s="710">
        <v>0</v>
      </c>
      <c r="BB67" s="711">
        <v>0</v>
      </c>
      <c r="BC67" s="712">
        <v>0</v>
      </c>
      <c r="BD67" s="713">
        <v>0</v>
      </c>
      <c r="BE67" s="710">
        <v>0</v>
      </c>
      <c r="BF67" s="711">
        <v>0</v>
      </c>
      <c r="BG67" s="712">
        <v>0</v>
      </c>
      <c r="BH67" s="711">
        <v>0</v>
      </c>
      <c r="BI67" s="712">
        <v>0</v>
      </c>
      <c r="BJ67" s="711">
        <v>0</v>
      </c>
      <c r="BK67" s="712">
        <v>0</v>
      </c>
      <c r="BL67" s="711">
        <v>0</v>
      </c>
      <c r="BM67" s="712">
        <v>0</v>
      </c>
      <c r="BN67" s="711">
        <v>0</v>
      </c>
      <c r="BO67" s="712">
        <v>0</v>
      </c>
      <c r="BP67" s="711">
        <v>0</v>
      </c>
      <c r="BQ67" s="712">
        <v>0</v>
      </c>
      <c r="BR67" s="711">
        <v>0</v>
      </c>
      <c r="BS67" s="712">
        <v>0</v>
      </c>
      <c r="BT67" s="711">
        <v>0</v>
      </c>
      <c r="BU67" s="712">
        <v>0</v>
      </c>
      <c r="BV67" s="711">
        <v>0</v>
      </c>
      <c r="BW67" s="712">
        <v>0</v>
      </c>
      <c r="BX67" s="711">
        <v>0</v>
      </c>
      <c r="BY67" s="712">
        <v>0</v>
      </c>
      <c r="BZ67" s="711">
        <v>0</v>
      </c>
      <c r="CA67" s="712">
        <v>0</v>
      </c>
      <c r="CB67" s="711">
        <v>0</v>
      </c>
      <c r="CC67" s="710">
        <v>0</v>
      </c>
      <c r="CD67" s="713">
        <v>0</v>
      </c>
      <c r="CE67" s="710">
        <v>0</v>
      </c>
      <c r="CF67" s="713">
        <v>0</v>
      </c>
      <c r="CG67" s="710">
        <v>0</v>
      </c>
      <c r="CH67" s="713">
        <v>0</v>
      </c>
      <c r="CI67" s="710">
        <v>0</v>
      </c>
      <c r="CJ67" s="713">
        <v>0</v>
      </c>
      <c r="CK67" s="710">
        <v>0</v>
      </c>
      <c r="CL67" s="713">
        <v>0</v>
      </c>
      <c r="CM67" s="710">
        <v>0</v>
      </c>
      <c r="CN67" s="713">
        <v>0</v>
      </c>
      <c r="CO67" s="710">
        <v>0</v>
      </c>
      <c r="CP67" s="713">
        <v>0</v>
      </c>
      <c r="CQ67" s="710">
        <v>0</v>
      </c>
      <c r="CR67" s="711">
        <v>0</v>
      </c>
      <c r="CS67" s="710">
        <v>0</v>
      </c>
      <c r="CT67" s="711">
        <v>0</v>
      </c>
      <c r="CU67" s="712">
        <v>0</v>
      </c>
      <c r="CV67" s="711">
        <v>0</v>
      </c>
    </row>
    <row r="68" spans="1:100">
      <c r="A68" s="467">
        <v>66</v>
      </c>
      <c r="B68" s="595">
        <v>0</v>
      </c>
      <c r="C68" s="595">
        <v>0</v>
      </c>
      <c r="D68" s="595">
        <v>0</v>
      </c>
      <c r="E68" s="595">
        <v>0</v>
      </c>
      <c r="F68" s="595">
        <f t="shared" si="22"/>
        <v>1.2500000000000001E-2</v>
      </c>
      <c r="G68" s="595">
        <v>0.02</v>
      </c>
      <c r="H68" s="595">
        <v>0</v>
      </c>
      <c r="I68" s="595">
        <v>0</v>
      </c>
      <c r="J68" s="595">
        <v>0</v>
      </c>
      <c r="K68" s="595">
        <v>0</v>
      </c>
      <c r="L68" s="595">
        <v>0</v>
      </c>
      <c r="M68" s="595">
        <v>0</v>
      </c>
      <c r="N68" s="595">
        <v>0</v>
      </c>
      <c r="O68" s="595">
        <v>0</v>
      </c>
      <c r="P68" s="595">
        <v>0</v>
      </c>
      <c r="Q68" s="595">
        <v>0</v>
      </c>
      <c r="R68" s="595">
        <v>0</v>
      </c>
      <c r="S68" s="595">
        <v>0</v>
      </c>
      <c r="T68" s="595">
        <v>0.02</v>
      </c>
      <c r="U68" s="595">
        <v>0</v>
      </c>
      <c r="V68" s="595">
        <v>0</v>
      </c>
      <c r="W68" s="611">
        <v>0</v>
      </c>
      <c r="X68" s="706"/>
      <c r="Y68" s="706"/>
      <c r="Z68" s="706"/>
      <c r="AA68" s="706"/>
      <c r="AB68" s="706"/>
      <c r="AC68" s="706"/>
      <c r="AD68" s="706"/>
      <c r="AE68" s="703">
        <v>0</v>
      </c>
      <c r="AF68" s="704">
        <v>0</v>
      </c>
      <c r="AG68" s="705">
        <v>0</v>
      </c>
      <c r="AH68" s="706">
        <v>0</v>
      </c>
      <c r="AI68" s="705">
        <v>0</v>
      </c>
      <c r="AJ68" s="703">
        <v>0</v>
      </c>
      <c r="AK68" s="705">
        <v>0</v>
      </c>
      <c r="AL68" s="707">
        <v>0</v>
      </c>
      <c r="AM68" s="703">
        <v>0</v>
      </c>
      <c r="AN68" s="703">
        <v>0</v>
      </c>
      <c r="AO68" s="707">
        <v>0</v>
      </c>
      <c r="AP68" s="708">
        <v>0</v>
      </c>
      <c r="AQ68" s="705">
        <f t="shared" ref="AQ68:AQ131" si="24">1/140</f>
        <v>7.1428571428571426E-3</v>
      </c>
      <c r="AR68" s="703">
        <v>5.0000000000000001E-3</v>
      </c>
      <c r="AS68" s="705">
        <f t="shared" si="23"/>
        <v>1.2500000000000001E-2</v>
      </c>
      <c r="AT68" s="709">
        <v>1E-3</v>
      </c>
      <c r="AU68" s="703">
        <v>0</v>
      </c>
      <c r="AV68" s="705">
        <v>0</v>
      </c>
      <c r="AW68" s="710">
        <v>0</v>
      </c>
      <c r="AX68" s="711">
        <v>0</v>
      </c>
      <c r="AY68" s="710">
        <v>0</v>
      </c>
      <c r="AZ68" s="711">
        <v>0</v>
      </c>
      <c r="BA68" s="710">
        <v>0</v>
      </c>
      <c r="BB68" s="711">
        <v>0</v>
      </c>
      <c r="BC68" s="712">
        <v>0</v>
      </c>
      <c r="BD68" s="713">
        <v>0</v>
      </c>
      <c r="BE68" s="710">
        <v>0</v>
      </c>
      <c r="BF68" s="711">
        <v>0</v>
      </c>
      <c r="BG68" s="712">
        <v>0</v>
      </c>
      <c r="BH68" s="711">
        <v>0</v>
      </c>
      <c r="BI68" s="712">
        <v>0</v>
      </c>
      <c r="BJ68" s="711">
        <v>0</v>
      </c>
      <c r="BK68" s="712">
        <v>0</v>
      </c>
      <c r="BL68" s="711">
        <v>0</v>
      </c>
      <c r="BM68" s="712">
        <v>0</v>
      </c>
      <c r="BN68" s="711">
        <v>0</v>
      </c>
      <c r="BO68" s="712">
        <v>0</v>
      </c>
      <c r="BP68" s="711">
        <v>0</v>
      </c>
      <c r="BQ68" s="712">
        <v>0</v>
      </c>
      <c r="BR68" s="711">
        <v>0</v>
      </c>
      <c r="BS68" s="712">
        <v>0</v>
      </c>
      <c r="BT68" s="711">
        <v>0</v>
      </c>
      <c r="BU68" s="712">
        <v>0</v>
      </c>
      <c r="BV68" s="711">
        <v>0</v>
      </c>
      <c r="BW68" s="712">
        <v>0</v>
      </c>
      <c r="BX68" s="711">
        <v>0</v>
      </c>
      <c r="BY68" s="712">
        <v>0</v>
      </c>
      <c r="BZ68" s="711">
        <v>0</v>
      </c>
      <c r="CA68" s="712">
        <v>0</v>
      </c>
      <c r="CB68" s="711">
        <v>0</v>
      </c>
      <c r="CC68" s="710">
        <v>0</v>
      </c>
      <c r="CD68" s="713">
        <v>0</v>
      </c>
      <c r="CE68" s="710">
        <v>0</v>
      </c>
      <c r="CF68" s="713">
        <v>0</v>
      </c>
      <c r="CG68" s="710">
        <v>0</v>
      </c>
      <c r="CH68" s="713">
        <v>0</v>
      </c>
      <c r="CI68" s="710">
        <v>0</v>
      </c>
      <c r="CJ68" s="713">
        <v>0</v>
      </c>
      <c r="CK68" s="710">
        <v>0</v>
      </c>
      <c r="CL68" s="713">
        <v>0</v>
      </c>
      <c r="CM68" s="710">
        <v>0</v>
      </c>
      <c r="CN68" s="713">
        <v>0</v>
      </c>
      <c r="CO68" s="710">
        <v>0</v>
      </c>
      <c r="CP68" s="713">
        <v>0</v>
      </c>
      <c r="CQ68" s="710">
        <v>0</v>
      </c>
      <c r="CR68" s="711">
        <v>0</v>
      </c>
      <c r="CS68" s="710">
        <v>0</v>
      </c>
      <c r="CT68" s="711">
        <v>0</v>
      </c>
      <c r="CU68" s="712">
        <v>0</v>
      </c>
      <c r="CV68" s="711">
        <v>0</v>
      </c>
    </row>
    <row r="69" spans="1:100">
      <c r="A69" s="467">
        <v>67</v>
      </c>
      <c r="B69" s="595">
        <v>0</v>
      </c>
      <c r="C69" s="595">
        <v>0</v>
      </c>
      <c r="D69" s="595">
        <v>0</v>
      </c>
      <c r="E69" s="595">
        <v>0</v>
      </c>
      <c r="F69" s="595">
        <f t="shared" si="22"/>
        <v>1.2500000000000001E-2</v>
      </c>
      <c r="G69" s="595">
        <v>0.02</v>
      </c>
      <c r="H69" s="595">
        <v>0</v>
      </c>
      <c r="I69" s="595">
        <v>0</v>
      </c>
      <c r="J69" s="595">
        <v>0</v>
      </c>
      <c r="K69" s="595">
        <v>0</v>
      </c>
      <c r="L69" s="595">
        <v>0</v>
      </c>
      <c r="M69" s="595">
        <v>0</v>
      </c>
      <c r="N69" s="595">
        <v>0</v>
      </c>
      <c r="O69" s="595">
        <v>0</v>
      </c>
      <c r="P69" s="595">
        <v>0</v>
      </c>
      <c r="Q69" s="595">
        <v>0</v>
      </c>
      <c r="R69" s="595">
        <v>0</v>
      </c>
      <c r="S69" s="595">
        <v>0</v>
      </c>
      <c r="T69" s="595">
        <v>0.02</v>
      </c>
      <c r="U69" s="595">
        <v>0</v>
      </c>
      <c r="V69" s="595">
        <v>0</v>
      </c>
      <c r="W69" s="611">
        <v>0</v>
      </c>
      <c r="X69" s="706"/>
      <c r="Y69" s="706"/>
      <c r="Z69" s="706"/>
      <c r="AA69" s="706"/>
      <c r="AB69" s="706"/>
      <c r="AC69" s="706"/>
      <c r="AD69" s="706"/>
      <c r="AE69" s="703">
        <v>0</v>
      </c>
      <c r="AF69" s="704">
        <v>0</v>
      </c>
      <c r="AG69" s="705">
        <v>0</v>
      </c>
      <c r="AH69" s="706">
        <v>0</v>
      </c>
      <c r="AI69" s="705">
        <v>0</v>
      </c>
      <c r="AJ69" s="703">
        <v>0</v>
      </c>
      <c r="AK69" s="705">
        <v>0</v>
      </c>
      <c r="AL69" s="707">
        <v>0</v>
      </c>
      <c r="AM69" s="703">
        <v>0</v>
      </c>
      <c r="AN69" s="703">
        <v>0</v>
      </c>
      <c r="AO69" s="707">
        <v>0</v>
      </c>
      <c r="AP69" s="708">
        <v>0</v>
      </c>
      <c r="AQ69" s="705">
        <f t="shared" si="24"/>
        <v>7.1428571428571426E-3</v>
      </c>
      <c r="AR69" s="703">
        <v>5.0000000000000001E-3</v>
      </c>
      <c r="AS69" s="705">
        <f t="shared" si="23"/>
        <v>1.2500000000000001E-2</v>
      </c>
      <c r="AT69" s="709">
        <v>1E-3</v>
      </c>
      <c r="AU69" s="703">
        <v>0</v>
      </c>
      <c r="AV69" s="705">
        <v>0</v>
      </c>
      <c r="AW69" s="710">
        <v>0</v>
      </c>
      <c r="AX69" s="711">
        <v>0</v>
      </c>
      <c r="AY69" s="710">
        <v>0</v>
      </c>
      <c r="AZ69" s="711">
        <v>0</v>
      </c>
      <c r="BA69" s="710">
        <v>0</v>
      </c>
      <c r="BB69" s="711">
        <v>0</v>
      </c>
      <c r="BC69" s="712">
        <v>0</v>
      </c>
      <c r="BD69" s="713">
        <v>0</v>
      </c>
      <c r="BE69" s="710">
        <v>0</v>
      </c>
      <c r="BF69" s="711">
        <v>0</v>
      </c>
      <c r="BG69" s="712">
        <v>0</v>
      </c>
      <c r="BH69" s="711">
        <v>0</v>
      </c>
      <c r="BI69" s="712">
        <v>0</v>
      </c>
      <c r="BJ69" s="711">
        <v>0</v>
      </c>
      <c r="BK69" s="712">
        <v>0</v>
      </c>
      <c r="BL69" s="711">
        <v>0</v>
      </c>
      <c r="BM69" s="712">
        <v>0</v>
      </c>
      <c r="BN69" s="711">
        <v>0</v>
      </c>
      <c r="BO69" s="712">
        <v>0</v>
      </c>
      <c r="BP69" s="711">
        <v>0</v>
      </c>
      <c r="BQ69" s="712">
        <v>0</v>
      </c>
      <c r="BR69" s="711">
        <v>0</v>
      </c>
      <c r="BS69" s="712">
        <v>0</v>
      </c>
      <c r="BT69" s="711">
        <v>0</v>
      </c>
      <c r="BU69" s="712">
        <v>0</v>
      </c>
      <c r="BV69" s="711">
        <v>0</v>
      </c>
      <c r="BW69" s="712">
        <v>0</v>
      </c>
      <c r="BX69" s="711">
        <v>0</v>
      </c>
      <c r="BY69" s="712">
        <v>0</v>
      </c>
      <c r="BZ69" s="711">
        <v>0</v>
      </c>
      <c r="CA69" s="712">
        <v>0</v>
      </c>
      <c r="CB69" s="711">
        <v>0</v>
      </c>
      <c r="CC69" s="710">
        <v>0</v>
      </c>
      <c r="CD69" s="713">
        <v>0</v>
      </c>
      <c r="CE69" s="710">
        <v>0</v>
      </c>
      <c r="CF69" s="713">
        <v>0</v>
      </c>
      <c r="CG69" s="710">
        <v>0</v>
      </c>
      <c r="CH69" s="713">
        <v>0</v>
      </c>
      <c r="CI69" s="710">
        <v>0</v>
      </c>
      <c r="CJ69" s="713">
        <v>0</v>
      </c>
      <c r="CK69" s="710">
        <v>0</v>
      </c>
      <c r="CL69" s="713">
        <v>0</v>
      </c>
      <c r="CM69" s="710">
        <v>0</v>
      </c>
      <c r="CN69" s="713">
        <v>0</v>
      </c>
      <c r="CO69" s="710">
        <v>0</v>
      </c>
      <c r="CP69" s="713">
        <v>0</v>
      </c>
      <c r="CQ69" s="710">
        <v>0</v>
      </c>
      <c r="CR69" s="711">
        <v>0</v>
      </c>
      <c r="CS69" s="710">
        <v>0</v>
      </c>
      <c r="CT69" s="711">
        <v>0</v>
      </c>
      <c r="CU69" s="712">
        <v>0</v>
      </c>
      <c r="CV69" s="711">
        <v>0</v>
      </c>
    </row>
    <row r="70" spans="1:100">
      <c r="A70" s="467">
        <v>68</v>
      </c>
      <c r="B70" s="595">
        <v>0</v>
      </c>
      <c r="C70" s="595">
        <v>0</v>
      </c>
      <c r="D70" s="595">
        <v>0</v>
      </c>
      <c r="E70" s="595">
        <v>0</v>
      </c>
      <c r="F70" s="595">
        <f t="shared" si="22"/>
        <v>1.2500000000000001E-2</v>
      </c>
      <c r="G70" s="595">
        <v>0.02</v>
      </c>
      <c r="H70" s="595">
        <v>0</v>
      </c>
      <c r="I70" s="595">
        <v>0</v>
      </c>
      <c r="J70" s="595">
        <v>0</v>
      </c>
      <c r="K70" s="595">
        <v>0</v>
      </c>
      <c r="L70" s="595">
        <v>0</v>
      </c>
      <c r="M70" s="595">
        <v>0</v>
      </c>
      <c r="N70" s="595">
        <v>0</v>
      </c>
      <c r="O70" s="595">
        <v>0</v>
      </c>
      <c r="P70" s="595">
        <v>0</v>
      </c>
      <c r="Q70" s="595">
        <v>0</v>
      </c>
      <c r="R70" s="595">
        <v>0</v>
      </c>
      <c r="S70" s="595">
        <v>0</v>
      </c>
      <c r="T70" s="595">
        <v>0.02</v>
      </c>
      <c r="U70" s="595">
        <v>0</v>
      </c>
      <c r="V70" s="595">
        <v>0</v>
      </c>
      <c r="W70" s="611">
        <v>0</v>
      </c>
      <c r="X70" s="706"/>
      <c r="Y70" s="706"/>
      <c r="Z70" s="706"/>
      <c r="AA70" s="706"/>
      <c r="AB70" s="706"/>
      <c r="AC70" s="706"/>
      <c r="AD70" s="706"/>
      <c r="AE70" s="703">
        <v>0</v>
      </c>
      <c r="AF70" s="704">
        <v>0</v>
      </c>
      <c r="AG70" s="705">
        <v>0</v>
      </c>
      <c r="AH70" s="706">
        <v>0</v>
      </c>
      <c r="AI70" s="705">
        <v>0</v>
      </c>
      <c r="AJ70" s="703">
        <v>0</v>
      </c>
      <c r="AK70" s="705">
        <v>0</v>
      </c>
      <c r="AL70" s="707">
        <v>0</v>
      </c>
      <c r="AM70" s="703">
        <v>0</v>
      </c>
      <c r="AN70" s="703">
        <v>0</v>
      </c>
      <c r="AO70" s="707">
        <v>0</v>
      </c>
      <c r="AP70" s="708">
        <v>0</v>
      </c>
      <c r="AQ70" s="705">
        <f t="shared" si="24"/>
        <v>7.1428571428571426E-3</v>
      </c>
      <c r="AR70" s="703">
        <v>5.0000000000000001E-3</v>
      </c>
      <c r="AS70" s="705">
        <f t="shared" si="23"/>
        <v>1.2500000000000001E-2</v>
      </c>
      <c r="AT70" s="709">
        <v>1E-3</v>
      </c>
      <c r="AU70" s="703">
        <v>0</v>
      </c>
      <c r="AV70" s="705">
        <v>0</v>
      </c>
      <c r="AW70" s="710">
        <v>0</v>
      </c>
      <c r="AX70" s="711">
        <v>0</v>
      </c>
      <c r="AY70" s="710">
        <v>0</v>
      </c>
      <c r="AZ70" s="711">
        <v>0</v>
      </c>
      <c r="BA70" s="710">
        <v>0</v>
      </c>
      <c r="BB70" s="711">
        <v>0</v>
      </c>
      <c r="BC70" s="712">
        <v>0</v>
      </c>
      <c r="BD70" s="713">
        <v>0</v>
      </c>
      <c r="BE70" s="710">
        <v>0</v>
      </c>
      <c r="BF70" s="711">
        <v>0</v>
      </c>
      <c r="BG70" s="712">
        <v>0</v>
      </c>
      <c r="BH70" s="711">
        <v>0</v>
      </c>
      <c r="BI70" s="712">
        <v>0</v>
      </c>
      <c r="BJ70" s="711">
        <v>0</v>
      </c>
      <c r="BK70" s="712">
        <v>0</v>
      </c>
      <c r="BL70" s="711">
        <v>0</v>
      </c>
      <c r="BM70" s="712">
        <v>0</v>
      </c>
      <c r="BN70" s="711">
        <v>0</v>
      </c>
      <c r="BO70" s="712">
        <v>0</v>
      </c>
      <c r="BP70" s="711">
        <v>0</v>
      </c>
      <c r="BQ70" s="712">
        <v>0</v>
      </c>
      <c r="BR70" s="711">
        <v>0</v>
      </c>
      <c r="BS70" s="712">
        <v>0</v>
      </c>
      <c r="BT70" s="711">
        <v>0</v>
      </c>
      <c r="BU70" s="712">
        <v>0</v>
      </c>
      <c r="BV70" s="711">
        <v>0</v>
      </c>
      <c r="BW70" s="712">
        <v>0</v>
      </c>
      <c r="BX70" s="711">
        <v>0</v>
      </c>
      <c r="BY70" s="712">
        <v>0</v>
      </c>
      <c r="BZ70" s="711">
        <v>0</v>
      </c>
      <c r="CA70" s="712">
        <v>0</v>
      </c>
      <c r="CB70" s="711">
        <v>0</v>
      </c>
      <c r="CC70" s="710">
        <v>0</v>
      </c>
      <c r="CD70" s="713">
        <v>0</v>
      </c>
      <c r="CE70" s="710">
        <v>0</v>
      </c>
      <c r="CF70" s="713">
        <v>0</v>
      </c>
      <c r="CG70" s="710">
        <v>0</v>
      </c>
      <c r="CH70" s="713">
        <v>0</v>
      </c>
      <c r="CI70" s="710">
        <v>0</v>
      </c>
      <c r="CJ70" s="713">
        <v>0</v>
      </c>
      <c r="CK70" s="710">
        <v>0</v>
      </c>
      <c r="CL70" s="713">
        <v>0</v>
      </c>
      <c r="CM70" s="710">
        <v>0</v>
      </c>
      <c r="CN70" s="713">
        <v>0</v>
      </c>
      <c r="CO70" s="710">
        <v>0</v>
      </c>
      <c r="CP70" s="713">
        <v>0</v>
      </c>
      <c r="CQ70" s="710">
        <v>0</v>
      </c>
      <c r="CR70" s="711">
        <v>0</v>
      </c>
      <c r="CS70" s="710">
        <v>0</v>
      </c>
      <c r="CT70" s="711">
        <v>0</v>
      </c>
      <c r="CU70" s="712">
        <v>0</v>
      </c>
      <c r="CV70" s="711">
        <v>0</v>
      </c>
    </row>
    <row r="71" spans="1:100">
      <c r="A71" s="467">
        <v>69</v>
      </c>
      <c r="B71" s="595">
        <v>0</v>
      </c>
      <c r="C71" s="595">
        <v>0</v>
      </c>
      <c r="D71" s="595">
        <v>0</v>
      </c>
      <c r="E71" s="595">
        <v>0</v>
      </c>
      <c r="F71" s="595">
        <f t="shared" si="22"/>
        <v>1.2500000000000001E-2</v>
      </c>
      <c r="G71" s="595">
        <v>0.02</v>
      </c>
      <c r="H71" s="595">
        <v>0</v>
      </c>
      <c r="I71" s="595">
        <v>0</v>
      </c>
      <c r="J71" s="595">
        <v>0</v>
      </c>
      <c r="K71" s="595">
        <v>0</v>
      </c>
      <c r="L71" s="595">
        <v>0</v>
      </c>
      <c r="M71" s="595">
        <v>0</v>
      </c>
      <c r="N71" s="595">
        <v>0</v>
      </c>
      <c r="O71" s="595">
        <v>0</v>
      </c>
      <c r="P71" s="595">
        <v>0</v>
      </c>
      <c r="Q71" s="595">
        <v>0</v>
      </c>
      <c r="R71" s="595">
        <v>0</v>
      </c>
      <c r="S71" s="595">
        <v>0</v>
      </c>
      <c r="T71" s="595">
        <v>0.02</v>
      </c>
      <c r="U71" s="595">
        <v>0</v>
      </c>
      <c r="V71" s="595">
        <v>0</v>
      </c>
      <c r="W71" s="611">
        <v>0</v>
      </c>
      <c r="X71" s="706"/>
      <c r="Y71" s="706"/>
      <c r="Z71" s="706"/>
      <c r="AA71" s="706"/>
      <c r="AB71" s="706"/>
      <c r="AC71" s="706"/>
      <c r="AD71" s="706"/>
      <c r="AE71" s="703">
        <v>0</v>
      </c>
      <c r="AF71" s="704">
        <v>0</v>
      </c>
      <c r="AG71" s="705">
        <v>0</v>
      </c>
      <c r="AH71" s="706">
        <v>0</v>
      </c>
      <c r="AI71" s="705">
        <v>0</v>
      </c>
      <c r="AJ71" s="703">
        <v>0</v>
      </c>
      <c r="AK71" s="705">
        <v>0</v>
      </c>
      <c r="AL71" s="707">
        <v>0</v>
      </c>
      <c r="AM71" s="703">
        <v>0</v>
      </c>
      <c r="AN71" s="703">
        <v>0</v>
      </c>
      <c r="AO71" s="707">
        <v>0</v>
      </c>
      <c r="AP71" s="708">
        <v>0</v>
      </c>
      <c r="AQ71" s="705">
        <f t="shared" si="24"/>
        <v>7.1428571428571426E-3</v>
      </c>
      <c r="AR71" s="703">
        <v>5.0000000000000001E-3</v>
      </c>
      <c r="AS71" s="705">
        <f t="shared" si="23"/>
        <v>1.2500000000000001E-2</v>
      </c>
      <c r="AT71" s="709">
        <v>1E-3</v>
      </c>
      <c r="AU71" s="703">
        <v>0</v>
      </c>
      <c r="AV71" s="705">
        <v>0</v>
      </c>
      <c r="AW71" s="710">
        <v>0</v>
      </c>
      <c r="AX71" s="711">
        <v>0</v>
      </c>
      <c r="AY71" s="710">
        <v>0</v>
      </c>
      <c r="AZ71" s="711">
        <v>0</v>
      </c>
      <c r="BA71" s="710">
        <v>0</v>
      </c>
      <c r="BB71" s="711">
        <v>0</v>
      </c>
      <c r="BC71" s="712">
        <v>0</v>
      </c>
      <c r="BD71" s="713">
        <v>0</v>
      </c>
      <c r="BE71" s="710">
        <v>0</v>
      </c>
      <c r="BF71" s="711">
        <v>0</v>
      </c>
      <c r="BG71" s="712">
        <v>0</v>
      </c>
      <c r="BH71" s="711">
        <v>0</v>
      </c>
      <c r="BI71" s="712">
        <v>0</v>
      </c>
      <c r="BJ71" s="711">
        <v>0</v>
      </c>
      <c r="BK71" s="712">
        <v>0</v>
      </c>
      <c r="BL71" s="711">
        <v>0</v>
      </c>
      <c r="BM71" s="712">
        <v>0</v>
      </c>
      <c r="BN71" s="711">
        <v>0</v>
      </c>
      <c r="BO71" s="712">
        <v>0</v>
      </c>
      <c r="BP71" s="711">
        <v>0</v>
      </c>
      <c r="BQ71" s="712">
        <v>0</v>
      </c>
      <c r="BR71" s="711">
        <v>0</v>
      </c>
      <c r="BS71" s="712">
        <v>0</v>
      </c>
      <c r="BT71" s="711">
        <v>0</v>
      </c>
      <c r="BU71" s="712">
        <v>0</v>
      </c>
      <c r="BV71" s="711">
        <v>0</v>
      </c>
      <c r="BW71" s="712">
        <v>0</v>
      </c>
      <c r="BX71" s="711">
        <v>0</v>
      </c>
      <c r="BY71" s="712">
        <v>0</v>
      </c>
      <c r="BZ71" s="711">
        <v>0</v>
      </c>
      <c r="CA71" s="712">
        <v>0</v>
      </c>
      <c r="CB71" s="711">
        <v>0</v>
      </c>
      <c r="CC71" s="710">
        <v>0</v>
      </c>
      <c r="CD71" s="713">
        <v>0</v>
      </c>
      <c r="CE71" s="710">
        <v>0</v>
      </c>
      <c r="CF71" s="713">
        <v>0</v>
      </c>
      <c r="CG71" s="710">
        <v>0</v>
      </c>
      <c r="CH71" s="713">
        <v>0</v>
      </c>
      <c r="CI71" s="710">
        <v>0</v>
      </c>
      <c r="CJ71" s="713">
        <v>0</v>
      </c>
      <c r="CK71" s="710">
        <v>0</v>
      </c>
      <c r="CL71" s="713">
        <v>0</v>
      </c>
      <c r="CM71" s="710">
        <v>0</v>
      </c>
      <c r="CN71" s="713">
        <v>0</v>
      </c>
      <c r="CO71" s="710">
        <v>0</v>
      </c>
      <c r="CP71" s="713">
        <v>0</v>
      </c>
      <c r="CQ71" s="710">
        <v>0</v>
      </c>
      <c r="CR71" s="711">
        <v>0</v>
      </c>
      <c r="CS71" s="710">
        <v>0</v>
      </c>
      <c r="CT71" s="711">
        <v>0</v>
      </c>
      <c r="CU71" s="712">
        <v>0</v>
      </c>
      <c r="CV71" s="711">
        <v>0</v>
      </c>
    </row>
    <row r="72" spans="1:100">
      <c r="A72" s="467">
        <v>70</v>
      </c>
      <c r="B72" s="595">
        <v>0</v>
      </c>
      <c r="C72" s="595">
        <v>0</v>
      </c>
      <c r="D72" s="595">
        <v>0</v>
      </c>
      <c r="E72" s="595">
        <v>0</v>
      </c>
      <c r="F72" s="595">
        <f t="shared" si="22"/>
        <v>1.2500000000000001E-2</v>
      </c>
      <c r="G72" s="595">
        <v>0.02</v>
      </c>
      <c r="H72" s="595">
        <v>0</v>
      </c>
      <c r="I72" s="595">
        <v>0</v>
      </c>
      <c r="J72" s="595">
        <v>0</v>
      </c>
      <c r="K72" s="595">
        <v>0</v>
      </c>
      <c r="L72" s="595">
        <v>0</v>
      </c>
      <c r="M72" s="595">
        <v>0</v>
      </c>
      <c r="N72" s="595">
        <v>0</v>
      </c>
      <c r="O72" s="595">
        <v>0</v>
      </c>
      <c r="P72" s="595">
        <v>0</v>
      </c>
      <c r="Q72" s="595">
        <v>0</v>
      </c>
      <c r="R72" s="595">
        <v>0</v>
      </c>
      <c r="S72" s="595">
        <v>0</v>
      </c>
      <c r="T72" s="595">
        <v>0.02</v>
      </c>
      <c r="U72" s="595">
        <v>0</v>
      </c>
      <c r="V72" s="595">
        <v>0</v>
      </c>
      <c r="W72" s="611">
        <v>0</v>
      </c>
      <c r="X72" s="706"/>
      <c r="Y72" s="706"/>
      <c r="Z72" s="706"/>
      <c r="AA72" s="706"/>
      <c r="AB72" s="706"/>
      <c r="AC72" s="706"/>
      <c r="AD72" s="706"/>
      <c r="AE72" s="703">
        <v>0</v>
      </c>
      <c r="AF72" s="704">
        <v>0</v>
      </c>
      <c r="AG72" s="705">
        <v>0</v>
      </c>
      <c r="AH72" s="706">
        <v>0</v>
      </c>
      <c r="AI72" s="705">
        <v>0</v>
      </c>
      <c r="AJ72" s="703">
        <v>0</v>
      </c>
      <c r="AK72" s="705">
        <v>0</v>
      </c>
      <c r="AL72" s="707">
        <v>0</v>
      </c>
      <c r="AM72" s="703">
        <v>0</v>
      </c>
      <c r="AN72" s="703">
        <v>0</v>
      </c>
      <c r="AO72" s="707">
        <v>0</v>
      </c>
      <c r="AP72" s="708">
        <v>0</v>
      </c>
      <c r="AQ72" s="705">
        <f t="shared" si="24"/>
        <v>7.1428571428571426E-3</v>
      </c>
      <c r="AR72" s="703">
        <v>5.0000000000000001E-3</v>
      </c>
      <c r="AS72" s="705">
        <f t="shared" si="23"/>
        <v>1.2500000000000001E-2</v>
      </c>
      <c r="AT72" s="709">
        <v>1E-3</v>
      </c>
      <c r="AU72" s="703">
        <v>0</v>
      </c>
      <c r="AV72" s="705">
        <v>0</v>
      </c>
      <c r="AW72" s="710">
        <v>0</v>
      </c>
      <c r="AX72" s="711">
        <v>0</v>
      </c>
      <c r="AY72" s="710">
        <v>0</v>
      </c>
      <c r="AZ72" s="711">
        <v>0</v>
      </c>
      <c r="BA72" s="710">
        <v>0</v>
      </c>
      <c r="BB72" s="711">
        <v>0</v>
      </c>
      <c r="BC72" s="712">
        <v>0</v>
      </c>
      <c r="BD72" s="713">
        <v>0</v>
      </c>
      <c r="BE72" s="710">
        <v>0</v>
      </c>
      <c r="BF72" s="711">
        <v>0</v>
      </c>
      <c r="BG72" s="712">
        <v>0</v>
      </c>
      <c r="BH72" s="711">
        <v>0</v>
      </c>
      <c r="BI72" s="712">
        <v>0</v>
      </c>
      <c r="BJ72" s="711">
        <v>0</v>
      </c>
      <c r="BK72" s="712">
        <v>0</v>
      </c>
      <c r="BL72" s="711">
        <v>0</v>
      </c>
      <c r="BM72" s="712">
        <v>0</v>
      </c>
      <c r="BN72" s="711">
        <v>0</v>
      </c>
      <c r="BO72" s="712">
        <v>0</v>
      </c>
      <c r="BP72" s="711">
        <v>0</v>
      </c>
      <c r="BQ72" s="712">
        <v>0</v>
      </c>
      <c r="BR72" s="711">
        <v>0</v>
      </c>
      <c r="BS72" s="712">
        <v>0</v>
      </c>
      <c r="BT72" s="711">
        <v>0</v>
      </c>
      <c r="BU72" s="712">
        <v>0</v>
      </c>
      <c r="BV72" s="711">
        <v>0</v>
      </c>
      <c r="BW72" s="712">
        <v>0</v>
      </c>
      <c r="BX72" s="711">
        <v>0</v>
      </c>
      <c r="BY72" s="712">
        <v>0</v>
      </c>
      <c r="BZ72" s="711">
        <v>0</v>
      </c>
      <c r="CA72" s="712">
        <v>0</v>
      </c>
      <c r="CB72" s="711">
        <v>0</v>
      </c>
      <c r="CC72" s="710">
        <v>0</v>
      </c>
      <c r="CD72" s="713">
        <v>0</v>
      </c>
      <c r="CE72" s="710">
        <v>0</v>
      </c>
      <c r="CF72" s="713">
        <v>0</v>
      </c>
      <c r="CG72" s="710">
        <v>0</v>
      </c>
      <c r="CH72" s="713">
        <v>0</v>
      </c>
      <c r="CI72" s="710">
        <v>0</v>
      </c>
      <c r="CJ72" s="713">
        <v>0</v>
      </c>
      <c r="CK72" s="710">
        <v>0</v>
      </c>
      <c r="CL72" s="713">
        <v>0</v>
      </c>
      <c r="CM72" s="710">
        <v>0</v>
      </c>
      <c r="CN72" s="713">
        <v>0</v>
      </c>
      <c r="CO72" s="710">
        <v>0</v>
      </c>
      <c r="CP72" s="713">
        <v>0</v>
      </c>
      <c r="CQ72" s="710">
        <v>0</v>
      </c>
      <c r="CR72" s="711">
        <v>0</v>
      </c>
      <c r="CS72" s="710">
        <v>0</v>
      </c>
      <c r="CT72" s="711">
        <v>0</v>
      </c>
      <c r="CU72" s="712">
        <v>0</v>
      </c>
      <c r="CV72" s="711">
        <v>0</v>
      </c>
    </row>
    <row r="73" spans="1:100">
      <c r="A73" s="467">
        <v>71</v>
      </c>
      <c r="B73" s="595">
        <v>0</v>
      </c>
      <c r="C73" s="595">
        <v>0</v>
      </c>
      <c r="D73" s="595">
        <v>0</v>
      </c>
      <c r="E73" s="595">
        <v>0</v>
      </c>
      <c r="F73" s="595">
        <f t="shared" si="22"/>
        <v>1.2500000000000001E-2</v>
      </c>
      <c r="G73" s="595">
        <v>0.02</v>
      </c>
      <c r="H73" s="595">
        <v>0</v>
      </c>
      <c r="I73" s="595">
        <v>0</v>
      </c>
      <c r="J73" s="595">
        <v>0</v>
      </c>
      <c r="K73" s="595">
        <v>0</v>
      </c>
      <c r="L73" s="595">
        <v>0</v>
      </c>
      <c r="M73" s="595">
        <v>0</v>
      </c>
      <c r="N73" s="595">
        <v>0</v>
      </c>
      <c r="O73" s="595">
        <v>0</v>
      </c>
      <c r="P73" s="595">
        <v>0</v>
      </c>
      <c r="Q73" s="595">
        <v>0</v>
      </c>
      <c r="R73" s="595">
        <v>0</v>
      </c>
      <c r="S73" s="595">
        <v>0</v>
      </c>
      <c r="T73" s="595">
        <v>0.02</v>
      </c>
      <c r="U73" s="595">
        <v>0</v>
      </c>
      <c r="V73" s="595">
        <v>0</v>
      </c>
      <c r="W73" s="611">
        <v>0</v>
      </c>
      <c r="X73" s="706"/>
      <c r="Y73" s="706"/>
      <c r="Z73" s="706"/>
      <c r="AA73" s="706"/>
      <c r="AB73" s="706"/>
      <c r="AC73" s="706"/>
      <c r="AD73" s="706"/>
      <c r="AE73" s="703">
        <v>0</v>
      </c>
      <c r="AF73" s="704">
        <v>0</v>
      </c>
      <c r="AG73" s="705">
        <v>0</v>
      </c>
      <c r="AH73" s="706">
        <v>0</v>
      </c>
      <c r="AI73" s="705">
        <v>0</v>
      </c>
      <c r="AJ73" s="703">
        <v>0</v>
      </c>
      <c r="AK73" s="705">
        <v>0</v>
      </c>
      <c r="AL73" s="707">
        <v>0</v>
      </c>
      <c r="AM73" s="703">
        <v>0</v>
      </c>
      <c r="AN73" s="703">
        <v>0</v>
      </c>
      <c r="AO73" s="707">
        <v>0</v>
      </c>
      <c r="AP73" s="708">
        <v>0</v>
      </c>
      <c r="AQ73" s="705">
        <f t="shared" si="24"/>
        <v>7.1428571428571426E-3</v>
      </c>
      <c r="AR73" s="703">
        <v>5.0000000000000001E-3</v>
      </c>
      <c r="AS73" s="705">
        <f t="shared" si="23"/>
        <v>1.2500000000000001E-2</v>
      </c>
      <c r="AT73" s="709">
        <v>1E-3</v>
      </c>
      <c r="AU73" s="703">
        <v>0</v>
      </c>
      <c r="AV73" s="705">
        <v>0</v>
      </c>
      <c r="AW73" s="710">
        <v>0</v>
      </c>
      <c r="AX73" s="711">
        <v>0</v>
      </c>
      <c r="AY73" s="710">
        <v>0</v>
      </c>
      <c r="AZ73" s="711">
        <v>0</v>
      </c>
      <c r="BA73" s="710">
        <v>0</v>
      </c>
      <c r="BB73" s="711">
        <v>0</v>
      </c>
      <c r="BC73" s="712">
        <v>0</v>
      </c>
      <c r="BD73" s="713">
        <v>0</v>
      </c>
      <c r="BE73" s="710">
        <v>0</v>
      </c>
      <c r="BF73" s="711">
        <v>0</v>
      </c>
      <c r="BG73" s="712">
        <v>0</v>
      </c>
      <c r="BH73" s="711">
        <v>0</v>
      </c>
      <c r="BI73" s="712">
        <v>0</v>
      </c>
      <c r="BJ73" s="711">
        <v>0</v>
      </c>
      <c r="BK73" s="712">
        <v>0</v>
      </c>
      <c r="BL73" s="711">
        <v>0</v>
      </c>
      <c r="BM73" s="712">
        <v>0</v>
      </c>
      <c r="BN73" s="711">
        <v>0</v>
      </c>
      <c r="BO73" s="712">
        <v>0</v>
      </c>
      <c r="BP73" s="711">
        <v>0</v>
      </c>
      <c r="BQ73" s="712">
        <v>0</v>
      </c>
      <c r="BR73" s="711">
        <v>0</v>
      </c>
      <c r="BS73" s="712">
        <v>0</v>
      </c>
      <c r="BT73" s="711">
        <v>0</v>
      </c>
      <c r="BU73" s="712">
        <v>0</v>
      </c>
      <c r="BV73" s="711">
        <v>0</v>
      </c>
      <c r="BW73" s="712">
        <v>0</v>
      </c>
      <c r="BX73" s="711">
        <v>0</v>
      </c>
      <c r="BY73" s="712">
        <v>0</v>
      </c>
      <c r="BZ73" s="711">
        <v>0</v>
      </c>
      <c r="CA73" s="712">
        <v>0</v>
      </c>
      <c r="CB73" s="711">
        <v>0</v>
      </c>
      <c r="CC73" s="710">
        <v>0</v>
      </c>
      <c r="CD73" s="713">
        <v>0</v>
      </c>
      <c r="CE73" s="710">
        <v>0</v>
      </c>
      <c r="CF73" s="713">
        <v>0</v>
      </c>
      <c r="CG73" s="710">
        <v>0</v>
      </c>
      <c r="CH73" s="713">
        <v>0</v>
      </c>
      <c r="CI73" s="710">
        <v>0</v>
      </c>
      <c r="CJ73" s="713">
        <v>0</v>
      </c>
      <c r="CK73" s="710">
        <v>0</v>
      </c>
      <c r="CL73" s="713">
        <v>0</v>
      </c>
      <c r="CM73" s="710">
        <v>0</v>
      </c>
      <c r="CN73" s="713">
        <v>0</v>
      </c>
      <c r="CO73" s="710">
        <v>0</v>
      </c>
      <c r="CP73" s="713">
        <v>0</v>
      </c>
      <c r="CQ73" s="710">
        <v>0</v>
      </c>
      <c r="CR73" s="711">
        <v>0</v>
      </c>
      <c r="CS73" s="710">
        <v>0</v>
      </c>
      <c r="CT73" s="711">
        <v>0</v>
      </c>
      <c r="CU73" s="712">
        <v>0</v>
      </c>
      <c r="CV73" s="711">
        <v>0</v>
      </c>
    </row>
    <row r="74" spans="1:100">
      <c r="A74" s="467">
        <v>72</v>
      </c>
      <c r="B74" s="595">
        <v>0</v>
      </c>
      <c r="C74" s="595">
        <v>0</v>
      </c>
      <c r="D74" s="595">
        <v>0</v>
      </c>
      <c r="E74" s="595">
        <v>0</v>
      </c>
      <c r="F74" s="595">
        <f t="shared" si="22"/>
        <v>1.2500000000000001E-2</v>
      </c>
      <c r="G74" s="595">
        <v>0.02</v>
      </c>
      <c r="H74" s="595">
        <v>0</v>
      </c>
      <c r="I74" s="595">
        <v>0</v>
      </c>
      <c r="J74" s="595">
        <v>0</v>
      </c>
      <c r="K74" s="595">
        <v>0</v>
      </c>
      <c r="L74" s="595">
        <v>0</v>
      </c>
      <c r="M74" s="595">
        <v>0</v>
      </c>
      <c r="N74" s="595">
        <v>0</v>
      </c>
      <c r="O74" s="595">
        <v>0</v>
      </c>
      <c r="P74" s="595">
        <v>0</v>
      </c>
      <c r="Q74" s="595">
        <v>0</v>
      </c>
      <c r="R74" s="595">
        <v>0</v>
      </c>
      <c r="S74" s="595">
        <v>0</v>
      </c>
      <c r="T74" s="595">
        <v>0.02</v>
      </c>
      <c r="U74" s="595">
        <v>0</v>
      </c>
      <c r="V74" s="595">
        <v>0</v>
      </c>
      <c r="W74" s="611">
        <v>0</v>
      </c>
      <c r="X74" s="706"/>
      <c r="Y74" s="706"/>
      <c r="Z74" s="706"/>
      <c r="AA74" s="706"/>
      <c r="AB74" s="706"/>
      <c r="AC74" s="706"/>
      <c r="AD74" s="706"/>
      <c r="AE74" s="703">
        <v>0</v>
      </c>
      <c r="AF74" s="704">
        <v>0</v>
      </c>
      <c r="AG74" s="705">
        <v>0</v>
      </c>
      <c r="AH74" s="706">
        <v>0</v>
      </c>
      <c r="AI74" s="705">
        <v>0</v>
      </c>
      <c r="AJ74" s="703">
        <v>0</v>
      </c>
      <c r="AK74" s="705">
        <v>0</v>
      </c>
      <c r="AL74" s="707">
        <v>0</v>
      </c>
      <c r="AM74" s="703">
        <v>0</v>
      </c>
      <c r="AN74" s="703">
        <v>0</v>
      </c>
      <c r="AO74" s="707">
        <v>0</v>
      </c>
      <c r="AP74" s="708">
        <v>0</v>
      </c>
      <c r="AQ74" s="705">
        <f t="shared" si="24"/>
        <v>7.1428571428571426E-3</v>
      </c>
      <c r="AR74" s="703">
        <v>5.0000000000000001E-3</v>
      </c>
      <c r="AS74" s="705">
        <f t="shared" si="23"/>
        <v>1.2500000000000001E-2</v>
      </c>
      <c r="AT74" s="709">
        <v>1E-3</v>
      </c>
      <c r="AU74" s="703">
        <v>0</v>
      </c>
      <c r="AV74" s="705">
        <v>0</v>
      </c>
      <c r="AW74" s="710">
        <v>0</v>
      </c>
      <c r="AX74" s="711">
        <v>0</v>
      </c>
      <c r="AY74" s="710">
        <v>0</v>
      </c>
      <c r="AZ74" s="711">
        <v>0</v>
      </c>
      <c r="BA74" s="710">
        <v>0</v>
      </c>
      <c r="BB74" s="711">
        <v>0</v>
      </c>
      <c r="BC74" s="712">
        <v>0</v>
      </c>
      <c r="BD74" s="713">
        <v>0</v>
      </c>
      <c r="BE74" s="710">
        <v>0</v>
      </c>
      <c r="BF74" s="711">
        <v>0</v>
      </c>
      <c r="BG74" s="712">
        <v>0</v>
      </c>
      <c r="BH74" s="711">
        <v>0</v>
      </c>
      <c r="BI74" s="712">
        <v>0</v>
      </c>
      <c r="BJ74" s="711">
        <v>0</v>
      </c>
      <c r="BK74" s="712">
        <v>0</v>
      </c>
      <c r="BL74" s="711">
        <v>0</v>
      </c>
      <c r="BM74" s="712">
        <v>0</v>
      </c>
      <c r="BN74" s="711">
        <v>0</v>
      </c>
      <c r="BO74" s="712">
        <v>0</v>
      </c>
      <c r="BP74" s="711">
        <v>0</v>
      </c>
      <c r="BQ74" s="712">
        <v>0</v>
      </c>
      <c r="BR74" s="711">
        <v>0</v>
      </c>
      <c r="BS74" s="712">
        <v>0</v>
      </c>
      <c r="BT74" s="711">
        <v>0</v>
      </c>
      <c r="BU74" s="712">
        <v>0</v>
      </c>
      <c r="BV74" s="711">
        <v>0</v>
      </c>
      <c r="BW74" s="712">
        <v>0</v>
      </c>
      <c r="BX74" s="711">
        <v>0</v>
      </c>
      <c r="BY74" s="712">
        <v>0</v>
      </c>
      <c r="BZ74" s="711">
        <v>0</v>
      </c>
      <c r="CA74" s="712">
        <v>0</v>
      </c>
      <c r="CB74" s="711">
        <v>0</v>
      </c>
      <c r="CC74" s="710">
        <v>0</v>
      </c>
      <c r="CD74" s="713">
        <v>0</v>
      </c>
      <c r="CE74" s="710">
        <v>0</v>
      </c>
      <c r="CF74" s="713">
        <v>0</v>
      </c>
      <c r="CG74" s="710">
        <v>0</v>
      </c>
      <c r="CH74" s="713">
        <v>0</v>
      </c>
      <c r="CI74" s="710">
        <v>0</v>
      </c>
      <c r="CJ74" s="713">
        <v>0</v>
      </c>
      <c r="CK74" s="710">
        <v>0</v>
      </c>
      <c r="CL74" s="713">
        <v>0</v>
      </c>
      <c r="CM74" s="710">
        <v>0</v>
      </c>
      <c r="CN74" s="713">
        <v>0</v>
      </c>
      <c r="CO74" s="710">
        <v>0</v>
      </c>
      <c r="CP74" s="713">
        <v>0</v>
      </c>
      <c r="CQ74" s="710">
        <v>0</v>
      </c>
      <c r="CR74" s="711">
        <v>0</v>
      </c>
      <c r="CS74" s="710">
        <v>0</v>
      </c>
      <c r="CT74" s="711">
        <v>0</v>
      </c>
      <c r="CU74" s="712">
        <v>0</v>
      </c>
      <c r="CV74" s="711">
        <v>0</v>
      </c>
    </row>
    <row r="75" spans="1:100">
      <c r="A75" s="467">
        <v>73</v>
      </c>
      <c r="B75" s="595">
        <v>0</v>
      </c>
      <c r="C75" s="595">
        <v>0</v>
      </c>
      <c r="D75" s="595">
        <v>0</v>
      </c>
      <c r="E75" s="595">
        <v>0</v>
      </c>
      <c r="F75" s="595">
        <f t="shared" si="22"/>
        <v>1.2500000000000001E-2</v>
      </c>
      <c r="G75" s="595">
        <v>0.02</v>
      </c>
      <c r="H75" s="595">
        <v>0</v>
      </c>
      <c r="I75" s="595">
        <v>0</v>
      </c>
      <c r="J75" s="595">
        <v>0</v>
      </c>
      <c r="K75" s="595">
        <v>0</v>
      </c>
      <c r="L75" s="595">
        <v>0</v>
      </c>
      <c r="M75" s="595">
        <v>0</v>
      </c>
      <c r="N75" s="595">
        <v>0</v>
      </c>
      <c r="O75" s="595">
        <v>0</v>
      </c>
      <c r="P75" s="595">
        <v>0</v>
      </c>
      <c r="Q75" s="595">
        <v>0</v>
      </c>
      <c r="R75" s="595">
        <v>0</v>
      </c>
      <c r="S75" s="595">
        <v>0</v>
      </c>
      <c r="T75" s="595">
        <v>0.02</v>
      </c>
      <c r="U75" s="595">
        <v>0</v>
      </c>
      <c r="V75" s="595">
        <v>0</v>
      </c>
      <c r="W75" s="611">
        <v>0</v>
      </c>
      <c r="X75" s="706"/>
      <c r="Y75" s="706"/>
      <c r="Z75" s="706"/>
      <c r="AA75" s="706"/>
      <c r="AB75" s="706"/>
      <c r="AC75" s="706"/>
      <c r="AD75" s="706"/>
      <c r="AE75" s="703">
        <v>0</v>
      </c>
      <c r="AF75" s="704">
        <v>0</v>
      </c>
      <c r="AG75" s="705">
        <v>0</v>
      </c>
      <c r="AH75" s="706">
        <v>0</v>
      </c>
      <c r="AI75" s="705">
        <v>0</v>
      </c>
      <c r="AJ75" s="703">
        <v>0</v>
      </c>
      <c r="AK75" s="705">
        <v>0</v>
      </c>
      <c r="AL75" s="707">
        <v>0</v>
      </c>
      <c r="AM75" s="703">
        <v>0</v>
      </c>
      <c r="AN75" s="703">
        <v>0</v>
      </c>
      <c r="AO75" s="707">
        <v>0</v>
      </c>
      <c r="AP75" s="708">
        <v>0</v>
      </c>
      <c r="AQ75" s="705">
        <f t="shared" si="24"/>
        <v>7.1428571428571426E-3</v>
      </c>
      <c r="AR75" s="703">
        <v>5.0000000000000001E-3</v>
      </c>
      <c r="AS75" s="705">
        <f t="shared" si="23"/>
        <v>1.2500000000000001E-2</v>
      </c>
      <c r="AT75" s="709">
        <v>1E-3</v>
      </c>
      <c r="AU75" s="703">
        <v>0</v>
      </c>
      <c r="AV75" s="705">
        <v>0</v>
      </c>
      <c r="AW75" s="710">
        <v>0</v>
      </c>
      <c r="AX75" s="711">
        <v>0</v>
      </c>
      <c r="AY75" s="710">
        <v>0</v>
      </c>
      <c r="AZ75" s="711">
        <v>0</v>
      </c>
      <c r="BA75" s="710">
        <v>0</v>
      </c>
      <c r="BB75" s="711">
        <v>0</v>
      </c>
      <c r="BC75" s="712">
        <v>0</v>
      </c>
      <c r="BD75" s="713">
        <v>0</v>
      </c>
      <c r="BE75" s="710">
        <v>0</v>
      </c>
      <c r="BF75" s="711">
        <v>0</v>
      </c>
      <c r="BG75" s="712">
        <v>0</v>
      </c>
      <c r="BH75" s="711">
        <v>0</v>
      </c>
      <c r="BI75" s="712">
        <v>0</v>
      </c>
      <c r="BJ75" s="711">
        <v>0</v>
      </c>
      <c r="BK75" s="712">
        <v>0</v>
      </c>
      <c r="BL75" s="711">
        <v>0</v>
      </c>
      <c r="BM75" s="712">
        <v>0</v>
      </c>
      <c r="BN75" s="711">
        <v>0</v>
      </c>
      <c r="BO75" s="712">
        <v>0</v>
      </c>
      <c r="BP75" s="711">
        <v>0</v>
      </c>
      <c r="BQ75" s="712">
        <v>0</v>
      </c>
      <c r="BR75" s="711">
        <v>0</v>
      </c>
      <c r="BS75" s="712">
        <v>0</v>
      </c>
      <c r="BT75" s="711">
        <v>0</v>
      </c>
      <c r="BU75" s="712">
        <v>0</v>
      </c>
      <c r="BV75" s="711">
        <v>0</v>
      </c>
      <c r="BW75" s="712">
        <v>0</v>
      </c>
      <c r="BX75" s="711">
        <v>0</v>
      </c>
      <c r="BY75" s="712">
        <v>0</v>
      </c>
      <c r="BZ75" s="711">
        <v>0</v>
      </c>
      <c r="CA75" s="712">
        <v>0</v>
      </c>
      <c r="CB75" s="711">
        <v>0</v>
      </c>
      <c r="CC75" s="710">
        <v>0</v>
      </c>
      <c r="CD75" s="713">
        <v>0</v>
      </c>
      <c r="CE75" s="710">
        <v>0</v>
      </c>
      <c r="CF75" s="713">
        <v>0</v>
      </c>
      <c r="CG75" s="710">
        <v>0</v>
      </c>
      <c r="CH75" s="713">
        <v>0</v>
      </c>
      <c r="CI75" s="710">
        <v>0</v>
      </c>
      <c r="CJ75" s="713">
        <v>0</v>
      </c>
      <c r="CK75" s="710">
        <v>0</v>
      </c>
      <c r="CL75" s="713">
        <v>0</v>
      </c>
      <c r="CM75" s="710">
        <v>0</v>
      </c>
      <c r="CN75" s="713">
        <v>0</v>
      </c>
      <c r="CO75" s="710">
        <v>0</v>
      </c>
      <c r="CP75" s="713">
        <v>0</v>
      </c>
      <c r="CQ75" s="710">
        <v>0</v>
      </c>
      <c r="CR75" s="711">
        <v>0</v>
      </c>
      <c r="CS75" s="710">
        <v>0</v>
      </c>
      <c r="CT75" s="711">
        <v>0</v>
      </c>
      <c r="CU75" s="712">
        <v>0</v>
      </c>
      <c r="CV75" s="711">
        <v>0</v>
      </c>
    </row>
    <row r="76" spans="1:100">
      <c r="A76" s="467">
        <v>74</v>
      </c>
      <c r="B76" s="595">
        <v>0</v>
      </c>
      <c r="C76" s="595">
        <v>0</v>
      </c>
      <c r="D76" s="595">
        <v>0</v>
      </c>
      <c r="E76" s="595">
        <v>0</v>
      </c>
      <c r="F76" s="595">
        <f t="shared" si="22"/>
        <v>1.2500000000000001E-2</v>
      </c>
      <c r="G76" s="595">
        <v>0.02</v>
      </c>
      <c r="H76" s="595">
        <v>0</v>
      </c>
      <c r="I76" s="595">
        <v>0</v>
      </c>
      <c r="J76" s="595">
        <v>0</v>
      </c>
      <c r="K76" s="595">
        <v>0</v>
      </c>
      <c r="L76" s="595">
        <v>0</v>
      </c>
      <c r="M76" s="595">
        <v>0</v>
      </c>
      <c r="N76" s="595">
        <v>0</v>
      </c>
      <c r="O76" s="595">
        <v>0</v>
      </c>
      <c r="P76" s="595">
        <v>0</v>
      </c>
      <c r="Q76" s="595">
        <v>0</v>
      </c>
      <c r="R76" s="595">
        <v>0</v>
      </c>
      <c r="S76" s="595">
        <v>0</v>
      </c>
      <c r="T76" s="595">
        <v>0.02</v>
      </c>
      <c r="U76" s="595">
        <v>0</v>
      </c>
      <c r="V76" s="595">
        <v>0</v>
      </c>
      <c r="W76" s="611">
        <v>0</v>
      </c>
      <c r="X76" s="706"/>
      <c r="Y76" s="706"/>
      <c r="Z76" s="706"/>
      <c r="AA76" s="706"/>
      <c r="AB76" s="706"/>
      <c r="AC76" s="706"/>
      <c r="AD76" s="706"/>
      <c r="AE76" s="703">
        <v>0</v>
      </c>
      <c r="AF76" s="704">
        <v>0</v>
      </c>
      <c r="AG76" s="705">
        <v>0</v>
      </c>
      <c r="AH76" s="706">
        <v>0</v>
      </c>
      <c r="AI76" s="705">
        <v>0</v>
      </c>
      <c r="AJ76" s="703">
        <v>0</v>
      </c>
      <c r="AK76" s="705">
        <v>0</v>
      </c>
      <c r="AL76" s="707">
        <v>0</v>
      </c>
      <c r="AM76" s="703">
        <v>0</v>
      </c>
      <c r="AN76" s="703">
        <v>0</v>
      </c>
      <c r="AO76" s="707">
        <v>0</v>
      </c>
      <c r="AP76" s="708">
        <v>0</v>
      </c>
      <c r="AQ76" s="705">
        <f t="shared" si="24"/>
        <v>7.1428571428571426E-3</v>
      </c>
      <c r="AR76" s="703">
        <v>5.0000000000000001E-3</v>
      </c>
      <c r="AS76" s="705">
        <f t="shared" si="23"/>
        <v>1.2500000000000001E-2</v>
      </c>
      <c r="AT76" s="709">
        <v>1E-3</v>
      </c>
      <c r="AU76" s="703">
        <v>0</v>
      </c>
      <c r="AV76" s="705">
        <v>0</v>
      </c>
      <c r="AW76" s="710">
        <v>0</v>
      </c>
      <c r="AX76" s="711">
        <v>0</v>
      </c>
      <c r="AY76" s="710">
        <v>0</v>
      </c>
      <c r="AZ76" s="711">
        <v>0</v>
      </c>
      <c r="BA76" s="710">
        <v>0</v>
      </c>
      <c r="BB76" s="711">
        <v>0</v>
      </c>
      <c r="BC76" s="712">
        <v>0</v>
      </c>
      <c r="BD76" s="713">
        <v>0</v>
      </c>
      <c r="BE76" s="710">
        <v>0</v>
      </c>
      <c r="BF76" s="711">
        <v>0</v>
      </c>
      <c r="BG76" s="712">
        <v>0</v>
      </c>
      <c r="BH76" s="711">
        <v>0</v>
      </c>
      <c r="BI76" s="712">
        <v>0</v>
      </c>
      <c r="BJ76" s="711">
        <v>0</v>
      </c>
      <c r="BK76" s="712">
        <v>0</v>
      </c>
      <c r="BL76" s="711">
        <v>0</v>
      </c>
      <c r="BM76" s="712">
        <v>0</v>
      </c>
      <c r="BN76" s="711">
        <v>0</v>
      </c>
      <c r="BO76" s="712">
        <v>0</v>
      </c>
      <c r="BP76" s="711">
        <v>0</v>
      </c>
      <c r="BQ76" s="712">
        <v>0</v>
      </c>
      <c r="BR76" s="711">
        <v>0</v>
      </c>
      <c r="BS76" s="712">
        <v>0</v>
      </c>
      <c r="BT76" s="711">
        <v>0</v>
      </c>
      <c r="BU76" s="712">
        <v>0</v>
      </c>
      <c r="BV76" s="711">
        <v>0</v>
      </c>
      <c r="BW76" s="712">
        <v>0</v>
      </c>
      <c r="BX76" s="711">
        <v>0</v>
      </c>
      <c r="BY76" s="712">
        <v>0</v>
      </c>
      <c r="BZ76" s="711">
        <v>0</v>
      </c>
      <c r="CA76" s="712">
        <v>0</v>
      </c>
      <c r="CB76" s="711">
        <v>0</v>
      </c>
      <c r="CC76" s="710">
        <v>0</v>
      </c>
      <c r="CD76" s="713">
        <v>0</v>
      </c>
      <c r="CE76" s="710">
        <v>0</v>
      </c>
      <c r="CF76" s="713">
        <v>0</v>
      </c>
      <c r="CG76" s="710">
        <v>0</v>
      </c>
      <c r="CH76" s="713">
        <v>0</v>
      </c>
      <c r="CI76" s="710">
        <v>0</v>
      </c>
      <c r="CJ76" s="713">
        <v>0</v>
      </c>
      <c r="CK76" s="710">
        <v>0</v>
      </c>
      <c r="CL76" s="713">
        <v>0</v>
      </c>
      <c r="CM76" s="710">
        <v>0</v>
      </c>
      <c r="CN76" s="713">
        <v>0</v>
      </c>
      <c r="CO76" s="710">
        <v>0</v>
      </c>
      <c r="CP76" s="713">
        <v>0</v>
      </c>
      <c r="CQ76" s="710">
        <v>0</v>
      </c>
      <c r="CR76" s="711">
        <v>0</v>
      </c>
      <c r="CS76" s="710">
        <v>0</v>
      </c>
      <c r="CT76" s="711">
        <v>0</v>
      </c>
      <c r="CU76" s="712">
        <v>0</v>
      </c>
      <c r="CV76" s="711">
        <v>0</v>
      </c>
    </row>
    <row r="77" spans="1:100">
      <c r="A77" s="467">
        <v>75</v>
      </c>
      <c r="B77" s="595">
        <v>0</v>
      </c>
      <c r="C77" s="595">
        <v>0</v>
      </c>
      <c r="D77" s="595">
        <v>0</v>
      </c>
      <c r="E77" s="595">
        <v>0</v>
      </c>
      <c r="F77" s="595">
        <f t="shared" si="22"/>
        <v>1.2500000000000001E-2</v>
      </c>
      <c r="G77" s="595">
        <v>0.02</v>
      </c>
      <c r="H77" s="595">
        <v>0</v>
      </c>
      <c r="I77" s="595">
        <v>0</v>
      </c>
      <c r="J77" s="595">
        <v>0</v>
      </c>
      <c r="K77" s="595">
        <v>0</v>
      </c>
      <c r="L77" s="595">
        <v>0</v>
      </c>
      <c r="M77" s="595">
        <v>0</v>
      </c>
      <c r="N77" s="595">
        <v>0</v>
      </c>
      <c r="O77" s="595">
        <v>0</v>
      </c>
      <c r="P77" s="595">
        <v>0</v>
      </c>
      <c r="Q77" s="595">
        <v>0</v>
      </c>
      <c r="R77" s="595">
        <v>0</v>
      </c>
      <c r="S77" s="595">
        <v>0</v>
      </c>
      <c r="T77" s="595">
        <v>0.02</v>
      </c>
      <c r="U77" s="595">
        <v>0</v>
      </c>
      <c r="V77" s="595">
        <v>0</v>
      </c>
      <c r="W77" s="611">
        <v>0</v>
      </c>
      <c r="X77" s="706"/>
      <c r="Y77" s="706"/>
      <c r="Z77" s="706"/>
      <c r="AA77" s="706"/>
      <c r="AB77" s="706"/>
      <c r="AC77" s="706"/>
      <c r="AD77" s="706"/>
      <c r="AE77" s="703">
        <v>0</v>
      </c>
      <c r="AF77" s="704">
        <v>0</v>
      </c>
      <c r="AG77" s="705">
        <v>0</v>
      </c>
      <c r="AH77" s="706">
        <v>0</v>
      </c>
      <c r="AI77" s="705">
        <v>0</v>
      </c>
      <c r="AJ77" s="703">
        <v>0</v>
      </c>
      <c r="AK77" s="705">
        <v>0</v>
      </c>
      <c r="AL77" s="707">
        <v>0</v>
      </c>
      <c r="AM77" s="703">
        <v>0</v>
      </c>
      <c r="AN77" s="703">
        <v>0</v>
      </c>
      <c r="AO77" s="707">
        <v>0</v>
      </c>
      <c r="AP77" s="708">
        <v>0</v>
      </c>
      <c r="AQ77" s="705">
        <f t="shared" si="24"/>
        <v>7.1428571428571426E-3</v>
      </c>
      <c r="AR77" s="703">
        <v>5.0000000000000001E-3</v>
      </c>
      <c r="AS77" s="705">
        <f t="shared" si="23"/>
        <v>1.2500000000000001E-2</v>
      </c>
      <c r="AT77" s="709">
        <v>1E-3</v>
      </c>
      <c r="AU77" s="703">
        <v>0</v>
      </c>
      <c r="AV77" s="705">
        <v>0</v>
      </c>
      <c r="AW77" s="710">
        <v>0</v>
      </c>
      <c r="AX77" s="711">
        <v>0</v>
      </c>
      <c r="AY77" s="710">
        <v>0</v>
      </c>
      <c r="AZ77" s="711">
        <v>0</v>
      </c>
      <c r="BA77" s="710">
        <v>0</v>
      </c>
      <c r="BB77" s="711">
        <v>0</v>
      </c>
      <c r="BC77" s="712">
        <v>0</v>
      </c>
      <c r="BD77" s="713">
        <v>0</v>
      </c>
      <c r="BE77" s="710">
        <v>0</v>
      </c>
      <c r="BF77" s="711">
        <v>0</v>
      </c>
      <c r="BG77" s="712">
        <v>0</v>
      </c>
      <c r="BH77" s="711">
        <v>0</v>
      </c>
      <c r="BI77" s="712">
        <v>0</v>
      </c>
      <c r="BJ77" s="711">
        <v>0</v>
      </c>
      <c r="BK77" s="712">
        <v>0</v>
      </c>
      <c r="BL77" s="711">
        <v>0</v>
      </c>
      <c r="BM77" s="712">
        <v>0</v>
      </c>
      <c r="BN77" s="711">
        <v>0</v>
      </c>
      <c r="BO77" s="712">
        <v>0</v>
      </c>
      <c r="BP77" s="711">
        <v>0</v>
      </c>
      <c r="BQ77" s="712">
        <v>0</v>
      </c>
      <c r="BR77" s="711">
        <v>0</v>
      </c>
      <c r="BS77" s="712">
        <v>0</v>
      </c>
      <c r="BT77" s="711">
        <v>0</v>
      </c>
      <c r="BU77" s="712">
        <v>0</v>
      </c>
      <c r="BV77" s="711">
        <v>0</v>
      </c>
      <c r="BW77" s="712">
        <v>0</v>
      </c>
      <c r="BX77" s="711">
        <v>0</v>
      </c>
      <c r="BY77" s="712">
        <v>0</v>
      </c>
      <c r="BZ77" s="711">
        <v>0</v>
      </c>
      <c r="CA77" s="712">
        <v>0</v>
      </c>
      <c r="CB77" s="711">
        <v>0</v>
      </c>
      <c r="CC77" s="710">
        <v>0</v>
      </c>
      <c r="CD77" s="713">
        <v>0</v>
      </c>
      <c r="CE77" s="710">
        <v>0</v>
      </c>
      <c r="CF77" s="713">
        <v>0</v>
      </c>
      <c r="CG77" s="710">
        <v>0</v>
      </c>
      <c r="CH77" s="713">
        <v>0</v>
      </c>
      <c r="CI77" s="710">
        <v>0</v>
      </c>
      <c r="CJ77" s="713">
        <v>0</v>
      </c>
      <c r="CK77" s="710">
        <v>0</v>
      </c>
      <c r="CL77" s="713">
        <v>0</v>
      </c>
      <c r="CM77" s="710">
        <v>0</v>
      </c>
      <c r="CN77" s="713">
        <v>0</v>
      </c>
      <c r="CO77" s="710">
        <v>0</v>
      </c>
      <c r="CP77" s="713">
        <v>0</v>
      </c>
      <c r="CQ77" s="710">
        <v>0</v>
      </c>
      <c r="CR77" s="711">
        <v>0</v>
      </c>
      <c r="CS77" s="710">
        <v>0</v>
      </c>
      <c r="CT77" s="711">
        <v>0</v>
      </c>
      <c r="CU77" s="712">
        <v>0</v>
      </c>
      <c r="CV77" s="711">
        <v>0</v>
      </c>
    </row>
    <row r="78" spans="1:100">
      <c r="A78" s="467">
        <v>76</v>
      </c>
      <c r="B78" s="595">
        <v>0</v>
      </c>
      <c r="C78" s="595">
        <v>0</v>
      </c>
      <c r="D78" s="595">
        <v>0</v>
      </c>
      <c r="E78" s="595">
        <v>0</v>
      </c>
      <c r="F78" s="595">
        <f t="shared" si="22"/>
        <v>1.2500000000000001E-2</v>
      </c>
      <c r="G78" s="595">
        <v>0.02</v>
      </c>
      <c r="H78" s="595">
        <v>0</v>
      </c>
      <c r="I78" s="595">
        <v>0</v>
      </c>
      <c r="J78" s="595">
        <v>0</v>
      </c>
      <c r="K78" s="595">
        <v>0</v>
      </c>
      <c r="L78" s="595">
        <v>0</v>
      </c>
      <c r="M78" s="595">
        <v>0</v>
      </c>
      <c r="N78" s="595">
        <v>0</v>
      </c>
      <c r="O78" s="595">
        <v>0</v>
      </c>
      <c r="P78" s="595">
        <v>0</v>
      </c>
      <c r="Q78" s="595">
        <v>0</v>
      </c>
      <c r="R78" s="595">
        <v>0</v>
      </c>
      <c r="S78" s="595">
        <v>0</v>
      </c>
      <c r="T78" s="595">
        <v>0.02</v>
      </c>
      <c r="U78" s="595">
        <v>0</v>
      </c>
      <c r="V78" s="595">
        <v>0</v>
      </c>
      <c r="W78" s="611">
        <v>0</v>
      </c>
      <c r="X78" s="706"/>
      <c r="Y78" s="706"/>
      <c r="Z78" s="706"/>
      <c r="AA78" s="706"/>
      <c r="AB78" s="706"/>
      <c r="AC78" s="706"/>
      <c r="AD78" s="706"/>
      <c r="AE78" s="703">
        <v>0</v>
      </c>
      <c r="AF78" s="704">
        <v>0</v>
      </c>
      <c r="AG78" s="705">
        <v>0</v>
      </c>
      <c r="AH78" s="706">
        <v>0</v>
      </c>
      <c r="AI78" s="705">
        <v>0</v>
      </c>
      <c r="AJ78" s="703">
        <v>0</v>
      </c>
      <c r="AK78" s="705">
        <v>0</v>
      </c>
      <c r="AL78" s="707">
        <v>0</v>
      </c>
      <c r="AM78" s="703">
        <v>0</v>
      </c>
      <c r="AN78" s="703">
        <v>0</v>
      </c>
      <c r="AO78" s="707">
        <v>0</v>
      </c>
      <c r="AP78" s="708">
        <v>0</v>
      </c>
      <c r="AQ78" s="705">
        <f t="shared" si="24"/>
        <v>7.1428571428571426E-3</v>
      </c>
      <c r="AR78" s="703">
        <v>5.0000000000000001E-3</v>
      </c>
      <c r="AS78" s="705">
        <f t="shared" si="23"/>
        <v>1.2500000000000001E-2</v>
      </c>
      <c r="AT78" s="709">
        <v>1E-3</v>
      </c>
      <c r="AU78" s="703">
        <v>0</v>
      </c>
      <c r="AV78" s="705">
        <v>0</v>
      </c>
      <c r="AW78" s="710">
        <v>0</v>
      </c>
      <c r="AX78" s="711">
        <v>0</v>
      </c>
      <c r="AY78" s="710">
        <v>0</v>
      </c>
      <c r="AZ78" s="711">
        <v>0</v>
      </c>
      <c r="BA78" s="710">
        <v>0</v>
      </c>
      <c r="BB78" s="711">
        <v>0</v>
      </c>
      <c r="BC78" s="712">
        <v>0</v>
      </c>
      <c r="BD78" s="713">
        <v>0</v>
      </c>
      <c r="BE78" s="710">
        <v>0</v>
      </c>
      <c r="BF78" s="711">
        <v>0</v>
      </c>
      <c r="BG78" s="712">
        <v>0</v>
      </c>
      <c r="BH78" s="711">
        <v>0</v>
      </c>
      <c r="BI78" s="712">
        <v>0</v>
      </c>
      <c r="BJ78" s="711">
        <v>0</v>
      </c>
      <c r="BK78" s="712">
        <v>0</v>
      </c>
      <c r="BL78" s="711">
        <v>0</v>
      </c>
      <c r="BM78" s="712">
        <v>0</v>
      </c>
      <c r="BN78" s="711">
        <v>0</v>
      </c>
      <c r="BO78" s="712">
        <v>0</v>
      </c>
      <c r="BP78" s="711">
        <v>0</v>
      </c>
      <c r="BQ78" s="712">
        <v>0</v>
      </c>
      <c r="BR78" s="711">
        <v>0</v>
      </c>
      <c r="BS78" s="712">
        <v>0</v>
      </c>
      <c r="BT78" s="711">
        <v>0</v>
      </c>
      <c r="BU78" s="712">
        <v>0</v>
      </c>
      <c r="BV78" s="711">
        <v>0</v>
      </c>
      <c r="BW78" s="712">
        <v>0</v>
      </c>
      <c r="BX78" s="711">
        <v>0</v>
      </c>
      <c r="BY78" s="712">
        <v>0</v>
      </c>
      <c r="BZ78" s="711">
        <v>0</v>
      </c>
      <c r="CA78" s="712">
        <v>0</v>
      </c>
      <c r="CB78" s="711">
        <v>0</v>
      </c>
      <c r="CC78" s="710">
        <v>0</v>
      </c>
      <c r="CD78" s="713">
        <v>0</v>
      </c>
      <c r="CE78" s="710">
        <v>0</v>
      </c>
      <c r="CF78" s="713">
        <v>0</v>
      </c>
      <c r="CG78" s="710">
        <v>0</v>
      </c>
      <c r="CH78" s="713">
        <v>0</v>
      </c>
      <c r="CI78" s="710">
        <v>0</v>
      </c>
      <c r="CJ78" s="713">
        <v>0</v>
      </c>
      <c r="CK78" s="710">
        <v>0</v>
      </c>
      <c r="CL78" s="713">
        <v>0</v>
      </c>
      <c r="CM78" s="710">
        <v>0</v>
      </c>
      <c r="CN78" s="713">
        <v>0</v>
      </c>
      <c r="CO78" s="710">
        <v>0</v>
      </c>
      <c r="CP78" s="713">
        <v>0</v>
      </c>
      <c r="CQ78" s="710">
        <v>0</v>
      </c>
      <c r="CR78" s="711">
        <v>0</v>
      </c>
      <c r="CS78" s="710">
        <v>0</v>
      </c>
      <c r="CT78" s="711">
        <v>0</v>
      </c>
      <c r="CU78" s="712">
        <v>0</v>
      </c>
      <c r="CV78" s="711">
        <v>0</v>
      </c>
    </row>
    <row r="79" spans="1:100">
      <c r="A79" s="467">
        <v>77</v>
      </c>
      <c r="B79" s="595">
        <v>0</v>
      </c>
      <c r="C79" s="595">
        <v>0</v>
      </c>
      <c r="D79" s="595">
        <v>0</v>
      </c>
      <c r="E79" s="595">
        <v>0</v>
      </c>
      <c r="F79" s="595">
        <f t="shared" si="22"/>
        <v>1.2500000000000001E-2</v>
      </c>
      <c r="G79" s="595">
        <v>0.02</v>
      </c>
      <c r="H79" s="595">
        <v>0</v>
      </c>
      <c r="I79" s="595">
        <v>0</v>
      </c>
      <c r="J79" s="595">
        <v>0</v>
      </c>
      <c r="K79" s="595">
        <v>0</v>
      </c>
      <c r="L79" s="595">
        <v>0</v>
      </c>
      <c r="M79" s="595">
        <v>0</v>
      </c>
      <c r="N79" s="595">
        <v>0</v>
      </c>
      <c r="O79" s="595">
        <v>0</v>
      </c>
      <c r="P79" s="595">
        <v>0</v>
      </c>
      <c r="Q79" s="595">
        <v>0</v>
      </c>
      <c r="R79" s="595">
        <v>0</v>
      </c>
      <c r="S79" s="595">
        <v>0</v>
      </c>
      <c r="T79" s="595">
        <v>0.02</v>
      </c>
      <c r="U79" s="595">
        <v>0</v>
      </c>
      <c r="V79" s="595">
        <v>0</v>
      </c>
      <c r="W79" s="611">
        <v>0</v>
      </c>
      <c r="X79" s="706"/>
      <c r="Y79" s="706"/>
      <c r="Z79" s="706"/>
      <c r="AA79" s="706"/>
      <c r="AB79" s="706"/>
      <c r="AC79" s="706"/>
      <c r="AD79" s="706"/>
      <c r="AE79" s="703">
        <v>0</v>
      </c>
      <c r="AF79" s="704">
        <v>0</v>
      </c>
      <c r="AG79" s="705">
        <v>0</v>
      </c>
      <c r="AH79" s="706">
        <v>0</v>
      </c>
      <c r="AI79" s="705">
        <v>0</v>
      </c>
      <c r="AJ79" s="703">
        <v>0</v>
      </c>
      <c r="AK79" s="705">
        <v>0</v>
      </c>
      <c r="AL79" s="707">
        <v>0</v>
      </c>
      <c r="AM79" s="703">
        <v>0</v>
      </c>
      <c r="AN79" s="703">
        <v>0</v>
      </c>
      <c r="AO79" s="707">
        <v>0</v>
      </c>
      <c r="AP79" s="708">
        <v>0</v>
      </c>
      <c r="AQ79" s="705">
        <f t="shared" si="24"/>
        <v>7.1428571428571426E-3</v>
      </c>
      <c r="AR79" s="703">
        <v>5.0000000000000001E-3</v>
      </c>
      <c r="AS79" s="705">
        <f t="shared" si="23"/>
        <v>1.2500000000000001E-2</v>
      </c>
      <c r="AT79" s="709">
        <v>1E-3</v>
      </c>
      <c r="AU79" s="703">
        <v>0</v>
      </c>
      <c r="AV79" s="705">
        <v>0</v>
      </c>
      <c r="AW79" s="710">
        <v>0</v>
      </c>
      <c r="AX79" s="711">
        <v>0</v>
      </c>
      <c r="AY79" s="710">
        <v>0</v>
      </c>
      <c r="AZ79" s="711">
        <v>0</v>
      </c>
      <c r="BA79" s="710">
        <v>0</v>
      </c>
      <c r="BB79" s="711">
        <v>0</v>
      </c>
      <c r="BC79" s="712">
        <v>0</v>
      </c>
      <c r="BD79" s="713">
        <v>0</v>
      </c>
      <c r="BE79" s="710">
        <v>0</v>
      </c>
      <c r="BF79" s="711">
        <v>0</v>
      </c>
      <c r="BG79" s="712">
        <v>0</v>
      </c>
      <c r="BH79" s="711">
        <v>0</v>
      </c>
      <c r="BI79" s="712">
        <v>0</v>
      </c>
      <c r="BJ79" s="711">
        <v>0</v>
      </c>
      <c r="BK79" s="712">
        <v>0</v>
      </c>
      <c r="BL79" s="711">
        <v>0</v>
      </c>
      <c r="BM79" s="712">
        <v>0</v>
      </c>
      <c r="BN79" s="711">
        <v>0</v>
      </c>
      <c r="BO79" s="712">
        <v>0</v>
      </c>
      <c r="BP79" s="711">
        <v>0</v>
      </c>
      <c r="BQ79" s="712">
        <v>0</v>
      </c>
      <c r="BR79" s="711">
        <v>0</v>
      </c>
      <c r="BS79" s="712">
        <v>0</v>
      </c>
      <c r="BT79" s="711">
        <v>0</v>
      </c>
      <c r="BU79" s="712">
        <v>0</v>
      </c>
      <c r="BV79" s="711">
        <v>0</v>
      </c>
      <c r="BW79" s="712">
        <v>0</v>
      </c>
      <c r="BX79" s="711">
        <v>0</v>
      </c>
      <c r="BY79" s="712">
        <v>0</v>
      </c>
      <c r="BZ79" s="711">
        <v>0</v>
      </c>
      <c r="CA79" s="712">
        <v>0</v>
      </c>
      <c r="CB79" s="711">
        <v>0</v>
      </c>
      <c r="CC79" s="710">
        <v>0</v>
      </c>
      <c r="CD79" s="713">
        <v>0</v>
      </c>
      <c r="CE79" s="710">
        <v>0</v>
      </c>
      <c r="CF79" s="713">
        <v>0</v>
      </c>
      <c r="CG79" s="710">
        <v>0</v>
      </c>
      <c r="CH79" s="713">
        <v>0</v>
      </c>
      <c r="CI79" s="710">
        <v>0</v>
      </c>
      <c r="CJ79" s="713">
        <v>0</v>
      </c>
      <c r="CK79" s="710">
        <v>0</v>
      </c>
      <c r="CL79" s="713">
        <v>0</v>
      </c>
      <c r="CM79" s="710">
        <v>0</v>
      </c>
      <c r="CN79" s="713">
        <v>0</v>
      </c>
      <c r="CO79" s="710">
        <v>0</v>
      </c>
      <c r="CP79" s="713">
        <v>0</v>
      </c>
      <c r="CQ79" s="710">
        <v>0</v>
      </c>
      <c r="CR79" s="711">
        <v>0</v>
      </c>
      <c r="CS79" s="710">
        <v>0</v>
      </c>
      <c r="CT79" s="711">
        <v>0</v>
      </c>
      <c r="CU79" s="712">
        <v>0</v>
      </c>
      <c r="CV79" s="711">
        <v>0</v>
      </c>
    </row>
    <row r="80" spans="1:100">
      <c r="A80" s="467">
        <v>78</v>
      </c>
      <c r="B80" s="595">
        <v>0</v>
      </c>
      <c r="C80" s="595">
        <v>0</v>
      </c>
      <c r="D80" s="595">
        <v>0</v>
      </c>
      <c r="E80" s="595">
        <v>0</v>
      </c>
      <c r="F80" s="595">
        <f t="shared" si="22"/>
        <v>1.2500000000000001E-2</v>
      </c>
      <c r="G80" s="595">
        <v>0.02</v>
      </c>
      <c r="H80" s="595">
        <v>0</v>
      </c>
      <c r="I80" s="595">
        <v>0</v>
      </c>
      <c r="J80" s="595">
        <v>0</v>
      </c>
      <c r="K80" s="595">
        <v>0</v>
      </c>
      <c r="L80" s="595">
        <v>0</v>
      </c>
      <c r="M80" s="595">
        <v>0</v>
      </c>
      <c r="N80" s="595">
        <v>0</v>
      </c>
      <c r="O80" s="595">
        <v>0</v>
      </c>
      <c r="P80" s="595">
        <v>0</v>
      </c>
      <c r="Q80" s="595">
        <v>0</v>
      </c>
      <c r="R80" s="595">
        <v>0</v>
      </c>
      <c r="S80" s="595">
        <v>0</v>
      </c>
      <c r="T80" s="595">
        <v>0.02</v>
      </c>
      <c r="U80" s="595">
        <v>0</v>
      </c>
      <c r="V80" s="595">
        <v>0</v>
      </c>
      <c r="W80" s="611">
        <v>0</v>
      </c>
      <c r="X80" s="706"/>
      <c r="Y80" s="706"/>
      <c r="Z80" s="706"/>
      <c r="AA80" s="706"/>
      <c r="AB80" s="706"/>
      <c r="AC80" s="706"/>
      <c r="AD80" s="706"/>
      <c r="AE80" s="703">
        <v>0</v>
      </c>
      <c r="AF80" s="704">
        <v>0</v>
      </c>
      <c r="AG80" s="705">
        <v>0</v>
      </c>
      <c r="AH80" s="706">
        <v>0</v>
      </c>
      <c r="AI80" s="705">
        <v>0</v>
      </c>
      <c r="AJ80" s="703">
        <v>0</v>
      </c>
      <c r="AK80" s="705">
        <v>0</v>
      </c>
      <c r="AL80" s="707">
        <v>0</v>
      </c>
      <c r="AM80" s="703">
        <v>0</v>
      </c>
      <c r="AN80" s="703">
        <v>0</v>
      </c>
      <c r="AO80" s="707">
        <v>0</v>
      </c>
      <c r="AP80" s="708">
        <v>0</v>
      </c>
      <c r="AQ80" s="705">
        <f t="shared" si="24"/>
        <v>7.1428571428571426E-3</v>
      </c>
      <c r="AR80" s="703">
        <v>5.0000000000000001E-3</v>
      </c>
      <c r="AS80" s="705">
        <f t="shared" si="23"/>
        <v>1.2500000000000001E-2</v>
      </c>
      <c r="AT80" s="709">
        <v>1E-3</v>
      </c>
      <c r="AU80" s="703">
        <v>0</v>
      </c>
      <c r="AV80" s="705">
        <v>0</v>
      </c>
      <c r="AW80" s="710">
        <v>0</v>
      </c>
      <c r="AX80" s="711">
        <v>0</v>
      </c>
      <c r="AY80" s="710">
        <v>0</v>
      </c>
      <c r="AZ80" s="711">
        <v>0</v>
      </c>
      <c r="BA80" s="710">
        <v>0</v>
      </c>
      <c r="BB80" s="711">
        <v>0</v>
      </c>
      <c r="BC80" s="712">
        <v>0</v>
      </c>
      <c r="BD80" s="713">
        <v>0</v>
      </c>
      <c r="BE80" s="710">
        <v>0</v>
      </c>
      <c r="BF80" s="711">
        <v>0</v>
      </c>
      <c r="BG80" s="712">
        <v>0</v>
      </c>
      <c r="BH80" s="711">
        <v>0</v>
      </c>
      <c r="BI80" s="712">
        <v>0</v>
      </c>
      <c r="BJ80" s="711">
        <v>0</v>
      </c>
      <c r="BK80" s="712">
        <v>0</v>
      </c>
      <c r="BL80" s="711">
        <v>0</v>
      </c>
      <c r="BM80" s="712">
        <v>0</v>
      </c>
      <c r="BN80" s="711">
        <v>0</v>
      </c>
      <c r="BO80" s="712">
        <v>0</v>
      </c>
      <c r="BP80" s="711">
        <v>0</v>
      </c>
      <c r="BQ80" s="712">
        <v>0</v>
      </c>
      <c r="BR80" s="711">
        <v>0</v>
      </c>
      <c r="BS80" s="712">
        <v>0</v>
      </c>
      <c r="BT80" s="711">
        <v>0</v>
      </c>
      <c r="BU80" s="712">
        <v>0</v>
      </c>
      <c r="BV80" s="711">
        <v>0</v>
      </c>
      <c r="BW80" s="712">
        <v>0</v>
      </c>
      <c r="BX80" s="711">
        <v>0</v>
      </c>
      <c r="BY80" s="712">
        <v>0</v>
      </c>
      <c r="BZ80" s="711">
        <v>0</v>
      </c>
      <c r="CA80" s="712">
        <v>0</v>
      </c>
      <c r="CB80" s="711">
        <v>0</v>
      </c>
      <c r="CC80" s="710">
        <v>0</v>
      </c>
      <c r="CD80" s="713">
        <v>0</v>
      </c>
      <c r="CE80" s="710">
        <v>0</v>
      </c>
      <c r="CF80" s="713">
        <v>0</v>
      </c>
      <c r="CG80" s="710">
        <v>0</v>
      </c>
      <c r="CH80" s="713">
        <v>0</v>
      </c>
      <c r="CI80" s="710">
        <v>0</v>
      </c>
      <c r="CJ80" s="713">
        <v>0</v>
      </c>
      <c r="CK80" s="710">
        <v>0</v>
      </c>
      <c r="CL80" s="713">
        <v>0</v>
      </c>
      <c r="CM80" s="710">
        <v>0</v>
      </c>
      <c r="CN80" s="713">
        <v>0</v>
      </c>
      <c r="CO80" s="710">
        <v>0</v>
      </c>
      <c r="CP80" s="713">
        <v>0</v>
      </c>
      <c r="CQ80" s="710">
        <v>0</v>
      </c>
      <c r="CR80" s="711">
        <v>0</v>
      </c>
      <c r="CS80" s="710">
        <v>0</v>
      </c>
      <c r="CT80" s="711">
        <v>0</v>
      </c>
      <c r="CU80" s="712">
        <v>0</v>
      </c>
      <c r="CV80" s="711">
        <v>0</v>
      </c>
    </row>
    <row r="81" spans="1:100">
      <c r="A81" s="467">
        <v>79</v>
      </c>
      <c r="B81" s="595">
        <v>0</v>
      </c>
      <c r="C81" s="595">
        <v>0</v>
      </c>
      <c r="D81" s="595">
        <v>0</v>
      </c>
      <c r="E81" s="595">
        <v>0</v>
      </c>
      <c r="F81" s="595">
        <f t="shared" si="22"/>
        <v>1.2500000000000001E-2</v>
      </c>
      <c r="G81" s="595">
        <v>0.02</v>
      </c>
      <c r="H81" s="595">
        <v>0</v>
      </c>
      <c r="I81" s="595">
        <v>0</v>
      </c>
      <c r="J81" s="595">
        <v>0</v>
      </c>
      <c r="K81" s="595">
        <v>0</v>
      </c>
      <c r="L81" s="595">
        <v>0</v>
      </c>
      <c r="M81" s="595">
        <v>0</v>
      </c>
      <c r="N81" s="595">
        <v>0</v>
      </c>
      <c r="O81" s="595">
        <v>0</v>
      </c>
      <c r="P81" s="595">
        <v>0</v>
      </c>
      <c r="Q81" s="595">
        <v>0</v>
      </c>
      <c r="R81" s="595">
        <v>0</v>
      </c>
      <c r="S81" s="595">
        <v>0</v>
      </c>
      <c r="T81" s="595">
        <v>0.02</v>
      </c>
      <c r="U81" s="595">
        <v>0</v>
      </c>
      <c r="V81" s="595">
        <v>0</v>
      </c>
      <c r="W81" s="611">
        <v>0</v>
      </c>
      <c r="X81" s="706"/>
      <c r="Y81" s="706"/>
      <c r="Z81" s="706"/>
      <c r="AA81" s="706"/>
      <c r="AB81" s="706"/>
      <c r="AC81" s="706"/>
      <c r="AD81" s="706"/>
      <c r="AE81" s="703">
        <v>0</v>
      </c>
      <c r="AF81" s="704">
        <v>0</v>
      </c>
      <c r="AG81" s="705">
        <v>0</v>
      </c>
      <c r="AH81" s="706">
        <v>0</v>
      </c>
      <c r="AI81" s="705">
        <v>0</v>
      </c>
      <c r="AJ81" s="703">
        <v>0</v>
      </c>
      <c r="AK81" s="705">
        <v>0</v>
      </c>
      <c r="AL81" s="707">
        <v>0</v>
      </c>
      <c r="AM81" s="703">
        <v>0</v>
      </c>
      <c r="AN81" s="703">
        <v>0</v>
      </c>
      <c r="AO81" s="707">
        <v>0</v>
      </c>
      <c r="AP81" s="708">
        <v>0</v>
      </c>
      <c r="AQ81" s="705">
        <f t="shared" si="24"/>
        <v>7.1428571428571426E-3</v>
      </c>
      <c r="AR81" s="703">
        <v>8.3333199999957586E-4</v>
      </c>
      <c r="AS81" s="705">
        <f t="shared" si="23"/>
        <v>1.2500000000000001E-2</v>
      </c>
      <c r="AT81" s="709">
        <v>1E-3</v>
      </c>
      <c r="AU81" s="703">
        <v>0</v>
      </c>
      <c r="AV81" s="705">
        <v>0</v>
      </c>
      <c r="AW81" s="710">
        <v>0</v>
      </c>
      <c r="AX81" s="711">
        <v>0</v>
      </c>
      <c r="AY81" s="710">
        <v>0</v>
      </c>
      <c r="AZ81" s="711">
        <v>0</v>
      </c>
      <c r="BA81" s="710">
        <v>0</v>
      </c>
      <c r="BB81" s="711">
        <v>0</v>
      </c>
      <c r="BC81" s="712">
        <v>0</v>
      </c>
      <c r="BD81" s="713">
        <v>0</v>
      </c>
      <c r="BE81" s="710">
        <v>0</v>
      </c>
      <c r="BF81" s="711">
        <v>0</v>
      </c>
      <c r="BG81" s="712">
        <v>0</v>
      </c>
      <c r="BH81" s="711">
        <v>0</v>
      </c>
      <c r="BI81" s="712">
        <v>0</v>
      </c>
      <c r="BJ81" s="711">
        <v>0</v>
      </c>
      <c r="BK81" s="712">
        <v>0</v>
      </c>
      <c r="BL81" s="711">
        <v>0</v>
      </c>
      <c r="BM81" s="712">
        <v>0</v>
      </c>
      <c r="BN81" s="711">
        <v>0</v>
      </c>
      <c r="BO81" s="712">
        <v>0</v>
      </c>
      <c r="BP81" s="711">
        <v>0</v>
      </c>
      <c r="BQ81" s="712">
        <v>0</v>
      </c>
      <c r="BR81" s="711">
        <v>0</v>
      </c>
      <c r="BS81" s="712">
        <v>0</v>
      </c>
      <c r="BT81" s="711">
        <v>0</v>
      </c>
      <c r="BU81" s="712">
        <v>0</v>
      </c>
      <c r="BV81" s="711">
        <v>0</v>
      </c>
      <c r="BW81" s="712">
        <v>0</v>
      </c>
      <c r="BX81" s="711">
        <v>0</v>
      </c>
      <c r="BY81" s="712">
        <v>0</v>
      </c>
      <c r="BZ81" s="711">
        <v>0</v>
      </c>
      <c r="CA81" s="712">
        <v>0</v>
      </c>
      <c r="CB81" s="711">
        <v>0</v>
      </c>
      <c r="CC81" s="710">
        <v>0</v>
      </c>
      <c r="CD81" s="713">
        <v>0</v>
      </c>
      <c r="CE81" s="710">
        <v>0</v>
      </c>
      <c r="CF81" s="713">
        <v>0</v>
      </c>
      <c r="CG81" s="710">
        <v>0</v>
      </c>
      <c r="CH81" s="713">
        <v>0</v>
      </c>
      <c r="CI81" s="710">
        <v>0</v>
      </c>
      <c r="CJ81" s="713">
        <v>0</v>
      </c>
      <c r="CK81" s="710">
        <v>0</v>
      </c>
      <c r="CL81" s="713">
        <v>0</v>
      </c>
      <c r="CM81" s="710">
        <v>0</v>
      </c>
      <c r="CN81" s="713">
        <v>0</v>
      </c>
      <c r="CO81" s="710">
        <v>0</v>
      </c>
      <c r="CP81" s="713">
        <v>0</v>
      </c>
      <c r="CQ81" s="710">
        <v>0</v>
      </c>
      <c r="CR81" s="711">
        <v>0</v>
      </c>
      <c r="CS81" s="710">
        <v>0</v>
      </c>
      <c r="CT81" s="711">
        <v>0</v>
      </c>
      <c r="CU81" s="712">
        <v>0</v>
      </c>
      <c r="CV81" s="711">
        <v>0</v>
      </c>
    </row>
    <row r="82" spans="1:100">
      <c r="A82" s="467">
        <v>80</v>
      </c>
      <c r="B82" s="595">
        <v>0</v>
      </c>
      <c r="C82" s="595">
        <v>0</v>
      </c>
      <c r="D82" s="595">
        <v>0</v>
      </c>
      <c r="E82" s="595">
        <v>0</v>
      </c>
      <c r="F82" s="595">
        <v>0</v>
      </c>
      <c r="G82" s="595">
        <v>0</v>
      </c>
      <c r="H82" s="595">
        <v>0</v>
      </c>
      <c r="I82" s="595">
        <v>0</v>
      </c>
      <c r="J82" s="595">
        <v>0</v>
      </c>
      <c r="K82" s="595">
        <v>0</v>
      </c>
      <c r="L82" s="595">
        <v>0</v>
      </c>
      <c r="M82" s="595">
        <v>0</v>
      </c>
      <c r="N82" s="595">
        <v>0</v>
      </c>
      <c r="O82" s="595">
        <v>0</v>
      </c>
      <c r="P82" s="595">
        <v>0</v>
      </c>
      <c r="Q82" s="595">
        <v>0</v>
      </c>
      <c r="R82" s="595">
        <v>0</v>
      </c>
      <c r="S82" s="595">
        <v>0</v>
      </c>
      <c r="T82" s="595">
        <v>0</v>
      </c>
      <c r="U82" s="595">
        <v>0</v>
      </c>
      <c r="V82" s="595">
        <v>0</v>
      </c>
      <c r="W82" s="611">
        <v>0</v>
      </c>
      <c r="X82" s="706"/>
      <c r="Y82" s="706"/>
      <c r="Z82" s="706"/>
      <c r="AA82" s="706"/>
      <c r="AB82" s="706"/>
      <c r="AC82" s="706"/>
      <c r="AD82" s="706"/>
      <c r="AE82" s="703">
        <v>0</v>
      </c>
      <c r="AF82" s="704">
        <v>0</v>
      </c>
      <c r="AG82" s="705">
        <v>0</v>
      </c>
      <c r="AH82" s="706">
        <v>0</v>
      </c>
      <c r="AI82" s="705">
        <v>0</v>
      </c>
      <c r="AJ82" s="703">
        <v>0</v>
      </c>
      <c r="AK82" s="705">
        <v>0</v>
      </c>
      <c r="AL82" s="707">
        <v>0</v>
      </c>
      <c r="AM82" s="703">
        <v>0</v>
      </c>
      <c r="AN82" s="703">
        <v>0</v>
      </c>
      <c r="AO82" s="707">
        <v>0</v>
      </c>
      <c r="AP82" s="708">
        <v>0.02</v>
      </c>
      <c r="AQ82" s="705">
        <f t="shared" si="24"/>
        <v>7.1428571428571426E-3</v>
      </c>
      <c r="AR82" s="703">
        <v>0</v>
      </c>
      <c r="AS82" s="705">
        <v>0</v>
      </c>
      <c r="AT82" s="709">
        <v>2E-3</v>
      </c>
      <c r="AU82" s="703">
        <v>0</v>
      </c>
      <c r="AV82" s="705">
        <v>0</v>
      </c>
      <c r="AW82" s="710">
        <v>0</v>
      </c>
      <c r="AX82" s="711">
        <v>0</v>
      </c>
      <c r="AY82" s="710">
        <v>0</v>
      </c>
      <c r="AZ82" s="711">
        <v>0</v>
      </c>
      <c r="BA82" s="710">
        <v>0</v>
      </c>
      <c r="BB82" s="711">
        <v>0</v>
      </c>
      <c r="BC82" s="712">
        <v>0</v>
      </c>
      <c r="BD82" s="713">
        <v>0</v>
      </c>
      <c r="BE82" s="710">
        <v>0</v>
      </c>
      <c r="BF82" s="711">
        <v>0</v>
      </c>
      <c r="BG82" s="712">
        <v>0</v>
      </c>
      <c r="BH82" s="711">
        <v>0</v>
      </c>
      <c r="BI82" s="712">
        <v>0</v>
      </c>
      <c r="BJ82" s="711">
        <v>0</v>
      </c>
      <c r="BK82" s="712">
        <v>0</v>
      </c>
      <c r="BL82" s="711">
        <v>0</v>
      </c>
      <c r="BM82" s="712">
        <v>0</v>
      </c>
      <c r="BN82" s="711">
        <v>0</v>
      </c>
      <c r="BO82" s="712">
        <v>0</v>
      </c>
      <c r="BP82" s="711">
        <v>0</v>
      </c>
      <c r="BQ82" s="712">
        <v>0</v>
      </c>
      <c r="BR82" s="711">
        <v>0</v>
      </c>
      <c r="BS82" s="712">
        <v>0</v>
      </c>
      <c r="BT82" s="711">
        <v>0</v>
      </c>
      <c r="BU82" s="712">
        <v>0</v>
      </c>
      <c r="BV82" s="711">
        <v>0</v>
      </c>
      <c r="BW82" s="712">
        <v>0</v>
      </c>
      <c r="BX82" s="711">
        <v>0</v>
      </c>
      <c r="BY82" s="712">
        <v>0</v>
      </c>
      <c r="BZ82" s="711">
        <v>0</v>
      </c>
      <c r="CA82" s="712">
        <v>0</v>
      </c>
      <c r="CB82" s="711">
        <v>0</v>
      </c>
      <c r="CC82" s="710">
        <v>0</v>
      </c>
      <c r="CD82" s="713">
        <v>0</v>
      </c>
      <c r="CE82" s="710">
        <v>0</v>
      </c>
      <c r="CF82" s="713">
        <v>0</v>
      </c>
      <c r="CG82" s="710">
        <v>0</v>
      </c>
      <c r="CH82" s="713">
        <v>0</v>
      </c>
      <c r="CI82" s="710">
        <v>0</v>
      </c>
      <c r="CJ82" s="713">
        <v>0</v>
      </c>
      <c r="CK82" s="710">
        <v>0</v>
      </c>
      <c r="CL82" s="713">
        <v>0</v>
      </c>
      <c r="CM82" s="710">
        <v>0</v>
      </c>
      <c r="CN82" s="713">
        <v>0</v>
      </c>
      <c r="CO82" s="710">
        <v>0</v>
      </c>
      <c r="CP82" s="713">
        <v>0</v>
      </c>
      <c r="CQ82" s="710">
        <v>0</v>
      </c>
      <c r="CR82" s="711">
        <v>0</v>
      </c>
      <c r="CS82" s="710">
        <v>0</v>
      </c>
      <c r="CT82" s="711">
        <v>0</v>
      </c>
      <c r="CU82" s="712">
        <v>0</v>
      </c>
      <c r="CV82" s="711">
        <v>0</v>
      </c>
    </row>
    <row r="83" spans="1:100">
      <c r="A83" s="467">
        <v>81</v>
      </c>
      <c r="B83" s="595">
        <v>0</v>
      </c>
      <c r="C83" s="595">
        <v>0</v>
      </c>
      <c r="D83" s="595">
        <v>0</v>
      </c>
      <c r="E83" s="595">
        <v>0</v>
      </c>
      <c r="F83" s="595">
        <v>0</v>
      </c>
      <c r="G83" s="595">
        <v>0</v>
      </c>
      <c r="H83" s="595">
        <v>0</v>
      </c>
      <c r="I83" s="595">
        <v>0</v>
      </c>
      <c r="J83" s="595">
        <v>0</v>
      </c>
      <c r="K83" s="595">
        <v>0</v>
      </c>
      <c r="L83" s="595">
        <v>0</v>
      </c>
      <c r="M83" s="595">
        <v>0</v>
      </c>
      <c r="N83" s="595">
        <v>0</v>
      </c>
      <c r="O83" s="595">
        <v>0</v>
      </c>
      <c r="P83" s="595">
        <v>0</v>
      </c>
      <c r="Q83" s="595">
        <v>0</v>
      </c>
      <c r="R83" s="595">
        <v>0</v>
      </c>
      <c r="S83" s="595">
        <v>0</v>
      </c>
      <c r="T83" s="595">
        <v>0</v>
      </c>
      <c r="U83" s="595">
        <v>0</v>
      </c>
      <c r="V83" s="595">
        <v>0</v>
      </c>
      <c r="W83" s="611">
        <v>0</v>
      </c>
      <c r="X83" s="706"/>
      <c r="Y83" s="706"/>
      <c r="Z83" s="706"/>
      <c r="AA83" s="706"/>
      <c r="AB83" s="706"/>
      <c r="AC83" s="706"/>
      <c r="AD83" s="706"/>
      <c r="AE83" s="703">
        <v>0</v>
      </c>
      <c r="AF83" s="704">
        <v>0</v>
      </c>
      <c r="AG83" s="705">
        <v>0</v>
      </c>
      <c r="AH83" s="706">
        <v>0</v>
      </c>
      <c r="AI83" s="705">
        <v>0</v>
      </c>
      <c r="AJ83" s="703">
        <v>0</v>
      </c>
      <c r="AK83" s="705">
        <v>0</v>
      </c>
      <c r="AL83" s="707">
        <v>0</v>
      </c>
      <c r="AM83" s="703">
        <v>0</v>
      </c>
      <c r="AN83" s="703">
        <v>0</v>
      </c>
      <c r="AO83" s="707">
        <v>0</v>
      </c>
      <c r="AP83" s="708">
        <v>0.02</v>
      </c>
      <c r="AQ83" s="705">
        <f t="shared" si="24"/>
        <v>7.1428571428571426E-3</v>
      </c>
      <c r="AR83" s="703">
        <v>0</v>
      </c>
      <c r="AS83" s="705">
        <v>0</v>
      </c>
      <c r="AT83" s="709">
        <v>2E-3</v>
      </c>
      <c r="AU83" s="703">
        <v>0</v>
      </c>
      <c r="AV83" s="705">
        <v>0</v>
      </c>
      <c r="AW83" s="710">
        <v>0</v>
      </c>
      <c r="AX83" s="711">
        <v>0</v>
      </c>
      <c r="AY83" s="710">
        <v>0</v>
      </c>
      <c r="AZ83" s="711">
        <v>0</v>
      </c>
      <c r="BA83" s="710">
        <v>0</v>
      </c>
      <c r="BB83" s="711">
        <v>0</v>
      </c>
      <c r="BC83" s="712">
        <v>0</v>
      </c>
      <c r="BD83" s="713">
        <v>0</v>
      </c>
      <c r="BE83" s="710">
        <v>0</v>
      </c>
      <c r="BF83" s="711">
        <v>0</v>
      </c>
      <c r="BG83" s="712">
        <v>0</v>
      </c>
      <c r="BH83" s="711">
        <v>0</v>
      </c>
      <c r="BI83" s="712">
        <v>0</v>
      </c>
      <c r="BJ83" s="711">
        <v>0</v>
      </c>
      <c r="BK83" s="712">
        <v>0</v>
      </c>
      <c r="BL83" s="711">
        <v>0</v>
      </c>
      <c r="BM83" s="712">
        <v>0</v>
      </c>
      <c r="BN83" s="711">
        <v>0</v>
      </c>
      <c r="BO83" s="712">
        <v>0</v>
      </c>
      <c r="BP83" s="711">
        <v>0</v>
      </c>
      <c r="BQ83" s="712">
        <v>0</v>
      </c>
      <c r="BR83" s="711">
        <v>0</v>
      </c>
      <c r="BS83" s="712">
        <v>0</v>
      </c>
      <c r="BT83" s="711">
        <v>0</v>
      </c>
      <c r="BU83" s="712">
        <v>0</v>
      </c>
      <c r="BV83" s="711">
        <v>0</v>
      </c>
      <c r="BW83" s="712">
        <v>0</v>
      </c>
      <c r="BX83" s="711">
        <v>0</v>
      </c>
      <c r="BY83" s="712">
        <v>0</v>
      </c>
      <c r="BZ83" s="711">
        <v>0</v>
      </c>
      <c r="CA83" s="712">
        <v>0</v>
      </c>
      <c r="CB83" s="711">
        <v>0</v>
      </c>
      <c r="CC83" s="710">
        <v>0</v>
      </c>
      <c r="CD83" s="713">
        <v>0</v>
      </c>
      <c r="CE83" s="710">
        <v>0</v>
      </c>
      <c r="CF83" s="713">
        <v>0</v>
      </c>
      <c r="CG83" s="710">
        <v>0</v>
      </c>
      <c r="CH83" s="713">
        <v>0</v>
      </c>
      <c r="CI83" s="710">
        <v>0</v>
      </c>
      <c r="CJ83" s="713">
        <v>0</v>
      </c>
      <c r="CK83" s="710">
        <v>0</v>
      </c>
      <c r="CL83" s="713">
        <v>0</v>
      </c>
      <c r="CM83" s="710">
        <v>0</v>
      </c>
      <c r="CN83" s="713">
        <v>0</v>
      </c>
      <c r="CO83" s="710">
        <v>0</v>
      </c>
      <c r="CP83" s="713">
        <v>0</v>
      </c>
      <c r="CQ83" s="710">
        <v>0</v>
      </c>
      <c r="CR83" s="711">
        <v>0</v>
      </c>
      <c r="CS83" s="710">
        <v>0</v>
      </c>
      <c r="CT83" s="711">
        <v>0</v>
      </c>
      <c r="CU83" s="712">
        <v>0</v>
      </c>
      <c r="CV83" s="711">
        <v>0</v>
      </c>
    </row>
    <row r="84" spans="1:100">
      <c r="A84" s="467">
        <v>82</v>
      </c>
      <c r="B84" s="595">
        <v>0</v>
      </c>
      <c r="C84" s="595">
        <v>0</v>
      </c>
      <c r="D84" s="595">
        <v>0</v>
      </c>
      <c r="E84" s="595">
        <v>0</v>
      </c>
      <c r="F84" s="595">
        <v>0</v>
      </c>
      <c r="G84" s="595">
        <v>0</v>
      </c>
      <c r="H84" s="595">
        <v>0</v>
      </c>
      <c r="I84" s="595">
        <v>0</v>
      </c>
      <c r="J84" s="595">
        <v>0</v>
      </c>
      <c r="K84" s="595">
        <v>0</v>
      </c>
      <c r="L84" s="595">
        <v>0</v>
      </c>
      <c r="M84" s="595">
        <v>0</v>
      </c>
      <c r="N84" s="595">
        <v>0</v>
      </c>
      <c r="O84" s="595">
        <v>0</v>
      </c>
      <c r="P84" s="595">
        <v>0</v>
      </c>
      <c r="Q84" s="595">
        <v>0</v>
      </c>
      <c r="R84" s="595">
        <v>0</v>
      </c>
      <c r="S84" s="595">
        <v>0</v>
      </c>
      <c r="T84" s="595">
        <v>0</v>
      </c>
      <c r="U84" s="595">
        <v>0</v>
      </c>
      <c r="V84" s="595">
        <v>0</v>
      </c>
      <c r="W84" s="611">
        <v>0</v>
      </c>
      <c r="X84" s="706"/>
      <c r="Y84" s="706"/>
      <c r="Z84" s="706"/>
      <c r="AA84" s="706"/>
      <c r="AB84" s="706"/>
      <c r="AC84" s="706"/>
      <c r="AD84" s="706"/>
      <c r="AE84" s="703">
        <v>0</v>
      </c>
      <c r="AF84" s="704">
        <v>0</v>
      </c>
      <c r="AG84" s="705">
        <v>0</v>
      </c>
      <c r="AH84" s="706">
        <v>0</v>
      </c>
      <c r="AI84" s="705">
        <v>0</v>
      </c>
      <c r="AJ84" s="703">
        <v>0</v>
      </c>
      <c r="AK84" s="705">
        <v>0</v>
      </c>
      <c r="AL84" s="707">
        <v>0</v>
      </c>
      <c r="AM84" s="703">
        <v>0</v>
      </c>
      <c r="AN84" s="703">
        <v>0</v>
      </c>
      <c r="AO84" s="707">
        <v>0</v>
      </c>
      <c r="AP84" s="708">
        <v>0.02</v>
      </c>
      <c r="AQ84" s="705">
        <f t="shared" si="24"/>
        <v>7.1428571428571426E-3</v>
      </c>
      <c r="AR84" s="703">
        <v>0</v>
      </c>
      <c r="AS84" s="705">
        <v>0</v>
      </c>
      <c r="AT84" s="709">
        <v>2E-3</v>
      </c>
      <c r="AU84" s="703">
        <v>0</v>
      </c>
      <c r="AV84" s="705">
        <v>0</v>
      </c>
      <c r="AW84" s="710">
        <v>0</v>
      </c>
      <c r="AX84" s="711">
        <v>0</v>
      </c>
      <c r="AY84" s="710">
        <v>0</v>
      </c>
      <c r="AZ84" s="711">
        <v>0</v>
      </c>
      <c r="BA84" s="710">
        <v>0</v>
      </c>
      <c r="BB84" s="711">
        <v>0</v>
      </c>
      <c r="BC84" s="712">
        <v>0</v>
      </c>
      <c r="BD84" s="713">
        <v>0</v>
      </c>
      <c r="BE84" s="710">
        <v>0</v>
      </c>
      <c r="BF84" s="711">
        <v>0</v>
      </c>
      <c r="BG84" s="712">
        <v>0</v>
      </c>
      <c r="BH84" s="711">
        <v>0</v>
      </c>
      <c r="BI84" s="712">
        <v>0</v>
      </c>
      <c r="BJ84" s="711">
        <v>0</v>
      </c>
      <c r="BK84" s="712">
        <v>0</v>
      </c>
      <c r="BL84" s="711">
        <v>0</v>
      </c>
      <c r="BM84" s="712">
        <v>0</v>
      </c>
      <c r="BN84" s="711">
        <v>0</v>
      </c>
      <c r="BO84" s="712">
        <v>0</v>
      </c>
      <c r="BP84" s="711">
        <v>0</v>
      </c>
      <c r="BQ84" s="712">
        <v>0</v>
      </c>
      <c r="BR84" s="711">
        <v>0</v>
      </c>
      <c r="BS84" s="712">
        <v>0</v>
      </c>
      <c r="BT84" s="711">
        <v>0</v>
      </c>
      <c r="BU84" s="712">
        <v>0</v>
      </c>
      <c r="BV84" s="711">
        <v>0</v>
      </c>
      <c r="BW84" s="712">
        <v>0</v>
      </c>
      <c r="BX84" s="711">
        <v>0</v>
      </c>
      <c r="BY84" s="712">
        <v>0</v>
      </c>
      <c r="BZ84" s="711">
        <v>0</v>
      </c>
      <c r="CA84" s="712">
        <v>0</v>
      </c>
      <c r="CB84" s="711">
        <v>0</v>
      </c>
      <c r="CC84" s="710">
        <v>0</v>
      </c>
      <c r="CD84" s="713">
        <v>0</v>
      </c>
      <c r="CE84" s="710">
        <v>0</v>
      </c>
      <c r="CF84" s="713">
        <v>0</v>
      </c>
      <c r="CG84" s="710">
        <v>0</v>
      </c>
      <c r="CH84" s="713">
        <v>0</v>
      </c>
      <c r="CI84" s="710">
        <v>0</v>
      </c>
      <c r="CJ84" s="713">
        <v>0</v>
      </c>
      <c r="CK84" s="710">
        <v>0</v>
      </c>
      <c r="CL84" s="713">
        <v>0</v>
      </c>
      <c r="CM84" s="710">
        <v>0</v>
      </c>
      <c r="CN84" s="713">
        <v>0</v>
      </c>
      <c r="CO84" s="710">
        <v>0</v>
      </c>
      <c r="CP84" s="713">
        <v>0</v>
      </c>
      <c r="CQ84" s="710">
        <v>0</v>
      </c>
      <c r="CR84" s="711">
        <v>0</v>
      </c>
      <c r="CS84" s="710">
        <v>0</v>
      </c>
      <c r="CT84" s="711">
        <v>0</v>
      </c>
      <c r="CU84" s="712">
        <v>0</v>
      </c>
      <c r="CV84" s="711">
        <v>0</v>
      </c>
    </row>
    <row r="85" spans="1:100">
      <c r="A85" s="467">
        <v>83</v>
      </c>
      <c r="B85" s="595">
        <v>0</v>
      </c>
      <c r="C85" s="595">
        <v>0</v>
      </c>
      <c r="D85" s="595">
        <v>0</v>
      </c>
      <c r="E85" s="595">
        <v>0</v>
      </c>
      <c r="F85" s="595">
        <v>0</v>
      </c>
      <c r="G85" s="595">
        <v>0</v>
      </c>
      <c r="H85" s="595">
        <v>0</v>
      </c>
      <c r="I85" s="595">
        <v>0</v>
      </c>
      <c r="J85" s="595">
        <v>0</v>
      </c>
      <c r="K85" s="595">
        <v>0</v>
      </c>
      <c r="L85" s="595">
        <v>0</v>
      </c>
      <c r="M85" s="595">
        <v>0</v>
      </c>
      <c r="N85" s="595">
        <v>0</v>
      </c>
      <c r="O85" s="595">
        <v>0</v>
      </c>
      <c r="P85" s="595">
        <v>0</v>
      </c>
      <c r="Q85" s="595">
        <v>0</v>
      </c>
      <c r="R85" s="595">
        <v>0</v>
      </c>
      <c r="S85" s="595">
        <v>0</v>
      </c>
      <c r="T85" s="595">
        <v>0</v>
      </c>
      <c r="U85" s="595">
        <v>0</v>
      </c>
      <c r="V85" s="595">
        <v>0</v>
      </c>
      <c r="W85" s="611">
        <v>0</v>
      </c>
      <c r="X85" s="706"/>
      <c r="Y85" s="706"/>
      <c r="Z85" s="706"/>
      <c r="AA85" s="706"/>
      <c r="AB85" s="706"/>
      <c r="AC85" s="706"/>
      <c r="AD85" s="706"/>
      <c r="AE85" s="703">
        <v>0</v>
      </c>
      <c r="AF85" s="704">
        <v>0</v>
      </c>
      <c r="AG85" s="705">
        <v>0</v>
      </c>
      <c r="AH85" s="706">
        <v>0</v>
      </c>
      <c r="AI85" s="705">
        <v>0</v>
      </c>
      <c r="AJ85" s="703">
        <v>0</v>
      </c>
      <c r="AK85" s="705">
        <v>0</v>
      </c>
      <c r="AL85" s="707">
        <v>0</v>
      </c>
      <c r="AM85" s="703">
        <v>0</v>
      </c>
      <c r="AN85" s="703">
        <v>0</v>
      </c>
      <c r="AO85" s="707">
        <v>0</v>
      </c>
      <c r="AP85" s="708">
        <v>0.02</v>
      </c>
      <c r="AQ85" s="705">
        <f t="shared" si="24"/>
        <v>7.1428571428571426E-3</v>
      </c>
      <c r="AR85" s="703">
        <v>0</v>
      </c>
      <c r="AS85" s="705">
        <v>0</v>
      </c>
      <c r="AT85" s="709">
        <v>2E-3</v>
      </c>
      <c r="AU85" s="703">
        <v>0</v>
      </c>
      <c r="AV85" s="705">
        <v>0</v>
      </c>
      <c r="AW85" s="710">
        <v>0</v>
      </c>
      <c r="AX85" s="711">
        <v>0</v>
      </c>
      <c r="AY85" s="710">
        <v>0</v>
      </c>
      <c r="AZ85" s="711">
        <v>0</v>
      </c>
      <c r="BA85" s="710">
        <v>0</v>
      </c>
      <c r="BB85" s="711">
        <v>0</v>
      </c>
      <c r="BC85" s="712">
        <v>0</v>
      </c>
      <c r="BD85" s="713">
        <v>0</v>
      </c>
      <c r="BE85" s="710">
        <v>0</v>
      </c>
      <c r="BF85" s="711">
        <v>0</v>
      </c>
      <c r="BG85" s="712">
        <v>0</v>
      </c>
      <c r="BH85" s="711">
        <v>0</v>
      </c>
      <c r="BI85" s="712">
        <v>0</v>
      </c>
      <c r="BJ85" s="711">
        <v>0</v>
      </c>
      <c r="BK85" s="712">
        <v>0</v>
      </c>
      <c r="BL85" s="711">
        <v>0</v>
      </c>
      <c r="BM85" s="712">
        <v>0</v>
      </c>
      <c r="BN85" s="711">
        <v>0</v>
      </c>
      <c r="BO85" s="712">
        <v>0</v>
      </c>
      <c r="BP85" s="711">
        <v>0</v>
      </c>
      <c r="BQ85" s="712">
        <v>0</v>
      </c>
      <c r="BR85" s="711">
        <v>0</v>
      </c>
      <c r="BS85" s="712">
        <v>0</v>
      </c>
      <c r="BT85" s="711">
        <v>0</v>
      </c>
      <c r="BU85" s="712">
        <v>0</v>
      </c>
      <c r="BV85" s="711">
        <v>0</v>
      </c>
      <c r="BW85" s="712">
        <v>0</v>
      </c>
      <c r="BX85" s="711">
        <v>0</v>
      </c>
      <c r="BY85" s="712">
        <v>0</v>
      </c>
      <c r="BZ85" s="711">
        <v>0</v>
      </c>
      <c r="CA85" s="712">
        <v>0</v>
      </c>
      <c r="CB85" s="711">
        <v>0</v>
      </c>
      <c r="CC85" s="710">
        <v>0</v>
      </c>
      <c r="CD85" s="713">
        <v>0</v>
      </c>
      <c r="CE85" s="710">
        <v>0</v>
      </c>
      <c r="CF85" s="713">
        <v>0</v>
      </c>
      <c r="CG85" s="710">
        <v>0</v>
      </c>
      <c r="CH85" s="713">
        <v>0</v>
      </c>
      <c r="CI85" s="710">
        <v>0</v>
      </c>
      <c r="CJ85" s="713">
        <v>0</v>
      </c>
      <c r="CK85" s="710">
        <v>0</v>
      </c>
      <c r="CL85" s="713">
        <v>0</v>
      </c>
      <c r="CM85" s="710">
        <v>0</v>
      </c>
      <c r="CN85" s="713">
        <v>0</v>
      </c>
      <c r="CO85" s="710">
        <v>0</v>
      </c>
      <c r="CP85" s="713">
        <v>0</v>
      </c>
      <c r="CQ85" s="710">
        <v>0</v>
      </c>
      <c r="CR85" s="711">
        <v>0</v>
      </c>
      <c r="CS85" s="710">
        <v>0</v>
      </c>
      <c r="CT85" s="711">
        <v>0</v>
      </c>
      <c r="CU85" s="712">
        <v>0</v>
      </c>
      <c r="CV85" s="711">
        <v>0</v>
      </c>
    </row>
    <row r="86" spans="1:100">
      <c r="A86" s="467">
        <v>84</v>
      </c>
      <c r="B86" s="595">
        <v>0</v>
      </c>
      <c r="C86" s="595">
        <v>0</v>
      </c>
      <c r="D86" s="595">
        <v>0</v>
      </c>
      <c r="E86" s="595">
        <v>0</v>
      </c>
      <c r="F86" s="595">
        <v>0</v>
      </c>
      <c r="G86" s="595">
        <v>0</v>
      </c>
      <c r="H86" s="595">
        <v>0</v>
      </c>
      <c r="I86" s="595">
        <v>0</v>
      </c>
      <c r="J86" s="595">
        <v>0</v>
      </c>
      <c r="K86" s="595">
        <v>0</v>
      </c>
      <c r="L86" s="595">
        <v>0</v>
      </c>
      <c r="M86" s="595">
        <v>0</v>
      </c>
      <c r="N86" s="595">
        <v>0</v>
      </c>
      <c r="O86" s="595">
        <v>0</v>
      </c>
      <c r="P86" s="595">
        <v>0</v>
      </c>
      <c r="Q86" s="595">
        <v>0</v>
      </c>
      <c r="R86" s="595">
        <v>0</v>
      </c>
      <c r="S86" s="595">
        <v>0</v>
      </c>
      <c r="T86" s="595">
        <v>0</v>
      </c>
      <c r="U86" s="595">
        <v>0</v>
      </c>
      <c r="V86" s="595">
        <v>0</v>
      </c>
      <c r="W86" s="611">
        <v>0</v>
      </c>
      <c r="X86" s="706"/>
      <c r="Y86" s="706"/>
      <c r="Z86" s="706"/>
      <c r="AA86" s="706"/>
      <c r="AB86" s="706"/>
      <c r="AC86" s="706"/>
      <c r="AD86" s="706"/>
      <c r="AE86" s="703">
        <v>0</v>
      </c>
      <c r="AF86" s="704">
        <v>0</v>
      </c>
      <c r="AG86" s="705">
        <v>0</v>
      </c>
      <c r="AH86" s="706">
        <v>0</v>
      </c>
      <c r="AI86" s="705">
        <v>0</v>
      </c>
      <c r="AJ86" s="703">
        <v>0</v>
      </c>
      <c r="AK86" s="705">
        <v>0</v>
      </c>
      <c r="AL86" s="707">
        <v>0</v>
      </c>
      <c r="AM86" s="703">
        <v>0</v>
      </c>
      <c r="AN86" s="703">
        <v>0</v>
      </c>
      <c r="AO86" s="707">
        <v>0</v>
      </c>
      <c r="AP86" s="708">
        <v>0.02</v>
      </c>
      <c r="AQ86" s="705">
        <f t="shared" si="24"/>
        <v>7.1428571428571426E-3</v>
      </c>
      <c r="AR86" s="703">
        <v>0</v>
      </c>
      <c r="AS86" s="705">
        <v>0</v>
      </c>
      <c r="AT86" s="709">
        <v>2E-3</v>
      </c>
      <c r="AU86" s="703">
        <v>0</v>
      </c>
      <c r="AV86" s="705">
        <v>0</v>
      </c>
      <c r="AW86" s="710">
        <v>0</v>
      </c>
      <c r="AX86" s="711">
        <v>0</v>
      </c>
      <c r="AY86" s="710">
        <v>0</v>
      </c>
      <c r="AZ86" s="711">
        <v>0</v>
      </c>
      <c r="BA86" s="710">
        <v>0</v>
      </c>
      <c r="BB86" s="711">
        <v>0</v>
      </c>
      <c r="BC86" s="712">
        <v>0</v>
      </c>
      <c r="BD86" s="713">
        <v>0</v>
      </c>
      <c r="BE86" s="710">
        <v>0</v>
      </c>
      <c r="BF86" s="711">
        <v>0</v>
      </c>
      <c r="BG86" s="712">
        <v>0</v>
      </c>
      <c r="BH86" s="711">
        <v>0</v>
      </c>
      <c r="BI86" s="712">
        <v>0</v>
      </c>
      <c r="BJ86" s="711">
        <v>0</v>
      </c>
      <c r="BK86" s="712">
        <v>0</v>
      </c>
      <c r="BL86" s="711">
        <v>0</v>
      </c>
      <c r="BM86" s="712">
        <v>0</v>
      </c>
      <c r="BN86" s="711">
        <v>0</v>
      </c>
      <c r="BO86" s="712">
        <v>0</v>
      </c>
      <c r="BP86" s="711">
        <v>0</v>
      </c>
      <c r="BQ86" s="712">
        <v>0</v>
      </c>
      <c r="BR86" s="711">
        <v>0</v>
      </c>
      <c r="BS86" s="712">
        <v>0</v>
      </c>
      <c r="BT86" s="711">
        <v>0</v>
      </c>
      <c r="BU86" s="712">
        <v>0</v>
      </c>
      <c r="BV86" s="711">
        <v>0</v>
      </c>
      <c r="BW86" s="712">
        <v>0</v>
      </c>
      <c r="BX86" s="711">
        <v>0</v>
      </c>
      <c r="BY86" s="712">
        <v>0</v>
      </c>
      <c r="BZ86" s="711">
        <v>0</v>
      </c>
      <c r="CA86" s="712">
        <v>0</v>
      </c>
      <c r="CB86" s="711">
        <v>0</v>
      </c>
      <c r="CC86" s="710">
        <v>0</v>
      </c>
      <c r="CD86" s="713">
        <v>0</v>
      </c>
      <c r="CE86" s="710">
        <v>0</v>
      </c>
      <c r="CF86" s="713">
        <v>0</v>
      </c>
      <c r="CG86" s="710">
        <v>0</v>
      </c>
      <c r="CH86" s="713">
        <v>0</v>
      </c>
      <c r="CI86" s="710">
        <v>0</v>
      </c>
      <c r="CJ86" s="713">
        <v>0</v>
      </c>
      <c r="CK86" s="710">
        <v>0</v>
      </c>
      <c r="CL86" s="713">
        <v>0</v>
      </c>
      <c r="CM86" s="710">
        <v>0</v>
      </c>
      <c r="CN86" s="713">
        <v>0</v>
      </c>
      <c r="CO86" s="710">
        <v>0</v>
      </c>
      <c r="CP86" s="713">
        <v>0</v>
      </c>
      <c r="CQ86" s="710">
        <v>0</v>
      </c>
      <c r="CR86" s="711">
        <v>0</v>
      </c>
      <c r="CS86" s="710">
        <v>0</v>
      </c>
      <c r="CT86" s="711">
        <v>0</v>
      </c>
      <c r="CU86" s="712">
        <v>0</v>
      </c>
      <c r="CV86" s="711">
        <v>0</v>
      </c>
    </row>
    <row r="87" spans="1:100">
      <c r="A87" s="467">
        <v>85</v>
      </c>
      <c r="B87" s="595">
        <v>0</v>
      </c>
      <c r="C87" s="595">
        <v>0</v>
      </c>
      <c r="D87" s="595">
        <v>0</v>
      </c>
      <c r="E87" s="595">
        <v>0</v>
      </c>
      <c r="F87" s="595">
        <v>0</v>
      </c>
      <c r="G87" s="595">
        <v>0</v>
      </c>
      <c r="H87" s="595">
        <v>0</v>
      </c>
      <c r="I87" s="595">
        <v>0</v>
      </c>
      <c r="J87" s="595">
        <v>0</v>
      </c>
      <c r="K87" s="595">
        <v>0</v>
      </c>
      <c r="L87" s="595">
        <v>0</v>
      </c>
      <c r="M87" s="595">
        <v>0</v>
      </c>
      <c r="N87" s="595">
        <v>0</v>
      </c>
      <c r="O87" s="595">
        <v>0</v>
      </c>
      <c r="P87" s="595">
        <v>0</v>
      </c>
      <c r="Q87" s="595">
        <v>0</v>
      </c>
      <c r="R87" s="595">
        <v>0</v>
      </c>
      <c r="S87" s="595">
        <v>0</v>
      </c>
      <c r="T87" s="595">
        <v>0</v>
      </c>
      <c r="U87" s="595">
        <v>0</v>
      </c>
      <c r="V87" s="595">
        <v>0</v>
      </c>
      <c r="W87" s="611">
        <v>0</v>
      </c>
      <c r="X87" s="706"/>
      <c r="Y87" s="706"/>
      <c r="Z87" s="706"/>
      <c r="AA87" s="706"/>
      <c r="AB87" s="706"/>
      <c r="AC87" s="706"/>
      <c r="AD87" s="706"/>
      <c r="AE87" s="703">
        <v>0</v>
      </c>
      <c r="AF87" s="704">
        <v>0</v>
      </c>
      <c r="AG87" s="705">
        <v>0</v>
      </c>
      <c r="AH87" s="706">
        <v>0</v>
      </c>
      <c r="AI87" s="705">
        <v>0</v>
      </c>
      <c r="AJ87" s="703">
        <v>0</v>
      </c>
      <c r="AK87" s="705">
        <v>0</v>
      </c>
      <c r="AL87" s="707">
        <v>0</v>
      </c>
      <c r="AM87" s="703">
        <v>0</v>
      </c>
      <c r="AN87" s="703">
        <v>0</v>
      </c>
      <c r="AO87" s="707">
        <v>0</v>
      </c>
      <c r="AP87" s="708">
        <v>0.02</v>
      </c>
      <c r="AQ87" s="705">
        <f t="shared" si="24"/>
        <v>7.1428571428571426E-3</v>
      </c>
      <c r="AR87" s="703">
        <v>0</v>
      </c>
      <c r="AS87" s="705">
        <v>0</v>
      </c>
      <c r="AT87" s="709">
        <v>2E-3</v>
      </c>
      <c r="AU87" s="703">
        <v>0</v>
      </c>
      <c r="AV87" s="705">
        <v>0</v>
      </c>
      <c r="AW87" s="710">
        <v>0</v>
      </c>
      <c r="AX87" s="711">
        <v>0</v>
      </c>
      <c r="AY87" s="710">
        <v>0</v>
      </c>
      <c r="AZ87" s="711">
        <v>0</v>
      </c>
      <c r="BA87" s="710">
        <v>0</v>
      </c>
      <c r="BB87" s="711">
        <v>0</v>
      </c>
      <c r="BC87" s="712">
        <v>0</v>
      </c>
      <c r="BD87" s="713">
        <v>0</v>
      </c>
      <c r="BE87" s="710">
        <v>0</v>
      </c>
      <c r="BF87" s="711">
        <v>0</v>
      </c>
      <c r="BG87" s="712">
        <v>0</v>
      </c>
      <c r="BH87" s="711">
        <v>0</v>
      </c>
      <c r="BI87" s="712">
        <v>0</v>
      </c>
      <c r="BJ87" s="711">
        <v>0</v>
      </c>
      <c r="BK87" s="712">
        <v>0</v>
      </c>
      <c r="BL87" s="711">
        <v>0</v>
      </c>
      <c r="BM87" s="712">
        <v>0</v>
      </c>
      <c r="BN87" s="711">
        <v>0</v>
      </c>
      <c r="BO87" s="712">
        <v>0</v>
      </c>
      <c r="BP87" s="711">
        <v>0</v>
      </c>
      <c r="BQ87" s="712">
        <v>0</v>
      </c>
      <c r="BR87" s="711">
        <v>0</v>
      </c>
      <c r="BS87" s="712">
        <v>0</v>
      </c>
      <c r="BT87" s="711">
        <v>0</v>
      </c>
      <c r="BU87" s="712">
        <v>0</v>
      </c>
      <c r="BV87" s="711">
        <v>0</v>
      </c>
      <c r="BW87" s="712">
        <v>0</v>
      </c>
      <c r="BX87" s="711">
        <v>0</v>
      </c>
      <c r="BY87" s="712">
        <v>0</v>
      </c>
      <c r="BZ87" s="711">
        <v>0</v>
      </c>
      <c r="CA87" s="712">
        <v>0</v>
      </c>
      <c r="CB87" s="711">
        <v>0</v>
      </c>
      <c r="CC87" s="710">
        <v>0</v>
      </c>
      <c r="CD87" s="713">
        <v>0</v>
      </c>
      <c r="CE87" s="710">
        <v>0</v>
      </c>
      <c r="CF87" s="713">
        <v>0</v>
      </c>
      <c r="CG87" s="710">
        <v>0</v>
      </c>
      <c r="CH87" s="713">
        <v>0</v>
      </c>
      <c r="CI87" s="710">
        <v>0</v>
      </c>
      <c r="CJ87" s="713">
        <v>0</v>
      </c>
      <c r="CK87" s="710">
        <v>0</v>
      </c>
      <c r="CL87" s="713">
        <v>0</v>
      </c>
      <c r="CM87" s="710">
        <v>0</v>
      </c>
      <c r="CN87" s="713">
        <v>0</v>
      </c>
      <c r="CO87" s="710">
        <v>0</v>
      </c>
      <c r="CP87" s="713">
        <v>0</v>
      </c>
      <c r="CQ87" s="710">
        <v>0</v>
      </c>
      <c r="CR87" s="711">
        <v>0</v>
      </c>
      <c r="CS87" s="710">
        <v>0</v>
      </c>
      <c r="CT87" s="711">
        <v>0</v>
      </c>
      <c r="CU87" s="712">
        <v>0</v>
      </c>
      <c r="CV87" s="711">
        <v>0</v>
      </c>
    </row>
    <row r="88" spans="1:100">
      <c r="A88" s="467">
        <v>86</v>
      </c>
      <c r="B88" s="595">
        <v>0</v>
      </c>
      <c r="C88" s="595">
        <v>0</v>
      </c>
      <c r="D88" s="595">
        <v>0</v>
      </c>
      <c r="E88" s="595">
        <v>0</v>
      </c>
      <c r="F88" s="595">
        <v>0</v>
      </c>
      <c r="G88" s="595">
        <v>0</v>
      </c>
      <c r="H88" s="595">
        <v>0</v>
      </c>
      <c r="I88" s="595">
        <v>0</v>
      </c>
      <c r="J88" s="595">
        <v>0</v>
      </c>
      <c r="K88" s="595">
        <v>0</v>
      </c>
      <c r="L88" s="595">
        <v>0</v>
      </c>
      <c r="M88" s="595">
        <v>0</v>
      </c>
      <c r="N88" s="595">
        <v>0</v>
      </c>
      <c r="O88" s="595">
        <v>0</v>
      </c>
      <c r="P88" s="595">
        <v>0</v>
      </c>
      <c r="Q88" s="595">
        <v>0</v>
      </c>
      <c r="R88" s="595">
        <v>0</v>
      </c>
      <c r="S88" s="595">
        <v>0</v>
      </c>
      <c r="T88" s="595">
        <v>0</v>
      </c>
      <c r="U88" s="595">
        <v>0</v>
      </c>
      <c r="V88" s="595">
        <v>0</v>
      </c>
      <c r="W88" s="611">
        <v>0</v>
      </c>
      <c r="X88" s="706"/>
      <c r="Y88" s="706"/>
      <c r="Z88" s="706"/>
      <c r="AA88" s="706"/>
      <c r="AB88" s="706"/>
      <c r="AC88" s="706"/>
      <c r="AD88" s="706"/>
      <c r="AE88" s="703">
        <v>0</v>
      </c>
      <c r="AF88" s="704">
        <v>0</v>
      </c>
      <c r="AG88" s="705">
        <v>0</v>
      </c>
      <c r="AH88" s="706">
        <v>0</v>
      </c>
      <c r="AI88" s="705">
        <v>0</v>
      </c>
      <c r="AJ88" s="703">
        <v>0</v>
      </c>
      <c r="AK88" s="705">
        <v>0</v>
      </c>
      <c r="AL88" s="707">
        <v>0</v>
      </c>
      <c r="AM88" s="703">
        <v>0</v>
      </c>
      <c r="AN88" s="703">
        <v>0</v>
      </c>
      <c r="AO88" s="707">
        <v>0</v>
      </c>
      <c r="AP88" s="708">
        <v>0.02</v>
      </c>
      <c r="AQ88" s="705">
        <f t="shared" si="24"/>
        <v>7.1428571428571426E-3</v>
      </c>
      <c r="AR88" s="703">
        <v>0</v>
      </c>
      <c r="AS88" s="705">
        <v>0</v>
      </c>
      <c r="AT88" s="709">
        <v>2E-3</v>
      </c>
      <c r="AU88" s="703">
        <v>0</v>
      </c>
      <c r="AV88" s="705">
        <v>0</v>
      </c>
      <c r="AW88" s="710">
        <v>0</v>
      </c>
      <c r="AX88" s="711">
        <v>0</v>
      </c>
      <c r="AY88" s="710">
        <v>0</v>
      </c>
      <c r="AZ88" s="711">
        <v>0</v>
      </c>
      <c r="BA88" s="710">
        <v>0</v>
      </c>
      <c r="BB88" s="711">
        <v>0</v>
      </c>
      <c r="BC88" s="712">
        <v>0</v>
      </c>
      <c r="BD88" s="713">
        <v>0</v>
      </c>
      <c r="BE88" s="710">
        <v>0</v>
      </c>
      <c r="BF88" s="711">
        <v>0</v>
      </c>
      <c r="BG88" s="712">
        <v>0</v>
      </c>
      <c r="BH88" s="711">
        <v>0</v>
      </c>
      <c r="BI88" s="712">
        <v>0</v>
      </c>
      <c r="BJ88" s="711">
        <v>0</v>
      </c>
      <c r="BK88" s="712">
        <v>0</v>
      </c>
      <c r="BL88" s="711">
        <v>0</v>
      </c>
      <c r="BM88" s="712">
        <v>0</v>
      </c>
      <c r="BN88" s="711">
        <v>0</v>
      </c>
      <c r="BO88" s="712">
        <v>0</v>
      </c>
      <c r="BP88" s="711">
        <v>0</v>
      </c>
      <c r="BQ88" s="712">
        <v>0</v>
      </c>
      <c r="BR88" s="711">
        <v>0</v>
      </c>
      <c r="BS88" s="712">
        <v>0</v>
      </c>
      <c r="BT88" s="711">
        <v>0</v>
      </c>
      <c r="BU88" s="712">
        <v>0</v>
      </c>
      <c r="BV88" s="711">
        <v>0</v>
      </c>
      <c r="BW88" s="712">
        <v>0</v>
      </c>
      <c r="BX88" s="711">
        <v>0</v>
      </c>
      <c r="BY88" s="712">
        <v>0</v>
      </c>
      <c r="BZ88" s="711">
        <v>0</v>
      </c>
      <c r="CA88" s="712">
        <v>0</v>
      </c>
      <c r="CB88" s="711">
        <v>0</v>
      </c>
      <c r="CC88" s="710">
        <v>0</v>
      </c>
      <c r="CD88" s="713">
        <v>0</v>
      </c>
      <c r="CE88" s="710">
        <v>0</v>
      </c>
      <c r="CF88" s="713">
        <v>0</v>
      </c>
      <c r="CG88" s="710">
        <v>0</v>
      </c>
      <c r="CH88" s="713">
        <v>0</v>
      </c>
      <c r="CI88" s="710">
        <v>0</v>
      </c>
      <c r="CJ88" s="713">
        <v>0</v>
      </c>
      <c r="CK88" s="710">
        <v>0</v>
      </c>
      <c r="CL88" s="713">
        <v>0</v>
      </c>
      <c r="CM88" s="710">
        <v>0</v>
      </c>
      <c r="CN88" s="713">
        <v>0</v>
      </c>
      <c r="CO88" s="710">
        <v>0</v>
      </c>
      <c r="CP88" s="713">
        <v>0</v>
      </c>
      <c r="CQ88" s="710">
        <v>0</v>
      </c>
      <c r="CR88" s="711">
        <v>0</v>
      </c>
      <c r="CS88" s="710">
        <v>0</v>
      </c>
      <c r="CT88" s="711">
        <v>0</v>
      </c>
      <c r="CU88" s="712">
        <v>0</v>
      </c>
      <c r="CV88" s="711">
        <v>0</v>
      </c>
    </row>
    <row r="89" spans="1:100">
      <c r="A89" s="467">
        <v>87</v>
      </c>
      <c r="B89" s="595">
        <v>0</v>
      </c>
      <c r="C89" s="595">
        <v>0</v>
      </c>
      <c r="D89" s="595">
        <v>0</v>
      </c>
      <c r="E89" s="595">
        <v>0</v>
      </c>
      <c r="F89" s="595">
        <v>0</v>
      </c>
      <c r="G89" s="595">
        <v>0</v>
      </c>
      <c r="H89" s="595">
        <v>0</v>
      </c>
      <c r="I89" s="595">
        <v>0</v>
      </c>
      <c r="J89" s="595">
        <v>0</v>
      </c>
      <c r="K89" s="595">
        <v>0</v>
      </c>
      <c r="L89" s="595">
        <v>0</v>
      </c>
      <c r="M89" s="595">
        <v>0</v>
      </c>
      <c r="N89" s="595">
        <v>0</v>
      </c>
      <c r="O89" s="595">
        <v>0</v>
      </c>
      <c r="P89" s="595">
        <v>0</v>
      </c>
      <c r="Q89" s="595">
        <v>0</v>
      </c>
      <c r="R89" s="595">
        <v>0</v>
      </c>
      <c r="S89" s="595">
        <v>0</v>
      </c>
      <c r="T89" s="595">
        <v>0</v>
      </c>
      <c r="U89" s="595">
        <v>0</v>
      </c>
      <c r="V89" s="595">
        <v>0</v>
      </c>
      <c r="W89" s="611">
        <v>0</v>
      </c>
      <c r="X89" s="706"/>
      <c r="Y89" s="706"/>
      <c r="Z89" s="706"/>
      <c r="AA89" s="706"/>
      <c r="AB89" s="706"/>
      <c r="AC89" s="706"/>
      <c r="AD89" s="706"/>
      <c r="AE89" s="703">
        <v>0</v>
      </c>
      <c r="AF89" s="704">
        <v>0</v>
      </c>
      <c r="AG89" s="705">
        <v>0</v>
      </c>
      <c r="AH89" s="706">
        <v>0</v>
      </c>
      <c r="AI89" s="705">
        <v>0</v>
      </c>
      <c r="AJ89" s="703">
        <v>0</v>
      </c>
      <c r="AK89" s="705">
        <v>0</v>
      </c>
      <c r="AL89" s="707">
        <v>0</v>
      </c>
      <c r="AM89" s="703">
        <v>0</v>
      </c>
      <c r="AN89" s="703">
        <v>0</v>
      </c>
      <c r="AO89" s="707">
        <v>0</v>
      </c>
      <c r="AP89" s="708">
        <v>0.02</v>
      </c>
      <c r="AQ89" s="705">
        <f t="shared" si="24"/>
        <v>7.1428571428571426E-3</v>
      </c>
      <c r="AR89" s="703">
        <v>0</v>
      </c>
      <c r="AS89" s="705">
        <v>0</v>
      </c>
      <c r="AT89" s="709">
        <v>2E-3</v>
      </c>
      <c r="AU89" s="703">
        <v>0</v>
      </c>
      <c r="AV89" s="705">
        <v>0</v>
      </c>
      <c r="AW89" s="710">
        <v>0</v>
      </c>
      <c r="AX89" s="711">
        <v>0</v>
      </c>
      <c r="AY89" s="710">
        <v>0</v>
      </c>
      <c r="AZ89" s="711">
        <v>0</v>
      </c>
      <c r="BA89" s="710">
        <v>0</v>
      </c>
      <c r="BB89" s="711">
        <v>0</v>
      </c>
      <c r="BC89" s="712">
        <v>0</v>
      </c>
      <c r="BD89" s="713">
        <v>0</v>
      </c>
      <c r="BE89" s="710">
        <v>0</v>
      </c>
      <c r="BF89" s="711">
        <v>0</v>
      </c>
      <c r="BG89" s="712">
        <v>0</v>
      </c>
      <c r="BH89" s="711">
        <v>0</v>
      </c>
      <c r="BI89" s="712">
        <v>0</v>
      </c>
      <c r="BJ89" s="711">
        <v>0</v>
      </c>
      <c r="BK89" s="712">
        <v>0</v>
      </c>
      <c r="BL89" s="711">
        <v>0</v>
      </c>
      <c r="BM89" s="712">
        <v>0</v>
      </c>
      <c r="BN89" s="711">
        <v>0</v>
      </c>
      <c r="BO89" s="712">
        <v>0</v>
      </c>
      <c r="BP89" s="711">
        <v>0</v>
      </c>
      <c r="BQ89" s="712">
        <v>0</v>
      </c>
      <c r="BR89" s="711">
        <v>0</v>
      </c>
      <c r="BS89" s="712">
        <v>0</v>
      </c>
      <c r="BT89" s="711">
        <v>0</v>
      </c>
      <c r="BU89" s="712">
        <v>0</v>
      </c>
      <c r="BV89" s="711">
        <v>0</v>
      </c>
      <c r="BW89" s="712">
        <v>0</v>
      </c>
      <c r="BX89" s="711">
        <v>0</v>
      </c>
      <c r="BY89" s="712">
        <v>0</v>
      </c>
      <c r="BZ89" s="711">
        <v>0</v>
      </c>
      <c r="CA89" s="712">
        <v>0</v>
      </c>
      <c r="CB89" s="711">
        <v>0</v>
      </c>
      <c r="CC89" s="710">
        <v>0</v>
      </c>
      <c r="CD89" s="713">
        <v>0</v>
      </c>
      <c r="CE89" s="710">
        <v>0</v>
      </c>
      <c r="CF89" s="713">
        <v>0</v>
      </c>
      <c r="CG89" s="710">
        <v>0</v>
      </c>
      <c r="CH89" s="713">
        <v>0</v>
      </c>
      <c r="CI89" s="710">
        <v>0</v>
      </c>
      <c r="CJ89" s="713">
        <v>0</v>
      </c>
      <c r="CK89" s="710">
        <v>0</v>
      </c>
      <c r="CL89" s="713">
        <v>0</v>
      </c>
      <c r="CM89" s="710">
        <v>0</v>
      </c>
      <c r="CN89" s="713">
        <v>0</v>
      </c>
      <c r="CO89" s="710">
        <v>0</v>
      </c>
      <c r="CP89" s="713">
        <v>0</v>
      </c>
      <c r="CQ89" s="710">
        <v>0</v>
      </c>
      <c r="CR89" s="711">
        <v>0</v>
      </c>
      <c r="CS89" s="710">
        <v>0</v>
      </c>
      <c r="CT89" s="711">
        <v>0</v>
      </c>
      <c r="CU89" s="712">
        <v>0</v>
      </c>
      <c r="CV89" s="711">
        <v>0</v>
      </c>
    </row>
    <row r="90" spans="1:100">
      <c r="A90" s="467">
        <v>88</v>
      </c>
      <c r="B90" s="595">
        <v>0</v>
      </c>
      <c r="C90" s="595">
        <v>0</v>
      </c>
      <c r="D90" s="595">
        <v>0</v>
      </c>
      <c r="E90" s="595">
        <v>0</v>
      </c>
      <c r="F90" s="595">
        <v>0</v>
      </c>
      <c r="G90" s="595">
        <v>0</v>
      </c>
      <c r="H90" s="595">
        <v>0</v>
      </c>
      <c r="I90" s="595">
        <v>0</v>
      </c>
      <c r="J90" s="595">
        <v>0</v>
      </c>
      <c r="K90" s="595">
        <v>0</v>
      </c>
      <c r="L90" s="595">
        <v>0</v>
      </c>
      <c r="M90" s="595">
        <v>0</v>
      </c>
      <c r="N90" s="595">
        <v>0</v>
      </c>
      <c r="O90" s="595">
        <v>0</v>
      </c>
      <c r="P90" s="595">
        <v>0</v>
      </c>
      <c r="Q90" s="595">
        <v>0</v>
      </c>
      <c r="R90" s="595">
        <v>0</v>
      </c>
      <c r="S90" s="595">
        <v>0</v>
      </c>
      <c r="T90" s="595">
        <v>0</v>
      </c>
      <c r="U90" s="595">
        <v>0</v>
      </c>
      <c r="V90" s="595">
        <v>0</v>
      </c>
      <c r="W90" s="611">
        <v>0</v>
      </c>
      <c r="X90" s="706"/>
      <c r="Y90" s="706"/>
      <c r="Z90" s="706"/>
      <c r="AA90" s="706"/>
      <c r="AB90" s="706"/>
      <c r="AC90" s="706"/>
      <c r="AD90" s="706"/>
      <c r="AE90" s="703">
        <v>0</v>
      </c>
      <c r="AF90" s="704">
        <v>0</v>
      </c>
      <c r="AG90" s="705">
        <v>0</v>
      </c>
      <c r="AH90" s="706">
        <v>0</v>
      </c>
      <c r="AI90" s="705">
        <v>0</v>
      </c>
      <c r="AJ90" s="703">
        <v>0</v>
      </c>
      <c r="AK90" s="705">
        <v>0</v>
      </c>
      <c r="AL90" s="707">
        <v>0</v>
      </c>
      <c r="AM90" s="703">
        <v>0</v>
      </c>
      <c r="AN90" s="703">
        <v>0</v>
      </c>
      <c r="AO90" s="707">
        <v>0</v>
      </c>
      <c r="AP90" s="708">
        <v>0.02</v>
      </c>
      <c r="AQ90" s="705">
        <f t="shared" si="24"/>
        <v>7.1428571428571426E-3</v>
      </c>
      <c r="AR90" s="703">
        <v>0</v>
      </c>
      <c r="AS90" s="705">
        <v>0</v>
      </c>
      <c r="AT90" s="709">
        <v>2E-3</v>
      </c>
      <c r="AU90" s="703">
        <v>0</v>
      </c>
      <c r="AV90" s="705">
        <v>0</v>
      </c>
      <c r="AW90" s="710">
        <v>0</v>
      </c>
      <c r="AX90" s="711">
        <v>0</v>
      </c>
      <c r="AY90" s="710">
        <v>0</v>
      </c>
      <c r="AZ90" s="711">
        <v>0</v>
      </c>
      <c r="BA90" s="710">
        <v>0</v>
      </c>
      <c r="BB90" s="711">
        <v>0</v>
      </c>
      <c r="BC90" s="712">
        <v>0</v>
      </c>
      <c r="BD90" s="713">
        <v>0</v>
      </c>
      <c r="BE90" s="710">
        <v>0</v>
      </c>
      <c r="BF90" s="711">
        <v>0</v>
      </c>
      <c r="BG90" s="712">
        <v>0</v>
      </c>
      <c r="BH90" s="711">
        <v>0</v>
      </c>
      <c r="BI90" s="712">
        <v>0</v>
      </c>
      <c r="BJ90" s="711">
        <v>0</v>
      </c>
      <c r="BK90" s="712">
        <v>0</v>
      </c>
      <c r="BL90" s="711">
        <v>0</v>
      </c>
      <c r="BM90" s="712">
        <v>0</v>
      </c>
      <c r="BN90" s="711">
        <v>0</v>
      </c>
      <c r="BO90" s="712">
        <v>0</v>
      </c>
      <c r="BP90" s="711">
        <v>0</v>
      </c>
      <c r="BQ90" s="712">
        <v>0</v>
      </c>
      <c r="BR90" s="711">
        <v>0</v>
      </c>
      <c r="BS90" s="712">
        <v>0</v>
      </c>
      <c r="BT90" s="711">
        <v>0</v>
      </c>
      <c r="BU90" s="712">
        <v>0</v>
      </c>
      <c r="BV90" s="711">
        <v>0</v>
      </c>
      <c r="BW90" s="712">
        <v>0</v>
      </c>
      <c r="BX90" s="711">
        <v>0</v>
      </c>
      <c r="BY90" s="712">
        <v>0</v>
      </c>
      <c r="BZ90" s="711">
        <v>0</v>
      </c>
      <c r="CA90" s="712">
        <v>0</v>
      </c>
      <c r="CB90" s="711">
        <v>0</v>
      </c>
      <c r="CC90" s="710">
        <v>0</v>
      </c>
      <c r="CD90" s="713">
        <v>0</v>
      </c>
      <c r="CE90" s="710">
        <v>0</v>
      </c>
      <c r="CF90" s="713">
        <v>0</v>
      </c>
      <c r="CG90" s="710">
        <v>0</v>
      </c>
      <c r="CH90" s="713">
        <v>0</v>
      </c>
      <c r="CI90" s="710">
        <v>0</v>
      </c>
      <c r="CJ90" s="713">
        <v>0</v>
      </c>
      <c r="CK90" s="710">
        <v>0</v>
      </c>
      <c r="CL90" s="713">
        <v>0</v>
      </c>
      <c r="CM90" s="710">
        <v>0</v>
      </c>
      <c r="CN90" s="713">
        <v>0</v>
      </c>
      <c r="CO90" s="710">
        <v>0</v>
      </c>
      <c r="CP90" s="713">
        <v>0</v>
      </c>
      <c r="CQ90" s="710">
        <v>0</v>
      </c>
      <c r="CR90" s="711">
        <v>0</v>
      </c>
      <c r="CS90" s="710">
        <v>0</v>
      </c>
      <c r="CT90" s="711">
        <v>0</v>
      </c>
      <c r="CU90" s="712">
        <v>0</v>
      </c>
      <c r="CV90" s="711">
        <v>0</v>
      </c>
    </row>
    <row r="91" spans="1:100">
      <c r="A91" s="467">
        <v>89</v>
      </c>
      <c r="B91" s="595">
        <v>0</v>
      </c>
      <c r="C91" s="595">
        <v>0</v>
      </c>
      <c r="D91" s="595">
        <v>0</v>
      </c>
      <c r="E91" s="595">
        <v>0</v>
      </c>
      <c r="F91" s="595">
        <v>0</v>
      </c>
      <c r="G91" s="595">
        <v>0</v>
      </c>
      <c r="H91" s="595">
        <v>0</v>
      </c>
      <c r="I91" s="595">
        <v>0</v>
      </c>
      <c r="J91" s="595">
        <v>0</v>
      </c>
      <c r="K91" s="595">
        <v>0</v>
      </c>
      <c r="L91" s="595">
        <v>0</v>
      </c>
      <c r="M91" s="595">
        <v>0</v>
      </c>
      <c r="N91" s="595">
        <v>0</v>
      </c>
      <c r="O91" s="595">
        <v>0</v>
      </c>
      <c r="P91" s="595">
        <v>0</v>
      </c>
      <c r="Q91" s="595">
        <v>0</v>
      </c>
      <c r="R91" s="595">
        <v>0</v>
      </c>
      <c r="S91" s="595">
        <v>0</v>
      </c>
      <c r="T91" s="595">
        <v>0</v>
      </c>
      <c r="U91" s="595">
        <v>0</v>
      </c>
      <c r="V91" s="595">
        <v>0</v>
      </c>
      <c r="W91" s="611">
        <v>0</v>
      </c>
      <c r="X91" s="706"/>
      <c r="Y91" s="706"/>
      <c r="Z91" s="706"/>
      <c r="AA91" s="706"/>
      <c r="AB91" s="706"/>
      <c r="AC91" s="706"/>
      <c r="AD91" s="706"/>
      <c r="AE91" s="703">
        <v>0</v>
      </c>
      <c r="AF91" s="704">
        <v>0</v>
      </c>
      <c r="AG91" s="705">
        <v>0</v>
      </c>
      <c r="AH91" s="706">
        <v>0</v>
      </c>
      <c r="AI91" s="705">
        <v>0</v>
      </c>
      <c r="AJ91" s="703">
        <v>0</v>
      </c>
      <c r="AK91" s="705">
        <v>0</v>
      </c>
      <c r="AL91" s="707">
        <v>0</v>
      </c>
      <c r="AM91" s="703">
        <v>0</v>
      </c>
      <c r="AN91" s="703">
        <v>0</v>
      </c>
      <c r="AO91" s="707">
        <v>0</v>
      </c>
      <c r="AP91" s="708">
        <v>0.02</v>
      </c>
      <c r="AQ91" s="705">
        <f t="shared" si="24"/>
        <v>7.1428571428571426E-3</v>
      </c>
      <c r="AR91" s="703">
        <v>0</v>
      </c>
      <c r="AS91" s="705">
        <v>0</v>
      </c>
      <c r="AT91" s="709">
        <v>2E-3</v>
      </c>
      <c r="AU91" s="703">
        <v>0</v>
      </c>
      <c r="AV91" s="705">
        <v>0</v>
      </c>
      <c r="AW91" s="710">
        <v>0</v>
      </c>
      <c r="AX91" s="711">
        <v>0</v>
      </c>
      <c r="AY91" s="710">
        <v>0</v>
      </c>
      <c r="AZ91" s="711">
        <v>0</v>
      </c>
      <c r="BA91" s="710">
        <v>0</v>
      </c>
      <c r="BB91" s="711">
        <v>0</v>
      </c>
      <c r="BC91" s="712">
        <v>0</v>
      </c>
      <c r="BD91" s="713">
        <v>0</v>
      </c>
      <c r="BE91" s="710">
        <v>0</v>
      </c>
      <c r="BF91" s="711">
        <v>0</v>
      </c>
      <c r="BG91" s="712">
        <v>0</v>
      </c>
      <c r="BH91" s="711">
        <v>0</v>
      </c>
      <c r="BI91" s="712">
        <v>0</v>
      </c>
      <c r="BJ91" s="711">
        <v>0</v>
      </c>
      <c r="BK91" s="712">
        <v>0</v>
      </c>
      <c r="BL91" s="711">
        <v>0</v>
      </c>
      <c r="BM91" s="712">
        <v>0</v>
      </c>
      <c r="BN91" s="711">
        <v>0</v>
      </c>
      <c r="BO91" s="712">
        <v>0</v>
      </c>
      <c r="BP91" s="711">
        <v>0</v>
      </c>
      <c r="BQ91" s="712">
        <v>0</v>
      </c>
      <c r="BR91" s="711">
        <v>0</v>
      </c>
      <c r="BS91" s="712">
        <v>0</v>
      </c>
      <c r="BT91" s="711">
        <v>0</v>
      </c>
      <c r="BU91" s="712">
        <v>0</v>
      </c>
      <c r="BV91" s="711">
        <v>0</v>
      </c>
      <c r="BW91" s="712">
        <v>0</v>
      </c>
      <c r="BX91" s="711">
        <v>0</v>
      </c>
      <c r="BY91" s="712">
        <v>0</v>
      </c>
      <c r="BZ91" s="711">
        <v>0</v>
      </c>
      <c r="CA91" s="712">
        <v>0</v>
      </c>
      <c r="CB91" s="711">
        <v>0</v>
      </c>
      <c r="CC91" s="710">
        <v>0</v>
      </c>
      <c r="CD91" s="713">
        <v>0</v>
      </c>
      <c r="CE91" s="710">
        <v>0</v>
      </c>
      <c r="CF91" s="713">
        <v>0</v>
      </c>
      <c r="CG91" s="710">
        <v>0</v>
      </c>
      <c r="CH91" s="713">
        <v>0</v>
      </c>
      <c r="CI91" s="710">
        <v>0</v>
      </c>
      <c r="CJ91" s="713">
        <v>0</v>
      </c>
      <c r="CK91" s="710">
        <v>0</v>
      </c>
      <c r="CL91" s="713">
        <v>0</v>
      </c>
      <c r="CM91" s="710">
        <v>0</v>
      </c>
      <c r="CN91" s="713">
        <v>0</v>
      </c>
      <c r="CO91" s="710">
        <v>0</v>
      </c>
      <c r="CP91" s="713">
        <v>0</v>
      </c>
      <c r="CQ91" s="710">
        <v>0</v>
      </c>
      <c r="CR91" s="711">
        <v>0</v>
      </c>
      <c r="CS91" s="710">
        <v>0</v>
      </c>
      <c r="CT91" s="711">
        <v>0</v>
      </c>
      <c r="CU91" s="712">
        <v>0</v>
      </c>
      <c r="CV91" s="711">
        <v>0</v>
      </c>
    </row>
    <row r="92" spans="1:100">
      <c r="A92" s="467">
        <v>90</v>
      </c>
      <c r="B92" s="595">
        <v>0</v>
      </c>
      <c r="C92" s="595">
        <v>0</v>
      </c>
      <c r="D92" s="595">
        <v>0</v>
      </c>
      <c r="E92" s="595">
        <v>0</v>
      </c>
      <c r="F92" s="595">
        <v>0</v>
      </c>
      <c r="G92" s="595">
        <v>0</v>
      </c>
      <c r="H92" s="595">
        <v>0</v>
      </c>
      <c r="I92" s="595">
        <v>0</v>
      </c>
      <c r="J92" s="595">
        <v>0</v>
      </c>
      <c r="K92" s="595">
        <v>0</v>
      </c>
      <c r="L92" s="595">
        <v>0</v>
      </c>
      <c r="M92" s="595">
        <v>0</v>
      </c>
      <c r="N92" s="595">
        <v>0</v>
      </c>
      <c r="O92" s="595">
        <v>0</v>
      </c>
      <c r="P92" s="595">
        <v>0</v>
      </c>
      <c r="Q92" s="595">
        <v>0</v>
      </c>
      <c r="R92" s="595">
        <v>0</v>
      </c>
      <c r="S92" s="595">
        <v>0</v>
      </c>
      <c r="T92" s="595">
        <v>0</v>
      </c>
      <c r="U92" s="595">
        <v>0</v>
      </c>
      <c r="V92" s="595">
        <v>0</v>
      </c>
      <c r="W92" s="611">
        <v>0</v>
      </c>
      <c r="X92" s="706"/>
      <c r="Y92" s="706"/>
      <c r="Z92" s="706"/>
      <c r="AA92" s="706"/>
      <c r="AB92" s="706"/>
      <c r="AC92" s="706"/>
      <c r="AD92" s="706"/>
      <c r="AE92" s="703">
        <v>0</v>
      </c>
      <c r="AF92" s="704">
        <v>0</v>
      </c>
      <c r="AG92" s="705">
        <v>0</v>
      </c>
      <c r="AH92" s="706">
        <v>0</v>
      </c>
      <c r="AI92" s="705">
        <v>0</v>
      </c>
      <c r="AJ92" s="703">
        <v>0</v>
      </c>
      <c r="AK92" s="705">
        <v>0</v>
      </c>
      <c r="AL92" s="707">
        <v>0</v>
      </c>
      <c r="AM92" s="703">
        <v>0</v>
      </c>
      <c r="AN92" s="703">
        <v>0</v>
      </c>
      <c r="AO92" s="707">
        <v>0</v>
      </c>
      <c r="AP92" s="708">
        <v>0.02</v>
      </c>
      <c r="AQ92" s="705">
        <f t="shared" si="24"/>
        <v>7.1428571428571426E-3</v>
      </c>
      <c r="AR92" s="703">
        <v>0</v>
      </c>
      <c r="AS92" s="705">
        <v>0</v>
      </c>
      <c r="AT92" s="709">
        <v>2E-3</v>
      </c>
      <c r="AU92" s="703">
        <v>0</v>
      </c>
      <c r="AV92" s="705">
        <v>0</v>
      </c>
      <c r="AW92" s="710">
        <v>0</v>
      </c>
      <c r="AX92" s="711">
        <v>0</v>
      </c>
      <c r="AY92" s="710">
        <v>0</v>
      </c>
      <c r="AZ92" s="711">
        <v>0</v>
      </c>
      <c r="BA92" s="710">
        <v>0</v>
      </c>
      <c r="BB92" s="711">
        <v>0</v>
      </c>
      <c r="BC92" s="712">
        <v>0</v>
      </c>
      <c r="BD92" s="713">
        <v>0</v>
      </c>
      <c r="BE92" s="710">
        <v>0</v>
      </c>
      <c r="BF92" s="711">
        <v>0</v>
      </c>
      <c r="BG92" s="712">
        <v>0</v>
      </c>
      <c r="BH92" s="711">
        <v>0</v>
      </c>
      <c r="BI92" s="712">
        <v>0</v>
      </c>
      <c r="BJ92" s="711">
        <v>0</v>
      </c>
      <c r="BK92" s="712">
        <v>0</v>
      </c>
      <c r="BL92" s="711">
        <v>0</v>
      </c>
      <c r="BM92" s="712">
        <v>0</v>
      </c>
      <c r="BN92" s="711">
        <v>0</v>
      </c>
      <c r="BO92" s="712">
        <v>0</v>
      </c>
      <c r="BP92" s="711">
        <v>0</v>
      </c>
      <c r="BQ92" s="712">
        <v>0</v>
      </c>
      <c r="BR92" s="711">
        <v>0</v>
      </c>
      <c r="BS92" s="712">
        <v>0</v>
      </c>
      <c r="BT92" s="711">
        <v>0</v>
      </c>
      <c r="BU92" s="712">
        <v>0</v>
      </c>
      <c r="BV92" s="711">
        <v>0</v>
      </c>
      <c r="BW92" s="712">
        <v>0</v>
      </c>
      <c r="BX92" s="711">
        <v>0</v>
      </c>
      <c r="BY92" s="712">
        <v>0</v>
      </c>
      <c r="BZ92" s="711">
        <v>0</v>
      </c>
      <c r="CA92" s="712">
        <v>0</v>
      </c>
      <c r="CB92" s="711">
        <v>0</v>
      </c>
      <c r="CC92" s="710">
        <v>0</v>
      </c>
      <c r="CD92" s="713">
        <v>0</v>
      </c>
      <c r="CE92" s="710">
        <v>0</v>
      </c>
      <c r="CF92" s="713">
        <v>0</v>
      </c>
      <c r="CG92" s="710">
        <v>0</v>
      </c>
      <c r="CH92" s="713">
        <v>0</v>
      </c>
      <c r="CI92" s="710">
        <v>0</v>
      </c>
      <c r="CJ92" s="713">
        <v>0</v>
      </c>
      <c r="CK92" s="710">
        <v>0</v>
      </c>
      <c r="CL92" s="713">
        <v>0</v>
      </c>
      <c r="CM92" s="710">
        <v>0</v>
      </c>
      <c r="CN92" s="713">
        <v>0</v>
      </c>
      <c r="CO92" s="710">
        <v>0</v>
      </c>
      <c r="CP92" s="713">
        <v>0</v>
      </c>
      <c r="CQ92" s="710">
        <v>0</v>
      </c>
      <c r="CR92" s="711">
        <v>0</v>
      </c>
      <c r="CS92" s="710">
        <v>0</v>
      </c>
      <c r="CT92" s="711">
        <v>0</v>
      </c>
      <c r="CU92" s="712">
        <v>0</v>
      </c>
      <c r="CV92" s="711">
        <v>0</v>
      </c>
    </row>
    <row r="93" spans="1:100">
      <c r="A93" s="467">
        <v>91</v>
      </c>
      <c r="B93" s="595">
        <v>0</v>
      </c>
      <c r="C93" s="595">
        <v>0</v>
      </c>
      <c r="D93" s="595">
        <v>0</v>
      </c>
      <c r="E93" s="595">
        <v>0</v>
      </c>
      <c r="F93" s="595">
        <v>0</v>
      </c>
      <c r="G93" s="595">
        <v>0</v>
      </c>
      <c r="H93" s="595">
        <v>0</v>
      </c>
      <c r="I93" s="595">
        <v>0</v>
      </c>
      <c r="J93" s="595">
        <v>0</v>
      </c>
      <c r="K93" s="595">
        <v>0</v>
      </c>
      <c r="L93" s="595">
        <v>0</v>
      </c>
      <c r="M93" s="595">
        <v>0</v>
      </c>
      <c r="N93" s="595">
        <v>0</v>
      </c>
      <c r="O93" s="595">
        <v>0</v>
      </c>
      <c r="P93" s="595">
        <v>0</v>
      </c>
      <c r="Q93" s="595">
        <v>0</v>
      </c>
      <c r="R93" s="595">
        <v>0</v>
      </c>
      <c r="S93" s="595">
        <v>0</v>
      </c>
      <c r="T93" s="595">
        <v>0</v>
      </c>
      <c r="U93" s="595">
        <v>0</v>
      </c>
      <c r="V93" s="595">
        <v>0</v>
      </c>
      <c r="W93" s="611">
        <v>0</v>
      </c>
      <c r="X93" s="706"/>
      <c r="Y93" s="706"/>
      <c r="Z93" s="706"/>
      <c r="AA93" s="706"/>
      <c r="AB93" s="706"/>
      <c r="AC93" s="706"/>
      <c r="AD93" s="706"/>
      <c r="AE93" s="703">
        <v>0</v>
      </c>
      <c r="AF93" s="704">
        <v>0</v>
      </c>
      <c r="AG93" s="705">
        <v>0</v>
      </c>
      <c r="AH93" s="706">
        <v>0</v>
      </c>
      <c r="AI93" s="705">
        <v>0</v>
      </c>
      <c r="AJ93" s="703">
        <v>0</v>
      </c>
      <c r="AK93" s="705">
        <v>0</v>
      </c>
      <c r="AL93" s="707">
        <v>0</v>
      </c>
      <c r="AM93" s="703">
        <v>0</v>
      </c>
      <c r="AN93" s="703">
        <v>0</v>
      </c>
      <c r="AO93" s="707">
        <v>0</v>
      </c>
      <c r="AP93" s="708">
        <v>0.02</v>
      </c>
      <c r="AQ93" s="705">
        <f t="shared" si="24"/>
        <v>7.1428571428571426E-3</v>
      </c>
      <c r="AR93" s="703">
        <v>0</v>
      </c>
      <c r="AS93" s="705">
        <v>0</v>
      </c>
      <c r="AT93" s="709">
        <v>2E-3</v>
      </c>
      <c r="AU93" s="703">
        <v>0</v>
      </c>
      <c r="AV93" s="705">
        <v>0</v>
      </c>
      <c r="AW93" s="710">
        <v>0</v>
      </c>
      <c r="AX93" s="711">
        <v>0</v>
      </c>
      <c r="AY93" s="710">
        <v>0</v>
      </c>
      <c r="AZ93" s="711">
        <v>0</v>
      </c>
      <c r="BA93" s="710">
        <v>0</v>
      </c>
      <c r="BB93" s="711">
        <v>0</v>
      </c>
      <c r="BC93" s="712">
        <v>0</v>
      </c>
      <c r="BD93" s="713">
        <v>0</v>
      </c>
      <c r="BE93" s="710">
        <v>0</v>
      </c>
      <c r="BF93" s="711">
        <v>0</v>
      </c>
      <c r="BG93" s="712">
        <v>0</v>
      </c>
      <c r="BH93" s="711">
        <v>0</v>
      </c>
      <c r="BI93" s="712">
        <v>0</v>
      </c>
      <c r="BJ93" s="711">
        <v>0</v>
      </c>
      <c r="BK93" s="712">
        <v>0</v>
      </c>
      <c r="BL93" s="711">
        <v>0</v>
      </c>
      <c r="BM93" s="712">
        <v>0</v>
      </c>
      <c r="BN93" s="711">
        <v>0</v>
      </c>
      <c r="BO93" s="712">
        <v>0</v>
      </c>
      <c r="BP93" s="711">
        <v>0</v>
      </c>
      <c r="BQ93" s="712">
        <v>0</v>
      </c>
      <c r="BR93" s="711">
        <v>0</v>
      </c>
      <c r="BS93" s="712">
        <v>0</v>
      </c>
      <c r="BT93" s="711">
        <v>0</v>
      </c>
      <c r="BU93" s="712">
        <v>0</v>
      </c>
      <c r="BV93" s="711">
        <v>0</v>
      </c>
      <c r="BW93" s="712">
        <v>0</v>
      </c>
      <c r="BX93" s="711">
        <v>0</v>
      </c>
      <c r="BY93" s="712">
        <v>0</v>
      </c>
      <c r="BZ93" s="711">
        <v>0</v>
      </c>
      <c r="CA93" s="712">
        <v>0</v>
      </c>
      <c r="CB93" s="711">
        <v>0</v>
      </c>
      <c r="CC93" s="710">
        <v>0</v>
      </c>
      <c r="CD93" s="713">
        <v>0</v>
      </c>
      <c r="CE93" s="710">
        <v>0</v>
      </c>
      <c r="CF93" s="713">
        <v>0</v>
      </c>
      <c r="CG93" s="710">
        <v>0</v>
      </c>
      <c r="CH93" s="713">
        <v>0</v>
      </c>
      <c r="CI93" s="710">
        <v>0</v>
      </c>
      <c r="CJ93" s="713">
        <v>0</v>
      </c>
      <c r="CK93" s="710">
        <v>0</v>
      </c>
      <c r="CL93" s="713">
        <v>0</v>
      </c>
      <c r="CM93" s="710">
        <v>0</v>
      </c>
      <c r="CN93" s="713">
        <v>0</v>
      </c>
      <c r="CO93" s="710">
        <v>0</v>
      </c>
      <c r="CP93" s="713">
        <v>0</v>
      </c>
      <c r="CQ93" s="710">
        <v>0</v>
      </c>
      <c r="CR93" s="711">
        <v>0</v>
      </c>
      <c r="CS93" s="710">
        <v>0</v>
      </c>
      <c r="CT93" s="711">
        <v>0</v>
      </c>
      <c r="CU93" s="712">
        <v>0</v>
      </c>
      <c r="CV93" s="711">
        <v>0</v>
      </c>
    </row>
    <row r="94" spans="1:100">
      <c r="A94" s="467">
        <v>92</v>
      </c>
      <c r="B94" s="595">
        <v>0</v>
      </c>
      <c r="C94" s="595">
        <v>0</v>
      </c>
      <c r="D94" s="595">
        <v>0</v>
      </c>
      <c r="E94" s="595">
        <v>0</v>
      </c>
      <c r="F94" s="595">
        <v>0</v>
      </c>
      <c r="G94" s="595">
        <v>0</v>
      </c>
      <c r="H94" s="595">
        <v>0</v>
      </c>
      <c r="I94" s="595">
        <v>0</v>
      </c>
      <c r="J94" s="595">
        <v>0</v>
      </c>
      <c r="K94" s="595">
        <v>0</v>
      </c>
      <c r="L94" s="595">
        <v>0</v>
      </c>
      <c r="M94" s="595">
        <v>0</v>
      </c>
      <c r="N94" s="595">
        <v>0</v>
      </c>
      <c r="O94" s="595">
        <v>0</v>
      </c>
      <c r="P94" s="595">
        <v>0</v>
      </c>
      <c r="Q94" s="595">
        <v>0</v>
      </c>
      <c r="R94" s="595">
        <v>0</v>
      </c>
      <c r="S94" s="595">
        <v>0</v>
      </c>
      <c r="T94" s="595">
        <v>0</v>
      </c>
      <c r="U94" s="595">
        <v>0</v>
      </c>
      <c r="V94" s="595">
        <v>0</v>
      </c>
      <c r="W94" s="611">
        <v>0</v>
      </c>
      <c r="X94" s="706"/>
      <c r="Y94" s="706"/>
      <c r="Z94" s="706"/>
      <c r="AA94" s="706"/>
      <c r="AB94" s="706"/>
      <c r="AC94" s="706"/>
      <c r="AD94" s="706"/>
      <c r="AE94" s="703">
        <v>0</v>
      </c>
      <c r="AF94" s="704">
        <v>0</v>
      </c>
      <c r="AG94" s="705">
        <v>0</v>
      </c>
      <c r="AH94" s="706">
        <v>0</v>
      </c>
      <c r="AI94" s="705">
        <v>0</v>
      </c>
      <c r="AJ94" s="703">
        <v>0</v>
      </c>
      <c r="AK94" s="705">
        <v>0</v>
      </c>
      <c r="AL94" s="707">
        <v>0</v>
      </c>
      <c r="AM94" s="703">
        <v>0</v>
      </c>
      <c r="AN94" s="703">
        <v>0</v>
      </c>
      <c r="AO94" s="707">
        <v>0</v>
      </c>
      <c r="AP94" s="708">
        <v>0.02</v>
      </c>
      <c r="AQ94" s="705">
        <f t="shared" si="24"/>
        <v>7.1428571428571426E-3</v>
      </c>
      <c r="AR94" s="703">
        <v>0</v>
      </c>
      <c r="AS94" s="705">
        <v>0</v>
      </c>
      <c r="AT94" s="709">
        <v>2E-3</v>
      </c>
      <c r="AU94" s="703">
        <v>0</v>
      </c>
      <c r="AV94" s="705">
        <v>0</v>
      </c>
      <c r="AW94" s="710">
        <v>0</v>
      </c>
      <c r="AX94" s="711">
        <v>0</v>
      </c>
      <c r="AY94" s="710">
        <v>0</v>
      </c>
      <c r="AZ94" s="711">
        <v>0</v>
      </c>
      <c r="BA94" s="710">
        <v>0</v>
      </c>
      <c r="BB94" s="711">
        <v>0</v>
      </c>
      <c r="BC94" s="712">
        <v>0</v>
      </c>
      <c r="BD94" s="713">
        <v>0</v>
      </c>
      <c r="BE94" s="710">
        <v>0</v>
      </c>
      <c r="BF94" s="711">
        <v>0</v>
      </c>
      <c r="BG94" s="712">
        <v>0</v>
      </c>
      <c r="BH94" s="711">
        <v>0</v>
      </c>
      <c r="BI94" s="712">
        <v>0</v>
      </c>
      <c r="BJ94" s="711">
        <v>0</v>
      </c>
      <c r="BK94" s="712">
        <v>0</v>
      </c>
      <c r="BL94" s="711">
        <v>0</v>
      </c>
      <c r="BM94" s="712">
        <v>0</v>
      </c>
      <c r="BN94" s="711">
        <v>0</v>
      </c>
      <c r="BO94" s="712">
        <v>0</v>
      </c>
      <c r="BP94" s="711">
        <v>0</v>
      </c>
      <c r="BQ94" s="712">
        <v>0</v>
      </c>
      <c r="BR94" s="711">
        <v>0</v>
      </c>
      <c r="BS94" s="712">
        <v>0</v>
      </c>
      <c r="BT94" s="711">
        <v>0</v>
      </c>
      <c r="BU94" s="712">
        <v>0</v>
      </c>
      <c r="BV94" s="711">
        <v>0</v>
      </c>
      <c r="BW94" s="712">
        <v>0</v>
      </c>
      <c r="BX94" s="711">
        <v>0</v>
      </c>
      <c r="BY94" s="712">
        <v>0</v>
      </c>
      <c r="BZ94" s="711">
        <v>0</v>
      </c>
      <c r="CA94" s="712">
        <v>0</v>
      </c>
      <c r="CB94" s="711">
        <v>0</v>
      </c>
      <c r="CC94" s="710">
        <v>0</v>
      </c>
      <c r="CD94" s="713">
        <v>0</v>
      </c>
      <c r="CE94" s="710">
        <v>0</v>
      </c>
      <c r="CF94" s="713">
        <v>0</v>
      </c>
      <c r="CG94" s="710">
        <v>0</v>
      </c>
      <c r="CH94" s="713">
        <v>0</v>
      </c>
      <c r="CI94" s="710">
        <v>0</v>
      </c>
      <c r="CJ94" s="713">
        <v>0</v>
      </c>
      <c r="CK94" s="710">
        <v>0</v>
      </c>
      <c r="CL94" s="713">
        <v>0</v>
      </c>
      <c r="CM94" s="710">
        <v>0</v>
      </c>
      <c r="CN94" s="713">
        <v>0</v>
      </c>
      <c r="CO94" s="710">
        <v>0</v>
      </c>
      <c r="CP94" s="713">
        <v>0</v>
      </c>
      <c r="CQ94" s="710">
        <v>0</v>
      </c>
      <c r="CR94" s="711">
        <v>0</v>
      </c>
      <c r="CS94" s="710">
        <v>0</v>
      </c>
      <c r="CT94" s="711">
        <v>0</v>
      </c>
      <c r="CU94" s="712">
        <v>0</v>
      </c>
      <c r="CV94" s="711">
        <v>0</v>
      </c>
    </row>
    <row r="95" spans="1:100">
      <c r="A95" s="467">
        <v>93</v>
      </c>
      <c r="B95" s="595">
        <v>0</v>
      </c>
      <c r="C95" s="595">
        <v>0</v>
      </c>
      <c r="D95" s="595">
        <v>0</v>
      </c>
      <c r="E95" s="595">
        <v>0</v>
      </c>
      <c r="F95" s="595">
        <v>0</v>
      </c>
      <c r="G95" s="595">
        <v>0</v>
      </c>
      <c r="H95" s="595">
        <v>0</v>
      </c>
      <c r="I95" s="595">
        <v>0</v>
      </c>
      <c r="J95" s="595">
        <v>0</v>
      </c>
      <c r="K95" s="595">
        <v>0</v>
      </c>
      <c r="L95" s="595">
        <v>0</v>
      </c>
      <c r="M95" s="595">
        <v>0</v>
      </c>
      <c r="N95" s="595">
        <v>0</v>
      </c>
      <c r="O95" s="595">
        <v>0</v>
      </c>
      <c r="P95" s="595">
        <v>0</v>
      </c>
      <c r="Q95" s="595">
        <v>0</v>
      </c>
      <c r="R95" s="595">
        <v>0</v>
      </c>
      <c r="S95" s="595">
        <v>0</v>
      </c>
      <c r="T95" s="595">
        <v>0</v>
      </c>
      <c r="U95" s="595">
        <v>0</v>
      </c>
      <c r="V95" s="595">
        <v>0</v>
      </c>
      <c r="W95" s="611">
        <v>0</v>
      </c>
      <c r="X95" s="706"/>
      <c r="Y95" s="706"/>
      <c r="Z95" s="706"/>
      <c r="AA95" s="706"/>
      <c r="AB95" s="706"/>
      <c r="AC95" s="706"/>
      <c r="AD95" s="706"/>
      <c r="AE95" s="703">
        <v>0</v>
      </c>
      <c r="AF95" s="704">
        <v>0</v>
      </c>
      <c r="AG95" s="705">
        <v>0</v>
      </c>
      <c r="AH95" s="706">
        <v>0</v>
      </c>
      <c r="AI95" s="705">
        <v>0</v>
      </c>
      <c r="AJ95" s="703">
        <v>0</v>
      </c>
      <c r="AK95" s="705">
        <v>0</v>
      </c>
      <c r="AL95" s="707">
        <v>0</v>
      </c>
      <c r="AM95" s="703">
        <v>0</v>
      </c>
      <c r="AN95" s="703">
        <v>0</v>
      </c>
      <c r="AO95" s="707">
        <v>0</v>
      </c>
      <c r="AP95" s="708">
        <v>0.02</v>
      </c>
      <c r="AQ95" s="705">
        <f t="shared" si="24"/>
        <v>7.1428571428571426E-3</v>
      </c>
      <c r="AR95" s="703">
        <v>0</v>
      </c>
      <c r="AS95" s="705">
        <v>0</v>
      </c>
      <c r="AT95" s="709">
        <v>2E-3</v>
      </c>
      <c r="AU95" s="703">
        <v>0</v>
      </c>
      <c r="AV95" s="705">
        <v>0</v>
      </c>
      <c r="AW95" s="710">
        <v>0</v>
      </c>
      <c r="AX95" s="711">
        <v>0</v>
      </c>
      <c r="AY95" s="710">
        <v>0</v>
      </c>
      <c r="AZ95" s="711">
        <v>0</v>
      </c>
      <c r="BA95" s="710">
        <v>0</v>
      </c>
      <c r="BB95" s="711">
        <v>0</v>
      </c>
      <c r="BC95" s="712">
        <v>0</v>
      </c>
      <c r="BD95" s="713">
        <v>0</v>
      </c>
      <c r="BE95" s="710">
        <v>0</v>
      </c>
      <c r="BF95" s="711">
        <v>0</v>
      </c>
      <c r="BG95" s="712">
        <v>0</v>
      </c>
      <c r="BH95" s="711">
        <v>0</v>
      </c>
      <c r="BI95" s="712">
        <v>0</v>
      </c>
      <c r="BJ95" s="711">
        <v>0</v>
      </c>
      <c r="BK95" s="712">
        <v>0</v>
      </c>
      <c r="BL95" s="711">
        <v>0</v>
      </c>
      <c r="BM95" s="712">
        <v>0</v>
      </c>
      <c r="BN95" s="711">
        <v>0</v>
      </c>
      <c r="BO95" s="712">
        <v>0</v>
      </c>
      <c r="BP95" s="711">
        <v>0</v>
      </c>
      <c r="BQ95" s="712">
        <v>0</v>
      </c>
      <c r="BR95" s="711">
        <v>0</v>
      </c>
      <c r="BS95" s="712">
        <v>0</v>
      </c>
      <c r="BT95" s="711">
        <v>0</v>
      </c>
      <c r="BU95" s="712">
        <v>0</v>
      </c>
      <c r="BV95" s="711">
        <v>0</v>
      </c>
      <c r="BW95" s="712">
        <v>0</v>
      </c>
      <c r="BX95" s="711">
        <v>0</v>
      </c>
      <c r="BY95" s="712">
        <v>0</v>
      </c>
      <c r="BZ95" s="711">
        <v>0</v>
      </c>
      <c r="CA95" s="712">
        <v>0</v>
      </c>
      <c r="CB95" s="711">
        <v>0</v>
      </c>
      <c r="CC95" s="710">
        <v>0</v>
      </c>
      <c r="CD95" s="713">
        <v>0</v>
      </c>
      <c r="CE95" s="710">
        <v>0</v>
      </c>
      <c r="CF95" s="713">
        <v>0</v>
      </c>
      <c r="CG95" s="710">
        <v>0</v>
      </c>
      <c r="CH95" s="713">
        <v>0</v>
      </c>
      <c r="CI95" s="710">
        <v>0</v>
      </c>
      <c r="CJ95" s="713">
        <v>0</v>
      </c>
      <c r="CK95" s="710">
        <v>0</v>
      </c>
      <c r="CL95" s="713">
        <v>0</v>
      </c>
      <c r="CM95" s="710">
        <v>0</v>
      </c>
      <c r="CN95" s="713">
        <v>0</v>
      </c>
      <c r="CO95" s="710">
        <v>0</v>
      </c>
      <c r="CP95" s="713">
        <v>0</v>
      </c>
      <c r="CQ95" s="710">
        <v>0</v>
      </c>
      <c r="CR95" s="711">
        <v>0</v>
      </c>
      <c r="CS95" s="710">
        <v>0</v>
      </c>
      <c r="CT95" s="711">
        <v>0</v>
      </c>
      <c r="CU95" s="712">
        <v>0</v>
      </c>
      <c r="CV95" s="711">
        <v>0</v>
      </c>
    </row>
    <row r="96" spans="1:100">
      <c r="A96" s="467">
        <v>94</v>
      </c>
      <c r="B96" s="595">
        <v>0</v>
      </c>
      <c r="C96" s="595">
        <v>0</v>
      </c>
      <c r="D96" s="595">
        <v>0</v>
      </c>
      <c r="E96" s="595">
        <v>0</v>
      </c>
      <c r="F96" s="595">
        <v>0</v>
      </c>
      <c r="G96" s="595">
        <v>0</v>
      </c>
      <c r="H96" s="595">
        <v>0</v>
      </c>
      <c r="I96" s="595">
        <v>0</v>
      </c>
      <c r="J96" s="595">
        <v>0</v>
      </c>
      <c r="K96" s="595">
        <v>0</v>
      </c>
      <c r="L96" s="595">
        <v>0</v>
      </c>
      <c r="M96" s="595">
        <v>0</v>
      </c>
      <c r="N96" s="595">
        <v>0</v>
      </c>
      <c r="O96" s="595">
        <v>0</v>
      </c>
      <c r="P96" s="595">
        <v>0</v>
      </c>
      <c r="Q96" s="595">
        <v>0</v>
      </c>
      <c r="R96" s="595">
        <v>0</v>
      </c>
      <c r="S96" s="595">
        <v>0</v>
      </c>
      <c r="T96" s="595">
        <v>0</v>
      </c>
      <c r="U96" s="595">
        <v>0</v>
      </c>
      <c r="V96" s="595">
        <v>0</v>
      </c>
      <c r="W96" s="611">
        <v>0</v>
      </c>
      <c r="X96" s="706"/>
      <c r="Y96" s="706"/>
      <c r="Z96" s="706"/>
      <c r="AA96" s="706"/>
      <c r="AB96" s="706"/>
      <c r="AC96" s="706"/>
      <c r="AD96" s="706"/>
      <c r="AE96" s="703">
        <v>0</v>
      </c>
      <c r="AF96" s="704">
        <v>0</v>
      </c>
      <c r="AG96" s="705">
        <v>0</v>
      </c>
      <c r="AH96" s="706">
        <v>0</v>
      </c>
      <c r="AI96" s="705">
        <v>0</v>
      </c>
      <c r="AJ96" s="703">
        <v>0</v>
      </c>
      <c r="AK96" s="705">
        <v>0</v>
      </c>
      <c r="AL96" s="707">
        <v>0</v>
      </c>
      <c r="AM96" s="703">
        <v>0</v>
      </c>
      <c r="AN96" s="703">
        <v>0</v>
      </c>
      <c r="AO96" s="707">
        <v>0</v>
      </c>
      <c r="AP96" s="708">
        <v>0.02</v>
      </c>
      <c r="AQ96" s="705">
        <f t="shared" si="24"/>
        <v>7.1428571428571426E-3</v>
      </c>
      <c r="AR96" s="703">
        <v>0</v>
      </c>
      <c r="AS96" s="705">
        <v>0</v>
      </c>
      <c r="AT96" s="709">
        <v>2E-3</v>
      </c>
      <c r="AU96" s="703">
        <v>0</v>
      </c>
      <c r="AV96" s="705">
        <v>0</v>
      </c>
      <c r="AW96" s="710">
        <v>0</v>
      </c>
      <c r="AX96" s="711">
        <v>0</v>
      </c>
      <c r="AY96" s="710">
        <v>0</v>
      </c>
      <c r="AZ96" s="711">
        <v>0</v>
      </c>
      <c r="BA96" s="710">
        <v>0</v>
      </c>
      <c r="BB96" s="711">
        <v>0</v>
      </c>
      <c r="BC96" s="712">
        <v>0</v>
      </c>
      <c r="BD96" s="713">
        <v>0</v>
      </c>
      <c r="BE96" s="710">
        <v>0</v>
      </c>
      <c r="BF96" s="711">
        <v>0</v>
      </c>
      <c r="BG96" s="712">
        <v>0</v>
      </c>
      <c r="BH96" s="711">
        <v>0</v>
      </c>
      <c r="BI96" s="712">
        <v>0</v>
      </c>
      <c r="BJ96" s="711">
        <v>0</v>
      </c>
      <c r="BK96" s="712">
        <v>0</v>
      </c>
      <c r="BL96" s="711">
        <v>0</v>
      </c>
      <c r="BM96" s="712">
        <v>0</v>
      </c>
      <c r="BN96" s="711">
        <v>0</v>
      </c>
      <c r="BO96" s="712">
        <v>0</v>
      </c>
      <c r="BP96" s="711">
        <v>0</v>
      </c>
      <c r="BQ96" s="712">
        <v>0</v>
      </c>
      <c r="BR96" s="711">
        <v>0</v>
      </c>
      <c r="BS96" s="712">
        <v>0</v>
      </c>
      <c r="BT96" s="711">
        <v>0</v>
      </c>
      <c r="BU96" s="712">
        <v>0</v>
      </c>
      <c r="BV96" s="711">
        <v>0</v>
      </c>
      <c r="BW96" s="712">
        <v>0</v>
      </c>
      <c r="BX96" s="711">
        <v>0</v>
      </c>
      <c r="BY96" s="712">
        <v>0</v>
      </c>
      <c r="BZ96" s="711">
        <v>0</v>
      </c>
      <c r="CA96" s="712">
        <v>0</v>
      </c>
      <c r="CB96" s="711">
        <v>0</v>
      </c>
      <c r="CC96" s="710">
        <v>0</v>
      </c>
      <c r="CD96" s="713">
        <v>0</v>
      </c>
      <c r="CE96" s="710">
        <v>0</v>
      </c>
      <c r="CF96" s="713">
        <v>0</v>
      </c>
      <c r="CG96" s="710">
        <v>0</v>
      </c>
      <c r="CH96" s="713">
        <v>0</v>
      </c>
      <c r="CI96" s="710">
        <v>0</v>
      </c>
      <c r="CJ96" s="713">
        <v>0</v>
      </c>
      <c r="CK96" s="710">
        <v>0</v>
      </c>
      <c r="CL96" s="713">
        <v>0</v>
      </c>
      <c r="CM96" s="710">
        <v>0</v>
      </c>
      <c r="CN96" s="713">
        <v>0</v>
      </c>
      <c r="CO96" s="710">
        <v>0</v>
      </c>
      <c r="CP96" s="713">
        <v>0</v>
      </c>
      <c r="CQ96" s="710">
        <v>0</v>
      </c>
      <c r="CR96" s="711">
        <v>0</v>
      </c>
      <c r="CS96" s="710">
        <v>0</v>
      </c>
      <c r="CT96" s="711">
        <v>0</v>
      </c>
      <c r="CU96" s="712">
        <v>0</v>
      </c>
      <c r="CV96" s="711">
        <v>0</v>
      </c>
    </row>
    <row r="97" spans="1:100">
      <c r="A97" s="467">
        <v>95</v>
      </c>
      <c r="B97" s="595">
        <v>0</v>
      </c>
      <c r="C97" s="595">
        <v>0</v>
      </c>
      <c r="D97" s="595">
        <v>0</v>
      </c>
      <c r="E97" s="595">
        <v>0</v>
      </c>
      <c r="F97" s="595">
        <v>0</v>
      </c>
      <c r="G97" s="595">
        <v>0</v>
      </c>
      <c r="H97" s="595">
        <v>0</v>
      </c>
      <c r="I97" s="595">
        <v>0</v>
      </c>
      <c r="J97" s="595">
        <v>0</v>
      </c>
      <c r="K97" s="595">
        <v>0</v>
      </c>
      <c r="L97" s="595">
        <v>0</v>
      </c>
      <c r="M97" s="595">
        <v>0</v>
      </c>
      <c r="N97" s="595">
        <v>0</v>
      </c>
      <c r="O97" s="595">
        <v>0</v>
      </c>
      <c r="P97" s="595">
        <v>0</v>
      </c>
      <c r="Q97" s="595">
        <v>0</v>
      </c>
      <c r="R97" s="595">
        <v>0</v>
      </c>
      <c r="S97" s="595">
        <v>0</v>
      </c>
      <c r="T97" s="595">
        <v>0</v>
      </c>
      <c r="U97" s="595">
        <v>0</v>
      </c>
      <c r="V97" s="595">
        <v>0</v>
      </c>
      <c r="W97" s="611">
        <v>0</v>
      </c>
      <c r="X97" s="706"/>
      <c r="Y97" s="706"/>
      <c r="Z97" s="706"/>
      <c r="AA97" s="706"/>
      <c r="AB97" s="706"/>
      <c r="AC97" s="706"/>
      <c r="AD97" s="706"/>
      <c r="AE97" s="703">
        <v>0</v>
      </c>
      <c r="AF97" s="704">
        <v>0</v>
      </c>
      <c r="AG97" s="705">
        <v>0</v>
      </c>
      <c r="AH97" s="706">
        <v>0</v>
      </c>
      <c r="AI97" s="705">
        <v>0</v>
      </c>
      <c r="AJ97" s="703">
        <v>0</v>
      </c>
      <c r="AK97" s="705">
        <v>0</v>
      </c>
      <c r="AL97" s="707">
        <v>0</v>
      </c>
      <c r="AM97" s="703">
        <v>0</v>
      </c>
      <c r="AN97" s="703">
        <v>0</v>
      </c>
      <c r="AO97" s="707">
        <v>0</v>
      </c>
      <c r="AP97" s="708">
        <v>0.02</v>
      </c>
      <c r="AQ97" s="705">
        <f t="shared" si="24"/>
        <v>7.1428571428571426E-3</v>
      </c>
      <c r="AR97" s="703">
        <v>0</v>
      </c>
      <c r="AS97" s="705">
        <v>0</v>
      </c>
      <c r="AT97" s="709">
        <v>2E-3</v>
      </c>
      <c r="AU97" s="703">
        <v>0</v>
      </c>
      <c r="AV97" s="705">
        <v>0</v>
      </c>
      <c r="AW97" s="710">
        <v>0</v>
      </c>
      <c r="AX97" s="711">
        <v>0</v>
      </c>
      <c r="AY97" s="710">
        <v>0</v>
      </c>
      <c r="AZ97" s="711">
        <v>0</v>
      </c>
      <c r="BA97" s="710">
        <v>0</v>
      </c>
      <c r="BB97" s="711">
        <v>0</v>
      </c>
      <c r="BC97" s="712">
        <v>0</v>
      </c>
      <c r="BD97" s="713">
        <v>0</v>
      </c>
      <c r="BE97" s="710">
        <v>0</v>
      </c>
      <c r="BF97" s="711">
        <v>0</v>
      </c>
      <c r="BG97" s="712">
        <v>0</v>
      </c>
      <c r="BH97" s="711">
        <v>0</v>
      </c>
      <c r="BI97" s="712">
        <v>0</v>
      </c>
      <c r="BJ97" s="711">
        <v>0</v>
      </c>
      <c r="BK97" s="712">
        <v>0</v>
      </c>
      <c r="BL97" s="711">
        <v>0</v>
      </c>
      <c r="BM97" s="712">
        <v>0</v>
      </c>
      <c r="BN97" s="711">
        <v>0</v>
      </c>
      <c r="BO97" s="712">
        <v>0</v>
      </c>
      <c r="BP97" s="711">
        <v>0</v>
      </c>
      <c r="BQ97" s="712">
        <v>0</v>
      </c>
      <c r="BR97" s="711">
        <v>0</v>
      </c>
      <c r="BS97" s="712">
        <v>0</v>
      </c>
      <c r="BT97" s="711">
        <v>0</v>
      </c>
      <c r="BU97" s="712">
        <v>0</v>
      </c>
      <c r="BV97" s="711">
        <v>0</v>
      </c>
      <c r="BW97" s="712">
        <v>0</v>
      </c>
      <c r="BX97" s="711">
        <v>0</v>
      </c>
      <c r="BY97" s="712">
        <v>0</v>
      </c>
      <c r="BZ97" s="711">
        <v>0</v>
      </c>
      <c r="CA97" s="712">
        <v>0</v>
      </c>
      <c r="CB97" s="711">
        <v>0</v>
      </c>
      <c r="CC97" s="710">
        <v>0</v>
      </c>
      <c r="CD97" s="713">
        <v>0</v>
      </c>
      <c r="CE97" s="710">
        <v>0</v>
      </c>
      <c r="CF97" s="713">
        <v>0</v>
      </c>
      <c r="CG97" s="710">
        <v>0</v>
      </c>
      <c r="CH97" s="713">
        <v>0</v>
      </c>
      <c r="CI97" s="710">
        <v>0</v>
      </c>
      <c r="CJ97" s="713">
        <v>0</v>
      </c>
      <c r="CK97" s="710">
        <v>0</v>
      </c>
      <c r="CL97" s="713">
        <v>0</v>
      </c>
      <c r="CM97" s="710">
        <v>0</v>
      </c>
      <c r="CN97" s="713">
        <v>0</v>
      </c>
      <c r="CO97" s="710">
        <v>0</v>
      </c>
      <c r="CP97" s="713">
        <v>0</v>
      </c>
      <c r="CQ97" s="710">
        <v>0</v>
      </c>
      <c r="CR97" s="711">
        <v>0</v>
      </c>
      <c r="CS97" s="710">
        <v>0</v>
      </c>
      <c r="CT97" s="711">
        <v>0</v>
      </c>
      <c r="CU97" s="712">
        <v>0</v>
      </c>
      <c r="CV97" s="711">
        <v>0</v>
      </c>
    </row>
    <row r="98" spans="1:100">
      <c r="A98" s="467">
        <v>96</v>
      </c>
      <c r="B98" s="595">
        <v>0</v>
      </c>
      <c r="C98" s="595">
        <v>0</v>
      </c>
      <c r="D98" s="595">
        <v>0</v>
      </c>
      <c r="E98" s="595">
        <v>0</v>
      </c>
      <c r="F98" s="595">
        <v>0</v>
      </c>
      <c r="G98" s="595">
        <v>0</v>
      </c>
      <c r="H98" s="595">
        <v>0</v>
      </c>
      <c r="I98" s="595">
        <v>0</v>
      </c>
      <c r="J98" s="595">
        <v>0</v>
      </c>
      <c r="K98" s="595">
        <v>0</v>
      </c>
      <c r="L98" s="595">
        <v>0</v>
      </c>
      <c r="M98" s="595">
        <v>0</v>
      </c>
      <c r="N98" s="595">
        <v>0</v>
      </c>
      <c r="O98" s="595">
        <v>0</v>
      </c>
      <c r="P98" s="595">
        <v>0</v>
      </c>
      <c r="Q98" s="595">
        <v>0</v>
      </c>
      <c r="R98" s="595">
        <v>0</v>
      </c>
      <c r="S98" s="595">
        <v>0</v>
      </c>
      <c r="T98" s="595">
        <v>0</v>
      </c>
      <c r="U98" s="595">
        <v>0</v>
      </c>
      <c r="V98" s="595">
        <v>0</v>
      </c>
      <c r="W98" s="611">
        <v>0</v>
      </c>
      <c r="X98" s="706"/>
      <c r="Y98" s="706"/>
      <c r="Z98" s="706"/>
      <c r="AA98" s="706"/>
      <c r="AB98" s="706"/>
      <c r="AC98" s="706"/>
      <c r="AD98" s="706"/>
      <c r="AE98" s="703">
        <v>0</v>
      </c>
      <c r="AF98" s="704">
        <v>0</v>
      </c>
      <c r="AG98" s="705">
        <v>0</v>
      </c>
      <c r="AH98" s="706">
        <v>0</v>
      </c>
      <c r="AI98" s="705">
        <v>0</v>
      </c>
      <c r="AJ98" s="703">
        <v>0</v>
      </c>
      <c r="AK98" s="705">
        <v>0</v>
      </c>
      <c r="AL98" s="707">
        <v>0</v>
      </c>
      <c r="AM98" s="703">
        <v>0</v>
      </c>
      <c r="AN98" s="703">
        <v>0</v>
      </c>
      <c r="AO98" s="707">
        <v>0</v>
      </c>
      <c r="AP98" s="708">
        <v>0.02</v>
      </c>
      <c r="AQ98" s="705">
        <f t="shared" si="24"/>
        <v>7.1428571428571426E-3</v>
      </c>
      <c r="AR98" s="703">
        <v>0</v>
      </c>
      <c r="AS98" s="705">
        <v>0</v>
      </c>
      <c r="AT98" s="709">
        <v>2E-3</v>
      </c>
      <c r="AU98" s="703">
        <v>0</v>
      </c>
      <c r="AV98" s="705">
        <v>0</v>
      </c>
      <c r="AW98" s="710">
        <v>0</v>
      </c>
      <c r="AX98" s="711">
        <v>0</v>
      </c>
      <c r="AY98" s="710">
        <v>0</v>
      </c>
      <c r="AZ98" s="711">
        <v>0</v>
      </c>
      <c r="BA98" s="710">
        <v>0</v>
      </c>
      <c r="BB98" s="711">
        <v>0</v>
      </c>
      <c r="BC98" s="712">
        <v>0</v>
      </c>
      <c r="BD98" s="713">
        <v>0</v>
      </c>
      <c r="BE98" s="710">
        <v>0</v>
      </c>
      <c r="BF98" s="711">
        <v>0</v>
      </c>
      <c r="BG98" s="712">
        <v>0</v>
      </c>
      <c r="BH98" s="711">
        <v>0</v>
      </c>
      <c r="BI98" s="712">
        <v>0</v>
      </c>
      <c r="BJ98" s="711">
        <v>0</v>
      </c>
      <c r="BK98" s="712">
        <v>0</v>
      </c>
      <c r="BL98" s="711">
        <v>0</v>
      </c>
      <c r="BM98" s="712">
        <v>0</v>
      </c>
      <c r="BN98" s="711">
        <v>0</v>
      </c>
      <c r="BO98" s="712">
        <v>0</v>
      </c>
      <c r="BP98" s="711">
        <v>0</v>
      </c>
      <c r="BQ98" s="712">
        <v>0</v>
      </c>
      <c r="BR98" s="711">
        <v>0</v>
      </c>
      <c r="BS98" s="712">
        <v>0</v>
      </c>
      <c r="BT98" s="711">
        <v>0</v>
      </c>
      <c r="BU98" s="712">
        <v>0</v>
      </c>
      <c r="BV98" s="711">
        <v>0</v>
      </c>
      <c r="BW98" s="712">
        <v>0</v>
      </c>
      <c r="BX98" s="711">
        <v>0</v>
      </c>
      <c r="BY98" s="712">
        <v>0</v>
      </c>
      <c r="BZ98" s="711">
        <v>0</v>
      </c>
      <c r="CA98" s="712">
        <v>0</v>
      </c>
      <c r="CB98" s="711">
        <v>0</v>
      </c>
      <c r="CC98" s="710">
        <v>0</v>
      </c>
      <c r="CD98" s="713">
        <v>0</v>
      </c>
      <c r="CE98" s="710">
        <v>0</v>
      </c>
      <c r="CF98" s="713">
        <v>0</v>
      </c>
      <c r="CG98" s="710">
        <v>0</v>
      </c>
      <c r="CH98" s="713">
        <v>0</v>
      </c>
      <c r="CI98" s="710">
        <v>0</v>
      </c>
      <c r="CJ98" s="713">
        <v>0</v>
      </c>
      <c r="CK98" s="710">
        <v>0</v>
      </c>
      <c r="CL98" s="713">
        <v>0</v>
      </c>
      <c r="CM98" s="710">
        <v>0</v>
      </c>
      <c r="CN98" s="713">
        <v>0</v>
      </c>
      <c r="CO98" s="710">
        <v>0</v>
      </c>
      <c r="CP98" s="713">
        <v>0</v>
      </c>
      <c r="CQ98" s="710">
        <v>0</v>
      </c>
      <c r="CR98" s="711">
        <v>0</v>
      </c>
      <c r="CS98" s="710">
        <v>0</v>
      </c>
      <c r="CT98" s="711">
        <v>0</v>
      </c>
      <c r="CU98" s="712">
        <v>0</v>
      </c>
      <c r="CV98" s="711">
        <v>0</v>
      </c>
    </row>
    <row r="99" spans="1:100">
      <c r="A99" s="467">
        <v>97</v>
      </c>
      <c r="B99" s="595">
        <v>0</v>
      </c>
      <c r="C99" s="595">
        <v>0</v>
      </c>
      <c r="D99" s="595">
        <v>0</v>
      </c>
      <c r="E99" s="595">
        <v>0</v>
      </c>
      <c r="F99" s="595">
        <v>0</v>
      </c>
      <c r="G99" s="595">
        <v>0</v>
      </c>
      <c r="H99" s="595">
        <v>0</v>
      </c>
      <c r="I99" s="595">
        <v>0</v>
      </c>
      <c r="J99" s="595">
        <v>0</v>
      </c>
      <c r="K99" s="595">
        <v>0</v>
      </c>
      <c r="L99" s="595">
        <v>0</v>
      </c>
      <c r="M99" s="595">
        <v>0</v>
      </c>
      <c r="N99" s="595">
        <v>0</v>
      </c>
      <c r="O99" s="595">
        <v>0</v>
      </c>
      <c r="P99" s="595">
        <v>0</v>
      </c>
      <c r="Q99" s="595">
        <v>0</v>
      </c>
      <c r="R99" s="595">
        <v>0</v>
      </c>
      <c r="S99" s="595">
        <v>0</v>
      </c>
      <c r="T99" s="595">
        <v>0</v>
      </c>
      <c r="U99" s="595">
        <v>0</v>
      </c>
      <c r="V99" s="595">
        <v>0</v>
      </c>
      <c r="W99" s="611">
        <v>0</v>
      </c>
      <c r="X99" s="706"/>
      <c r="Y99" s="706"/>
      <c r="Z99" s="706"/>
      <c r="AA99" s="706"/>
      <c r="AB99" s="706"/>
      <c r="AC99" s="706"/>
      <c r="AD99" s="706"/>
      <c r="AE99" s="703">
        <v>0</v>
      </c>
      <c r="AF99" s="704">
        <v>0</v>
      </c>
      <c r="AG99" s="705">
        <v>0</v>
      </c>
      <c r="AH99" s="706">
        <v>0</v>
      </c>
      <c r="AI99" s="705">
        <v>0</v>
      </c>
      <c r="AJ99" s="703">
        <v>0</v>
      </c>
      <c r="AK99" s="705">
        <v>0</v>
      </c>
      <c r="AL99" s="707">
        <v>0</v>
      </c>
      <c r="AM99" s="703">
        <v>0</v>
      </c>
      <c r="AN99" s="703">
        <v>0</v>
      </c>
      <c r="AO99" s="707">
        <v>0</v>
      </c>
      <c r="AP99" s="708">
        <v>0.02</v>
      </c>
      <c r="AQ99" s="705">
        <f t="shared" si="24"/>
        <v>7.1428571428571426E-3</v>
      </c>
      <c r="AR99" s="703">
        <v>0</v>
      </c>
      <c r="AS99" s="705">
        <v>0</v>
      </c>
      <c r="AT99" s="709">
        <v>2E-3</v>
      </c>
      <c r="AU99" s="703">
        <v>0</v>
      </c>
      <c r="AV99" s="705">
        <v>0</v>
      </c>
      <c r="AW99" s="710">
        <v>0</v>
      </c>
      <c r="AX99" s="711">
        <v>0</v>
      </c>
      <c r="AY99" s="710">
        <v>0</v>
      </c>
      <c r="AZ99" s="711">
        <v>0</v>
      </c>
      <c r="BA99" s="710">
        <v>0</v>
      </c>
      <c r="BB99" s="711">
        <v>0</v>
      </c>
      <c r="BC99" s="712">
        <v>0</v>
      </c>
      <c r="BD99" s="713">
        <v>0</v>
      </c>
      <c r="BE99" s="710">
        <v>0</v>
      </c>
      <c r="BF99" s="711">
        <v>0</v>
      </c>
      <c r="BG99" s="712">
        <v>0</v>
      </c>
      <c r="BH99" s="711">
        <v>0</v>
      </c>
      <c r="BI99" s="712">
        <v>0</v>
      </c>
      <c r="BJ99" s="711">
        <v>0</v>
      </c>
      <c r="BK99" s="712">
        <v>0</v>
      </c>
      <c r="BL99" s="711">
        <v>0</v>
      </c>
      <c r="BM99" s="712">
        <v>0</v>
      </c>
      <c r="BN99" s="711">
        <v>0</v>
      </c>
      <c r="BO99" s="712">
        <v>0</v>
      </c>
      <c r="BP99" s="711">
        <v>0</v>
      </c>
      <c r="BQ99" s="712">
        <v>0</v>
      </c>
      <c r="BR99" s="711">
        <v>0</v>
      </c>
      <c r="BS99" s="712">
        <v>0</v>
      </c>
      <c r="BT99" s="711">
        <v>0</v>
      </c>
      <c r="BU99" s="712">
        <v>0</v>
      </c>
      <c r="BV99" s="711">
        <v>0</v>
      </c>
      <c r="BW99" s="712">
        <v>0</v>
      </c>
      <c r="BX99" s="711">
        <v>0</v>
      </c>
      <c r="BY99" s="712">
        <v>0</v>
      </c>
      <c r="BZ99" s="711">
        <v>0</v>
      </c>
      <c r="CA99" s="712">
        <v>0</v>
      </c>
      <c r="CB99" s="711">
        <v>0</v>
      </c>
      <c r="CC99" s="710">
        <v>0</v>
      </c>
      <c r="CD99" s="713">
        <v>0</v>
      </c>
      <c r="CE99" s="710">
        <v>0</v>
      </c>
      <c r="CF99" s="713">
        <v>0</v>
      </c>
      <c r="CG99" s="710">
        <v>0</v>
      </c>
      <c r="CH99" s="713">
        <v>0</v>
      </c>
      <c r="CI99" s="710">
        <v>0</v>
      </c>
      <c r="CJ99" s="713">
        <v>0</v>
      </c>
      <c r="CK99" s="710">
        <v>0</v>
      </c>
      <c r="CL99" s="713">
        <v>0</v>
      </c>
      <c r="CM99" s="710">
        <v>0</v>
      </c>
      <c r="CN99" s="713">
        <v>0</v>
      </c>
      <c r="CO99" s="710">
        <v>0</v>
      </c>
      <c r="CP99" s="713">
        <v>0</v>
      </c>
      <c r="CQ99" s="710">
        <v>0</v>
      </c>
      <c r="CR99" s="711">
        <v>0</v>
      </c>
      <c r="CS99" s="710">
        <v>0</v>
      </c>
      <c r="CT99" s="711">
        <v>0</v>
      </c>
      <c r="CU99" s="712">
        <v>0</v>
      </c>
      <c r="CV99" s="711">
        <v>0</v>
      </c>
    </row>
    <row r="100" spans="1:100">
      <c r="A100" s="467">
        <v>98</v>
      </c>
      <c r="B100" s="595">
        <v>0</v>
      </c>
      <c r="C100" s="595">
        <v>0</v>
      </c>
      <c r="D100" s="595">
        <v>0</v>
      </c>
      <c r="E100" s="595">
        <v>0</v>
      </c>
      <c r="F100" s="595">
        <v>0</v>
      </c>
      <c r="G100" s="595">
        <v>0</v>
      </c>
      <c r="H100" s="595">
        <v>0</v>
      </c>
      <c r="I100" s="595">
        <v>0</v>
      </c>
      <c r="J100" s="595">
        <v>0</v>
      </c>
      <c r="K100" s="595">
        <v>0</v>
      </c>
      <c r="L100" s="595">
        <v>0</v>
      </c>
      <c r="M100" s="595">
        <v>0</v>
      </c>
      <c r="N100" s="595">
        <v>0</v>
      </c>
      <c r="O100" s="595">
        <v>0</v>
      </c>
      <c r="P100" s="595">
        <v>0</v>
      </c>
      <c r="Q100" s="595">
        <v>0</v>
      </c>
      <c r="R100" s="595">
        <v>0</v>
      </c>
      <c r="S100" s="595">
        <v>0</v>
      </c>
      <c r="T100" s="595">
        <v>0</v>
      </c>
      <c r="U100" s="595">
        <v>0</v>
      </c>
      <c r="V100" s="595">
        <v>0</v>
      </c>
      <c r="W100" s="611">
        <v>0</v>
      </c>
      <c r="X100" s="706"/>
      <c r="Y100" s="706"/>
      <c r="Z100" s="706"/>
      <c r="AA100" s="706"/>
      <c r="AB100" s="706"/>
      <c r="AC100" s="706"/>
      <c r="AD100" s="706"/>
      <c r="AE100" s="703">
        <v>0</v>
      </c>
      <c r="AF100" s="704">
        <v>0</v>
      </c>
      <c r="AG100" s="705">
        <v>0</v>
      </c>
      <c r="AH100" s="706">
        <v>0</v>
      </c>
      <c r="AI100" s="705">
        <v>0</v>
      </c>
      <c r="AJ100" s="703">
        <v>0</v>
      </c>
      <c r="AK100" s="705">
        <v>0</v>
      </c>
      <c r="AL100" s="707">
        <v>0</v>
      </c>
      <c r="AM100" s="703">
        <v>0</v>
      </c>
      <c r="AN100" s="703">
        <v>0</v>
      </c>
      <c r="AO100" s="707">
        <v>0</v>
      </c>
      <c r="AP100" s="708">
        <v>0.02</v>
      </c>
      <c r="AQ100" s="705">
        <f t="shared" si="24"/>
        <v>7.1428571428571426E-3</v>
      </c>
      <c r="AR100" s="703">
        <v>0</v>
      </c>
      <c r="AS100" s="705">
        <v>0</v>
      </c>
      <c r="AT100" s="709">
        <v>2E-3</v>
      </c>
      <c r="AU100" s="703">
        <v>0</v>
      </c>
      <c r="AV100" s="705">
        <v>0</v>
      </c>
      <c r="AW100" s="710">
        <v>0</v>
      </c>
      <c r="AX100" s="711">
        <v>0</v>
      </c>
      <c r="AY100" s="710">
        <v>0</v>
      </c>
      <c r="AZ100" s="711">
        <v>0</v>
      </c>
      <c r="BA100" s="710">
        <v>0</v>
      </c>
      <c r="BB100" s="711">
        <v>0</v>
      </c>
      <c r="BC100" s="712">
        <v>0</v>
      </c>
      <c r="BD100" s="713">
        <v>0</v>
      </c>
      <c r="BE100" s="710">
        <v>0</v>
      </c>
      <c r="BF100" s="711">
        <v>0</v>
      </c>
      <c r="BG100" s="712">
        <v>0</v>
      </c>
      <c r="BH100" s="711">
        <v>0</v>
      </c>
      <c r="BI100" s="712">
        <v>0</v>
      </c>
      <c r="BJ100" s="711">
        <v>0</v>
      </c>
      <c r="BK100" s="712">
        <v>0</v>
      </c>
      <c r="BL100" s="711">
        <v>0</v>
      </c>
      <c r="BM100" s="712">
        <v>0</v>
      </c>
      <c r="BN100" s="711">
        <v>0</v>
      </c>
      <c r="BO100" s="712">
        <v>0</v>
      </c>
      <c r="BP100" s="711">
        <v>0</v>
      </c>
      <c r="BQ100" s="712">
        <v>0</v>
      </c>
      <c r="BR100" s="711">
        <v>0</v>
      </c>
      <c r="BS100" s="712">
        <v>0</v>
      </c>
      <c r="BT100" s="711">
        <v>0</v>
      </c>
      <c r="BU100" s="712">
        <v>0</v>
      </c>
      <c r="BV100" s="711">
        <v>0</v>
      </c>
      <c r="BW100" s="712">
        <v>0</v>
      </c>
      <c r="BX100" s="711">
        <v>0</v>
      </c>
      <c r="BY100" s="712">
        <v>0</v>
      </c>
      <c r="BZ100" s="711">
        <v>0</v>
      </c>
      <c r="CA100" s="712">
        <v>0</v>
      </c>
      <c r="CB100" s="711">
        <v>0</v>
      </c>
      <c r="CC100" s="710">
        <v>0</v>
      </c>
      <c r="CD100" s="713">
        <v>0</v>
      </c>
      <c r="CE100" s="710">
        <v>0</v>
      </c>
      <c r="CF100" s="713">
        <v>0</v>
      </c>
      <c r="CG100" s="710">
        <v>0</v>
      </c>
      <c r="CH100" s="713">
        <v>0</v>
      </c>
      <c r="CI100" s="710">
        <v>0</v>
      </c>
      <c r="CJ100" s="713">
        <v>0</v>
      </c>
      <c r="CK100" s="710">
        <v>0</v>
      </c>
      <c r="CL100" s="713">
        <v>0</v>
      </c>
      <c r="CM100" s="710">
        <v>0</v>
      </c>
      <c r="CN100" s="713">
        <v>0</v>
      </c>
      <c r="CO100" s="710">
        <v>0</v>
      </c>
      <c r="CP100" s="713">
        <v>0</v>
      </c>
      <c r="CQ100" s="710">
        <v>0</v>
      </c>
      <c r="CR100" s="711">
        <v>0</v>
      </c>
      <c r="CS100" s="710">
        <v>0</v>
      </c>
      <c r="CT100" s="711">
        <v>0</v>
      </c>
      <c r="CU100" s="712">
        <v>0</v>
      </c>
      <c r="CV100" s="711">
        <v>0</v>
      </c>
    </row>
    <row r="101" spans="1:100">
      <c r="A101" s="467">
        <v>99</v>
      </c>
      <c r="B101" s="595">
        <v>0</v>
      </c>
      <c r="C101" s="595">
        <v>0</v>
      </c>
      <c r="D101" s="595">
        <v>0</v>
      </c>
      <c r="E101" s="595">
        <v>0</v>
      </c>
      <c r="F101" s="595">
        <v>0</v>
      </c>
      <c r="G101" s="595">
        <v>0</v>
      </c>
      <c r="H101" s="595">
        <v>0</v>
      </c>
      <c r="I101" s="595">
        <v>0</v>
      </c>
      <c r="J101" s="595">
        <v>0</v>
      </c>
      <c r="K101" s="595">
        <v>0</v>
      </c>
      <c r="L101" s="595">
        <v>0</v>
      </c>
      <c r="M101" s="595">
        <v>0</v>
      </c>
      <c r="N101" s="595">
        <v>0</v>
      </c>
      <c r="O101" s="595">
        <v>0</v>
      </c>
      <c r="P101" s="595">
        <v>0</v>
      </c>
      <c r="Q101" s="595">
        <v>0</v>
      </c>
      <c r="R101" s="595">
        <v>0</v>
      </c>
      <c r="S101" s="595">
        <v>0</v>
      </c>
      <c r="T101" s="595">
        <v>0</v>
      </c>
      <c r="U101" s="595">
        <v>0</v>
      </c>
      <c r="V101" s="595">
        <v>0</v>
      </c>
      <c r="W101" s="611">
        <v>0</v>
      </c>
      <c r="X101" s="706"/>
      <c r="Y101" s="706"/>
      <c r="Z101" s="706"/>
      <c r="AA101" s="706"/>
      <c r="AB101" s="706"/>
      <c r="AC101" s="706"/>
      <c r="AD101" s="706"/>
      <c r="AE101" s="703">
        <v>0</v>
      </c>
      <c r="AF101" s="704">
        <v>0</v>
      </c>
      <c r="AG101" s="705">
        <v>0</v>
      </c>
      <c r="AH101" s="706">
        <v>0</v>
      </c>
      <c r="AI101" s="705">
        <v>0</v>
      </c>
      <c r="AJ101" s="703">
        <v>0</v>
      </c>
      <c r="AK101" s="705">
        <v>0</v>
      </c>
      <c r="AL101" s="707">
        <v>0</v>
      </c>
      <c r="AM101" s="703">
        <v>0</v>
      </c>
      <c r="AN101" s="703">
        <v>0</v>
      </c>
      <c r="AO101" s="707">
        <v>0</v>
      </c>
      <c r="AP101" s="708">
        <v>0.02</v>
      </c>
      <c r="AQ101" s="705">
        <f t="shared" si="24"/>
        <v>7.1428571428571426E-3</v>
      </c>
      <c r="AR101" s="703">
        <v>0</v>
      </c>
      <c r="AS101" s="705">
        <v>0</v>
      </c>
      <c r="AT101" s="709">
        <v>2E-3</v>
      </c>
      <c r="AU101" s="703">
        <v>0</v>
      </c>
      <c r="AV101" s="705">
        <v>0</v>
      </c>
      <c r="AW101" s="710">
        <v>0</v>
      </c>
      <c r="AX101" s="711">
        <v>0</v>
      </c>
      <c r="AY101" s="710">
        <v>0</v>
      </c>
      <c r="AZ101" s="711">
        <v>0</v>
      </c>
      <c r="BA101" s="710">
        <v>0</v>
      </c>
      <c r="BB101" s="711">
        <v>0</v>
      </c>
      <c r="BC101" s="712">
        <v>0</v>
      </c>
      <c r="BD101" s="713">
        <v>0</v>
      </c>
      <c r="BE101" s="710">
        <v>0</v>
      </c>
      <c r="BF101" s="711">
        <v>0</v>
      </c>
      <c r="BG101" s="712">
        <v>0</v>
      </c>
      <c r="BH101" s="711">
        <v>0</v>
      </c>
      <c r="BI101" s="712">
        <v>0</v>
      </c>
      <c r="BJ101" s="711">
        <v>0</v>
      </c>
      <c r="BK101" s="712">
        <v>0</v>
      </c>
      <c r="BL101" s="711">
        <v>0</v>
      </c>
      <c r="BM101" s="712">
        <v>0</v>
      </c>
      <c r="BN101" s="711">
        <v>0</v>
      </c>
      <c r="BO101" s="712">
        <v>0</v>
      </c>
      <c r="BP101" s="711">
        <v>0</v>
      </c>
      <c r="BQ101" s="712">
        <v>0</v>
      </c>
      <c r="BR101" s="711">
        <v>0</v>
      </c>
      <c r="BS101" s="712">
        <v>0</v>
      </c>
      <c r="BT101" s="711">
        <v>0</v>
      </c>
      <c r="BU101" s="712">
        <v>0</v>
      </c>
      <c r="BV101" s="711">
        <v>0</v>
      </c>
      <c r="BW101" s="712">
        <v>0</v>
      </c>
      <c r="BX101" s="711">
        <v>0</v>
      </c>
      <c r="BY101" s="712">
        <v>0</v>
      </c>
      <c r="BZ101" s="711">
        <v>0</v>
      </c>
      <c r="CA101" s="712">
        <v>0</v>
      </c>
      <c r="CB101" s="711">
        <v>0</v>
      </c>
      <c r="CC101" s="710">
        <v>0</v>
      </c>
      <c r="CD101" s="713">
        <v>0</v>
      </c>
      <c r="CE101" s="710">
        <v>0</v>
      </c>
      <c r="CF101" s="713">
        <v>0</v>
      </c>
      <c r="CG101" s="710">
        <v>0</v>
      </c>
      <c r="CH101" s="713">
        <v>0</v>
      </c>
      <c r="CI101" s="710">
        <v>0</v>
      </c>
      <c r="CJ101" s="713">
        <v>0</v>
      </c>
      <c r="CK101" s="710">
        <v>0</v>
      </c>
      <c r="CL101" s="713">
        <v>0</v>
      </c>
      <c r="CM101" s="710">
        <v>0</v>
      </c>
      <c r="CN101" s="713">
        <v>0</v>
      </c>
      <c r="CO101" s="710">
        <v>0</v>
      </c>
      <c r="CP101" s="713">
        <v>0</v>
      </c>
      <c r="CQ101" s="710">
        <v>0</v>
      </c>
      <c r="CR101" s="711">
        <v>0</v>
      </c>
      <c r="CS101" s="710">
        <v>0</v>
      </c>
      <c r="CT101" s="711">
        <v>0</v>
      </c>
      <c r="CU101" s="712">
        <v>0</v>
      </c>
      <c r="CV101" s="711">
        <v>0</v>
      </c>
    </row>
    <row r="102" spans="1:100">
      <c r="A102" s="467">
        <v>100</v>
      </c>
      <c r="B102" s="595">
        <v>0</v>
      </c>
      <c r="C102" s="595">
        <v>0</v>
      </c>
      <c r="D102" s="595">
        <v>0</v>
      </c>
      <c r="E102" s="595">
        <v>0</v>
      </c>
      <c r="F102" s="595">
        <v>0</v>
      </c>
      <c r="G102" s="595">
        <v>0</v>
      </c>
      <c r="H102" s="595">
        <v>0</v>
      </c>
      <c r="I102" s="595">
        <v>0</v>
      </c>
      <c r="J102" s="595">
        <v>0</v>
      </c>
      <c r="K102" s="595">
        <v>0</v>
      </c>
      <c r="L102" s="595">
        <v>0</v>
      </c>
      <c r="M102" s="595">
        <v>0</v>
      </c>
      <c r="N102" s="595">
        <v>0</v>
      </c>
      <c r="O102" s="595">
        <v>0</v>
      </c>
      <c r="P102" s="595">
        <v>0</v>
      </c>
      <c r="Q102" s="595">
        <v>0</v>
      </c>
      <c r="R102" s="595">
        <v>0</v>
      </c>
      <c r="S102" s="595">
        <v>0</v>
      </c>
      <c r="T102" s="595">
        <v>0</v>
      </c>
      <c r="U102" s="595">
        <v>0</v>
      </c>
      <c r="V102" s="595">
        <v>0</v>
      </c>
      <c r="W102" s="611">
        <v>0</v>
      </c>
      <c r="X102" s="706"/>
      <c r="Y102" s="706"/>
      <c r="Z102" s="706"/>
      <c r="AA102" s="706"/>
      <c r="AB102" s="706"/>
      <c r="AC102" s="706"/>
      <c r="AD102" s="706"/>
      <c r="AE102" s="703">
        <v>0</v>
      </c>
      <c r="AF102" s="704">
        <v>0</v>
      </c>
      <c r="AG102" s="705">
        <v>0</v>
      </c>
      <c r="AH102" s="706">
        <v>0</v>
      </c>
      <c r="AI102" s="705">
        <v>0</v>
      </c>
      <c r="AJ102" s="703">
        <v>0</v>
      </c>
      <c r="AK102" s="705">
        <v>0</v>
      </c>
      <c r="AL102" s="707">
        <v>0</v>
      </c>
      <c r="AM102" s="703">
        <v>0</v>
      </c>
      <c r="AN102" s="703">
        <v>0</v>
      </c>
      <c r="AO102" s="707">
        <v>0</v>
      </c>
      <c r="AP102" s="708">
        <v>0.02</v>
      </c>
      <c r="AQ102" s="705">
        <f t="shared" si="24"/>
        <v>7.1428571428571426E-3</v>
      </c>
      <c r="AR102" s="703">
        <v>0</v>
      </c>
      <c r="AS102" s="705">
        <v>0</v>
      </c>
      <c r="AT102" s="709">
        <v>2E-3</v>
      </c>
      <c r="AU102" s="703">
        <v>0</v>
      </c>
      <c r="AV102" s="705">
        <v>0</v>
      </c>
      <c r="AW102" s="710">
        <v>0</v>
      </c>
      <c r="AX102" s="711">
        <v>0</v>
      </c>
      <c r="AY102" s="710">
        <v>0</v>
      </c>
      <c r="AZ102" s="711">
        <v>0</v>
      </c>
      <c r="BA102" s="710">
        <v>0</v>
      </c>
      <c r="BB102" s="711">
        <v>0</v>
      </c>
      <c r="BC102" s="712">
        <v>0</v>
      </c>
      <c r="BD102" s="713">
        <v>0</v>
      </c>
      <c r="BE102" s="710">
        <v>0</v>
      </c>
      <c r="BF102" s="711">
        <v>0</v>
      </c>
      <c r="BG102" s="712">
        <v>0</v>
      </c>
      <c r="BH102" s="711">
        <v>0</v>
      </c>
      <c r="BI102" s="712">
        <v>0</v>
      </c>
      <c r="BJ102" s="711">
        <v>0</v>
      </c>
      <c r="BK102" s="712">
        <v>0</v>
      </c>
      <c r="BL102" s="711">
        <v>0</v>
      </c>
      <c r="BM102" s="712">
        <v>0</v>
      </c>
      <c r="BN102" s="711">
        <v>0</v>
      </c>
      <c r="BO102" s="712">
        <v>0</v>
      </c>
      <c r="BP102" s="711">
        <v>0</v>
      </c>
      <c r="BQ102" s="712">
        <v>0</v>
      </c>
      <c r="BR102" s="711">
        <v>0</v>
      </c>
      <c r="BS102" s="712">
        <v>0</v>
      </c>
      <c r="BT102" s="711">
        <v>0</v>
      </c>
      <c r="BU102" s="712">
        <v>0</v>
      </c>
      <c r="BV102" s="711">
        <v>0</v>
      </c>
      <c r="BW102" s="712">
        <v>0</v>
      </c>
      <c r="BX102" s="711">
        <v>0</v>
      </c>
      <c r="BY102" s="712">
        <v>0</v>
      </c>
      <c r="BZ102" s="711">
        <v>0</v>
      </c>
      <c r="CA102" s="712">
        <v>0</v>
      </c>
      <c r="CB102" s="711">
        <v>0</v>
      </c>
      <c r="CC102" s="710">
        <v>0</v>
      </c>
      <c r="CD102" s="713">
        <v>0</v>
      </c>
      <c r="CE102" s="710">
        <v>0</v>
      </c>
      <c r="CF102" s="713">
        <v>0</v>
      </c>
      <c r="CG102" s="710">
        <v>0</v>
      </c>
      <c r="CH102" s="713">
        <v>0</v>
      </c>
      <c r="CI102" s="710">
        <v>0</v>
      </c>
      <c r="CJ102" s="713">
        <v>0</v>
      </c>
      <c r="CK102" s="710">
        <v>0</v>
      </c>
      <c r="CL102" s="713">
        <v>0</v>
      </c>
      <c r="CM102" s="710">
        <v>0</v>
      </c>
      <c r="CN102" s="713">
        <v>0</v>
      </c>
      <c r="CO102" s="710">
        <v>0</v>
      </c>
      <c r="CP102" s="713">
        <v>0</v>
      </c>
      <c r="CQ102" s="710">
        <v>0</v>
      </c>
      <c r="CR102" s="711">
        <v>0</v>
      </c>
      <c r="CS102" s="710">
        <v>0</v>
      </c>
      <c r="CT102" s="711">
        <v>0</v>
      </c>
      <c r="CU102" s="712">
        <v>0</v>
      </c>
      <c r="CV102" s="711">
        <v>0</v>
      </c>
    </row>
    <row r="103" spans="1:100">
      <c r="A103" s="467">
        <v>101</v>
      </c>
      <c r="B103" s="595">
        <v>0</v>
      </c>
      <c r="C103" s="595">
        <v>0</v>
      </c>
      <c r="D103" s="595">
        <v>0</v>
      </c>
      <c r="E103" s="595">
        <v>0</v>
      </c>
      <c r="F103" s="595">
        <v>0</v>
      </c>
      <c r="G103" s="595">
        <v>0</v>
      </c>
      <c r="H103" s="595">
        <v>0</v>
      </c>
      <c r="I103" s="595">
        <v>0</v>
      </c>
      <c r="J103" s="595">
        <v>0</v>
      </c>
      <c r="K103" s="595">
        <v>0</v>
      </c>
      <c r="L103" s="595">
        <v>0</v>
      </c>
      <c r="M103" s="595">
        <v>0</v>
      </c>
      <c r="N103" s="595">
        <v>0</v>
      </c>
      <c r="O103" s="595">
        <v>0</v>
      </c>
      <c r="P103" s="595">
        <v>0</v>
      </c>
      <c r="Q103" s="595">
        <v>0</v>
      </c>
      <c r="R103" s="595">
        <v>0</v>
      </c>
      <c r="S103" s="595">
        <v>0</v>
      </c>
      <c r="T103" s="595">
        <v>0</v>
      </c>
      <c r="U103" s="595">
        <v>0</v>
      </c>
      <c r="V103" s="595">
        <v>0</v>
      </c>
      <c r="W103" s="611">
        <v>0</v>
      </c>
      <c r="X103" s="706"/>
      <c r="Y103" s="706"/>
      <c r="Z103" s="706"/>
      <c r="AA103" s="706"/>
      <c r="AB103" s="706"/>
      <c r="AC103" s="706"/>
      <c r="AD103" s="706"/>
      <c r="AE103" s="703">
        <v>0</v>
      </c>
      <c r="AF103" s="704">
        <v>0</v>
      </c>
      <c r="AG103" s="705">
        <v>0</v>
      </c>
      <c r="AH103" s="706">
        <v>0</v>
      </c>
      <c r="AI103" s="705">
        <v>0</v>
      </c>
      <c r="AJ103" s="703">
        <v>0</v>
      </c>
      <c r="AK103" s="705">
        <v>0</v>
      </c>
      <c r="AL103" s="707">
        <v>0</v>
      </c>
      <c r="AM103" s="703">
        <v>0</v>
      </c>
      <c r="AN103" s="703">
        <v>0</v>
      </c>
      <c r="AO103" s="707">
        <v>0</v>
      </c>
      <c r="AP103" s="708">
        <v>2E-3</v>
      </c>
      <c r="AQ103" s="705">
        <f t="shared" si="24"/>
        <v>7.1428571428571426E-3</v>
      </c>
      <c r="AR103" s="703">
        <v>0</v>
      </c>
      <c r="AS103" s="705">
        <v>0</v>
      </c>
      <c r="AT103" s="709">
        <v>2E-3</v>
      </c>
      <c r="AU103" s="703">
        <v>0</v>
      </c>
      <c r="AV103" s="705">
        <v>0</v>
      </c>
      <c r="AW103" s="710">
        <v>0</v>
      </c>
      <c r="AX103" s="711">
        <v>0</v>
      </c>
      <c r="AY103" s="710">
        <v>0</v>
      </c>
      <c r="AZ103" s="711">
        <v>0</v>
      </c>
      <c r="BA103" s="710">
        <v>0</v>
      </c>
      <c r="BB103" s="711">
        <v>0</v>
      </c>
      <c r="BC103" s="712">
        <v>0</v>
      </c>
      <c r="BD103" s="713">
        <v>0</v>
      </c>
      <c r="BE103" s="710">
        <v>0</v>
      </c>
      <c r="BF103" s="711">
        <v>0</v>
      </c>
      <c r="BG103" s="712">
        <v>0</v>
      </c>
      <c r="BH103" s="711">
        <v>0</v>
      </c>
      <c r="BI103" s="712">
        <v>0</v>
      </c>
      <c r="BJ103" s="711">
        <v>0</v>
      </c>
      <c r="BK103" s="712">
        <v>0</v>
      </c>
      <c r="BL103" s="711">
        <v>0</v>
      </c>
      <c r="BM103" s="712">
        <v>0</v>
      </c>
      <c r="BN103" s="711">
        <v>0</v>
      </c>
      <c r="BO103" s="712">
        <v>0</v>
      </c>
      <c r="BP103" s="711">
        <v>0</v>
      </c>
      <c r="BQ103" s="712">
        <v>0</v>
      </c>
      <c r="BR103" s="711">
        <v>0</v>
      </c>
      <c r="BS103" s="712">
        <v>0</v>
      </c>
      <c r="BT103" s="711">
        <v>0</v>
      </c>
      <c r="BU103" s="712">
        <v>0</v>
      </c>
      <c r="BV103" s="711">
        <v>0</v>
      </c>
      <c r="BW103" s="712">
        <v>0</v>
      </c>
      <c r="BX103" s="711">
        <v>0</v>
      </c>
      <c r="BY103" s="712">
        <v>0</v>
      </c>
      <c r="BZ103" s="711">
        <v>0</v>
      </c>
      <c r="CA103" s="712">
        <v>0</v>
      </c>
      <c r="CB103" s="711">
        <v>0</v>
      </c>
      <c r="CC103" s="710">
        <v>0</v>
      </c>
      <c r="CD103" s="713">
        <v>0</v>
      </c>
      <c r="CE103" s="710">
        <v>0</v>
      </c>
      <c r="CF103" s="713">
        <v>0</v>
      </c>
      <c r="CG103" s="710">
        <v>0</v>
      </c>
      <c r="CH103" s="713">
        <v>0</v>
      </c>
      <c r="CI103" s="710">
        <v>0</v>
      </c>
      <c r="CJ103" s="713">
        <v>0</v>
      </c>
      <c r="CK103" s="710">
        <v>0</v>
      </c>
      <c r="CL103" s="713">
        <v>0</v>
      </c>
      <c r="CM103" s="710">
        <v>0</v>
      </c>
      <c r="CN103" s="713">
        <v>0</v>
      </c>
      <c r="CO103" s="710">
        <v>0</v>
      </c>
      <c r="CP103" s="713">
        <v>0</v>
      </c>
      <c r="CQ103" s="710">
        <v>0</v>
      </c>
      <c r="CR103" s="711">
        <v>0</v>
      </c>
      <c r="CS103" s="710">
        <v>0</v>
      </c>
      <c r="CT103" s="711">
        <v>0</v>
      </c>
      <c r="CU103" s="712">
        <v>0</v>
      </c>
      <c r="CV103" s="711">
        <v>0</v>
      </c>
    </row>
    <row r="104" spans="1:100">
      <c r="A104" s="467">
        <v>102</v>
      </c>
      <c r="B104" s="595">
        <v>0</v>
      </c>
      <c r="C104" s="595">
        <v>0</v>
      </c>
      <c r="D104" s="595">
        <v>0</v>
      </c>
      <c r="E104" s="595">
        <v>0</v>
      </c>
      <c r="F104" s="595">
        <v>0</v>
      </c>
      <c r="G104" s="595">
        <v>0</v>
      </c>
      <c r="H104" s="595">
        <v>0</v>
      </c>
      <c r="I104" s="595">
        <v>0</v>
      </c>
      <c r="J104" s="595">
        <v>0</v>
      </c>
      <c r="K104" s="595">
        <v>0</v>
      </c>
      <c r="L104" s="595">
        <v>0</v>
      </c>
      <c r="M104" s="595">
        <v>0</v>
      </c>
      <c r="N104" s="595">
        <v>0</v>
      </c>
      <c r="O104" s="595">
        <v>0</v>
      </c>
      <c r="P104" s="595">
        <v>0</v>
      </c>
      <c r="Q104" s="595">
        <v>0</v>
      </c>
      <c r="R104" s="595">
        <v>0</v>
      </c>
      <c r="S104" s="595">
        <v>0</v>
      </c>
      <c r="T104" s="595">
        <v>0</v>
      </c>
      <c r="U104" s="595">
        <v>0</v>
      </c>
      <c r="V104" s="595">
        <v>0</v>
      </c>
      <c r="W104" s="611">
        <v>0</v>
      </c>
      <c r="X104" s="706"/>
      <c r="Y104" s="706"/>
      <c r="Z104" s="706"/>
      <c r="AA104" s="706"/>
      <c r="AB104" s="706"/>
      <c r="AC104" s="706"/>
      <c r="AD104" s="706"/>
      <c r="AE104" s="703">
        <v>0</v>
      </c>
      <c r="AF104" s="704">
        <v>0</v>
      </c>
      <c r="AG104" s="705">
        <v>0</v>
      </c>
      <c r="AH104" s="706">
        <v>0</v>
      </c>
      <c r="AI104" s="705">
        <v>0</v>
      </c>
      <c r="AJ104" s="703">
        <v>0</v>
      </c>
      <c r="AK104" s="705">
        <v>0</v>
      </c>
      <c r="AL104" s="707">
        <v>0</v>
      </c>
      <c r="AM104" s="703">
        <v>0</v>
      </c>
      <c r="AN104" s="703">
        <v>0</v>
      </c>
      <c r="AO104" s="707">
        <v>0</v>
      </c>
      <c r="AP104" s="708">
        <v>2E-3</v>
      </c>
      <c r="AQ104" s="705">
        <f t="shared" si="24"/>
        <v>7.1428571428571426E-3</v>
      </c>
      <c r="AR104" s="703">
        <v>0</v>
      </c>
      <c r="AS104" s="705">
        <v>0</v>
      </c>
      <c r="AT104" s="709">
        <v>2E-3</v>
      </c>
      <c r="AU104" s="703">
        <v>0</v>
      </c>
      <c r="AV104" s="705">
        <v>0</v>
      </c>
      <c r="AW104" s="710">
        <v>0</v>
      </c>
      <c r="AX104" s="711">
        <v>0</v>
      </c>
      <c r="AY104" s="710">
        <v>0</v>
      </c>
      <c r="AZ104" s="711">
        <v>0</v>
      </c>
      <c r="BA104" s="710">
        <v>0</v>
      </c>
      <c r="BB104" s="711">
        <v>0</v>
      </c>
      <c r="BC104" s="712">
        <v>0</v>
      </c>
      <c r="BD104" s="713">
        <v>0</v>
      </c>
      <c r="BE104" s="710">
        <v>0</v>
      </c>
      <c r="BF104" s="711">
        <v>0</v>
      </c>
      <c r="BG104" s="712">
        <v>0</v>
      </c>
      <c r="BH104" s="711">
        <v>0</v>
      </c>
      <c r="BI104" s="712">
        <v>0</v>
      </c>
      <c r="BJ104" s="711">
        <v>0</v>
      </c>
      <c r="BK104" s="712">
        <v>0</v>
      </c>
      <c r="BL104" s="711">
        <v>0</v>
      </c>
      <c r="BM104" s="712">
        <v>0</v>
      </c>
      <c r="BN104" s="711">
        <v>0</v>
      </c>
      <c r="BO104" s="712">
        <v>0</v>
      </c>
      <c r="BP104" s="711">
        <v>0</v>
      </c>
      <c r="BQ104" s="712">
        <v>0</v>
      </c>
      <c r="BR104" s="711">
        <v>0</v>
      </c>
      <c r="BS104" s="712">
        <v>0</v>
      </c>
      <c r="BT104" s="711">
        <v>0</v>
      </c>
      <c r="BU104" s="712">
        <v>0</v>
      </c>
      <c r="BV104" s="711">
        <v>0</v>
      </c>
      <c r="BW104" s="712">
        <v>0</v>
      </c>
      <c r="BX104" s="711">
        <v>0</v>
      </c>
      <c r="BY104" s="712">
        <v>0</v>
      </c>
      <c r="BZ104" s="711">
        <v>0</v>
      </c>
      <c r="CA104" s="712">
        <v>0</v>
      </c>
      <c r="CB104" s="711">
        <v>0</v>
      </c>
      <c r="CC104" s="710">
        <v>0</v>
      </c>
      <c r="CD104" s="713">
        <v>0</v>
      </c>
      <c r="CE104" s="710">
        <v>0</v>
      </c>
      <c r="CF104" s="713">
        <v>0</v>
      </c>
      <c r="CG104" s="710">
        <v>0</v>
      </c>
      <c r="CH104" s="713">
        <v>0</v>
      </c>
      <c r="CI104" s="710">
        <v>0</v>
      </c>
      <c r="CJ104" s="713">
        <v>0</v>
      </c>
      <c r="CK104" s="710">
        <v>0</v>
      </c>
      <c r="CL104" s="713">
        <v>0</v>
      </c>
      <c r="CM104" s="710">
        <v>0</v>
      </c>
      <c r="CN104" s="713">
        <v>0</v>
      </c>
      <c r="CO104" s="710">
        <v>0</v>
      </c>
      <c r="CP104" s="713">
        <v>0</v>
      </c>
      <c r="CQ104" s="710">
        <v>0</v>
      </c>
      <c r="CR104" s="711">
        <v>0</v>
      </c>
      <c r="CS104" s="710">
        <v>0</v>
      </c>
      <c r="CT104" s="711">
        <v>0</v>
      </c>
      <c r="CU104" s="712">
        <v>0</v>
      </c>
      <c r="CV104" s="711">
        <v>0</v>
      </c>
    </row>
    <row r="105" spans="1:100">
      <c r="A105" s="467">
        <v>103</v>
      </c>
      <c r="B105" s="595">
        <v>0</v>
      </c>
      <c r="C105" s="595">
        <v>0</v>
      </c>
      <c r="D105" s="595">
        <v>0</v>
      </c>
      <c r="E105" s="595">
        <v>0</v>
      </c>
      <c r="F105" s="595">
        <v>0</v>
      </c>
      <c r="G105" s="595">
        <v>0</v>
      </c>
      <c r="H105" s="595">
        <v>0</v>
      </c>
      <c r="I105" s="595">
        <v>0</v>
      </c>
      <c r="J105" s="595">
        <v>0</v>
      </c>
      <c r="K105" s="595">
        <v>0</v>
      </c>
      <c r="L105" s="595">
        <v>0</v>
      </c>
      <c r="M105" s="595">
        <v>0</v>
      </c>
      <c r="N105" s="595">
        <v>0</v>
      </c>
      <c r="O105" s="595">
        <v>0</v>
      </c>
      <c r="P105" s="595">
        <v>0</v>
      </c>
      <c r="Q105" s="595">
        <v>0</v>
      </c>
      <c r="R105" s="595">
        <v>0</v>
      </c>
      <c r="S105" s="595">
        <v>0</v>
      </c>
      <c r="T105" s="595">
        <v>0</v>
      </c>
      <c r="U105" s="595">
        <v>0</v>
      </c>
      <c r="V105" s="595">
        <v>0</v>
      </c>
      <c r="W105" s="611">
        <v>0</v>
      </c>
      <c r="X105" s="706"/>
      <c r="Y105" s="706"/>
      <c r="Z105" s="706"/>
      <c r="AA105" s="706"/>
      <c r="AB105" s="706"/>
      <c r="AC105" s="706"/>
      <c r="AD105" s="706"/>
      <c r="AE105" s="703">
        <v>0</v>
      </c>
      <c r="AF105" s="704">
        <v>0</v>
      </c>
      <c r="AG105" s="705">
        <v>0</v>
      </c>
      <c r="AH105" s="706">
        <v>0</v>
      </c>
      <c r="AI105" s="705">
        <v>0</v>
      </c>
      <c r="AJ105" s="703">
        <v>0</v>
      </c>
      <c r="AK105" s="705">
        <v>0</v>
      </c>
      <c r="AL105" s="707">
        <v>0</v>
      </c>
      <c r="AM105" s="703">
        <v>0</v>
      </c>
      <c r="AN105" s="703">
        <v>0</v>
      </c>
      <c r="AO105" s="707">
        <v>0</v>
      </c>
      <c r="AP105" s="708">
        <v>2E-3</v>
      </c>
      <c r="AQ105" s="705">
        <f t="shared" si="24"/>
        <v>7.1428571428571426E-3</v>
      </c>
      <c r="AR105" s="703">
        <v>0</v>
      </c>
      <c r="AS105" s="705">
        <v>0</v>
      </c>
      <c r="AT105" s="709">
        <v>2E-3</v>
      </c>
      <c r="AU105" s="703">
        <v>0</v>
      </c>
      <c r="AV105" s="705">
        <v>0</v>
      </c>
      <c r="AW105" s="710">
        <v>0</v>
      </c>
      <c r="AX105" s="711">
        <v>0</v>
      </c>
      <c r="AY105" s="710">
        <v>0</v>
      </c>
      <c r="AZ105" s="711">
        <v>0</v>
      </c>
      <c r="BA105" s="710">
        <v>0</v>
      </c>
      <c r="BB105" s="711">
        <v>0</v>
      </c>
      <c r="BC105" s="712">
        <v>0</v>
      </c>
      <c r="BD105" s="713">
        <v>0</v>
      </c>
      <c r="BE105" s="710">
        <v>0</v>
      </c>
      <c r="BF105" s="711">
        <v>0</v>
      </c>
      <c r="BG105" s="712">
        <v>0</v>
      </c>
      <c r="BH105" s="711">
        <v>0</v>
      </c>
      <c r="BI105" s="712">
        <v>0</v>
      </c>
      <c r="BJ105" s="711">
        <v>0</v>
      </c>
      <c r="BK105" s="712">
        <v>0</v>
      </c>
      <c r="BL105" s="711">
        <v>0</v>
      </c>
      <c r="BM105" s="712">
        <v>0</v>
      </c>
      <c r="BN105" s="711">
        <v>0</v>
      </c>
      <c r="BO105" s="712">
        <v>0</v>
      </c>
      <c r="BP105" s="711">
        <v>0</v>
      </c>
      <c r="BQ105" s="712">
        <v>0</v>
      </c>
      <c r="BR105" s="711">
        <v>0</v>
      </c>
      <c r="BS105" s="712">
        <v>0</v>
      </c>
      <c r="BT105" s="711">
        <v>0</v>
      </c>
      <c r="BU105" s="712">
        <v>0</v>
      </c>
      <c r="BV105" s="711">
        <v>0</v>
      </c>
      <c r="BW105" s="712">
        <v>0</v>
      </c>
      <c r="BX105" s="711">
        <v>0</v>
      </c>
      <c r="BY105" s="712">
        <v>0</v>
      </c>
      <c r="BZ105" s="711">
        <v>0</v>
      </c>
      <c r="CA105" s="712">
        <v>0</v>
      </c>
      <c r="CB105" s="711">
        <v>0</v>
      </c>
      <c r="CC105" s="710">
        <v>0</v>
      </c>
      <c r="CD105" s="713">
        <v>0</v>
      </c>
      <c r="CE105" s="710">
        <v>0</v>
      </c>
      <c r="CF105" s="713">
        <v>0</v>
      </c>
      <c r="CG105" s="710">
        <v>0</v>
      </c>
      <c r="CH105" s="713">
        <v>0</v>
      </c>
      <c r="CI105" s="710">
        <v>0</v>
      </c>
      <c r="CJ105" s="713">
        <v>0</v>
      </c>
      <c r="CK105" s="710">
        <v>0</v>
      </c>
      <c r="CL105" s="713">
        <v>0</v>
      </c>
      <c r="CM105" s="710">
        <v>0</v>
      </c>
      <c r="CN105" s="713">
        <v>0</v>
      </c>
      <c r="CO105" s="710">
        <v>0</v>
      </c>
      <c r="CP105" s="713">
        <v>0</v>
      </c>
      <c r="CQ105" s="710">
        <v>0</v>
      </c>
      <c r="CR105" s="711">
        <v>0</v>
      </c>
      <c r="CS105" s="710">
        <v>0</v>
      </c>
      <c r="CT105" s="711">
        <v>0</v>
      </c>
      <c r="CU105" s="712">
        <v>0</v>
      </c>
      <c r="CV105" s="711">
        <v>0</v>
      </c>
    </row>
    <row r="106" spans="1:100">
      <c r="A106" s="467">
        <v>104</v>
      </c>
      <c r="B106" s="595">
        <v>0</v>
      </c>
      <c r="C106" s="595">
        <v>0</v>
      </c>
      <c r="D106" s="595">
        <v>0</v>
      </c>
      <c r="E106" s="595">
        <v>0</v>
      </c>
      <c r="F106" s="595">
        <v>0</v>
      </c>
      <c r="G106" s="595">
        <v>0</v>
      </c>
      <c r="H106" s="595">
        <v>0</v>
      </c>
      <c r="I106" s="595">
        <v>0</v>
      </c>
      <c r="J106" s="595">
        <v>0</v>
      </c>
      <c r="K106" s="595">
        <v>0</v>
      </c>
      <c r="L106" s="595">
        <v>0</v>
      </c>
      <c r="M106" s="595">
        <v>0</v>
      </c>
      <c r="N106" s="595">
        <v>0</v>
      </c>
      <c r="O106" s="595">
        <v>0</v>
      </c>
      <c r="P106" s="595">
        <v>0</v>
      </c>
      <c r="Q106" s="595">
        <v>0</v>
      </c>
      <c r="R106" s="595">
        <v>0</v>
      </c>
      <c r="S106" s="595">
        <v>0</v>
      </c>
      <c r="T106" s="595">
        <v>0</v>
      </c>
      <c r="U106" s="595">
        <v>0</v>
      </c>
      <c r="V106" s="595">
        <v>0</v>
      </c>
      <c r="W106" s="611">
        <v>0</v>
      </c>
      <c r="X106" s="706"/>
      <c r="Y106" s="706"/>
      <c r="Z106" s="706"/>
      <c r="AA106" s="706"/>
      <c r="AB106" s="706"/>
      <c r="AC106" s="706"/>
      <c r="AD106" s="706"/>
      <c r="AE106" s="703">
        <v>0</v>
      </c>
      <c r="AF106" s="704">
        <v>0</v>
      </c>
      <c r="AG106" s="705">
        <v>0</v>
      </c>
      <c r="AH106" s="706">
        <v>0</v>
      </c>
      <c r="AI106" s="705">
        <v>0</v>
      </c>
      <c r="AJ106" s="703">
        <v>0</v>
      </c>
      <c r="AK106" s="705">
        <v>0</v>
      </c>
      <c r="AL106" s="707">
        <v>0</v>
      </c>
      <c r="AM106" s="703">
        <v>0</v>
      </c>
      <c r="AN106" s="703">
        <v>0</v>
      </c>
      <c r="AO106" s="707">
        <v>0</v>
      </c>
      <c r="AP106" s="708">
        <v>2E-3</v>
      </c>
      <c r="AQ106" s="705">
        <f t="shared" si="24"/>
        <v>7.1428571428571426E-3</v>
      </c>
      <c r="AR106" s="703">
        <v>0</v>
      </c>
      <c r="AS106" s="705">
        <v>0</v>
      </c>
      <c r="AT106" s="709">
        <v>2E-3</v>
      </c>
      <c r="AU106" s="703">
        <v>0</v>
      </c>
      <c r="AV106" s="705">
        <v>0</v>
      </c>
      <c r="AW106" s="710">
        <v>0</v>
      </c>
      <c r="AX106" s="711">
        <v>0</v>
      </c>
      <c r="AY106" s="710">
        <v>0</v>
      </c>
      <c r="AZ106" s="711">
        <v>0</v>
      </c>
      <c r="BA106" s="710">
        <v>0</v>
      </c>
      <c r="BB106" s="711">
        <v>0</v>
      </c>
      <c r="BC106" s="712">
        <v>0</v>
      </c>
      <c r="BD106" s="713">
        <v>0</v>
      </c>
      <c r="BE106" s="710">
        <v>0</v>
      </c>
      <c r="BF106" s="711">
        <v>0</v>
      </c>
      <c r="BG106" s="712">
        <v>0</v>
      </c>
      <c r="BH106" s="711">
        <v>0</v>
      </c>
      <c r="BI106" s="712">
        <v>0</v>
      </c>
      <c r="BJ106" s="711">
        <v>0</v>
      </c>
      <c r="BK106" s="712">
        <v>0</v>
      </c>
      <c r="BL106" s="711">
        <v>0</v>
      </c>
      <c r="BM106" s="712">
        <v>0</v>
      </c>
      <c r="BN106" s="711">
        <v>0</v>
      </c>
      <c r="BO106" s="712">
        <v>0</v>
      </c>
      <c r="BP106" s="711">
        <v>0</v>
      </c>
      <c r="BQ106" s="712">
        <v>0</v>
      </c>
      <c r="BR106" s="711">
        <v>0</v>
      </c>
      <c r="BS106" s="712">
        <v>0</v>
      </c>
      <c r="BT106" s="711">
        <v>0</v>
      </c>
      <c r="BU106" s="712">
        <v>0</v>
      </c>
      <c r="BV106" s="711">
        <v>0</v>
      </c>
      <c r="BW106" s="712">
        <v>0</v>
      </c>
      <c r="BX106" s="711">
        <v>0</v>
      </c>
      <c r="BY106" s="712">
        <v>0</v>
      </c>
      <c r="BZ106" s="711">
        <v>0</v>
      </c>
      <c r="CA106" s="712">
        <v>0</v>
      </c>
      <c r="CB106" s="711">
        <v>0</v>
      </c>
      <c r="CC106" s="710">
        <v>0</v>
      </c>
      <c r="CD106" s="713">
        <v>0</v>
      </c>
      <c r="CE106" s="710">
        <v>0</v>
      </c>
      <c r="CF106" s="713">
        <v>0</v>
      </c>
      <c r="CG106" s="710">
        <v>0</v>
      </c>
      <c r="CH106" s="713">
        <v>0</v>
      </c>
      <c r="CI106" s="710">
        <v>0</v>
      </c>
      <c r="CJ106" s="713">
        <v>0</v>
      </c>
      <c r="CK106" s="710">
        <v>0</v>
      </c>
      <c r="CL106" s="713">
        <v>0</v>
      </c>
      <c r="CM106" s="710">
        <v>0</v>
      </c>
      <c r="CN106" s="713">
        <v>0</v>
      </c>
      <c r="CO106" s="710">
        <v>0</v>
      </c>
      <c r="CP106" s="713">
        <v>0</v>
      </c>
      <c r="CQ106" s="710">
        <v>0</v>
      </c>
      <c r="CR106" s="711">
        <v>0</v>
      </c>
      <c r="CS106" s="710">
        <v>0</v>
      </c>
      <c r="CT106" s="711">
        <v>0</v>
      </c>
      <c r="CU106" s="712">
        <v>0</v>
      </c>
      <c r="CV106" s="711">
        <v>0</v>
      </c>
    </row>
    <row r="107" spans="1:100">
      <c r="A107" s="467">
        <v>105</v>
      </c>
      <c r="B107" s="595">
        <v>0</v>
      </c>
      <c r="C107" s="595">
        <v>0</v>
      </c>
      <c r="D107" s="595">
        <v>0</v>
      </c>
      <c r="E107" s="595">
        <v>0</v>
      </c>
      <c r="F107" s="595">
        <v>0</v>
      </c>
      <c r="G107" s="595">
        <v>0</v>
      </c>
      <c r="H107" s="595">
        <v>0</v>
      </c>
      <c r="I107" s="595">
        <v>0</v>
      </c>
      <c r="J107" s="595">
        <v>0</v>
      </c>
      <c r="K107" s="595">
        <v>0</v>
      </c>
      <c r="L107" s="595">
        <v>0</v>
      </c>
      <c r="M107" s="595">
        <v>0</v>
      </c>
      <c r="N107" s="595">
        <v>0</v>
      </c>
      <c r="O107" s="595">
        <v>0</v>
      </c>
      <c r="P107" s="595">
        <v>0</v>
      </c>
      <c r="Q107" s="595">
        <v>0</v>
      </c>
      <c r="R107" s="595">
        <v>0</v>
      </c>
      <c r="S107" s="595">
        <v>0</v>
      </c>
      <c r="T107" s="595">
        <v>0</v>
      </c>
      <c r="U107" s="595">
        <v>0</v>
      </c>
      <c r="V107" s="595">
        <v>0</v>
      </c>
      <c r="W107" s="611">
        <v>0</v>
      </c>
      <c r="X107" s="706"/>
      <c r="Y107" s="706"/>
      <c r="Z107" s="706"/>
      <c r="AA107" s="706"/>
      <c r="AB107" s="706"/>
      <c r="AC107" s="706"/>
      <c r="AD107" s="706"/>
      <c r="AE107" s="703">
        <v>0</v>
      </c>
      <c r="AF107" s="704">
        <v>0</v>
      </c>
      <c r="AG107" s="705">
        <v>0</v>
      </c>
      <c r="AH107" s="706">
        <v>0</v>
      </c>
      <c r="AI107" s="705">
        <v>0</v>
      </c>
      <c r="AJ107" s="703">
        <v>0</v>
      </c>
      <c r="AK107" s="705">
        <v>0</v>
      </c>
      <c r="AL107" s="707">
        <v>0</v>
      </c>
      <c r="AM107" s="703">
        <v>0</v>
      </c>
      <c r="AN107" s="703">
        <v>0</v>
      </c>
      <c r="AO107" s="707">
        <v>0</v>
      </c>
      <c r="AP107" s="708">
        <v>2E-3</v>
      </c>
      <c r="AQ107" s="705">
        <f t="shared" si="24"/>
        <v>7.1428571428571426E-3</v>
      </c>
      <c r="AR107" s="703">
        <v>0</v>
      </c>
      <c r="AS107" s="705">
        <v>0</v>
      </c>
      <c r="AT107" s="709">
        <v>2E-3</v>
      </c>
      <c r="AU107" s="703">
        <v>0</v>
      </c>
      <c r="AV107" s="705">
        <v>0</v>
      </c>
      <c r="AW107" s="710">
        <v>0</v>
      </c>
      <c r="AX107" s="711">
        <v>0</v>
      </c>
      <c r="AY107" s="710">
        <v>0</v>
      </c>
      <c r="AZ107" s="711">
        <v>0</v>
      </c>
      <c r="BA107" s="710">
        <v>0</v>
      </c>
      <c r="BB107" s="711">
        <v>0</v>
      </c>
      <c r="BC107" s="712">
        <v>0</v>
      </c>
      <c r="BD107" s="713">
        <v>0</v>
      </c>
      <c r="BE107" s="710">
        <v>0</v>
      </c>
      <c r="BF107" s="711">
        <v>0</v>
      </c>
      <c r="BG107" s="712">
        <v>0</v>
      </c>
      <c r="BH107" s="711">
        <v>0</v>
      </c>
      <c r="BI107" s="712">
        <v>0</v>
      </c>
      <c r="BJ107" s="711">
        <v>0</v>
      </c>
      <c r="BK107" s="712">
        <v>0</v>
      </c>
      <c r="BL107" s="711">
        <v>0</v>
      </c>
      <c r="BM107" s="712">
        <v>0</v>
      </c>
      <c r="BN107" s="711">
        <v>0</v>
      </c>
      <c r="BO107" s="712">
        <v>0</v>
      </c>
      <c r="BP107" s="711">
        <v>0</v>
      </c>
      <c r="BQ107" s="712">
        <v>0</v>
      </c>
      <c r="BR107" s="711">
        <v>0</v>
      </c>
      <c r="BS107" s="712">
        <v>0</v>
      </c>
      <c r="BT107" s="711">
        <v>0</v>
      </c>
      <c r="BU107" s="712">
        <v>0</v>
      </c>
      <c r="BV107" s="711">
        <v>0</v>
      </c>
      <c r="BW107" s="712">
        <v>0</v>
      </c>
      <c r="BX107" s="711">
        <v>0</v>
      </c>
      <c r="BY107" s="712">
        <v>0</v>
      </c>
      <c r="BZ107" s="711">
        <v>0</v>
      </c>
      <c r="CA107" s="712">
        <v>0</v>
      </c>
      <c r="CB107" s="711">
        <v>0</v>
      </c>
      <c r="CC107" s="710">
        <v>0</v>
      </c>
      <c r="CD107" s="713">
        <v>0</v>
      </c>
      <c r="CE107" s="710">
        <v>0</v>
      </c>
      <c r="CF107" s="713">
        <v>0</v>
      </c>
      <c r="CG107" s="710">
        <v>0</v>
      </c>
      <c r="CH107" s="713">
        <v>0</v>
      </c>
      <c r="CI107" s="710">
        <v>0</v>
      </c>
      <c r="CJ107" s="713">
        <v>0</v>
      </c>
      <c r="CK107" s="710">
        <v>0</v>
      </c>
      <c r="CL107" s="713">
        <v>0</v>
      </c>
      <c r="CM107" s="710">
        <v>0</v>
      </c>
      <c r="CN107" s="713">
        <v>0</v>
      </c>
      <c r="CO107" s="710">
        <v>0</v>
      </c>
      <c r="CP107" s="713">
        <v>0</v>
      </c>
      <c r="CQ107" s="710">
        <v>0</v>
      </c>
      <c r="CR107" s="711">
        <v>0</v>
      </c>
      <c r="CS107" s="710">
        <v>0</v>
      </c>
      <c r="CT107" s="711">
        <v>0</v>
      </c>
      <c r="CU107" s="712">
        <v>0</v>
      </c>
      <c r="CV107" s="711">
        <v>0</v>
      </c>
    </row>
    <row r="108" spans="1:100">
      <c r="A108" s="467">
        <v>106</v>
      </c>
      <c r="B108" s="595">
        <v>0</v>
      </c>
      <c r="C108" s="595">
        <v>0</v>
      </c>
      <c r="D108" s="595">
        <v>0</v>
      </c>
      <c r="E108" s="595">
        <v>0</v>
      </c>
      <c r="F108" s="595">
        <v>0</v>
      </c>
      <c r="G108" s="595">
        <v>0</v>
      </c>
      <c r="H108" s="595">
        <v>0</v>
      </c>
      <c r="I108" s="595">
        <v>0</v>
      </c>
      <c r="J108" s="595">
        <v>0</v>
      </c>
      <c r="K108" s="595">
        <v>0</v>
      </c>
      <c r="L108" s="595">
        <v>0</v>
      </c>
      <c r="M108" s="595">
        <v>0</v>
      </c>
      <c r="N108" s="595">
        <v>0</v>
      </c>
      <c r="O108" s="595">
        <v>0</v>
      </c>
      <c r="P108" s="595">
        <v>0</v>
      </c>
      <c r="Q108" s="595">
        <v>0</v>
      </c>
      <c r="R108" s="595">
        <v>0</v>
      </c>
      <c r="S108" s="595">
        <v>0</v>
      </c>
      <c r="T108" s="595">
        <v>0</v>
      </c>
      <c r="U108" s="595">
        <v>0</v>
      </c>
      <c r="V108" s="595">
        <v>0</v>
      </c>
      <c r="W108" s="611">
        <v>0</v>
      </c>
      <c r="X108" s="706"/>
      <c r="Y108" s="706"/>
      <c r="Z108" s="706"/>
      <c r="AA108" s="706"/>
      <c r="AB108" s="706"/>
      <c r="AC108" s="706"/>
      <c r="AD108" s="706"/>
      <c r="AE108" s="703">
        <v>0</v>
      </c>
      <c r="AF108" s="704">
        <v>0</v>
      </c>
      <c r="AG108" s="705">
        <v>0</v>
      </c>
      <c r="AH108" s="706">
        <v>0</v>
      </c>
      <c r="AI108" s="705">
        <v>0</v>
      </c>
      <c r="AJ108" s="703">
        <v>0</v>
      </c>
      <c r="AK108" s="705">
        <v>0</v>
      </c>
      <c r="AL108" s="707">
        <v>0</v>
      </c>
      <c r="AM108" s="703">
        <v>0</v>
      </c>
      <c r="AN108" s="703">
        <v>0</v>
      </c>
      <c r="AO108" s="707">
        <v>0</v>
      </c>
      <c r="AP108" s="708">
        <v>2E-3</v>
      </c>
      <c r="AQ108" s="705">
        <f t="shared" si="24"/>
        <v>7.1428571428571426E-3</v>
      </c>
      <c r="AR108" s="703">
        <v>0</v>
      </c>
      <c r="AS108" s="705">
        <v>0</v>
      </c>
      <c r="AT108" s="709">
        <v>2E-3</v>
      </c>
      <c r="AU108" s="703">
        <v>0</v>
      </c>
      <c r="AV108" s="705">
        <v>0</v>
      </c>
      <c r="AW108" s="710">
        <v>0</v>
      </c>
      <c r="AX108" s="711">
        <v>0</v>
      </c>
      <c r="AY108" s="710">
        <v>0</v>
      </c>
      <c r="AZ108" s="711">
        <v>0</v>
      </c>
      <c r="BA108" s="710">
        <v>0</v>
      </c>
      <c r="BB108" s="711">
        <v>0</v>
      </c>
      <c r="BC108" s="712">
        <v>0</v>
      </c>
      <c r="BD108" s="713">
        <v>0</v>
      </c>
      <c r="BE108" s="710">
        <v>0</v>
      </c>
      <c r="BF108" s="711">
        <v>0</v>
      </c>
      <c r="BG108" s="712">
        <v>0</v>
      </c>
      <c r="BH108" s="711">
        <v>0</v>
      </c>
      <c r="BI108" s="712">
        <v>0</v>
      </c>
      <c r="BJ108" s="711">
        <v>0</v>
      </c>
      <c r="BK108" s="712">
        <v>0</v>
      </c>
      <c r="BL108" s="711">
        <v>0</v>
      </c>
      <c r="BM108" s="712">
        <v>0</v>
      </c>
      <c r="BN108" s="711">
        <v>0</v>
      </c>
      <c r="BO108" s="712">
        <v>0</v>
      </c>
      <c r="BP108" s="711">
        <v>0</v>
      </c>
      <c r="BQ108" s="712">
        <v>0</v>
      </c>
      <c r="BR108" s="711">
        <v>0</v>
      </c>
      <c r="BS108" s="712">
        <v>0</v>
      </c>
      <c r="BT108" s="711">
        <v>0</v>
      </c>
      <c r="BU108" s="712">
        <v>0</v>
      </c>
      <c r="BV108" s="711">
        <v>0</v>
      </c>
      <c r="BW108" s="712">
        <v>0</v>
      </c>
      <c r="BX108" s="711">
        <v>0</v>
      </c>
      <c r="BY108" s="712">
        <v>0</v>
      </c>
      <c r="BZ108" s="711">
        <v>0</v>
      </c>
      <c r="CA108" s="712">
        <v>0</v>
      </c>
      <c r="CB108" s="711">
        <v>0</v>
      </c>
      <c r="CC108" s="710">
        <v>0</v>
      </c>
      <c r="CD108" s="713">
        <v>0</v>
      </c>
      <c r="CE108" s="710">
        <v>0</v>
      </c>
      <c r="CF108" s="713">
        <v>0</v>
      </c>
      <c r="CG108" s="710">
        <v>0</v>
      </c>
      <c r="CH108" s="713">
        <v>0</v>
      </c>
      <c r="CI108" s="710">
        <v>0</v>
      </c>
      <c r="CJ108" s="713">
        <v>0</v>
      </c>
      <c r="CK108" s="710">
        <v>0</v>
      </c>
      <c r="CL108" s="713">
        <v>0</v>
      </c>
      <c r="CM108" s="710">
        <v>0</v>
      </c>
      <c r="CN108" s="713">
        <v>0</v>
      </c>
      <c r="CO108" s="710">
        <v>0</v>
      </c>
      <c r="CP108" s="713">
        <v>0</v>
      </c>
      <c r="CQ108" s="710">
        <v>0</v>
      </c>
      <c r="CR108" s="711">
        <v>0</v>
      </c>
      <c r="CS108" s="710">
        <v>0</v>
      </c>
      <c r="CT108" s="711">
        <v>0</v>
      </c>
      <c r="CU108" s="712">
        <v>0</v>
      </c>
      <c r="CV108" s="711">
        <v>0</v>
      </c>
    </row>
    <row r="109" spans="1:100">
      <c r="A109" s="467">
        <v>107</v>
      </c>
      <c r="B109" s="595">
        <v>0</v>
      </c>
      <c r="C109" s="595">
        <v>0</v>
      </c>
      <c r="D109" s="595">
        <v>0</v>
      </c>
      <c r="E109" s="595">
        <v>0</v>
      </c>
      <c r="F109" s="595">
        <v>0</v>
      </c>
      <c r="G109" s="595">
        <v>0</v>
      </c>
      <c r="H109" s="595">
        <v>0</v>
      </c>
      <c r="I109" s="595">
        <v>0</v>
      </c>
      <c r="J109" s="595">
        <v>0</v>
      </c>
      <c r="K109" s="595">
        <v>0</v>
      </c>
      <c r="L109" s="595">
        <v>0</v>
      </c>
      <c r="M109" s="595">
        <v>0</v>
      </c>
      <c r="N109" s="595">
        <v>0</v>
      </c>
      <c r="O109" s="595">
        <v>0</v>
      </c>
      <c r="P109" s="595">
        <v>0</v>
      </c>
      <c r="Q109" s="595">
        <v>0</v>
      </c>
      <c r="R109" s="595">
        <v>0</v>
      </c>
      <c r="S109" s="595">
        <v>0</v>
      </c>
      <c r="T109" s="595">
        <v>0</v>
      </c>
      <c r="U109" s="595">
        <v>0</v>
      </c>
      <c r="V109" s="595">
        <v>0</v>
      </c>
      <c r="W109" s="611">
        <v>0</v>
      </c>
      <c r="X109" s="706"/>
      <c r="Y109" s="706"/>
      <c r="Z109" s="706"/>
      <c r="AA109" s="706"/>
      <c r="AB109" s="706"/>
      <c r="AC109" s="706"/>
      <c r="AD109" s="706"/>
      <c r="AE109" s="703">
        <v>0</v>
      </c>
      <c r="AF109" s="704">
        <v>0</v>
      </c>
      <c r="AG109" s="705">
        <v>0</v>
      </c>
      <c r="AH109" s="706">
        <v>0</v>
      </c>
      <c r="AI109" s="705">
        <v>0</v>
      </c>
      <c r="AJ109" s="703">
        <v>0</v>
      </c>
      <c r="AK109" s="705">
        <v>0</v>
      </c>
      <c r="AL109" s="707">
        <v>0</v>
      </c>
      <c r="AM109" s="703">
        <v>0</v>
      </c>
      <c r="AN109" s="703">
        <v>0</v>
      </c>
      <c r="AO109" s="707">
        <v>0</v>
      </c>
      <c r="AP109" s="708">
        <v>2E-3</v>
      </c>
      <c r="AQ109" s="705">
        <f t="shared" si="24"/>
        <v>7.1428571428571426E-3</v>
      </c>
      <c r="AR109" s="703">
        <v>0</v>
      </c>
      <c r="AS109" s="705">
        <v>0</v>
      </c>
      <c r="AT109" s="709">
        <v>2E-3</v>
      </c>
      <c r="AU109" s="703">
        <v>0</v>
      </c>
      <c r="AV109" s="705">
        <v>0</v>
      </c>
      <c r="AW109" s="710">
        <v>0</v>
      </c>
      <c r="AX109" s="711">
        <v>0</v>
      </c>
      <c r="AY109" s="710">
        <v>0</v>
      </c>
      <c r="AZ109" s="711">
        <v>0</v>
      </c>
      <c r="BA109" s="710">
        <v>0</v>
      </c>
      <c r="BB109" s="711">
        <v>0</v>
      </c>
      <c r="BC109" s="712">
        <v>0</v>
      </c>
      <c r="BD109" s="713">
        <v>0</v>
      </c>
      <c r="BE109" s="710">
        <v>0</v>
      </c>
      <c r="BF109" s="711">
        <v>0</v>
      </c>
      <c r="BG109" s="712">
        <v>0</v>
      </c>
      <c r="BH109" s="711">
        <v>0</v>
      </c>
      <c r="BI109" s="712">
        <v>0</v>
      </c>
      <c r="BJ109" s="711">
        <v>0</v>
      </c>
      <c r="BK109" s="712">
        <v>0</v>
      </c>
      <c r="BL109" s="711">
        <v>0</v>
      </c>
      <c r="BM109" s="712">
        <v>0</v>
      </c>
      <c r="BN109" s="711">
        <v>0</v>
      </c>
      <c r="BO109" s="712">
        <v>0</v>
      </c>
      <c r="BP109" s="711">
        <v>0</v>
      </c>
      <c r="BQ109" s="712">
        <v>0</v>
      </c>
      <c r="BR109" s="711">
        <v>0</v>
      </c>
      <c r="BS109" s="712">
        <v>0</v>
      </c>
      <c r="BT109" s="711">
        <v>0</v>
      </c>
      <c r="BU109" s="712">
        <v>0</v>
      </c>
      <c r="BV109" s="711">
        <v>0</v>
      </c>
      <c r="BW109" s="712">
        <v>0</v>
      </c>
      <c r="BX109" s="711">
        <v>0</v>
      </c>
      <c r="BY109" s="712">
        <v>0</v>
      </c>
      <c r="BZ109" s="711">
        <v>0</v>
      </c>
      <c r="CA109" s="712">
        <v>0</v>
      </c>
      <c r="CB109" s="711">
        <v>0</v>
      </c>
      <c r="CC109" s="710">
        <v>0</v>
      </c>
      <c r="CD109" s="713">
        <v>0</v>
      </c>
      <c r="CE109" s="710">
        <v>0</v>
      </c>
      <c r="CF109" s="713">
        <v>0</v>
      </c>
      <c r="CG109" s="710">
        <v>0</v>
      </c>
      <c r="CH109" s="713">
        <v>0</v>
      </c>
      <c r="CI109" s="710">
        <v>0</v>
      </c>
      <c r="CJ109" s="713">
        <v>0</v>
      </c>
      <c r="CK109" s="710">
        <v>0</v>
      </c>
      <c r="CL109" s="713">
        <v>0</v>
      </c>
      <c r="CM109" s="710">
        <v>0</v>
      </c>
      <c r="CN109" s="713">
        <v>0</v>
      </c>
      <c r="CO109" s="710">
        <v>0</v>
      </c>
      <c r="CP109" s="713">
        <v>0</v>
      </c>
      <c r="CQ109" s="710">
        <v>0</v>
      </c>
      <c r="CR109" s="711">
        <v>0</v>
      </c>
      <c r="CS109" s="710">
        <v>0</v>
      </c>
      <c r="CT109" s="711">
        <v>0</v>
      </c>
      <c r="CU109" s="712">
        <v>0</v>
      </c>
      <c r="CV109" s="711">
        <v>0</v>
      </c>
    </row>
    <row r="110" spans="1:100">
      <c r="A110" s="467">
        <v>108</v>
      </c>
      <c r="B110" s="595">
        <v>0</v>
      </c>
      <c r="C110" s="595">
        <v>0</v>
      </c>
      <c r="D110" s="595">
        <v>0</v>
      </c>
      <c r="E110" s="595">
        <v>0</v>
      </c>
      <c r="F110" s="595">
        <v>0</v>
      </c>
      <c r="G110" s="595">
        <v>0</v>
      </c>
      <c r="H110" s="595">
        <v>0</v>
      </c>
      <c r="I110" s="595">
        <v>0</v>
      </c>
      <c r="J110" s="595">
        <v>0</v>
      </c>
      <c r="K110" s="595">
        <v>0</v>
      </c>
      <c r="L110" s="595">
        <v>0</v>
      </c>
      <c r="M110" s="595">
        <v>0</v>
      </c>
      <c r="N110" s="595">
        <v>0</v>
      </c>
      <c r="O110" s="595">
        <v>0</v>
      </c>
      <c r="P110" s="595">
        <v>0</v>
      </c>
      <c r="Q110" s="595">
        <v>0</v>
      </c>
      <c r="R110" s="595">
        <v>0</v>
      </c>
      <c r="S110" s="595">
        <v>0</v>
      </c>
      <c r="T110" s="595">
        <v>0</v>
      </c>
      <c r="U110" s="595">
        <v>0</v>
      </c>
      <c r="V110" s="595">
        <v>0</v>
      </c>
      <c r="W110" s="611">
        <v>0</v>
      </c>
      <c r="X110" s="706"/>
      <c r="Y110" s="706"/>
      <c r="Z110" s="706"/>
      <c r="AA110" s="706"/>
      <c r="AB110" s="706"/>
      <c r="AC110" s="706"/>
      <c r="AD110" s="706"/>
      <c r="AE110" s="703">
        <v>0</v>
      </c>
      <c r="AF110" s="704">
        <v>0</v>
      </c>
      <c r="AG110" s="705">
        <v>0</v>
      </c>
      <c r="AH110" s="706">
        <v>0</v>
      </c>
      <c r="AI110" s="705">
        <v>0</v>
      </c>
      <c r="AJ110" s="703">
        <v>0</v>
      </c>
      <c r="AK110" s="705">
        <v>0</v>
      </c>
      <c r="AL110" s="707">
        <v>0</v>
      </c>
      <c r="AM110" s="703">
        <v>0</v>
      </c>
      <c r="AN110" s="703">
        <v>0</v>
      </c>
      <c r="AO110" s="707">
        <v>0</v>
      </c>
      <c r="AP110" s="708">
        <v>2E-3</v>
      </c>
      <c r="AQ110" s="705">
        <f t="shared" si="24"/>
        <v>7.1428571428571426E-3</v>
      </c>
      <c r="AR110" s="703">
        <v>0</v>
      </c>
      <c r="AS110" s="705">
        <v>0</v>
      </c>
      <c r="AT110" s="709">
        <v>2E-3</v>
      </c>
      <c r="AU110" s="703">
        <v>0</v>
      </c>
      <c r="AV110" s="705">
        <v>0</v>
      </c>
      <c r="AW110" s="710">
        <v>0</v>
      </c>
      <c r="AX110" s="711">
        <v>0</v>
      </c>
      <c r="AY110" s="710">
        <v>0</v>
      </c>
      <c r="AZ110" s="711">
        <v>0</v>
      </c>
      <c r="BA110" s="710">
        <v>0</v>
      </c>
      <c r="BB110" s="711">
        <v>0</v>
      </c>
      <c r="BC110" s="712">
        <v>0</v>
      </c>
      <c r="BD110" s="713">
        <v>0</v>
      </c>
      <c r="BE110" s="710">
        <v>0</v>
      </c>
      <c r="BF110" s="711">
        <v>0</v>
      </c>
      <c r="BG110" s="712">
        <v>0</v>
      </c>
      <c r="BH110" s="711">
        <v>0</v>
      </c>
      <c r="BI110" s="712">
        <v>0</v>
      </c>
      <c r="BJ110" s="711">
        <v>0</v>
      </c>
      <c r="BK110" s="712">
        <v>0</v>
      </c>
      <c r="BL110" s="711">
        <v>0</v>
      </c>
      <c r="BM110" s="712">
        <v>0</v>
      </c>
      <c r="BN110" s="711">
        <v>0</v>
      </c>
      <c r="BO110" s="712">
        <v>0</v>
      </c>
      <c r="BP110" s="711">
        <v>0</v>
      </c>
      <c r="BQ110" s="712">
        <v>0</v>
      </c>
      <c r="BR110" s="711">
        <v>0</v>
      </c>
      <c r="BS110" s="712">
        <v>0</v>
      </c>
      <c r="BT110" s="711">
        <v>0</v>
      </c>
      <c r="BU110" s="712">
        <v>0</v>
      </c>
      <c r="BV110" s="711">
        <v>0</v>
      </c>
      <c r="BW110" s="712">
        <v>0</v>
      </c>
      <c r="BX110" s="711">
        <v>0</v>
      </c>
      <c r="BY110" s="712">
        <v>0</v>
      </c>
      <c r="BZ110" s="711">
        <v>0</v>
      </c>
      <c r="CA110" s="712">
        <v>0</v>
      </c>
      <c r="CB110" s="711">
        <v>0</v>
      </c>
      <c r="CC110" s="710">
        <v>0</v>
      </c>
      <c r="CD110" s="713">
        <v>0</v>
      </c>
      <c r="CE110" s="710">
        <v>0</v>
      </c>
      <c r="CF110" s="713">
        <v>0</v>
      </c>
      <c r="CG110" s="710">
        <v>0</v>
      </c>
      <c r="CH110" s="713">
        <v>0</v>
      </c>
      <c r="CI110" s="710">
        <v>0</v>
      </c>
      <c r="CJ110" s="713">
        <v>0</v>
      </c>
      <c r="CK110" s="710">
        <v>0</v>
      </c>
      <c r="CL110" s="713">
        <v>0</v>
      </c>
      <c r="CM110" s="710">
        <v>0</v>
      </c>
      <c r="CN110" s="713">
        <v>0</v>
      </c>
      <c r="CO110" s="710">
        <v>0</v>
      </c>
      <c r="CP110" s="713">
        <v>0</v>
      </c>
      <c r="CQ110" s="710">
        <v>0</v>
      </c>
      <c r="CR110" s="711">
        <v>0</v>
      </c>
      <c r="CS110" s="710">
        <v>0</v>
      </c>
      <c r="CT110" s="711">
        <v>0</v>
      </c>
      <c r="CU110" s="712">
        <v>0</v>
      </c>
      <c r="CV110" s="711">
        <v>0</v>
      </c>
    </row>
    <row r="111" spans="1:100">
      <c r="A111" s="467">
        <v>109</v>
      </c>
      <c r="B111" s="595">
        <v>0</v>
      </c>
      <c r="C111" s="595">
        <v>0</v>
      </c>
      <c r="D111" s="595">
        <v>0</v>
      </c>
      <c r="E111" s="595">
        <v>0</v>
      </c>
      <c r="F111" s="595">
        <v>0</v>
      </c>
      <c r="G111" s="595">
        <v>0</v>
      </c>
      <c r="H111" s="595">
        <v>0</v>
      </c>
      <c r="I111" s="595">
        <v>0</v>
      </c>
      <c r="J111" s="595">
        <v>0</v>
      </c>
      <c r="K111" s="595">
        <v>0</v>
      </c>
      <c r="L111" s="595">
        <v>0</v>
      </c>
      <c r="M111" s="595">
        <v>0</v>
      </c>
      <c r="N111" s="595">
        <v>0</v>
      </c>
      <c r="O111" s="595">
        <v>0</v>
      </c>
      <c r="P111" s="595">
        <v>0</v>
      </c>
      <c r="Q111" s="595">
        <v>0</v>
      </c>
      <c r="R111" s="595">
        <v>0</v>
      </c>
      <c r="S111" s="595">
        <v>0</v>
      </c>
      <c r="T111" s="595">
        <v>0</v>
      </c>
      <c r="U111" s="595">
        <v>0</v>
      </c>
      <c r="V111" s="595">
        <v>0</v>
      </c>
      <c r="W111" s="611">
        <v>0</v>
      </c>
      <c r="X111" s="706"/>
      <c r="Y111" s="706"/>
      <c r="Z111" s="706"/>
      <c r="AA111" s="706"/>
      <c r="AB111" s="706"/>
      <c r="AC111" s="706"/>
      <c r="AD111" s="706"/>
      <c r="AE111" s="703">
        <v>0</v>
      </c>
      <c r="AF111" s="704">
        <v>0</v>
      </c>
      <c r="AG111" s="705">
        <v>0</v>
      </c>
      <c r="AH111" s="706">
        <v>0</v>
      </c>
      <c r="AI111" s="705">
        <v>0</v>
      </c>
      <c r="AJ111" s="703">
        <v>0</v>
      </c>
      <c r="AK111" s="705">
        <v>0</v>
      </c>
      <c r="AL111" s="707">
        <v>0</v>
      </c>
      <c r="AM111" s="703">
        <v>0</v>
      </c>
      <c r="AN111" s="703">
        <v>0</v>
      </c>
      <c r="AO111" s="707">
        <v>0</v>
      </c>
      <c r="AP111" s="708">
        <v>2E-3</v>
      </c>
      <c r="AQ111" s="705">
        <f t="shared" si="24"/>
        <v>7.1428571428571426E-3</v>
      </c>
      <c r="AR111" s="703">
        <v>0</v>
      </c>
      <c r="AS111" s="705">
        <v>0</v>
      </c>
      <c r="AT111" s="709">
        <v>2E-3</v>
      </c>
      <c r="AU111" s="703">
        <v>0</v>
      </c>
      <c r="AV111" s="705">
        <v>0</v>
      </c>
      <c r="AW111" s="710">
        <v>0</v>
      </c>
      <c r="AX111" s="711">
        <v>0</v>
      </c>
      <c r="AY111" s="710">
        <v>0</v>
      </c>
      <c r="AZ111" s="711">
        <v>0</v>
      </c>
      <c r="BA111" s="710">
        <v>0</v>
      </c>
      <c r="BB111" s="711">
        <v>0</v>
      </c>
      <c r="BC111" s="712">
        <v>0</v>
      </c>
      <c r="BD111" s="713">
        <v>0</v>
      </c>
      <c r="BE111" s="710">
        <v>0</v>
      </c>
      <c r="BF111" s="711">
        <v>0</v>
      </c>
      <c r="BG111" s="712">
        <v>0</v>
      </c>
      <c r="BH111" s="711">
        <v>0</v>
      </c>
      <c r="BI111" s="712">
        <v>0</v>
      </c>
      <c r="BJ111" s="711">
        <v>0</v>
      </c>
      <c r="BK111" s="712">
        <v>0</v>
      </c>
      <c r="BL111" s="711">
        <v>0</v>
      </c>
      <c r="BM111" s="712">
        <v>0</v>
      </c>
      <c r="BN111" s="711">
        <v>0</v>
      </c>
      <c r="BO111" s="712">
        <v>0</v>
      </c>
      <c r="BP111" s="711">
        <v>0</v>
      </c>
      <c r="BQ111" s="712">
        <v>0</v>
      </c>
      <c r="BR111" s="711">
        <v>0</v>
      </c>
      <c r="BS111" s="712">
        <v>0</v>
      </c>
      <c r="BT111" s="711">
        <v>0</v>
      </c>
      <c r="BU111" s="712">
        <v>0</v>
      </c>
      <c r="BV111" s="711">
        <v>0</v>
      </c>
      <c r="BW111" s="712">
        <v>0</v>
      </c>
      <c r="BX111" s="711">
        <v>0</v>
      </c>
      <c r="BY111" s="712">
        <v>0</v>
      </c>
      <c r="BZ111" s="711">
        <v>0</v>
      </c>
      <c r="CA111" s="712">
        <v>0</v>
      </c>
      <c r="CB111" s="711">
        <v>0</v>
      </c>
      <c r="CC111" s="710">
        <v>0</v>
      </c>
      <c r="CD111" s="713">
        <v>0</v>
      </c>
      <c r="CE111" s="710">
        <v>0</v>
      </c>
      <c r="CF111" s="713">
        <v>0</v>
      </c>
      <c r="CG111" s="710">
        <v>0</v>
      </c>
      <c r="CH111" s="713">
        <v>0</v>
      </c>
      <c r="CI111" s="710">
        <v>0</v>
      </c>
      <c r="CJ111" s="713">
        <v>0</v>
      </c>
      <c r="CK111" s="710">
        <v>0</v>
      </c>
      <c r="CL111" s="713">
        <v>0</v>
      </c>
      <c r="CM111" s="710">
        <v>0</v>
      </c>
      <c r="CN111" s="713">
        <v>0</v>
      </c>
      <c r="CO111" s="710">
        <v>0</v>
      </c>
      <c r="CP111" s="713">
        <v>0</v>
      </c>
      <c r="CQ111" s="710">
        <v>0</v>
      </c>
      <c r="CR111" s="711">
        <v>0</v>
      </c>
      <c r="CS111" s="710">
        <v>0</v>
      </c>
      <c r="CT111" s="711">
        <v>0</v>
      </c>
      <c r="CU111" s="712">
        <v>0</v>
      </c>
      <c r="CV111" s="711">
        <v>0</v>
      </c>
    </row>
    <row r="112" spans="1:100">
      <c r="A112" s="467">
        <v>110</v>
      </c>
      <c r="B112" s="595">
        <v>0</v>
      </c>
      <c r="C112" s="595">
        <v>0</v>
      </c>
      <c r="D112" s="595">
        <v>0</v>
      </c>
      <c r="E112" s="595">
        <v>0</v>
      </c>
      <c r="F112" s="595">
        <v>0</v>
      </c>
      <c r="G112" s="595">
        <v>0</v>
      </c>
      <c r="H112" s="595">
        <v>0</v>
      </c>
      <c r="I112" s="595">
        <v>0</v>
      </c>
      <c r="J112" s="595">
        <v>0</v>
      </c>
      <c r="K112" s="595">
        <v>0</v>
      </c>
      <c r="L112" s="595">
        <v>0</v>
      </c>
      <c r="M112" s="595">
        <v>0</v>
      </c>
      <c r="N112" s="595">
        <v>0</v>
      </c>
      <c r="O112" s="595">
        <v>0</v>
      </c>
      <c r="P112" s="595">
        <v>0</v>
      </c>
      <c r="Q112" s="595">
        <v>0</v>
      </c>
      <c r="R112" s="595">
        <v>0</v>
      </c>
      <c r="S112" s="595">
        <v>0</v>
      </c>
      <c r="T112" s="595">
        <v>0</v>
      </c>
      <c r="U112" s="595">
        <v>0</v>
      </c>
      <c r="V112" s="595">
        <v>0</v>
      </c>
      <c r="W112" s="611">
        <v>0</v>
      </c>
      <c r="X112" s="706"/>
      <c r="Y112" s="706"/>
      <c r="Z112" s="706"/>
      <c r="AA112" s="706"/>
      <c r="AB112" s="706"/>
      <c r="AC112" s="706"/>
      <c r="AD112" s="706"/>
      <c r="AE112" s="703">
        <v>0</v>
      </c>
      <c r="AF112" s="704">
        <v>0</v>
      </c>
      <c r="AG112" s="705">
        <v>0</v>
      </c>
      <c r="AH112" s="706">
        <v>0</v>
      </c>
      <c r="AI112" s="705">
        <v>0</v>
      </c>
      <c r="AJ112" s="703">
        <v>0</v>
      </c>
      <c r="AK112" s="705">
        <v>0</v>
      </c>
      <c r="AL112" s="707">
        <v>0</v>
      </c>
      <c r="AM112" s="703">
        <v>0</v>
      </c>
      <c r="AN112" s="703">
        <v>0</v>
      </c>
      <c r="AO112" s="707">
        <v>0</v>
      </c>
      <c r="AP112" s="708">
        <v>2E-3</v>
      </c>
      <c r="AQ112" s="705">
        <f t="shared" si="24"/>
        <v>7.1428571428571426E-3</v>
      </c>
      <c r="AR112" s="703">
        <v>0</v>
      </c>
      <c r="AS112" s="705">
        <v>0</v>
      </c>
      <c r="AT112" s="709">
        <v>2E-3</v>
      </c>
      <c r="AU112" s="703">
        <v>0</v>
      </c>
      <c r="AV112" s="705">
        <v>0</v>
      </c>
      <c r="AW112" s="710">
        <v>0</v>
      </c>
      <c r="AX112" s="711">
        <v>0</v>
      </c>
      <c r="AY112" s="710">
        <v>0</v>
      </c>
      <c r="AZ112" s="711">
        <v>0</v>
      </c>
      <c r="BA112" s="710">
        <v>0</v>
      </c>
      <c r="BB112" s="711">
        <v>0</v>
      </c>
      <c r="BC112" s="712">
        <v>0</v>
      </c>
      <c r="BD112" s="713">
        <v>0</v>
      </c>
      <c r="BE112" s="710">
        <v>0</v>
      </c>
      <c r="BF112" s="711">
        <v>0</v>
      </c>
      <c r="BG112" s="712">
        <v>0</v>
      </c>
      <c r="BH112" s="711">
        <v>0</v>
      </c>
      <c r="BI112" s="712">
        <v>0</v>
      </c>
      <c r="BJ112" s="711">
        <v>0</v>
      </c>
      <c r="BK112" s="712">
        <v>0</v>
      </c>
      <c r="BL112" s="711">
        <v>0</v>
      </c>
      <c r="BM112" s="712">
        <v>0</v>
      </c>
      <c r="BN112" s="711">
        <v>0</v>
      </c>
      <c r="BO112" s="712">
        <v>0</v>
      </c>
      <c r="BP112" s="711">
        <v>0</v>
      </c>
      <c r="BQ112" s="712">
        <v>0</v>
      </c>
      <c r="BR112" s="711">
        <v>0</v>
      </c>
      <c r="BS112" s="712">
        <v>0</v>
      </c>
      <c r="BT112" s="711">
        <v>0</v>
      </c>
      <c r="BU112" s="712">
        <v>0</v>
      </c>
      <c r="BV112" s="711">
        <v>0</v>
      </c>
      <c r="BW112" s="712">
        <v>0</v>
      </c>
      <c r="BX112" s="711">
        <v>0</v>
      </c>
      <c r="BY112" s="712">
        <v>0</v>
      </c>
      <c r="BZ112" s="711">
        <v>0</v>
      </c>
      <c r="CA112" s="712">
        <v>0</v>
      </c>
      <c r="CB112" s="711">
        <v>0</v>
      </c>
      <c r="CC112" s="710">
        <v>0</v>
      </c>
      <c r="CD112" s="713">
        <v>0</v>
      </c>
      <c r="CE112" s="710">
        <v>0</v>
      </c>
      <c r="CF112" s="713">
        <v>0</v>
      </c>
      <c r="CG112" s="710">
        <v>0</v>
      </c>
      <c r="CH112" s="713">
        <v>0</v>
      </c>
      <c r="CI112" s="710">
        <v>0</v>
      </c>
      <c r="CJ112" s="713">
        <v>0</v>
      </c>
      <c r="CK112" s="710">
        <v>0</v>
      </c>
      <c r="CL112" s="713">
        <v>0</v>
      </c>
      <c r="CM112" s="710">
        <v>0</v>
      </c>
      <c r="CN112" s="713">
        <v>0</v>
      </c>
      <c r="CO112" s="710">
        <v>0</v>
      </c>
      <c r="CP112" s="713">
        <v>0</v>
      </c>
      <c r="CQ112" s="710">
        <v>0</v>
      </c>
      <c r="CR112" s="711">
        <v>0</v>
      </c>
      <c r="CS112" s="710">
        <v>0</v>
      </c>
      <c r="CT112" s="711">
        <v>0</v>
      </c>
      <c r="CU112" s="712">
        <v>0</v>
      </c>
      <c r="CV112" s="711">
        <v>0</v>
      </c>
    </row>
    <row r="113" spans="1:100">
      <c r="A113" s="467">
        <v>111</v>
      </c>
      <c r="B113" s="595">
        <v>0</v>
      </c>
      <c r="C113" s="595">
        <v>0</v>
      </c>
      <c r="D113" s="595">
        <v>0</v>
      </c>
      <c r="E113" s="595">
        <v>0</v>
      </c>
      <c r="F113" s="595">
        <v>0</v>
      </c>
      <c r="G113" s="595">
        <v>0</v>
      </c>
      <c r="H113" s="595">
        <v>0</v>
      </c>
      <c r="I113" s="595">
        <v>0</v>
      </c>
      <c r="J113" s="595">
        <v>0</v>
      </c>
      <c r="K113" s="595">
        <v>0</v>
      </c>
      <c r="L113" s="595">
        <v>0</v>
      </c>
      <c r="M113" s="595">
        <v>0</v>
      </c>
      <c r="N113" s="595">
        <v>0</v>
      </c>
      <c r="O113" s="595">
        <v>0</v>
      </c>
      <c r="P113" s="595">
        <v>0</v>
      </c>
      <c r="Q113" s="595">
        <v>0</v>
      </c>
      <c r="R113" s="595">
        <v>0</v>
      </c>
      <c r="S113" s="595">
        <v>0</v>
      </c>
      <c r="T113" s="595">
        <v>0</v>
      </c>
      <c r="U113" s="595">
        <v>0</v>
      </c>
      <c r="V113" s="595">
        <v>0</v>
      </c>
      <c r="W113" s="611">
        <v>0</v>
      </c>
      <c r="X113" s="706"/>
      <c r="Y113" s="706"/>
      <c r="Z113" s="706"/>
      <c r="AA113" s="706"/>
      <c r="AB113" s="706"/>
      <c r="AC113" s="706"/>
      <c r="AD113" s="706"/>
      <c r="AE113" s="703">
        <v>0</v>
      </c>
      <c r="AF113" s="704">
        <v>0</v>
      </c>
      <c r="AG113" s="705">
        <v>0</v>
      </c>
      <c r="AH113" s="706">
        <v>0</v>
      </c>
      <c r="AI113" s="705">
        <v>0</v>
      </c>
      <c r="AJ113" s="703">
        <v>0</v>
      </c>
      <c r="AK113" s="705">
        <v>0</v>
      </c>
      <c r="AL113" s="707">
        <v>0</v>
      </c>
      <c r="AM113" s="703">
        <v>0</v>
      </c>
      <c r="AN113" s="703">
        <v>0</v>
      </c>
      <c r="AO113" s="707">
        <v>0</v>
      </c>
      <c r="AP113" s="708">
        <v>2E-3</v>
      </c>
      <c r="AQ113" s="705">
        <f t="shared" si="24"/>
        <v>7.1428571428571426E-3</v>
      </c>
      <c r="AR113" s="703">
        <v>0</v>
      </c>
      <c r="AS113" s="705">
        <v>0</v>
      </c>
      <c r="AT113" s="709">
        <v>2E-3</v>
      </c>
      <c r="AU113" s="703">
        <v>0</v>
      </c>
      <c r="AV113" s="705">
        <v>0</v>
      </c>
      <c r="AW113" s="710">
        <v>0</v>
      </c>
      <c r="AX113" s="711">
        <v>0</v>
      </c>
      <c r="AY113" s="710">
        <v>0</v>
      </c>
      <c r="AZ113" s="711">
        <v>0</v>
      </c>
      <c r="BA113" s="710">
        <v>0</v>
      </c>
      <c r="BB113" s="711">
        <v>0</v>
      </c>
      <c r="BC113" s="712">
        <v>0</v>
      </c>
      <c r="BD113" s="713">
        <v>0</v>
      </c>
      <c r="BE113" s="710">
        <v>0</v>
      </c>
      <c r="BF113" s="711">
        <v>0</v>
      </c>
      <c r="BG113" s="712">
        <v>0</v>
      </c>
      <c r="BH113" s="711">
        <v>0</v>
      </c>
      <c r="BI113" s="712">
        <v>0</v>
      </c>
      <c r="BJ113" s="711">
        <v>0</v>
      </c>
      <c r="BK113" s="712">
        <v>0</v>
      </c>
      <c r="BL113" s="711">
        <v>0</v>
      </c>
      <c r="BM113" s="712">
        <v>0</v>
      </c>
      <c r="BN113" s="711">
        <v>0</v>
      </c>
      <c r="BO113" s="712">
        <v>0</v>
      </c>
      <c r="BP113" s="711">
        <v>0</v>
      </c>
      <c r="BQ113" s="712">
        <v>0</v>
      </c>
      <c r="BR113" s="711">
        <v>0</v>
      </c>
      <c r="BS113" s="712">
        <v>0</v>
      </c>
      <c r="BT113" s="711">
        <v>0</v>
      </c>
      <c r="BU113" s="712">
        <v>0</v>
      </c>
      <c r="BV113" s="711">
        <v>0</v>
      </c>
      <c r="BW113" s="712">
        <v>0</v>
      </c>
      <c r="BX113" s="711">
        <v>0</v>
      </c>
      <c r="BY113" s="712">
        <v>0</v>
      </c>
      <c r="BZ113" s="711">
        <v>0</v>
      </c>
      <c r="CA113" s="712">
        <v>0</v>
      </c>
      <c r="CB113" s="711">
        <v>0</v>
      </c>
      <c r="CC113" s="710">
        <v>0</v>
      </c>
      <c r="CD113" s="713">
        <v>0</v>
      </c>
      <c r="CE113" s="710">
        <v>0</v>
      </c>
      <c r="CF113" s="713">
        <v>0</v>
      </c>
      <c r="CG113" s="710">
        <v>0</v>
      </c>
      <c r="CH113" s="713">
        <v>0</v>
      </c>
      <c r="CI113" s="710">
        <v>0</v>
      </c>
      <c r="CJ113" s="713">
        <v>0</v>
      </c>
      <c r="CK113" s="710">
        <v>0</v>
      </c>
      <c r="CL113" s="713">
        <v>0</v>
      </c>
      <c r="CM113" s="710">
        <v>0</v>
      </c>
      <c r="CN113" s="713">
        <v>0</v>
      </c>
      <c r="CO113" s="710">
        <v>0</v>
      </c>
      <c r="CP113" s="713">
        <v>0</v>
      </c>
      <c r="CQ113" s="710">
        <v>0</v>
      </c>
      <c r="CR113" s="711">
        <v>0</v>
      </c>
      <c r="CS113" s="710">
        <v>0</v>
      </c>
      <c r="CT113" s="711">
        <v>0</v>
      </c>
      <c r="CU113" s="712">
        <v>0</v>
      </c>
      <c r="CV113" s="711">
        <v>0</v>
      </c>
    </row>
    <row r="114" spans="1:100">
      <c r="A114" s="467">
        <v>112</v>
      </c>
      <c r="B114" s="595">
        <v>0</v>
      </c>
      <c r="C114" s="595">
        <v>0</v>
      </c>
      <c r="D114" s="595">
        <v>0</v>
      </c>
      <c r="E114" s="595">
        <v>0</v>
      </c>
      <c r="F114" s="595">
        <v>0</v>
      </c>
      <c r="G114" s="595">
        <v>0</v>
      </c>
      <c r="H114" s="595">
        <v>0</v>
      </c>
      <c r="I114" s="595">
        <v>0</v>
      </c>
      <c r="J114" s="595">
        <v>0</v>
      </c>
      <c r="K114" s="595">
        <v>0</v>
      </c>
      <c r="L114" s="595">
        <v>0</v>
      </c>
      <c r="M114" s="595">
        <v>0</v>
      </c>
      <c r="N114" s="595">
        <v>0</v>
      </c>
      <c r="O114" s="595">
        <v>0</v>
      </c>
      <c r="P114" s="595">
        <v>0</v>
      </c>
      <c r="Q114" s="595">
        <v>0</v>
      </c>
      <c r="R114" s="595">
        <v>0</v>
      </c>
      <c r="S114" s="595">
        <v>0</v>
      </c>
      <c r="T114" s="595">
        <v>0</v>
      </c>
      <c r="U114" s="595">
        <v>0</v>
      </c>
      <c r="V114" s="595">
        <v>0</v>
      </c>
      <c r="W114" s="611">
        <v>0</v>
      </c>
      <c r="X114" s="706"/>
      <c r="Y114" s="706"/>
      <c r="Z114" s="706"/>
      <c r="AA114" s="706"/>
      <c r="AB114" s="706"/>
      <c r="AC114" s="706"/>
      <c r="AD114" s="706"/>
      <c r="AE114" s="703">
        <v>0</v>
      </c>
      <c r="AF114" s="704">
        <v>0</v>
      </c>
      <c r="AG114" s="705">
        <v>0</v>
      </c>
      <c r="AH114" s="706">
        <v>0</v>
      </c>
      <c r="AI114" s="705">
        <v>0</v>
      </c>
      <c r="AJ114" s="703">
        <v>0</v>
      </c>
      <c r="AK114" s="705">
        <v>0</v>
      </c>
      <c r="AL114" s="707">
        <v>0</v>
      </c>
      <c r="AM114" s="703">
        <v>0</v>
      </c>
      <c r="AN114" s="703">
        <v>0</v>
      </c>
      <c r="AO114" s="707">
        <v>0</v>
      </c>
      <c r="AP114" s="708">
        <v>2E-3</v>
      </c>
      <c r="AQ114" s="705">
        <f t="shared" si="24"/>
        <v>7.1428571428571426E-3</v>
      </c>
      <c r="AR114" s="703">
        <v>0</v>
      </c>
      <c r="AS114" s="705">
        <v>0</v>
      </c>
      <c r="AT114" s="709">
        <v>2E-3</v>
      </c>
      <c r="AU114" s="703">
        <v>0</v>
      </c>
      <c r="AV114" s="705">
        <v>0</v>
      </c>
      <c r="AW114" s="710">
        <v>0</v>
      </c>
      <c r="AX114" s="711">
        <v>0</v>
      </c>
      <c r="AY114" s="710">
        <v>0</v>
      </c>
      <c r="AZ114" s="711">
        <v>0</v>
      </c>
      <c r="BA114" s="710">
        <v>0</v>
      </c>
      <c r="BB114" s="711">
        <v>0</v>
      </c>
      <c r="BC114" s="712">
        <v>0</v>
      </c>
      <c r="BD114" s="713">
        <v>0</v>
      </c>
      <c r="BE114" s="710">
        <v>0</v>
      </c>
      <c r="BF114" s="711">
        <v>0</v>
      </c>
      <c r="BG114" s="712">
        <v>0</v>
      </c>
      <c r="BH114" s="711">
        <v>0</v>
      </c>
      <c r="BI114" s="712">
        <v>0</v>
      </c>
      <c r="BJ114" s="711">
        <v>0</v>
      </c>
      <c r="BK114" s="712">
        <v>0</v>
      </c>
      <c r="BL114" s="711">
        <v>0</v>
      </c>
      <c r="BM114" s="712">
        <v>0</v>
      </c>
      <c r="BN114" s="711">
        <v>0</v>
      </c>
      <c r="BO114" s="712">
        <v>0</v>
      </c>
      <c r="BP114" s="711">
        <v>0</v>
      </c>
      <c r="BQ114" s="712">
        <v>0</v>
      </c>
      <c r="BR114" s="711">
        <v>0</v>
      </c>
      <c r="BS114" s="712">
        <v>0</v>
      </c>
      <c r="BT114" s="711">
        <v>0</v>
      </c>
      <c r="BU114" s="712">
        <v>0</v>
      </c>
      <c r="BV114" s="711">
        <v>0</v>
      </c>
      <c r="BW114" s="712">
        <v>0</v>
      </c>
      <c r="BX114" s="711">
        <v>0</v>
      </c>
      <c r="BY114" s="712">
        <v>0</v>
      </c>
      <c r="BZ114" s="711">
        <v>0</v>
      </c>
      <c r="CA114" s="712">
        <v>0</v>
      </c>
      <c r="CB114" s="711">
        <v>0</v>
      </c>
      <c r="CC114" s="710">
        <v>0</v>
      </c>
      <c r="CD114" s="713">
        <v>0</v>
      </c>
      <c r="CE114" s="710">
        <v>0</v>
      </c>
      <c r="CF114" s="713">
        <v>0</v>
      </c>
      <c r="CG114" s="710">
        <v>0</v>
      </c>
      <c r="CH114" s="713">
        <v>0</v>
      </c>
      <c r="CI114" s="710">
        <v>0</v>
      </c>
      <c r="CJ114" s="713">
        <v>0</v>
      </c>
      <c r="CK114" s="710">
        <v>0</v>
      </c>
      <c r="CL114" s="713">
        <v>0</v>
      </c>
      <c r="CM114" s="710">
        <v>0</v>
      </c>
      <c r="CN114" s="713">
        <v>0</v>
      </c>
      <c r="CO114" s="710">
        <v>0</v>
      </c>
      <c r="CP114" s="713">
        <v>0</v>
      </c>
      <c r="CQ114" s="710">
        <v>0</v>
      </c>
      <c r="CR114" s="711">
        <v>0</v>
      </c>
      <c r="CS114" s="710">
        <v>0</v>
      </c>
      <c r="CT114" s="711">
        <v>0</v>
      </c>
      <c r="CU114" s="712">
        <v>0</v>
      </c>
      <c r="CV114" s="711">
        <v>0</v>
      </c>
    </row>
    <row r="115" spans="1:100">
      <c r="A115" s="467">
        <v>113</v>
      </c>
      <c r="B115" s="595">
        <v>0</v>
      </c>
      <c r="C115" s="595">
        <v>0</v>
      </c>
      <c r="D115" s="595">
        <v>0</v>
      </c>
      <c r="E115" s="595">
        <v>0</v>
      </c>
      <c r="F115" s="595">
        <v>0</v>
      </c>
      <c r="G115" s="595">
        <v>0</v>
      </c>
      <c r="H115" s="595">
        <v>0</v>
      </c>
      <c r="I115" s="595">
        <v>0</v>
      </c>
      <c r="J115" s="595">
        <v>0</v>
      </c>
      <c r="K115" s="595">
        <v>0</v>
      </c>
      <c r="L115" s="595">
        <v>0</v>
      </c>
      <c r="M115" s="595">
        <v>0</v>
      </c>
      <c r="N115" s="595">
        <v>0</v>
      </c>
      <c r="O115" s="595">
        <v>0</v>
      </c>
      <c r="P115" s="595">
        <v>0</v>
      </c>
      <c r="Q115" s="595">
        <v>0</v>
      </c>
      <c r="R115" s="595">
        <v>0</v>
      </c>
      <c r="S115" s="595">
        <v>0</v>
      </c>
      <c r="T115" s="595">
        <v>0</v>
      </c>
      <c r="U115" s="595">
        <v>0</v>
      </c>
      <c r="V115" s="595">
        <v>0</v>
      </c>
      <c r="W115" s="611">
        <v>0</v>
      </c>
      <c r="X115" s="706"/>
      <c r="Y115" s="706"/>
      <c r="Z115" s="706"/>
      <c r="AA115" s="706"/>
      <c r="AB115" s="706"/>
      <c r="AC115" s="706"/>
      <c r="AD115" s="706"/>
      <c r="AE115" s="703">
        <v>0</v>
      </c>
      <c r="AF115" s="704">
        <v>0</v>
      </c>
      <c r="AG115" s="705">
        <v>0</v>
      </c>
      <c r="AH115" s="706">
        <v>0</v>
      </c>
      <c r="AI115" s="705">
        <v>0</v>
      </c>
      <c r="AJ115" s="703">
        <v>0</v>
      </c>
      <c r="AK115" s="705">
        <v>0</v>
      </c>
      <c r="AL115" s="707">
        <v>0</v>
      </c>
      <c r="AM115" s="703">
        <v>0</v>
      </c>
      <c r="AN115" s="703">
        <v>0</v>
      </c>
      <c r="AO115" s="707">
        <v>0</v>
      </c>
      <c r="AP115" s="708">
        <v>2E-3</v>
      </c>
      <c r="AQ115" s="705">
        <f t="shared" si="24"/>
        <v>7.1428571428571426E-3</v>
      </c>
      <c r="AR115" s="703">
        <v>0</v>
      </c>
      <c r="AS115" s="705">
        <v>0</v>
      </c>
      <c r="AT115" s="709">
        <v>2E-3</v>
      </c>
      <c r="AU115" s="703">
        <v>0</v>
      </c>
      <c r="AV115" s="705">
        <v>0</v>
      </c>
      <c r="AW115" s="710">
        <v>0</v>
      </c>
      <c r="AX115" s="711">
        <v>0</v>
      </c>
      <c r="AY115" s="710">
        <v>0</v>
      </c>
      <c r="AZ115" s="711">
        <v>0</v>
      </c>
      <c r="BA115" s="710">
        <v>0</v>
      </c>
      <c r="BB115" s="711">
        <v>0</v>
      </c>
      <c r="BC115" s="712">
        <v>0</v>
      </c>
      <c r="BD115" s="713">
        <v>0</v>
      </c>
      <c r="BE115" s="710">
        <v>0</v>
      </c>
      <c r="BF115" s="711">
        <v>0</v>
      </c>
      <c r="BG115" s="712">
        <v>0</v>
      </c>
      <c r="BH115" s="711">
        <v>0</v>
      </c>
      <c r="BI115" s="712">
        <v>0</v>
      </c>
      <c r="BJ115" s="711">
        <v>0</v>
      </c>
      <c r="BK115" s="712">
        <v>0</v>
      </c>
      <c r="BL115" s="711">
        <v>0</v>
      </c>
      <c r="BM115" s="712">
        <v>0</v>
      </c>
      <c r="BN115" s="711">
        <v>0</v>
      </c>
      <c r="BO115" s="712">
        <v>0</v>
      </c>
      <c r="BP115" s="711">
        <v>0</v>
      </c>
      <c r="BQ115" s="712">
        <v>0</v>
      </c>
      <c r="BR115" s="711">
        <v>0</v>
      </c>
      <c r="BS115" s="712">
        <v>0</v>
      </c>
      <c r="BT115" s="711">
        <v>0</v>
      </c>
      <c r="BU115" s="712">
        <v>0</v>
      </c>
      <c r="BV115" s="711">
        <v>0</v>
      </c>
      <c r="BW115" s="712">
        <v>0</v>
      </c>
      <c r="BX115" s="711">
        <v>0</v>
      </c>
      <c r="BY115" s="712">
        <v>0</v>
      </c>
      <c r="BZ115" s="711">
        <v>0</v>
      </c>
      <c r="CA115" s="712">
        <v>0</v>
      </c>
      <c r="CB115" s="711">
        <v>0</v>
      </c>
      <c r="CC115" s="710">
        <v>0</v>
      </c>
      <c r="CD115" s="713">
        <v>0</v>
      </c>
      <c r="CE115" s="710">
        <v>0</v>
      </c>
      <c r="CF115" s="713">
        <v>0</v>
      </c>
      <c r="CG115" s="710">
        <v>0</v>
      </c>
      <c r="CH115" s="713">
        <v>0</v>
      </c>
      <c r="CI115" s="710">
        <v>0</v>
      </c>
      <c r="CJ115" s="713">
        <v>0</v>
      </c>
      <c r="CK115" s="710">
        <v>0</v>
      </c>
      <c r="CL115" s="713">
        <v>0</v>
      </c>
      <c r="CM115" s="710">
        <v>0</v>
      </c>
      <c r="CN115" s="713">
        <v>0</v>
      </c>
      <c r="CO115" s="710">
        <v>0</v>
      </c>
      <c r="CP115" s="713">
        <v>0</v>
      </c>
      <c r="CQ115" s="710">
        <v>0</v>
      </c>
      <c r="CR115" s="711">
        <v>0</v>
      </c>
      <c r="CS115" s="710">
        <v>0</v>
      </c>
      <c r="CT115" s="711">
        <v>0</v>
      </c>
      <c r="CU115" s="712">
        <v>0</v>
      </c>
      <c r="CV115" s="711">
        <v>0</v>
      </c>
    </row>
    <row r="116" spans="1:100">
      <c r="A116" s="467">
        <v>114</v>
      </c>
      <c r="B116" s="595">
        <v>0</v>
      </c>
      <c r="C116" s="595">
        <v>0</v>
      </c>
      <c r="D116" s="595">
        <v>0</v>
      </c>
      <c r="E116" s="595">
        <v>0</v>
      </c>
      <c r="F116" s="595">
        <v>0</v>
      </c>
      <c r="G116" s="595">
        <v>0</v>
      </c>
      <c r="H116" s="595">
        <v>0</v>
      </c>
      <c r="I116" s="595">
        <v>0</v>
      </c>
      <c r="J116" s="595">
        <v>0</v>
      </c>
      <c r="K116" s="595">
        <v>0</v>
      </c>
      <c r="L116" s="595">
        <v>0</v>
      </c>
      <c r="M116" s="595">
        <v>0</v>
      </c>
      <c r="N116" s="595">
        <v>0</v>
      </c>
      <c r="O116" s="595">
        <v>0</v>
      </c>
      <c r="P116" s="595">
        <v>0</v>
      </c>
      <c r="Q116" s="595">
        <v>0</v>
      </c>
      <c r="R116" s="595">
        <v>0</v>
      </c>
      <c r="S116" s="595">
        <v>0</v>
      </c>
      <c r="T116" s="595">
        <v>0</v>
      </c>
      <c r="U116" s="595">
        <v>0</v>
      </c>
      <c r="V116" s="595">
        <v>0</v>
      </c>
      <c r="W116" s="611">
        <v>0</v>
      </c>
      <c r="X116" s="706"/>
      <c r="Y116" s="706"/>
      <c r="Z116" s="706"/>
      <c r="AA116" s="706"/>
      <c r="AB116" s="706"/>
      <c r="AC116" s="706"/>
      <c r="AD116" s="706"/>
      <c r="AE116" s="703">
        <v>0</v>
      </c>
      <c r="AF116" s="704">
        <v>0</v>
      </c>
      <c r="AG116" s="705">
        <v>0</v>
      </c>
      <c r="AH116" s="706">
        <v>0</v>
      </c>
      <c r="AI116" s="705">
        <v>0</v>
      </c>
      <c r="AJ116" s="703">
        <v>0</v>
      </c>
      <c r="AK116" s="705">
        <v>0</v>
      </c>
      <c r="AL116" s="707">
        <v>0</v>
      </c>
      <c r="AM116" s="703">
        <v>0</v>
      </c>
      <c r="AN116" s="703">
        <v>0</v>
      </c>
      <c r="AO116" s="707">
        <v>0</v>
      </c>
      <c r="AP116" s="708">
        <v>2E-3</v>
      </c>
      <c r="AQ116" s="705">
        <f t="shared" si="24"/>
        <v>7.1428571428571426E-3</v>
      </c>
      <c r="AR116" s="703">
        <v>0</v>
      </c>
      <c r="AS116" s="705">
        <v>0</v>
      </c>
      <c r="AT116" s="709">
        <v>2E-3</v>
      </c>
      <c r="AU116" s="703">
        <v>0</v>
      </c>
      <c r="AV116" s="705">
        <v>0</v>
      </c>
      <c r="AW116" s="710">
        <v>0</v>
      </c>
      <c r="AX116" s="711">
        <v>0</v>
      </c>
      <c r="AY116" s="710">
        <v>0</v>
      </c>
      <c r="AZ116" s="711">
        <v>0</v>
      </c>
      <c r="BA116" s="710">
        <v>0</v>
      </c>
      <c r="BB116" s="711">
        <v>0</v>
      </c>
      <c r="BC116" s="712">
        <v>0</v>
      </c>
      <c r="BD116" s="713">
        <v>0</v>
      </c>
      <c r="BE116" s="710">
        <v>0</v>
      </c>
      <c r="BF116" s="711">
        <v>0</v>
      </c>
      <c r="BG116" s="712">
        <v>0</v>
      </c>
      <c r="BH116" s="711">
        <v>0</v>
      </c>
      <c r="BI116" s="712">
        <v>0</v>
      </c>
      <c r="BJ116" s="711">
        <v>0</v>
      </c>
      <c r="BK116" s="712">
        <v>0</v>
      </c>
      <c r="BL116" s="711">
        <v>0</v>
      </c>
      <c r="BM116" s="712">
        <v>0</v>
      </c>
      <c r="BN116" s="711">
        <v>0</v>
      </c>
      <c r="BO116" s="712">
        <v>0</v>
      </c>
      <c r="BP116" s="711">
        <v>0</v>
      </c>
      <c r="BQ116" s="712">
        <v>0</v>
      </c>
      <c r="BR116" s="711">
        <v>0</v>
      </c>
      <c r="BS116" s="712">
        <v>0</v>
      </c>
      <c r="BT116" s="711">
        <v>0</v>
      </c>
      <c r="BU116" s="712">
        <v>0</v>
      </c>
      <c r="BV116" s="711">
        <v>0</v>
      </c>
      <c r="BW116" s="712">
        <v>0</v>
      </c>
      <c r="BX116" s="711">
        <v>0</v>
      </c>
      <c r="BY116" s="712">
        <v>0</v>
      </c>
      <c r="BZ116" s="711">
        <v>0</v>
      </c>
      <c r="CA116" s="712">
        <v>0</v>
      </c>
      <c r="CB116" s="711">
        <v>0</v>
      </c>
      <c r="CC116" s="710">
        <v>0</v>
      </c>
      <c r="CD116" s="713">
        <v>0</v>
      </c>
      <c r="CE116" s="710">
        <v>0</v>
      </c>
      <c r="CF116" s="713">
        <v>0</v>
      </c>
      <c r="CG116" s="710">
        <v>0</v>
      </c>
      <c r="CH116" s="713">
        <v>0</v>
      </c>
      <c r="CI116" s="710">
        <v>0</v>
      </c>
      <c r="CJ116" s="713">
        <v>0</v>
      </c>
      <c r="CK116" s="710">
        <v>0</v>
      </c>
      <c r="CL116" s="713">
        <v>0</v>
      </c>
      <c r="CM116" s="710">
        <v>0</v>
      </c>
      <c r="CN116" s="713">
        <v>0</v>
      </c>
      <c r="CO116" s="710">
        <v>0</v>
      </c>
      <c r="CP116" s="713">
        <v>0</v>
      </c>
      <c r="CQ116" s="710">
        <v>0</v>
      </c>
      <c r="CR116" s="711">
        <v>0</v>
      </c>
      <c r="CS116" s="710">
        <v>0</v>
      </c>
      <c r="CT116" s="711">
        <v>0</v>
      </c>
      <c r="CU116" s="712">
        <v>0</v>
      </c>
      <c r="CV116" s="711">
        <v>0</v>
      </c>
    </row>
    <row r="117" spans="1:100">
      <c r="A117" s="467">
        <v>115</v>
      </c>
      <c r="B117" s="595">
        <v>0</v>
      </c>
      <c r="C117" s="595">
        <v>0</v>
      </c>
      <c r="D117" s="595">
        <v>0</v>
      </c>
      <c r="E117" s="595">
        <v>0</v>
      </c>
      <c r="F117" s="595">
        <v>0</v>
      </c>
      <c r="G117" s="595">
        <v>0</v>
      </c>
      <c r="H117" s="595">
        <v>0</v>
      </c>
      <c r="I117" s="595">
        <v>0</v>
      </c>
      <c r="J117" s="595">
        <v>0</v>
      </c>
      <c r="K117" s="595">
        <v>0</v>
      </c>
      <c r="L117" s="595">
        <v>0</v>
      </c>
      <c r="M117" s="595">
        <v>0</v>
      </c>
      <c r="N117" s="595">
        <v>0</v>
      </c>
      <c r="O117" s="595">
        <v>0</v>
      </c>
      <c r="P117" s="595">
        <v>0</v>
      </c>
      <c r="Q117" s="595">
        <v>0</v>
      </c>
      <c r="R117" s="595">
        <v>0</v>
      </c>
      <c r="S117" s="595">
        <v>0</v>
      </c>
      <c r="T117" s="595">
        <v>0</v>
      </c>
      <c r="U117" s="595">
        <v>0</v>
      </c>
      <c r="V117" s="595">
        <v>0</v>
      </c>
      <c r="W117" s="611">
        <v>0</v>
      </c>
      <c r="X117" s="706"/>
      <c r="Y117" s="706"/>
      <c r="Z117" s="706"/>
      <c r="AA117" s="706"/>
      <c r="AB117" s="706"/>
      <c r="AC117" s="706"/>
      <c r="AD117" s="706"/>
      <c r="AE117" s="703">
        <v>0</v>
      </c>
      <c r="AF117" s="704">
        <v>0</v>
      </c>
      <c r="AG117" s="705">
        <v>0</v>
      </c>
      <c r="AH117" s="706">
        <v>0</v>
      </c>
      <c r="AI117" s="705">
        <v>0</v>
      </c>
      <c r="AJ117" s="703">
        <v>0</v>
      </c>
      <c r="AK117" s="705">
        <v>0</v>
      </c>
      <c r="AL117" s="707">
        <v>0</v>
      </c>
      <c r="AM117" s="703">
        <v>0</v>
      </c>
      <c r="AN117" s="703">
        <v>0</v>
      </c>
      <c r="AO117" s="707">
        <v>0</v>
      </c>
      <c r="AP117" s="708">
        <v>2E-3</v>
      </c>
      <c r="AQ117" s="705">
        <f t="shared" si="24"/>
        <v>7.1428571428571426E-3</v>
      </c>
      <c r="AR117" s="703">
        <v>0</v>
      </c>
      <c r="AS117" s="705">
        <v>0</v>
      </c>
      <c r="AT117" s="709">
        <v>2E-3</v>
      </c>
      <c r="AU117" s="703">
        <v>0</v>
      </c>
      <c r="AV117" s="705">
        <v>0</v>
      </c>
      <c r="AW117" s="710">
        <v>0</v>
      </c>
      <c r="AX117" s="711">
        <v>0</v>
      </c>
      <c r="AY117" s="710">
        <v>0</v>
      </c>
      <c r="AZ117" s="711">
        <v>0</v>
      </c>
      <c r="BA117" s="710">
        <v>0</v>
      </c>
      <c r="BB117" s="711">
        <v>0</v>
      </c>
      <c r="BC117" s="712">
        <v>0</v>
      </c>
      <c r="BD117" s="713">
        <v>0</v>
      </c>
      <c r="BE117" s="710">
        <v>0</v>
      </c>
      <c r="BF117" s="711">
        <v>0</v>
      </c>
      <c r="BG117" s="712">
        <v>0</v>
      </c>
      <c r="BH117" s="711">
        <v>0</v>
      </c>
      <c r="BI117" s="712">
        <v>0</v>
      </c>
      <c r="BJ117" s="711">
        <v>0</v>
      </c>
      <c r="BK117" s="712">
        <v>0</v>
      </c>
      <c r="BL117" s="711">
        <v>0</v>
      </c>
      <c r="BM117" s="712">
        <v>0</v>
      </c>
      <c r="BN117" s="711">
        <v>0</v>
      </c>
      <c r="BO117" s="712">
        <v>0</v>
      </c>
      <c r="BP117" s="711">
        <v>0</v>
      </c>
      <c r="BQ117" s="712">
        <v>0</v>
      </c>
      <c r="BR117" s="711">
        <v>0</v>
      </c>
      <c r="BS117" s="712">
        <v>0</v>
      </c>
      <c r="BT117" s="711">
        <v>0</v>
      </c>
      <c r="BU117" s="712">
        <v>0</v>
      </c>
      <c r="BV117" s="711">
        <v>0</v>
      </c>
      <c r="BW117" s="712">
        <v>0</v>
      </c>
      <c r="BX117" s="711">
        <v>0</v>
      </c>
      <c r="BY117" s="712">
        <v>0</v>
      </c>
      <c r="BZ117" s="711">
        <v>0</v>
      </c>
      <c r="CA117" s="712">
        <v>0</v>
      </c>
      <c r="CB117" s="711">
        <v>0</v>
      </c>
      <c r="CC117" s="710">
        <v>0</v>
      </c>
      <c r="CD117" s="713">
        <v>0</v>
      </c>
      <c r="CE117" s="710">
        <v>0</v>
      </c>
      <c r="CF117" s="713">
        <v>0</v>
      </c>
      <c r="CG117" s="710">
        <v>0</v>
      </c>
      <c r="CH117" s="713">
        <v>0</v>
      </c>
      <c r="CI117" s="710">
        <v>0</v>
      </c>
      <c r="CJ117" s="713">
        <v>0</v>
      </c>
      <c r="CK117" s="710">
        <v>0</v>
      </c>
      <c r="CL117" s="713">
        <v>0</v>
      </c>
      <c r="CM117" s="710">
        <v>0</v>
      </c>
      <c r="CN117" s="713">
        <v>0</v>
      </c>
      <c r="CO117" s="710">
        <v>0</v>
      </c>
      <c r="CP117" s="713">
        <v>0</v>
      </c>
      <c r="CQ117" s="710">
        <v>0</v>
      </c>
      <c r="CR117" s="711">
        <v>0</v>
      </c>
      <c r="CS117" s="710">
        <v>0</v>
      </c>
      <c r="CT117" s="711">
        <v>0</v>
      </c>
      <c r="CU117" s="712">
        <v>0</v>
      </c>
      <c r="CV117" s="711">
        <v>0</v>
      </c>
    </row>
    <row r="118" spans="1:100">
      <c r="A118" s="467">
        <v>116</v>
      </c>
      <c r="B118" s="595">
        <v>0</v>
      </c>
      <c r="C118" s="595">
        <v>0</v>
      </c>
      <c r="D118" s="595">
        <v>0</v>
      </c>
      <c r="E118" s="595">
        <v>0</v>
      </c>
      <c r="F118" s="595">
        <v>0</v>
      </c>
      <c r="G118" s="595">
        <v>0</v>
      </c>
      <c r="H118" s="595">
        <v>0</v>
      </c>
      <c r="I118" s="595">
        <v>0</v>
      </c>
      <c r="J118" s="595">
        <v>0</v>
      </c>
      <c r="K118" s="595">
        <v>0</v>
      </c>
      <c r="L118" s="595">
        <v>0</v>
      </c>
      <c r="M118" s="595">
        <v>0</v>
      </c>
      <c r="N118" s="595">
        <v>0</v>
      </c>
      <c r="O118" s="595">
        <v>0</v>
      </c>
      <c r="P118" s="595">
        <v>0</v>
      </c>
      <c r="Q118" s="595">
        <v>0</v>
      </c>
      <c r="R118" s="595">
        <v>0</v>
      </c>
      <c r="S118" s="595">
        <v>0</v>
      </c>
      <c r="T118" s="595">
        <v>0</v>
      </c>
      <c r="U118" s="595">
        <v>0</v>
      </c>
      <c r="V118" s="595">
        <v>0</v>
      </c>
      <c r="W118" s="611">
        <v>0</v>
      </c>
      <c r="X118" s="706"/>
      <c r="Y118" s="706"/>
      <c r="Z118" s="706"/>
      <c r="AA118" s="706"/>
      <c r="AB118" s="706"/>
      <c r="AC118" s="706"/>
      <c r="AD118" s="706"/>
      <c r="AE118" s="703">
        <v>0</v>
      </c>
      <c r="AF118" s="704">
        <v>0</v>
      </c>
      <c r="AG118" s="705">
        <v>0</v>
      </c>
      <c r="AH118" s="706">
        <v>0</v>
      </c>
      <c r="AI118" s="705">
        <v>0</v>
      </c>
      <c r="AJ118" s="703">
        <v>0</v>
      </c>
      <c r="AK118" s="705">
        <v>0</v>
      </c>
      <c r="AL118" s="707">
        <v>0</v>
      </c>
      <c r="AM118" s="703">
        <v>0</v>
      </c>
      <c r="AN118" s="703">
        <v>0</v>
      </c>
      <c r="AO118" s="707">
        <v>0</v>
      </c>
      <c r="AP118" s="708">
        <v>2E-3</v>
      </c>
      <c r="AQ118" s="705">
        <f t="shared" si="24"/>
        <v>7.1428571428571426E-3</v>
      </c>
      <c r="AR118" s="703">
        <v>0</v>
      </c>
      <c r="AS118" s="705">
        <v>0</v>
      </c>
      <c r="AT118" s="709">
        <v>2E-3</v>
      </c>
      <c r="AU118" s="703">
        <v>0</v>
      </c>
      <c r="AV118" s="705">
        <v>0</v>
      </c>
      <c r="AW118" s="710">
        <v>0</v>
      </c>
      <c r="AX118" s="711">
        <v>0</v>
      </c>
      <c r="AY118" s="710">
        <v>0</v>
      </c>
      <c r="AZ118" s="711">
        <v>0</v>
      </c>
      <c r="BA118" s="710">
        <v>0</v>
      </c>
      <c r="BB118" s="711">
        <v>0</v>
      </c>
      <c r="BC118" s="712">
        <v>0</v>
      </c>
      <c r="BD118" s="713">
        <v>0</v>
      </c>
      <c r="BE118" s="710">
        <v>0</v>
      </c>
      <c r="BF118" s="711">
        <v>0</v>
      </c>
      <c r="BG118" s="712">
        <v>0</v>
      </c>
      <c r="BH118" s="711">
        <v>0</v>
      </c>
      <c r="BI118" s="712">
        <v>0</v>
      </c>
      <c r="BJ118" s="711">
        <v>0</v>
      </c>
      <c r="BK118" s="712">
        <v>0</v>
      </c>
      <c r="BL118" s="711">
        <v>0</v>
      </c>
      <c r="BM118" s="712">
        <v>0</v>
      </c>
      <c r="BN118" s="711">
        <v>0</v>
      </c>
      <c r="BO118" s="712">
        <v>0</v>
      </c>
      <c r="BP118" s="711">
        <v>0</v>
      </c>
      <c r="BQ118" s="712">
        <v>0</v>
      </c>
      <c r="BR118" s="711">
        <v>0</v>
      </c>
      <c r="BS118" s="712">
        <v>0</v>
      </c>
      <c r="BT118" s="711">
        <v>0</v>
      </c>
      <c r="BU118" s="712">
        <v>0</v>
      </c>
      <c r="BV118" s="711">
        <v>0</v>
      </c>
      <c r="BW118" s="712">
        <v>0</v>
      </c>
      <c r="BX118" s="711">
        <v>0</v>
      </c>
      <c r="BY118" s="712">
        <v>0</v>
      </c>
      <c r="BZ118" s="711">
        <v>0</v>
      </c>
      <c r="CA118" s="712">
        <v>0</v>
      </c>
      <c r="CB118" s="711">
        <v>0</v>
      </c>
      <c r="CC118" s="710">
        <v>0</v>
      </c>
      <c r="CD118" s="713">
        <v>0</v>
      </c>
      <c r="CE118" s="710">
        <v>0</v>
      </c>
      <c r="CF118" s="713">
        <v>0</v>
      </c>
      <c r="CG118" s="710">
        <v>0</v>
      </c>
      <c r="CH118" s="713">
        <v>0</v>
      </c>
      <c r="CI118" s="710">
        <v>0</v>
      </c>
      <c r="CJ118" s="713">
        <v>0</v>
      </c>
      <c r="CK118" s="710">
        <v>0</v>
      </c>
      <c r="CL118" s="713">
        <v>0</v>
      </c>
      <c r="CM118" s="710">
        <v>0</v>
      </c>
      <c r="CN118" s="713">
        <v>0</v>
      </c>
      <c r="CO118" s="710">
        <v>0</v>
      </c>
      <c r="CP118" s="713">
        <v>0</v>
      </c>
      <c r="CQ118" s="710">
        <v>0</v>
      </c>
      <c r="CR118" s="711">
        <v>0</v>
      </c>
      <c r="CS118" s="710">
        <v>0</v>
      </c>
      <c r="CT118" s="711">
        <v>0</v>
      </c>
      <c r="CU118" s="712">
        <v>0</v>
      </c>
      <c r="CV118" s="711">
        <v>0</v>
      </c>
    </row>
    <row r="119" spans="1:100">
      <c r="A119" s="467">
        <v>117</v>
      </c>
      <c r="B119" s="595">
        <v>0</v>
      </c>
      <c r="C119" s="595">
        <v>0</v>
      </c>
      <c r="D119" s="595">
        <v>0</v>
      </c>
      <c r="E119" s="595">
        <v>0</v>
      </c>
      <c r="F119" s="595">
        <v>0</v>
      </c>
      <c r="G119" s="595">
        <v>0</v>
      </c>
      <c r="H119" s="595">
        <v>0</v>
      </c>
      <c r="I119" s="595">
        <v>0</v>
      </c>
      <c r="J119" s="595">
        <v>0</v>
      </c>
      <c r="K119" s="595">
        <v>0</v>
      </c>
      <c r="L119" s="595">
        <v>0</v>
      </c>
      <c r="M119" s="595">
        <v>0</v>
      </c>
      <c r="N119" s="595">
        <v>0</v>
      </c>
      <c r="O119" s="595">
        <v>0</v>
      </c>
      <c r="P119" s="595">
        <v>0</v>
      </c>
      <c r="Q119" s="595">
        <v>0</v>
      </c>
      <c r="R119" s="595">
        <v>0</v>
      </c>
      <c r="S119" s="595">
        <v>0</v>
      </c>
      <c r="T119" s="595">
        <v>0</v>
      </c>
      <c r="U119" s="595">
        <v>0</v>
      </c>
      <c r="V119" s="595">
        <v>0</v>
      </c>
      <c r="W119" s="611">
        <v>0</v>
      </c>
      <c r="X119" s="706"/>
      <c r="Y119" s="706"/>
      <c r="Z119" s="706"/>
      <c r="AA119" s="706"/>
      <c r="AB119" s="706"/>
      <c r="AC119" s="706"/>
      <c r="AD119" s="706"/>
      <c r="AE119" s="703">
        <v>0</v>
      </c>
      <c r="AF119" s="704">
        <v>0</v>
      </c>
      <c r="AG119" s="705">
        <v>0</v>
      </c>
      <c r="AH119" s="706">
        <v>0</v>
      </c>
      <c r="AI119" s="705">
        <v>0</v>
      </c>
      <c r="AJ119" s="703">
        <v>0</v>
      </c>
      <c r="AK119" s="705">
        <v>0</v>
      </c>
      <c r="AL119" s="707">
        <v>0</v>
      </c>
      <c r="AM119" s="703">
        <v>0</v>
      </c>
      <c r="AN119" s="703">
        <v>0</v>
      </c>
      <c r="AO119" s="707">
        <v>0</v>
      </c>
      <c r="AP119" s="708">
        <v>2E-3</v>
      </c>
      <c r="AQ119" s="705">
        <f t="shared" si="24"/>
        <v>7.1428571428571426E-3</v>
      </c>
      <c r="AR119" s="703">
        <v>0</v>
      </c>
      <c r="AS119" s="705">
        <v>0</v>
      </c>
      <c r="AT119" s="709">
        <v>0</v>
      </c>
      <c r="AU119" s="703">
        <v>0</v>
      </c>
      <c r="AV119" s="705">
        <v>0</v>
      </c>
      <c r="AW119" s="710">
        <v>0</v>
      </c>
      <c r="AX119" s="711">
        <v>0</v>
      </c>
      <c r="AY119" s="710">
        <v>0</v>
      </c>
      <c r="AZ119" s="711">
        <v>0</v>
      </c>
      <c r="BA119" s="710">
        <v>0</v>
      </c>
      <c r="BB119" s="711">
        <v>0</v>
      </c>
      <c r="BC119" s="712">
        <v>0</v>
      </c>
      <c r="BD119" s="713">
        <v>0</v>
      </c>
      <c r="BE119" s="710">
        <v>0</v>
      </c>
      <c r="BF119" s="711">
        <v>0</v>
      </c>
      <c r="BG119" s="712">
        <v>0</v>
      </c>
      <c r="BH119" s="711">
        <v>0</v>
      </c>
      <c r="BI119" s="712">
        <v>0</v>
      </c>
      <c r="BJ119" s="711">
        <v>0</v>
      </c>
      <c r="BK119" s="712">
        <v>0</v>
      </c>
      <c r="BL119" s="711">
        <v>0</v>
      </c>
      <c r="BM119" s="712">
        <v>0</v>
      </c>
      <c r="BN119" s="711">
        <v>0</v>
      </c>
      <c r="BO119" s="712">
        <v>0</v>
      </c>
      <c r="BP119" s="711">
        <v>0</v>
      </c>
      <c r="BQ119" s="712">
        <v>0</v>
      </c>
      <c r="BR119" s="711">
        <v>0</v>
      </c>
      <c r="BS119" s="712">
        <v>0</v>
      </c>
      <c r="BT119" s="711">
        <v>0</v>
      </c>
      <c r="BU119" s="712">
        <v>0</v>
      </c>
      <c r="BV119" s="711">
        <v>0</v>
      </c>
      <c r="BW119" s="712">
        <v>0</v>
      </c>
      <c r="BX119" s="711">
        <v>0</v>
      </c>
      <c r="BY119" s="712">
        <v>0</v>
      </c>
      <c r="BZ119" s="711">
        <v>0</v>
      </c>
      <c r="CA119" s="712">
        <v>0</v>
      </c>
      <c r="CB119" s="711">
        <v>0</v>
      </c>
      <c r="CC119" s="710">
        <v>0</v>
      </c>
      <c r="CD119" s="713">
        <v>0</v>
      </c>
      <c r="CE119" s="710">
        <v>0</v>
      </c>
      <c r="CF119" s="713">
        <v>0</v>
      </c>
      <c r="CG119" s="710">
        <v>0</v>
      </c>
      <c r="CH119" s="713">
        <v>0</v>
      </c>
      <c r="CI119" s="710">
        <v>0</v>
      </c>
      <c r="CJ119" s="713">
        <v>0</v>
      </c>
      <c r="CK119" s="710">
        <v>0</v>
      </c>
      <c r="CL119" s="713">
        <v>0</v>
      </c>
      <c r="CM119" s="710">
        <v>0</v>
      </c>
      <c r="CN119" s="713">
        <v>0</v>
      </c>
      <c r="CO119" s="710">
        <v>0</v>
      </c>
      <c r="CP119" s="713">
        <v>0</v>
      </c>
      <c r="CQ119" s="710">
        <v>0</v>
      </c>
      <c r="CR119" s="711">
        <v>0</v>
      </c>
      <c r="CS119" s="710">
        <v>0</v>
      </c>
      <c r="CT119" s="711">
        <v>0</v>
      </c>
      <c r="CU119" s="712">
        <v>0</v>
      </c>
      <c r="CV119" s="711">
        <v>0</v>
      </c>
    </row>
    <row r="120" spans="1:100">
      <c r="A120" s="467">
        <v>118</v>
      </c>
      <c r="B120" s="595">
        <v>0</v>
      </c>
      <c r="C120" s="595">
        <v>0</v>
      </c>
      <c r="D120" s="595">
        <v>0</v>
      </c>
      <c r="E120" s="595">
        <v>0</v>
      </c>
      <c r="F120" s="595">
        <v>0</v>
      </c>
      <c r="G120" s="595">
        <v>0</v>
      </c>
      <c r="H120" s="595">
        <v>0</v>
      </c>
      <c r="I120" s="595">
        <v>0</v>
      </c>
      <c r="J120" s="595">
        <v>0</v>
      </c>
      <c r="K120" s="595">
        <v>0</v>
      </c>
      <c r="L120" s="595">
        <v>0</v>
      </c>
      <c r="M120" s="595">
        <v>0</v>
      </c>
      <c r="N120" s="595">
        <v>0</v>
      </c>
      <c r="O120" s="595">
        <v>0</v>
      </c>
      <c r="P120" s="595">
        <v>0</v>
      </c>
      <c r="Q120" s="595">
        <v>0</v>
      </c>
      <c r="R120" s="595">
        <v>0</v>
      </c>
      <c r="S120" s="595">
        <v>0</v>
      </c>
      <c r="T120" s="595">
        <v>0</v>
      </c>
      <c r="U120" s="595">
        <v>0</v>
      </c>
      <c r="V120" s="595">
        <v>0</v>
      </c>
      <c r="W120" s="611">
        <v>0</v>
      </c>
      <c r="X120" s="706"/>
      <c r="Y120" s="706"/>
      <c r="Z120" s="706"/>
      <c r="AA120" s="706"/>
      <c r="AB120" s="706"/>
      <c r="AC120" s="706"/>
      <c r="AD120" s="706"/>
      <c r="AE120" s="703">
        <v>0</v>
      </c>
      <c r="AF120" s="704">
        <v>0</v>
      </c>
      <c r="AG120" s="705">
        <v>0</v>
      </c>
      <c r="AH120" s="706">
        <v>0</v>
      </c>
      <c r="AI120" s="705">
        <v>0</v>
      </c>
      <c r="AJ120" s="703">
        <v>0</v>
      </c>
      <c r="AK120" s="705">
        <v>0</v>
      </c>
      <c r="AL120" s="707">
        <v>0</v>
      </c>
      <c r="AM120" s="703">
        <v>0</v>
      </c>
      <c r="AN120" s="703">
        <v>0</v>
      </c>
      <c r="AO120" s="707">
        <v>0</v>
      </c>
      <c r="AP120" s="708">
        <v>2E-3</v>
      </c>
      <c r="AQ120" s="705">
        <f t="shared" si="24"/>
        <v>7.1428571428571426E-3</v>
      </c>
      <c r="AR120" s="703">
        <v>0</v>
      </c>
      <c r="AS120" s="705">
        <v>0</v>
      </c>
      <c r="AT120" s="709">
        <v>0</v>
      </c>
      <c r="AU120" s="703">
        <v>0</v>
      </c>
      <c r="AV120" s="705">
        <v>0</v>
      </c>
      <c r="AW120" s="710">
        <v>0</v>
      </c>
      <c r="AX120" s="711">
        <v>0</v>
      </c>
      <c r="AY120" s="710">
        <v>0</v>
      </c>
      <c r="AZ120" s="711">
        <v>0</v>
      </c>
      <c r="BA120" s="710">
        <v>0</v>
      </c>
      <c r="BB120" s="711">
        <v>0</v>
      </c>
      <c r="BC120" s="712">
        <v>0</v>
      </c>
      <c r="BD120" s="713">
        <v>0</v>
      </c>
      <c r="BE120" s="710">
        <v>0</v>
      </c>
      <c r="BF120" s="711">
        <v>0</v>
      </c>
      <c r="BG120" s="712">
        <v>0</v>
      </c>
      <c r="BH120" s="711">
        <v>0</v>
      </c>
      <c r="BI120" s="712">
        <v>0</v>
      </c>
      <c r="BJ120" s="711">
        <v>0</v>
      </c>
      <c r="BK120" s="712">
        <v>0</v>
      </c>
      <c r="BL120" s="711">
        <v>0</v>
      </c>
      <c r="BM120" s="712">
        <v>0</v>
      </c>
      <c r="BN120" s="711">
        <v>0</v>
      </c>
      <c r="BO120" s="712">
        <v>0</v>
      </c>
      <c r="BP120" s="711">
        <v>0</v>
      </c>
      <c r="BQ120" s="712">
        <v>0</v>
      </c>
      <c r="BR120" s="711">
        <v>0</v>
      </c>
      <c r="BS120" s="712">
        <v>0</v>
      </c>
      <c r="BT120" s="711">
        <v>0</v>
      </c>
      <c r="BU120" s="712">
        <v>0</v>
      </c>
      <c r="BV120" s="711">
        <v>0</v>
      </c>
      <c r="BW120" s="712">
        <v>0</v>
      </c>
      <c r="BX120" s="711">
        <v>0</v>
      </c>
      <c r="BY120" s="712">
        <v>0</v>
      </c>
      <c r="BZ120" s="711">
        <v>0</v>
      </c>
      <c r="CA120" s="712">
        <v>0</v>
      </c>
      <c r="CB120" s="711">
        <v>0</v>
      </c>
      <c r="CC120" s="710">
        <v>0</v>
      </c>
      <c r="CD120" s="713">
        <v>0</v>
      </c>
      <c r="CE120" s="710">
        <v>0</v>
      </c>
      <c r="CF120" s="713">
        <v>0</v>
      </c>
      <c r="CG120" s="710">
        <v>0</v>
      </c>
      <c r="CH120" s="713">
        <v>0</v>
      </c>
      <c r="CI120" s="710">
        <v>0</v>
      </c>
      <c r="CJ120" s="713">
        <v>0</v>
      </c>
      <c r="CK120" s="710">
        <v>0</v>
      </c>
      <c r="CL120" s="713">
        <v>0</v>
      </c>
      <c r="CM120" s="710">
        <v>0</v>
      </c>
      <c r="CN120" s="713">
        <v>0</v>
      </c>
      <c r="CO120" s="710">
        <v>0</v>
      </c>
      <c r="CP120" s="713">
        <v>0</v>
      </c>
      <c r="CQ120" s="710">
        <v>0</v>
      </c>
      <c r="CR120" s="711">
        <v>0</v>
      </c>
      <c r="CS120" s="710">
        <v>0</v>
      </c>
      <c r="CT120" s="711">
        <v>0</v>
      </c>
      <c r="CU120" s="712">
        <v>0</v>
      </c>
      <c r="CV120" s="711">
        <v>0</v>
      </c>
    </row>
    <row r="121" spans="1:100">
      <c r="A121" s="467">
        <v>119</v>
      </c>
      <c r="B121" s="595">
        <v>0</v>
      </c>
      <c r="C121" s="595">
        <v>0</v>
      </c>
      <c r="D121" s="595">
        <v>0</v>
      </c>
      <c r="E121" s="595">
        <v>0</v>
      </c>
      <c r="F121" s="595">
        <v>0</v>
      </c>
      <c r="G121" s="595">
        <v>0</v>
      </c>
      <c r="H121" s="595">
        <v>0</v>
      </c>
      <c r="I121" s="595">
        <v>0</v>
      </c>
      <c r="J121" s="595">
        <v>0</v>
      </c>
      <c r="K121" s="595">
        <v>0</v>
      </c>
      <c r="L121" s="595">
        <v>0</v>
      </c>
      <c r="M121" s="595">
        <v>0</v>
      </c>
      <c r="N121" s="595">
        <v>0</v>
      </c>
      <c r="O121" s="595">
        <v>0</v>
      </c>
      <c r="P121" s="595">
        <v>0</v>
      </c>
      <c r="Q121" s="595">
        <v>0</v>
      </c>
      <c r="R121" s="595">
        <v>0</v>
      </c>
      <c r="S121" s="595">
        <v>0</v>
      </c>
      <c r="T121" s="595">
        <v>0</v>
      </c>
      <c r="U121" s="595">
        <v>0</v>
      </c>
      <c r="V121" s="595">
        <v>0</v>
      </c>
      <c r="W121" s="611">
        <v>0</v>
      </c>
      <c r="X121" s="706"/>
      <c r="Y121" s="706"/>
      <c r="Z121" s="706"/>
      <c r="AA121" s="706"/>
      <c r="AB121" s="706"/>
      <c r="AC121" s="706"/>
      <c r="AD121" s="706"/>
      <c r="AE121" s="703">
        <v>0</v>
      </c>
      <c r="AF121" s="704">
        <v>0</v>
      </c>
      <c r="AG121" s="705">
        <v>0</v>
      </c>
      <c r="AH121" s="706">
        <v>0</v>
      </c>
      <c r="AI121" s="705">
        <v>0</v>
      </c>
      <c r="AJ121" s="703">
        <v>0</v>
      </c>
      <c r="AK121" s="705">
        <v>0</v>
      </c>
      <c r="AL121" s="707">
        <v>0</v>
      </c>
      <c r="AM121" s="703">
        <v>0</v>
      </c>
      <c r="AN121" s="703">
        <v>0</v>
      </c>
      <c r="AO121" s="707">
        <v>0</v>
      </c>
      <c r="AP121" s="708">
        <v>2E-3</v>
      </c>
      <c r="AQ121" s="705">
        <f t="shared" si="24"/>
        <v>7.1428571428571426E-3</v>
      </c>
      <c r="AR121" s="703">
        <v>0</v>
      </c>
      <c r="AS121" s="705">
        <v>0</v>
      </c>
      <c r="AT121" s="709">
        <v>0</v>
      </c>
      <c r="AU121" s="703">
        <v>0</v>
      </c>
      <c r="AV121" s="705">
        <v>0</v>
      </c>
      <c r="AW121" s="710">
        <v>0</v>
      </c>
      <c r="AX121" s="711">
        <v>0</v>
      </c>
      <c r="AY121" s="710">
        <v>0</v>
      </c>
      <c r="AZ121" s="711">
        <v>0</v>
      </c>
      <c r="BA121" s="710">
        <v>0</v>
      </c>
      <c r="BB121" s="711">
        <v>0</v>
      </c>
      <c r="BC121" s="712">
        <v>0</v>
      </c>
      <c r="BD121" s="713">
        <v>0</v>
      </c>
      <c r="BE121" s="710">
        <v>0</v>
      </c>
      <c r="BF121" s="711">
        <v>0</v>
      </c>
      <c r="BG121" s="712">
        <v>0</v>
      </c>
      <c r="BH121" s="711">
        <v>0</v>
      </c>
      <c r="BI121" s="712">
        <v>0</v>
      </c>
      <c r="BJ121" s="711">
        <v>0</v>
      </c>
      <c r="BK121" s="712">
        <v>0</v>
      </c>
      <c r="BL121" s="711">
        <v>0</v>
      </c>
      <c r="BM121" s="712">
        <v>0</v>
      </c>
      <c r="BN121" s="711">
        <v>0</v>
      </c>
      <c r="BO121" s="712">
        <v>0</v>
      </c>
      <c r="BP121" s="711">
        <v>0</v>
      </c>
      <c r="BQ121" s="712">
        <v>0</v>
      </c>
      <c r="BR121" s="711">
        <v>0</v>
      </c>
      <c r="BS121" s="712">
        <v>0</v>
      </c>
      <c r="BT121" s="711">
        <v>0</v>
      </c>
      <c r="BU121" s="712">
        <v>0</v>
      </c>
      <c r="BV121" s="711">
        <v>0</v>
      </c>
      <c r="BW121" s="712">
        <v>0</v>
      </c>
      <c r="BX121" s="711">
        <v>0</v>
      </c>
      <c r="BY121" s="712">
        <v>0</v>
      </c>
      <c r="BZ121" s="711">
        <v>0</v>
      </c>
      <c r="CA121" s="712">
        <v>0</v>
      </c>
      <c r="CB121" s="711">
        <v>0</v>
      </c>
      <c r="CC121" s="710">
        <v>0</v>
      </c>
      <c r="CD121" s="713">
        <v>0</v>
      </c>
      <c r="CE121" s="710">
        <v>0</v>
      </c>
      <c r="CF121" s="713">
        <v>0</v>
      </c>
      <c r="CG121" s="710">
        <v>0</v>
      </c>
      <c r="CH121" s="713">
        <v>0</v>
      </c>
      <c r="CI121" s="710">
        <v>0</v>
      </c>
      <c r="CJ121" s="713">
        <v>0</v>
      </c>
      <c r="CK121" s="710">
        <v>0</v>
      </c>
      <c r="CL121" s="713">
        <v>0</v>
      </c>
      <c r="CM121" s="710">
        <v>0</v>
      </c>
      <c r="CN121" s="713">
        <v>0</v>
      </c>
      <c r="CO121" s="710">
        <v>0</v>
      </c>
      <c r="CP121" s="713">
        <v>0</v>
      </c>
      <c r="CQ121" s="710">
        <v>0</v>
      </c>
      <c r="CR121" s="711">
        <v>0</v>
      </c>
      <c r="CS121" s="710">
        <v>0</v>
      </c>
      <c r="CT121" s="711">
        <v>0</v>
      </c>
      <c r="CU121" s="712">
        <v>0</v>
      </c>
      <c r="CV121" s="711">
        <v>0</v>
      </c>
    </row>
    <row r="122" spans="1:100">
      <c r="A122" s="467">
        <v>120</v>
      </c>
      <c r="B122" s="595">
        <v>0</v>
      </c>
      <c r="C122" s="595">
        <v>0</v>
      </c>
      <c r="D122" s="595">
        <v>0</v>
      </c>
      <c r="E122" s="595">
        <v>0</v>
      </c>
      <c r="F122" s="595">
        <v>0</v>
      </c>
      <c r="G122" s="595">
        <v>0</v>
      </c>
      <c r="H122" s="595">
        <v>0</v>
      </c>
      <c r="I122" s="595">
        <v>0</v>
      </c>
      <c r="J122" s="595">
        <v>0</v>
      </c>
      <c r="K122" s="595">
        <v>0</v>
      </c>
      <c r="L122" s="595">
        <v>0</v>
      </c>
      <c r="M122" s="595">
        <v>0</v>
      </c>
      <c r="N122" s="595">
        <v>0</v>
      </c>
      <c r="O122" s="595">
        <v>0</v>
      </c>
      <c r="P122" s="595">
        <v>0</v>
      </c>
      <c r="Q122" s="595">
        <v>0</v>
      </c>
      <c r="R122" s="595">
        <v>0</v>
      </c>
      <c r="S122" s="595">
        <v>0</v>
      </c>
      <c r="T122" s="595">
        <v>0</v>
      </c>
      <c r="U122" s="595">
        <v>0</v>
      </c>
      <c r="V122" s="595">
        <v>0</v>
      </c>
      <c r="W122" s="611">
        <v>0</v>
      </c>
      <c r="X122" s="706"/>
      <c r="Y122" s="706"/>
      <c r="Z122" s="706"/>
      <c r="AA122" s="706"/>
      <c r="AB122" s="706"/>
      <c r="AC122" s="706"/>
      <c r="AD122" s="706"/>
      <c r="AE122" s="703">
        <v>0</v>
      </c>
      <c r="AF122" s="704">
        <v>0</v>
      </c>
      <c r="AG122" s="705">
        <v>0</v>
      </c>
      <c r="AH122" s="706">
        <v>0</v>
      </c>
      <c r="AI122" s="705">
        <v>0</v>
      </c>
      <c r="AJ122" s="703">
        <v>0</v>
      </c>
      <c r="AK122" s="705">
        <v>0</v>
      </c>
      <c r="AL122" s="707">
        <v>0</v>
      </c>
      <c r="AM122" s="703">
        <v>0</v>
      </c>
      <c r="AN122" s="703">
        <v>0</v>
      </c>
      <c r="AO122" s="707">
        <v>0</v>
      </c>
      <c r="AP122" s="708">
        <v>2E-3</v>
      </c>
      <c r="AQ122" s="705">
        <f t="shared" si="24"/>
        <v>7.1428571428571426E-3</v>
      </c>
      <c r="AR122" s="703">
        <v>0</v>
      </c>
      <c r="AS122" s="705">
        <v>0</v>
      </c>
      <c r="AT122" s="709">
        <v>0</v>
      </c>
      <c r="AU122" s="703">
        <v>0</v>
      </c>
      <c r="AV122" s="705">
        <v>0</v>
      </c>
      <c r="AW122" s="710">
        <v>0</v>
      </c>
      <c r="AX122" s="711">
        <v>0</v>
      </c>
      <c r="AY122" s="710">
        <v>0</v>
      </c>
      <c r="AZ122" s="711">
        <v>0</v>
      </c>
      <c r="BA122" s="710">
        <v>0</v>
      </c>
      <c r="BB122" s="711">
        <v>0</v>
      </c>
      <c r="BC122" s="712">
        <v>0</v>
      </c>
      <c r="BD122" s="713">
        <v>0</v>
      </c>
      <c r="BE122" s="710">
        <v>0</v>
      </c>
      <c r="BF122" s="711">
        <v>0</v>
      </c>
      <c r="BG122" s="712">
        <v>0</v>
      </c>
      <c r="BH122" s="711">
        <v>0</v>
      </c>
      <c r="BI122" s="712">
        <v>0</v>
      </c>
      <c r="BJ122" s="711">
        <v>0</v>
      </c>
      <c r="BK122" s="712">
        <v>0</v>
      </c>
      <c r="BL122" s="711">
        <v>0</v>
      </c>
      <c r="BM122" s="712">
        <v>0</v>
      </c>
      <c r="BN122" s="711">
        <v>0</v>
      </c>
      <c r="BO122" s="712">
        <v>0</v>
      </c>
      <c r="BP122" s="711">
        <v>0</v>
      </c>
      <c r="BQ122" s="712">
        <v>0</v>
      </c>
      <c r="BR122" s="711">
        <v>0</v>
      </c>
      <c r="BS122" s="712">
        <v>0</v>
      </c>
      <c r="BT122" s="711">
        <v>0</v>
      </c>
      <c r="BU122" s="712">
        <v>0</v>
      </c>
      <c r="BV122" s="711">
        <v>0</v>
      </c>
      <c r="BW122" s="712">
        <v>0</v>
      </c>
      <c r="BX122" s="711">
        <v>0</v>
      </c>
      <c r="BY122" s="712">
        <v>0</v>
      </c>
      <c r="BZ122" s="711">
        <v>0</v>
      </c>
      <c r="CA122" s="712">
        <v>0</v>
      </c>
      <c r="CB122" s="711">
        <v>0</v>
      </c>
      <c r="CC122" s="710">
        <v>0</v>
      </c>
      <c r="CD122" s="713">
        <v>0</v>
      </c>
      <c r="CE122" s="710">
        <v>0</v>
      </c>
      <c r="CF122" s="713">
        <v>0</v>
      </c>
      <c r="CG122" s="710">
        <v>0</v>
      </c>
      <c r="CH122" s="713">
        <v>0</v>
      </c>
      <c r="CI122" s="710">
        <v>0</v>
      </c>
      <c r="CJ122" s="713">
        <v>0</v>
      </c>
      <c r="CK122" s="710">
        <v>0</v>
      </c>
      <c r="CL122" s="713">
        <v>0</v>
      </c>
      <c r="CM122" s="710">
        <v>0</v>
      </c>
      <c r="CN122" s="713">
        <v>0</v>
      </c>
      <c r="CO122" s="710">
        <v>0</v>
      </c>
      <c r="CP122" s="713">
        <v>0</v>
      </c>
      <c r="CQ122" s="710">
        <v>0</v>
      </c>
      <c r="CR122" s="711">
        <v>0</v>
      </c>
      <c r="CS122" s="710">
        <v>0</v>
      </c>
      <c r="CT122" s="711">
        <v>0</v>
      </c>
      <c r="CU122" s="712">
        <v>0</v>
      </c>
      <c r="CV122" s="711">
        <v>0</v>
      </c>
    </row>
    <row r="123" spans="1:100">
      <c r="A123" s="467">
        <v>121</v>
      </c>
      <c r="B123" s="595">
        <v>0</v>
      </c>
      <c r="C123" s="595">
        <v>0</v>
      </c>
      <c r="D123" s="595">
        <v>0</v>
      </c>
      <c r="E123" s="595">
        <v>0</v>
      </c>
      <c r="F123" s="595">
        <v>0</v>
      </c>
      <c r="G123" s="595">
        <v>0</v>
      </c>
      <c r="H123" s="595">
        <v>0</v>
      </c>
      <c r="I123" s="595">
        <v>0</v>
      </c>
      <c r="J123" s="595">
        <v>0</v>
      </c>
      <c r="K123" s="595">
        <v>0</v>
      </c>
      <c r="L123" s="595">
        <v>0</v>
      </c>
      <c r="M123" s="595">
        <v>0</v>
      </c>
      <c r="N123" s="595">
        <v>0</v>
      </c>
      <c r="O123" s="595">
        <v>0</v>
      </c>
      <c r="P123" s="595">
        <v>0</v>
      </c>
      <c r="Q123" s="595">
        <v>0</v>
      </c>
      <c r="R123" s="595">
        <v>0</v>
      </c>
      <c r="S123" s="595">
        <v>0</v>
      </c>
      <c r="T123" s="595">
        <v>0</v>
      </c>
      <c r="U123" s="595">
        <v>0</v>
      </c>
      <c r="V123" s="595">
        <v>0</v>
      </c>
      <c r="W123" s="611">
        <v>0</v>
      </c>
      <c r="X123" s="706"/>
      <c r="Y123" s="706"/>
      <c r="Z123" s="706"/>
      <c r="AA123" s="706"/>
      <c r="AB123" s="706"/>
      <c r="AC123" s="706"/>
      <c r="AD123" s="706"/>
      <c r="AE123" s="703">
        <v>0</v>
      </c>
      <c r="AF123" s="704">
        <v>0</v>
      </c>
      <c r="AG123" s="705">
        <v>0</v>
      </c>
      <c r="AH123" s="706">
        <v>0</v>
      </c>
      <c r="AI123" s="705">
        <v>0</v>
      </c>
      <c r="AJ123" s="703">
        <v>0</v>
      </c>
      <c r="AK123" s="705">
        <v>0</v>
      </c>
      <c r="AL123" s="707">
        <v>0</v>
      </c>
      <c r="AM123" s="703">
        <v>0</v>
      </c>
      <c r="AN123" s="703">
        <v>0</v>
      </c>
      <c r="AO123" s="707">
        <v>0</v>
      </c>
      <c r="AP123" s="708">
        <v>2E-3</v>
      </c>
      <c r="AQ123" s="705">
        <f t="shared" si="24"/>
        <v>7.1428571428571426E-3</v>
      </c>
      <c r="AR123" s="703">
        <v>0</v>
      </c>
      <c r="AS123" s="705">
        <v>0</v>
      </c>
      <c r="AT123" s="709">
        <v>0</v>
      </c>
      <c r="AU123" s="703">
        <v>0</v>
      </c>
      <c r="AV123" s="705">
        <v>0</v>
      </c>
      <c r="AW123" s="710">
        <v>0</v>
      </c>
      <c r="AX123" s="711">
        <v>0</v>
      </c>
      <c r="AY123" s="710">
        <v>0</v>
      </c>
      <c r="AZ123" s="711">
        <v>0</v>
      </c>
      <c r="BA123" s="710">
        <v>0</v>
      </c>
      <c r="BB123" s="711">
        <v>0</v>
      </c>
      <c r="BC123" s="712">
        <v>0</v>
      </c>
      <c r="BD123" s="713">
        <v>0</v>
      </c>
      <c r="BE123" s="710">
        <v>0</v>
      </c>
      <c r="BF123" s="711">
        <v>0</v>
      </c>
      <c r="BG123" s="712">
        <v>0</v>
      </c>
      <c r="BH123" s="711">
        <v>0</v>
      </c>
      <c r="BI123" s="712">
        <v>0</v>
      </c>
      <c r="BJ123" s="711">
        <v>0</v>
      </c>
      <c r="BK123" s="712">
        <v>0</v>
      </c>
      <c r="BL123" s="711">
        <v>0</v>
      </c>
      <c r="BM123" s="712">
        <v>0</v>
      </c>
      <c r="BN123" s="711">
        <v>0</v>
      </c>
      <c r="BO123" s="712">
        <v>0</v>
      </c>
      <c r="BP123" s="711">
        <v>0</v>
      </c>
      <c r="BQ123" s="712">
        <v>0</v>
      </c>
      <c r="BR123" s="711">
        <v>0</v>
      </c>
      <c r="BS123" s="712">
        <v>0</v>
      </c>
      <c r="BT123" s="711">
        <v>0</v>
      </c>
      <c r="BU123" s="712">
        <v>0</v>
      </c>
      <c r="BV123" s="711">
        <v>0</v>
      </c>
      <c r="BW123" s="712">
        <v>0</v>
      </c>
      <c r="BX123" s="711">
        <v>0</v>
      </c>
      <c r="BY123" s="712">
        <v>0</v>
      </c>
      <c r="BZ123" s="711">
        <v>0</v>
      </c>
      <c r="CA123" s="712">
        <v>0</v>
      </c>
      <c r="CB123" s="711">
        <v>0</v>
      </c>
      <c r="CC123" s="710">
        <v>0</v>
      </c>
      <c r="CD123" s="713">
        <v>0</v>
      </c>
      <c r="CE123" s="710">
        <v>0</v>
      </c>
      <c r="CF123" s="713">
        <v>0</v>
      </c>
      <c r="CG123" s="710">
        <v>0</v>
      </c>
      <c r="CH123" s="713">
        <v>0</v>
      </c>
      <c r="CI123" s="710">
        <v>0</v>
      </c>
      <c r="CJ123" s="713">
        <v>0</v>
      </c>
      <c r="CK123" s="710">
        <v>0</v>
      </c>
      <c r="CL123" s="713">
        <v>0</v>
      </c>
      <c r="CM123" s="710">
        <v>0</v>
      </c>
      <c r="CN123" s="713">
        <v>0</v>
      </c>
      <c r="CO123" s="710">
        <v>0</v>
      </c>
      <c r="CP123" s="713">
        <v>0</v>
      </c>
      <c r="CQ123" s="710">
        <v>0</v>
      </c>
      <c r="CR123" s="711">
        <v>0</v>
      </c>
      <c r="CS123" s="710">
        <v>0</v>
      </c>
      <c r="CT123" s="711">
        <v>0</v>
      </c>
      <c r="CU123" s="712">
        <v>0</v>
      </c>
      <c r="CV123" s="711">
        <v>0</v>
      </c>
    </row>
    <row r="124" spans="1:100">
      <c r="A124" s="467">
        <v>122</v>
      </c>
      <c r="B124" s="595">
        <v>0</v>
      </c>
      <c r="C124" s="595">
        <v>0</v>
      </c>
      <c r="D124" s="595">
        <v>0</v>
      </c>
      <c r="E124" s="595">
        <v>0</v>
      </c>
      <c r="F124" s="595">
        <v>0</v>
      </c>
      <c r="G124" s="595">
        <v>0</v>
      </c>
      <c r="H124" s="595">
        <v>0</v>
      </c>
      <c r="I124" s="595">
        <v>0</v>
      </c>
      <c r="J124" s="595">
        <v>0</v>
      </c>
      <c r="K124" s="595">
        <v>0</v>
      </c>
      <c r="L124" s="595">
        <v>0</v>
      </c>
      <c r="M124" s="595">
        <v>0</v>
      </c>
      <c r="N124" s="595">
        <v>0</v>
      </c>
      <c r="O124" s="595">
        <v>0</v>
      </c>
      <c r="P124" s="595">
        <v>0</v>
      </c>
      <c r="Q124" s="595">
        <v>0</v>
      </c>
      <c r="R124" s="595">
        <v>0</v>
      </c>
      <c r="S124" s="595">
        <v>0</v>
      </c>
      <c r="T124" s="595">
        <v>0</v>
      </c>
      <c r="U124" s="595">
        <v>0</v>
      </c>
      <c r="V124" s="595">
        <v>0</v>
      </c>
      <c r="W124" s="611">
        <v>0</v>
      </c>
      <c r="X124" s="706"/>
      <c r="Y124" s="706"/>
      <c r="Z124" s="706"/>
      <c r="AA124" s="706"/>
      <c r="AB124" s="706"/>
      <c r="AC124" s="706"/>
      <c r="AD124" s="706"/>
      <c r="AE124" s="703">
        <v>0</v>
      </c>
      <c r="AF124" s="704">
        <v>0</v>
      </c>
      <c r="AG124" s="705">
        <v>0</v>
      </c>
      <c r="AH124" s="706">
        <v>0</v>
      </c>
      <c r="AI124" s="705">
        <v>0</v>
      </c>
      <c r="AJ124" s="703">
        <v>0</v>
      </c>
      <c r="AK124" s="705">
        <v>0</v>
      </c>
      <c r="AL124" s="707">
        <v>0</v>
      </c>
      <c r="AM124" s="703">
        <v>0</v>
      </c>
      <c r="AN124" s="703">
        <v>0</v>
      </c>
      <c r="AO124" s="707">
        <v>0</v>
      </c>
      <c r="AP124" s="708">
        <v>2E-3</v>
      </c>
      <c r="AQ124" s="705">
        <f t="shared" si="24"/>
        <v>7.1428571428571426E-3</v>
      </c>
      <c r="AR124" s="703">
        <v>0</v>
      </c>
      <c r="AS124" s="705">
        <v>0</v>
      </c>
      <c r="AT124" s="709">
        <v>0</v>
      </c>
      <c r="AU124" s="703">
        <v>0</v>
      </c>
      <c r="AV124" s="705">
        <v>0</v>
      </c>
      <c r="AW124" s="710">
        <v>0</v>
      </c>
      <c r="AX124" s="711">
        <v>0</v>
      </c>
      <c r="AY124" s="710">
        <v>0</v>
      </c>
      <c r="AZ124" s="711">
        <v>0</v>
      </c>
      <c r="BA124" s="710">
        <v>0</v>
      </c>
      <c r="BB124" s="711">
        <v>0</v>
      </c>
      <c r="BC124" s="712">
        <v>0</v>
      </c>
      <c r="BD124" s="713">
        <v>0</v>
      </c>
      <c r="BE124" s="710">
        <v>0</v>
      </c>
      <c r="BF124" s="711">
        <v>0</v>
      </c>
      <c r="BG124" s="712">
        <v>0</v>
      </c>
      <c r="BH124" s="711">
        <v>0</v>
      </c>
      <c r="BI124" s="712">
        <v>0</v>
      </c>
      <c r="BJ124" s="711">
        <v>0</v>
      </c>
      <c r="BK124" s="712">
        <v>0</v>
      </c>
      <c r="BL124" s="711">
        <v>0</v>
      </c>
      <c r="BM124" s="712">
        <v>0</v>
      </c>
      <c r="BN124" s="711">
        <v>0</v>
      </c>
      <c r="BO124" s="712">
        <v>0</v>
      </c>
      <c r="BP124" s="711">
        <v>0</v>
      </c>
      <c r="BQ124" s="712">
        <v>0</v>
      </c>
      <c r="BR124" s="711">
        <v>0</v>
      </c>
      <c r="BS124" s="712">
        <v>0</v>
      </c>
      <c r="BT124" s="711">
        <v>0</v>
      </c>
      <c r="BU124" s="712">
        <v>0</v>
      </c>
      <c r="BV124" s="711">
        <v>0</v>
      </c>
      <c r="BW124" s="712">
        <v>0</v>
      </c>
      <c r="BX124" s="711">
        <v>0</v>
      </c>
      <c r="BY124" s="712">
        <v>0</v>
      </c>
      <c r="BZ124" s="711">
        <v>0</v>
      </c>
      <c r="CA124" s="712">
        <v>0</v>
      </c>
      <c r="CB124" s="711">
        <v>0</v>
      </c>
      <c r="CC124" s="710">
        <v>0</v>
      </c>
      <c r="CD124" s="713">
        <v>0</v>
      </c>
      <c r="CE124" s="710">
        <v>0</v>
      </c>
      <c r="CF124" s="713">
        <v>0</v>
      </c>
      <c r="CG124" s="710">
        <v>0</v>
      </c>
      <c r="CH124" s="713">
        <v>0</v>
      </c>
      <c r="CI124" s="710">
        <v>0</v>
      </c>
      <c r="CJ124" s="713">
        <v>0</v>
      </c>
      <c r="CK124" s="710">
        <v>0</v>
      </c>
      <c r="CL124" s="713">
        <v>0</v>
      </c>
      <c r="CM124" s="710">
        <v>0</v>
      </c>
      <c r="CN124" s="713">
        <v>0</v>
      </c>
      <c r="CO124" s="710">
        <v>0</v>
      </c>
      <c r="CP124" s="713">
        <v>0</v>
      </c>
      <c r="CQ124" s="710">
        <v>0</v>
      </c>
      <c r="CR124" s="711">
        <v>0</v>
      </c>
      <c r="CS124" s="710">
        <v>0</v>
      </c>
      <c r="CT124" s="711">
        <v>0</v>
      </c>
      <c r="CU124" s="712">
        <v>0</v>
      </c>
      <c r="CV124" s="711">
        <v>0</v>
      </c>
    </row>
    <row r="125" spans="1:100">
      <c r="A125" s="467">
        <v>123</v>
      </c>
      <c r="B125" s="595">
        <v>0</v>
      </c>
      <c r="C125" s="595">
        <v>0</v>
      </c>
      <c r="D125" s="595">
        <v>0</v>
      </c>
      <c r="E125" s="595">
        <v>0</v>
      </c>
      <c r="F125" s="595">
        <v>0</v>
      </c>
      <c r="G125" s="595">
        <v>0</v>
      </c>
      <c r="H125" s="595">
        <v>0</v>
      </c>
      <c r="I125" s="595">
        <v>0</v>
      </c>
      <c r="J125" s="595">
        <v>0</v>
      </c>
      <c r="K125" s="595">
        <v>0</v>
      </c>
      <c r="L125" s="595">
        <v>0</v>
      </c>
      <c r="M125" s="595">
        <v>0</v>
      </c>
      <c r="N125" s="595">
        <v>0</v>
      </c>
      <c r="O125" s="595">
        <v>0</v>
      </c>
      <c r="P125" s="595">
        <v>0</v>
      </c>
      <c r="Q125" s="595">
        <v>0</v>
      </c>
      <c r="R125" s="595">
        <v>0</v>
      </c>
      <c r="S125" s="595">
        <v>0</v>
      </c>
      <c r="T125" s="595">
        <v>0</v>
      </c>
      <c r="U125" s="595">
        <v>0</v>
      </c>
      <c r="V125" s="595">
        <v>0</v>
      </c>
      <c r="W125" s="611">
        <v>0</v>
      </c>
      <c r="X125" s="706"/>
      <c r="Y125" s="706"/>
      <c r="Z125" s="706"/>
      <c r="AA125" s="706"/>
      <c r="AB125" s="706"/>
      <c r="AC125" s="706"/>
      <c r="AD125" s="706"/>
      <c r="AE125" s="703">
        <v>0</v>
      </c>
      <c r="AF125" s="704">
        <v>0</v>
      </c>
      <c r="AG125" s="705">
        <v>0</v>
      </c>
      <c r="AH125" s="706">
        <v>0</v>
      </c>
      <c r="AI125" s="705">
        <v>0</v>
      </c>
      <c r="AJ125" s="703">
        <v>0</v>
      </c>
      <c r="AK125" s="705">
        <v>0</v>
      </c>
      <c r="AL125" s="707">
        <v>0</v>
      </c>
      <c r="AM125" s="703">
        <v>0</v>
      </c>
      <c r="AN125" s="703">
        <v>0</v>
      </c>
      <c r="AO125" s="707">
        <v>0</v>
      </c>
      <c r="AP125" s="708">
        <v>2E-3</v>
      </c>
      <c r="AQ125" s="705">
        <f t="shared" si="24"/>
        <v>7.1428571428571426E-3</v>
      </c>
      <c r="AR125" s="703">
        <v>0</v>
      </c>
      <c r="AS125" s="705">
        <v>0</v>
      </c>
      <c r="AT125" s="709">
        <v>0</v>
      </c>
      <c r="AU125" s="703">
        <v>0</v>
      </c>
      <c r="AV125" s="705">
        <v>0</v>
      </c>
      <c r="AW125" s="710">
        <v>0</v>
      </c>
      <c r="AX125" s="711">
        <v>0</v>
      </c>
      <c r="AY125" s="710">
        <v>0</v>
      </c>
      <c r="AZ125" s="711">
        <v>0</v>
      </c>
      <c r="BA125" s="710">
        <v>0</v>
      </c>
      <c r="BB125" s="711">
        <v>0</v>
      </c>
      <c r="BC125" s="712">
        <v>0</v>
      </c>
      <c r="BD125" s="713">
        <v>0</v>
      </c>
      <c r="BE125" s="710">
        <v>0</v>
      </c>
      <c r="BF125" s="711">
        <v>0</v>
      </c>
      <c r="BG125" s="712">
        <v>0</v>
      </c>
      <c r="BH125" s="711">
        <v>0</v>
      </c>
      <c r="BI125" s="712">
        <v>0</v>
      </c>
      <c r="BJ125" s="711">
        <v>0</v>
      </c>
      <c r="BK125" s="712">
        <v>0</v>
      </c>
      <c r="BL125" s="711">
        <v>0</v>
      </c>
      <c r="BM125" s="712">
        <v>0</v>
      </c>
      <c r="BN125" s="711">
        <v>0</v>
      </c>
      <c r="BO125" s="712">
        <v>0</v>
      </c>
      <c r="BP125" s="711">
        <v>0</v>
      </c>
      <c r="BQ125" s="712">
        <v>0</v>
      </c>
      <c r="BR125" s="711">
        <v>0</v>
      </c>
      <c r="BS125" s="712">
        <v>0</v>
      </c>
      <c r="BT125" s="711">
        <v>0</v>
      </c>
      <c r="BU125" s="712">
        <v>0</v>
      </c>
      <c r="BV125" s="711">
        <v>0</v>
      </c>
      <c r="BW125" s="712">
        <v>0</v>
      </c>
      <c r="BX125" s="711">
        <v>0</v>
      </c>
      <c r="BY125" s="712">
        <v>0</v>
      </c>
      <c r="BZ125" s="711">
        <v>0</v>
      </c>
      <c r="CA125" s="712">
        <v>0</v>
      </c>
      <c r="CB125" s="711">
        <v>0</v>
      </c>
      <c r="CC125" s="710">
        <v>0</v>
      </c>
      <c r="CD125" s="713">
        <v>0</v>
      </c>
      <c r="CE125" s="710">
        <v>0</v>
      </c>
      <c r="CF125" s="713">
        <v>0</v>
      </c>
      <c r="CG125" s="710">
        <v>0</v>
      </c>
      <c r="CH125" s="713">
        <v>0</v>
      </c>
      <c r="CI125" s="710">
        <v>0</v>
      </c>
      <c r="CJ125" s="713">
        <v>0</v>
      </c>
      <c r="CK125" s="710">
        <v>0</v>
      </c>
      <c r="CL125" s="713">
        <v>0</v>
      </c>
      <c r="CM125" s="710">
        <v>0</v>
      </c>
      <c r="CN125" s="713">
        <v>0</v>
      </c>
      <c r="CO125" s="710">
        <v>0</v>
      </c>
      <c r="CP125" s="713">
        <v>0</v>
      </c>
      <c r="CQ125" s="710">
        <v>0</v>
      </c>
      <c r="CR125" s="711">
        <v>0</v>
      </c>
      <c r="CS125" s="710">
        <v>0</v>
      </c>
      <c r="CT125" s="711">
        <v>0</v>
      </c>
      <c r="CU125" s="712">
        <v>0</v>
      </c>
      <c r="CV125" s="711">
        <v>0</v>
      </c>
    </row>
    <row r="126" spans="1:100">
      <c r="A126" s="467">
        <v>124</v>
      </c>
      <c r="B126" s="595">
        <v>0</v>
      </c>
      <c r="C126" s="595">
        <v>0</v>
      </c>
      <c r="D126" s="595">
        <v>0</v>
      </c>
      <c r="E126" s="595">
        <v>0</v>
      </c>
      <c r="F126" s="595">
        <v>0</v>
      </c>
      <c r="G126" s="595">
        <v>0</v>
      </c>
      <c r="H126" s="595">
        <v>0</v>
      </c>
      <c r="I126" s="595">
        <v>0</v>
      </c>
      <c r="J126" s="595">
        <v>0</v>
      </c>
      <c r="K126" s="595">
        <v>0</v>
      </c>
      <c r="L126" s="595">
        <v>0</v>
      </c>
      <c r="M126" s="595">
        <v>0</v>
      </c>
      <c r="N126" s="595">
        <v>0</v>
      </c>
      <c r="O126" s="595">
        <v>0</v>
      </c>
      <c r="P126" s="595">
        <v>0</v>
      </c>
      <c r="Q126" s="595">
        <v>0</v>
      </c>
      <c r="R126" s="595">
        <v>0</v>
      </c>
      <c r="S126" s="595">
        <v>0</v>
      </c>
      <c r="T126" s="595">
        <v>0</v>
      </c>
      <c r="U126" s="595">
        <v>0</v>
      </c>
      <c r="V126" s="595">
        <v>0</v>
      </c>
      <c r="W126" s="611">
        <v>0</v>
      </c>
      <c r="X126" s="706"/>
      <c r="Y126" s="706"/>
      <c r="Z126" s="706"/>
      <c r="AA126" s="706"/>
      <c r="AB126" s="706"/>
      <c r="AC126" s="706"/>
      <c r="AD126" s="706"/>
      <c r="AE126" s="703">
        <v>0</v>
      </c>
      <c r="AF126" s="704">
        <v>0</v>
      </c>
      <c r="AG126" s="705">
        <v>0</v>
      </c>
      <c r="AH126" s="706">
        <v>0</v>
      </c>
      <c r="AI126" s="705">
        <v>0</v>
      </c>
      <c r="AJ126" s="703">
        <v>0</v>
      </c>
      <c r="AK126" s="705">
        <v>0</v>
      </c>
      <c r="AL126" s="707">
        <v>0</v>
      </c>
      <c r="AM126" s="703">
        <v>0</v>
      </c>
      <c r="AN126" s="703">
        <v>0</v>
      </c>
      <c r="AO126" s="707">
        <v>0</v>
      </c>
      <c r="AP126" s="708">
        <v>2E-3</v>
      </c>
      <c r="AQ126" s="705">
        <f t="shared" si="24"/>
        <v>7.1428571428571426E-3</v>
      </c>
      <c r="AR126" s="703">
        <v>0</v>
      </c>
      <c r="AS126" s="705">
        <v>0</v>
      </c>
      <c r="AT126" s="709">
        <v>0</v>
      </c>
      <c r="AU126" s="703">
        <v>0</v>
      </c>
      <c r="AV126" s="705">
        <v>0</v>
      </c>
      <c r="AW126" s="710">
        <v>0</v>
      </c>
      <c r="AX126" s="711">
        <v>0</v>
      </c>
      <c r="AY126" s="710">
        <v>0</v>
      </c>
      <c r="AZ126" s="711">
        <v>0</v>
      </c>
      <c r="BA126" s="710">
        <v>0</v>
      </c>
      <c r="BB126" s="711">
        <v>0</v>
      </c>
      <c r="BC126" s="712">
        <v>0</v>
      </c>
      <c r="BD126" s="713">
        <v>0</v>
      </c>
      <c r="BE126" s="710">
        <v>0</v>
      </c>
      <c r="BF126" s="711">
        <v>0</v>
      </c>
      <c r="BG126" s="712">
        <v>0</v>
      </c>
      <c r="BH126" s="711">
        <v>0</v>
      </c>
      <c r="BI126" s="712">
        <v>0</v>
      </c>
      <c r="BJ126" s="711">
        <v>0</v>
      </c>
      <c r="BK126" s="712">
        <v>0</v>
      </c>
      <c r="BL126" s="711">
        <v>0</v>
      </c>
      <c r="BM126" s="712">
        <v>0</v>
      </c>
      <c r="BN126" s="711">
        <v>0</v>
      </c>
      <c r="BO126" s="712">
        <v>0</v>
      </c>
      <c r="BP126" s="711">
        <v>0</v>
      </c>
      <c r="BQ126" s="712">
        <v>0</v>
      </c>
      <c r="BR126" s="711">
        <v>0</v>
      </c>
      <c r="BS126" s="712">
        <v>0</v>
      </c>
      <c r="BT126" s="711">
        <v>0</v>
      </c>
      <c r="BU126" s="712">
        <v>0</v>
      </c>
      <c r="BV126" s="711">
        <v>0</v>
      </c>
      <c r="BW126" s="712">
        <v>0</v>
      </c>
      <c r="BX126" s="711">
        <v>0</v>
      </c>
      <c r="BY126" s="712">
        <v>0</v>
      </c>
      <c r="BZ126" s="711">
        <v>0</v>
      </c>
      <c r="CA126" s="712">
        <v>0</v>
      </c>
      <c r="CB126" s="711">
        <v>0</v>
      </c>
      <c r="CC126" s="710">
        <v>0</v>
      </c>
      <c r="CD126" s="713">
        <v>0</v>
      </c>
      <c r="CE126" s="710">
        <v>0</v>
      </c>
      <c r="CF126" s="713">
        <v>0</v>
      </c>
      <c r="CG126" s="710">
        <v>0</v>
      </c>
      <c r="CH126" s="713">
        <v>0</v>
      </c>
      <c r="CI126" s="710">
        <v>0</v>
      </c>
      <c r="CJ126" s="713">
        <v>0</v>
      </c>
      <c r="CK126" s="710">
        <v>0</v>
      </c>
      <c r="CL126" s="713">
        <v>0</v>
      </c>
      <c r="CM126" s="710">
        <v>0</v>
      </c>
      <c r="CN126" s="713">
        <v>0</v>
      </c>
      <c r="CO126" s="710">
        <v>0</v>
      </c>
      <c r="CP126" s="713">
        <v>0</v>
      </c>
      <c r="CQ126" s="710">
        <v>0</v>
      </c>
      <c r="CR126" s="711">
        <v>0</v>
      </c>
      <c r="CS126" s="710">
        <v>0</v>
      </c>
      <c r="CT126" s="711">
        <v>0</v>
      </c>
      <c r="CU126" s="712">
        <v>0</v>
      </c>
      <c r="CV126" s="711">
        <v>0</v>
      </c>
    </row>
    <row r="127" spans="1:100">
      <c r="A127" s="467">
        <v>125</v>
      </c>
      <c r="B127" s="595">
        <v>0</v>
      </c>
      <c r="C127" s="595">
        <v>0</v>
      </c>
      <c r="D127" s="595">
        <v>0</v>
      </c>
      <c r="E127" s="595">
        <v>0</v>
      </c>
      <c r="F127" s="595">
        <v>0</v>
      </c>
      <c r="G127" s="595">
        <v>0</v>
      </c>
      <c r="H127" s="595">
        <v>0</v>
      </c>
      <c r="I127" s="595">
        <v>0</v>
      </c>
      <c r="J127" s="595">
        <v>0</v>
      </c>
      <c r="K127" s="595">
        <v>0</v>
      </c>
      <c r="L127" s="595">
        <v>0</v>
      </c>
      <c r="M127" s="595">
        <v>0</v>
      </c>
      <c r="N127" s="595">
        <v>0</v>
      </c>
      <c r="O127" s="595">
        <v>0</v>
      </c>
      <c r="P127" s="595">
        <v>0</v>
      </c>
      <c r="Q127" s="595">
        <v>0</v>
      </c>
      <c r="R127" s="595">
        <v>0</v>
      </c>
      <c r="S127" s="595">
        <v>0</v>
      </c>
      <c r="T127" s="595">
        <v>0</v>
      </c>
      <c r="U127" s="595">
        <v>0</v>
      </c>
      <c r="V127" s="595">
        <v>0</v>
      </c>
      <c r="W127" s="611">
        <v>0</v>
      </c>
      <c r="X127" s="706"/>
      <c r="Y127" s="706"/>
      <c r="Z127" s="706"/>
      <c r="AA127" s="706"/>
      <c r="AB127" s="706"/>
      <c r="AC127" s="706"/>
      <c r="AD127" s="706"/>
      <c r="AE127" s="703">
        <v>0</v>
      </c>
      <c r="AF127" s="704">
        <v>0</v>
      </c>
      <c r="AG127" s="705">
        <v>0</v>
      </c>
      <c r="AH127" s="706">
        <v>0</v>
      </c>
      <c r="AI127" s="705">
        <v>0</v>
      </c>
      <c r="AJ127" s="703">
        <v>0</v>
      </c>
      <c r="AK127" s="705">
        <v>0</v>
      </c>
      <c r="AL127" s="707">
        <v>0</v>
      </c>
      <c r="AM127" s="703">
        <v>0</v>
      </c>
      <c r="AN127" s="703">
        <v>0</v>
      </c>
      <c r="AO127" s="707">
        <v>0</v>
      </c>
      <c r="AP127" s="708">
        <v>2E-3</v>
      </c>
      <c r="AQ127" s="705">
        <f t="shared" si="24"/>
        <v>7.1428571428571426E-3</v>
      </c>
      <c r="AR127" s="703">
        <v>0</v>
      </c>
      <c r="AS127" s="705">
        <v>0</v>
      </c>
      <c r="AT127" s="709">
        <v>0</v>
      </c>
      <c r="AU127" s="703">
        <v>0</v>
      </c>
      <c r="AV127" s="705">
        <v>0</v>
      </c>
      <c r="AW127" s="710">
        <v>0</v>
      </c>
      <c r="AX127" s="711">
        <v>0</v>
      </c>
      <c r="AY127" s="710">
        <v>0</v>
      </c>
      <c r="AZ127" s="711">
        <v>0</v>
      </c>
      <c r="BA127" s="710">
        <v>0</v>
      </c>
      <c r="BB127" s="711">
        <v>0</v>
      </c>
      <c r="BC127" s="712">
        <v>0</v>
      </c>
      <c r="BD127" s="713">
        <v>0</v>
      </c>
      <c r="BE127" s="710">
        <v>0</v>
      </c>
      <c r="BF127" s="711">
        <v>0</v>
      </c>
      <c r="BG127" s="712">
        <v>0</v>
      </c>
      <c r="BH127" s="711">
        <v>0</v>
      </c>
      <c r="BI127" s="712">
        <v>0</v>
      </c>
      <c r="BJ127" s="711">
        <v>0</v>
      </c>
      <c r="BK127" s="712">
        <v>0</v>
      </c>
      <c r="BL127" s="711">
        <v>0</v>
      </c>
      <c r="BM127" s="712">
        <v>0</v>
      </c>
      <c r="BN127" s="711">
        <v>0</v>
      </c>
      <c r="BO127" s="712">
        <v>0</v>
      </c>
      <c r="BP127" s="711">
        <v>0</v>
      </c>
      <c r="BQ127" s="712">
        <v>0</v>
      </c>
      <c r="BR127" s="711">
        <v>0</v>
      </c>
      <c r="BS127" s="712">
        <v>0</v>
      </c>
      <c r="BT127" s="711">
        <v>0</v>
      </c>
      <c r="BU127" s="712">
        <v>0</v>
      </c>
      <c r="BV127" s="711">
        <v>0</v>
      </c>
      <c r="BW127" s="712">
        <v>0</v>
      </c>
      <c r="BX127" s="711">
        <v>0</v>
      </c>
      <c r="BY127" s="712">
        <v>0</v>
      </c>
      <c r="BZ127" s="711">
        <v>0</v>
      </c>
      <c r="CA127" s="712">
        <v>0</v>
      </c>
      <c r="CB127" s="711">
        <v>0</v>
      </c>
      <c r="CC127" s="710">
        <v>0</v>
      </c>
      <c r="CD127" s="713">
        <v>0</v>
      </c>
      <c r="CE127" s="710">
        <v>0</v>
      </c>
      <c r="CF127" s="713">
        <v>0</v>
      </c>
      <c r="CG127" s="710">
        <v>0</v>
      </c>
      <c r="CH127" s="713">
        <v>0</v>
      </c>
      <c r="CI127" s="710">
        <v>0</v>
      </c>
      <c r="CJ127" s="713">
        <v>0</v>
      </c>
      <c r="CK127" s="710">
        <v>0</v>
      </c>
      <c r="CL127" s="713">
        <v>0</v>
      </c>
      <c r="CM127" s="710">
        <v>0</v>
      </c>
      <c r="CN127" s="713">
        <v>0</v>
      </c>
      <c r="CO127" s="710">
        <v>0</v>
      </c>
      <c r="CP127" s="713">
        <v>0</v>
      </c>
      <c r="CQ127" s="710">
        <v>0</v>
      </c>
      <c r="CR127" s="711">
        <v>0</v>
      </c>
      <c r="CS127" s="710">
        <v>0</v>
      </c>
      <c r="CT127" s="711">
        <v>0</v>
      </c>
      <c r="CU127" s="712">
        <v>0</v>
      </c>
      <c r="CV127" s="711">
        <v>0</v>
      </c>
    </row>
    <row r="128" spans="1:100">
      <c r="A128" s="467">
        <v>126</v>
      </c>
      <c r="B128" s="595">
        <v>0</v>
      </c>
      <c r="C128" s="595">
        <v>0</v>
      </c>
      <c r="D128" s="595">
        <v>0</v>
      </c>
      <c r="E128" s="595">
        <v>0</v>
      </c>
      <c r="F128" s="595">
        <v>0</v>
      </c>
      <c r="G128" s="595">
        <v>0</v>
      </c>
      <c r="H128" s="595">
        <v>0</v>
      </c>
      <c r="I128" s="595">
        <v>0</v>
      </c>
      <c r="J128" s="595">
        <v>0</v>
      </c>
      <c r="K128" s="595">
        <v>0</v>
      </c>
      <c r="L128" s="595">
        <v>0</v>
      </c>
      <c r="M128" s="595">
        <v>0</v>
      </c>
      <c r="N128" s="595">
        <v>0</v>
      </c>
      <c r="O128" s="595">
        <v>0</v>
      </c>
      <c r="P128" s="595">
        <v>0</v>
      </c>
      <c r="Q128" s="595">
        <v>0</v>
      </c>
      <c r="R128" s="595">
        <v>0</v>
      </c>
      <c r="S128" s="595">
        <v>0</v>
      </c>
      <c r="T128" s="595">
        <v>0</v>
      </c>
      <c r="U128" s="595">
        <v>0</v>
      </c>
      <c r="V128" s="595">
        <v>0</v>
      </c>
      <c r="W128" s="611">
        <v>0</v>
      </c>
      <c r="X128" s="706"/>
      <c r="Y128" s="706"/>
      <c r="Z128" s="706"/>
      <c r="AA128" s="706"/>
      <c r="AB128" s="706"/>
      <c r="AC128" s="706"/>
      <c r="AD128" s="706"/>
      <c r="AE128" s="703">
        <v>0</v>
      </c>
      <c r="AF128" s="704">
        <v>0</v>
      </c>
      <c r="AG128" s="705">
        <v>0</v>
      </c>
      <c r="AH128" s="706">
        <v>0</v>
      </c>
      <c r="AI128" s="705">
        <v>0</v>
      </c>
      <c r="AJ128" s="703">
        <v>0</v>
      </c>
      <c r="AK128" s="705">
        <v>0</v>
      </c>
      <c r="AL128" s="707">
        <v>0</v>
      </c>
      <c r="AM128" s="703">
        <v>0</v>
      </c>
      <c r="AN128" s="703">
        <v>0</v>
      </c>
      <c r="AO128" s="707">
        <v>0</v>
      </c>
      <c r="AP128" s="708">
        <v>2E-3</v>
      </c>
      <c r="AQ128" s="705">
        <f t="shared" si="24"/>
        <v>7.1428571428571426E-3</v>
      </c>
      <c r="AR128" s="703">
        <v>0</v>
      </c>
      <c r="AS128" s="705">
        <v>0</v>
      </c>
      <c r="AT128" s="709">
        <v>0</v>
      </c>
      <c r="AU128" s="703">
        <v>0</v>
      </c>
      <c r="AV128" s="705">
        <v>0</v>
      </c>
      <c r="AW128" s="710">
        <v>0</v>
      </c>
      <c r="AX128" s="711">
        <v>0</v>
      </c>
      <c r="AY128" s="710">
        <v>0</v>
      </c>
      <c r="AZ128" s="711">
        <v>0</v>
      </c>
      <c r="BA128" s="710">
        <v>0</v>
      </c>
      <c r="BB128" s="711">
        <v>0</v>
      </c>
      <c r="BC128" s="712">
        <v>0</v>
      </c>
      <c r="BD128" s="713">
        <v>0</v>
      </c>
      <c r="BE128" s="710">
        <v>0</v>
      </c>
      <c r="BF128" s="711">
        <v>0</v>
      </c>
      <c r="BG128" s="712">
        <v>0</v>
      </c>
      <c r="BH128" s="711">
        <v>0</v>
      </c>
      <c r="BI128" s="712">
        <v>0</v>
      </c>
      <c r="BJ128" s="711">
        <v>0</v>
      </c>
      <c r="BK128" s="712">
        <v>0</v>
      </c>
      <c r="BL128" s="711">
        <v>0</v>
      </c>
      <c r="BM128" s="712">
        <v>0</v>
      </c>
      <c r="BN128" s="711">
        <v>0</v>
      </c>
      <c r="BO128" s="712">
        <v>0</v>
      </c>
      <c r="BP128" s="711">
        <v>0</v>
      </c>
      <c r="BQ128" s="712">
        <v>0</v>
      </c>
      <c r="BR128" s="711">
        <v>0</v>
      </c>
      <c r="BS128" s="712">
        <v>0</v>
      </c>
      <c r="BT128" s="711">
        <v>0</v>
      </c>
      <c r="BU128" s="712">
        <v>0</v>
      </c>
      <c r="BV128" s="711">
        <v>0</v>
      </c>
      <c r="BW128" s="712">
        <v>0</v>
      </c>
      <c r="BX128" s="711">
        <v>0</v>
      </c>
      <c r="BY128" s="712">
        <v>0</v>
      </c>
      <c r="BZ128" s="711">
        <v>0</v>
      </c>
      <c r="CA128" s="712">
        <v>0</v>
      </c>
      <c r="CB128" s="711">
        <v>0</v>
      </c>
      <c r="CC128" s="710">
        <v>0</v>
      </c>
      <c r="CD128" s="713">
        <v>0</v>
      </c>
      <c r="CE128" s="710">
        <v>0</v>
      </c>
      <c r="CF128" s="713">
        <v>0</v>
      </c>
      <c r="CG128" s="710">
        <v>0</v>
      </c>
      <c r="CH128" s="713">
        <v>0</v>
      </c>
      <c r="CI128" s="710">
        <v>0</v>
      </c>
      <c r="CJ128" s="713">
        <v>0</v>
      </c>
      <c r="CK128" s="710">
        <v>0</v>
      </c>
      <c r="CL128" s="713">
        <v>0</v>
      </c>
      <c r="CM128" s="710">
        <v>0</v>
      </c>
      <c r="CN128" s="713">
        <v>0</v>
      </c>
      <c r="CO128" s="710">
        <v>0</v>
      </c>
      <c r="CP128" s="713">
        <v>0</v>
      </c>
      <c r="CQ128" s="710">
        <v>0</v>
      </c>
      <c r="CR128" s="711">
        <v>0</v>
      </c>
      <c r="CS128" s="710">
        <v>0</v>
      </c>
      <c r="CT128" s="711">
        <v>0</v>
      </c>
      <c r="CU128" s="712">
        <v>0</v>
      </c>
      <c r="CV128" s="711">
        <v>0</v>
      </c>
    </row>
    <row r="129" spans="1:100">
      <c r="A129" s="467">
        <v>127</v>
      </c>
      <c r="B129" s="595">
        <v>0</v>
      </c>
      <c r="C129" s="595">
        <v>0</v>
      </c>
      <c r="D129" s="595">
        <v>0</v>
      </c>
      <c r="E129" s="595">
        <v>0</v>
      </c>
      <c r="F129" s="595">
        <v>0</v>
      </c>
      <c r="G129" s="595">
        <v>0</v>
      </c>
      <c r="H129" s="595">
        <v>0</v>
      </c>
      <c r="I129" s="595">
        <v>0</v>
      </c>
      <c r="J129" s="595">
        <v>0</v>
      </c>
      <c r="K129" s="595">
        <v>0</v>
      </c>
      <c r="L129" s="595">
        <v>0</v>
      </c>
      <c r="M129" s="595">
        <v>0</v>
      </c>
      <c r="N129" s="595">
        <v>0</v>
      </c>
      <c r="O129" s="595">
        <v>0</v>
      </c>
      <c r="P129" s="595">
        <v>0</v>
      </c>
      <c r="Q129" s="595">
        <v>0</v>
      </c>
      <c r="R129" s="595">
        <v>0</v>
      </c>
      <c r="S129" s="595">
        <v>0</v>
      </c>
      <c r="T129" s="595">
        <v>0</v>
      </c>
      <c r="U129" s="595">
        <v>0</v>
      </c>
      <c r="V129" s="595">
        <v>0</v>
      </c>
      <c r="W129" s="611">
        <v>0</v>
      </c>
      <c r="X129" s="706"/>
      <c r="Y129" s="706"/>
      <c r="Z129" s="706"/>
      <c r="AA129" s="706"/>
      <c r="AB129" s="706"/>
      <c r="AC129" s="706"/>
      <c r="AD129" s="706"/>
      <c r="AE129" s="703">
        <v>0</v>
      </c>
      <c r="AF129" s="704">
        <v>0</v>
      </c>
      <c r="AG129" s="705">
        <v>0</v>
      </c>
      <c r="AH129" s="706">
        <v>0</v>
      </c>
      <c r="AI129" s="705">
        <v>0</v>
      </c>
      <c r="AJ129" s="703">
        <v>0</v>
      </c>
      <c r="AK129" s="705">
        <v>0</v>
      </c>
      <c r="AL129" s="707">
        <v>0</v>
      </c>
      <c r="AM129" s="703">
        <v>0</v>
      </c>
      <c r="AN129" s="703">
        <v>0</v>
      </c>
      <c r="AO129" s="707">
        <v>0</v>
      </c>
      <c r="AP129" s="708">
        <v>2E-3</v>
      </c>
      <c r="AQ129" s="705">
        <f t="shared" si="24"/>
        <v>7.1428571428571426E-3</v>
      </c>
      <c r="AR129" s="703">
        <v>0</v>
      </c>
      <c r="AS129" s="705">
        <v>0</v>
      </c>
      <c r="AT129" s="709">
        <v>0</v>
      </c>
      <c r="AU129" s="703">
        <v>0</v>
      </c>
      <c r="AV129" s="705">
        <v>0</v>
      </c>
      <c r="AW129" s="710">
        <v>0</v>
      </c>
      <c r="AX129" s="711">
        <v>0</v>
      </c>
      <c r="AY129" s="710">
        <v>0</v>
      </c>
      <c r="AZ129" s="711">
        <v>0</v>
      </c>
      <c r="BA129" s="710">
        <v>0</v>
      </c>
      <c r="BB129" s="711">
        <v>0</v>
      </c>
      <c r="BC129" s="712">
        <v>0</v>
      </c>
      <c r="BD129" s="713">
        <v>0</v>
      </c>
      <c r="BE129" s="710">
        <v>0</v>
      </c>
      <c r="BF129" s="711">
        <v>0</v>
      </c>
      <c r="BG129" s="712">
        <v>0</v>
      </c>
      <c r="BH129" s="711">
        <v>0</v>
      </c>
      <c r="BI129" s="712">
        <v>0</v>
      </c>
      <c r="BJ129" s="711">
        <v>0</v>
      </c>
      <c r="BK129" s="712">
        <v>0</v>
      </c>
      <c r="BL129" s="711">
        <v>0</v>
      </c>
      <c r="BM129" s="712">
        <v>0</v>
      </c>
      <c r="BN129" s="711">
        <v>0</v>
      </c>
      <c r="BO129" s="712">
        <v>0</v>
      </c>
      <c r="BP129" s="711">
        <v>0</v>
      </c>
      <c r="BQ129" s="712">
        <v>0</v>
      </c>
      <c r="BR129" s="711">
        <v>0</v>
      </c>
      <c r="BS129" s="712">
        <v>0</v>
      </c>
      <c r="BT129" s="711">
        <v>0</v>
      </c>
      <c r="BU129" s="712">
        <v>0</v>
      </c>
      <c r="BV129" s="711">
        <v>0</v>
      </c>
      <c r="BW129" s="712">
        <v>0</v>
      </c>
      <c r="BX129" s="711">
        <v>0</v>
      </c>
      <c r="BY129" s="712">
        <v>0</v>
      </c>
      <c r="BZ129" s="711">
        <v>0</v>
      </c>
      <c r="CA129" s="712">
        <v>0</v>
      </c>
      <c r="CB129" s="711">
        <v>0</v>
      </c>
      <c r="CC129" s="710">
        <v>0</v>
      </c>
      <c r="CD129" s="713">
        <v>0</v>
      </c>
      <c r="CE129" s="710">
        <v>0</v>
      </c>
      <c r="CF129" s="713">
        <v>0</v>
      </c>
      <c r="CG129" s="710">
        <v>0</v>
      </c>
      <c r="CH129" s="713">
        <v>0</v>
      </c>
      <c r="CI129" s="710">
        <v>0</v>
      </c>
      <c r="CJ129" s="713">
        <v>0</v>
      </c>
      <c r="CK129" s="710">
        <v>0</v>
      </c>
      <c r="CL129" s="713">
        <v>0</v>
      </c>
      <c r="CM129" s="710">
        <v>0</v>
      </c>
      <c r="CN129" s="713">
        <v>0</v>
      </c>
      <c r="CO129" s="710">
        <v>0</v>
      </c>
      <c r="CP129" s="713">
        <v>0</v>
      </c>
      <c r="CQ129" s="710">
        <v>0</v>
      </c>
      <c r="CR129" s="711">
        <v>0</v>
      </c>
      <c r="CS129" s="710">
        <v>0</v>
      </c>
      <c r="CT129" s="711">
        <v>0</v>
      </c>
      <c r="CU129" s="712">
        <v>0</v>
      </c>
      <c r="CV129" s="711">
        <v>0</v>
      </c>
    </row>
    <row r="130" spans="1:100">
      <c r="A130" s="467">
        <v>128</v>
      </c>
      <c r="B130" s="595">
        <v>0</v>
      </c>
      <c r="C130" s="595">
        <v>0</v>
      </c>
      <c r="D130" s="595">
        <v>0</v>
      </c>
      <c r="E130" s="595">
        <v>0</v>
      </c>
      <c r="F130" s="595">
        <v>0</v>
      </c>
      <c r="G130" s="595">
        <v>0</v>
      </c>
      <c r="H130" s="595">
        <v>0</v>
      </c>
      <c r="I130" s="595">
        <v>0</v>
      </c>
      <c r="J130" s="595">
        <v>0</v>
      </c>
      <c r="K130" s="595">
        <v>0</v>
      </c>
      <c r="L130" s="595">
        <v>0</v>
      </c>
      <c r="M130" s="595">
        <v>0</v>
      </c>
      <c r="N130" s="595">
        <v>0</v>
      </c>
      <c r="O130" s="595">
        <v>0</v>
      </c>
      <c r="P130" s="595">
        <v>0</v>
      </c>
      <c r="Q130" s="595">
        <v>0</v>
      </c>
      <c r="R130" s="595">
        <v>0</v>
      </c>
      <c r="S130" s="595">
        <v>0</v>
      </c>
      <c r="T130" s="595">
        <v>0</v>
      </c>
      <c r="U130" s="595">
        <v>0</v>
      </c>
      <c r="V130" s="595">
        <v>0</v>
      </c>
      <c r="W130" s="611">
        <v>0</v>
      </c>
      <c r="X130" s="706"/>
      <c r="Y130" s="706"/>
      <c r="Z130" s="706"/>
      <c r="AA130" s="706"/>
      <c r="AB130" s="706"/>
      <c r="AC130" s="706"/>
      <c r="AD130" s="706"/>
      <c r="AE130" s="703">
        <v>0</v>
      </c>
      <c r="AF130" s="704">
        <v>0</v>
      </c>
      <c r="AG130" s="705">
        <v>0</v>
      </c>
      <c r="AH130" s="706">
        <v>0</v>
      </c>
      <c r="AI130" s="705">
        <v>0</v>
      </c>
      <c r="AJ130" s="703">
        <v>0</v>
      </c>
      <c r="AK130" s="705">
        <v>0</v>
      </c>
      <c r="AL130" s="707">
        <v>0</v>
      </c>
      <c r="AM130" s="703">
        <v>0</v>
      </c>
      <c r="AN130" s="703">
        <v>0</v>
      </c>
      <c r="AO130" s="707">
        <v>0</v>
      </c>
      <c r="AP130" s="708">
        <v>2E-3</v>
      </c>
      <c r="AQ130" s="705">
        <f t="shared" si="24"/>
        <v>7.1428571428571426E-3</v>
      </c>
      <c r="AR130" s="703">
        <v>0</v>
      </c>
      <c r="AS130" s="705">
        <v>0</v>
      </c>
      <c r="AT130" s="709">
        <v>0</v>
      </c>
      <c r="AU130" s="703">
        <v>0</v>
      </c>
      <c r="AV130" s="705">
        <v>0</v>
      </c>
      <c r="AW130" s="710">
        <v>0</v>
      </c>
      <c r="AX130" s="711">
        <v>0</v>
      </c>
      <c r="AY130" s="710">
        <v>0</v>
      </c>
      <c r="AZ130" s="711">
        <v>0</v>
      </c>
      <c r="BA130" s="710">
        <v>0</v>
      </c>
      <c r="BB130" s="711">
        <v>0</v>
      </c>
      <c r="BC130" s="712">
        <v>0</v>
      </c>
      <c r="BD130" s="713">
        <v>0</v>
      </c>
      <c r="BE130" s="710">
        <v>0</v>
      </c>
      <c r="BF130" s="711">
        <v>0</v>
      </c>
      <c r="BG130" s="712">
        <v>0</v>
      </c>
      <c r="BH130" s="711">
        <v>0</v>
      </c>
      <c r="BI130" s="712">
        <v>0</v>
      </c>
      <c r="BJ130" s="711">
        <v>0</v>
      </c>
      <c r="BK130" s="712">
        <v>0</v>
      </c>
      <c r="BL130" s="711">
        <v>0</v>
      </c>
      <c r="BM130" s="712">
        <v>0</v>
      </c>
      <c r="BN130" s="711">
        <v>0</v>
      </c>
      <c r="BO130" s="712">
        <v>0</v>
      </c>
      <c r="BP130" s="711">
        <v>0</v>
      </c>
      <c r="BQ130" s="712">
        <v>0</v>
      </c>
      <c r="BR130" s="711">
        <v>0</v>
      </c>
      <c r="BS130" s="712">
        <v>0</v>
      </c>
      <c r="BT130" s="711">
        <v>0</v>
      </c>
      <c r="BU130" s="712">
        <v>0</v>
      </c>
      <c r="BV130" s="711">
        <v>0</v>
      </c>
      <c r="BW130" s="712">
        <v>0</v>
      </c>
      <c r="BX130" s="711">
        <v>0</v>
      </c>
      <c r="BY130" s="712">
        <v>0</v>
      </c>
      <c r="BZ130" s="711">
        <v>0</v>
      </c>
      <c r="CA130" s="712">
        <v>0</v>
      </c>
      <c r="CB130" s="711">
        <v>0</v>
      </c>
      <c r="CC130" s="710">
        <v>0</v>
      </c>
      <c r="CD130" s="713">
        <v>0</v>
      </c>
      <c r="CE130" s="710">
        <v>0</v>
      </c>
      <c r="CF130" s="713">
        <v>0</v>
      </c>
      <c r="CG130" s="710">
        <v>0</v>
      </c>
      <c r="CH130" s="713">
        <v>0</v>
      </c>
      <c r="CI130" s="710">
        <v>0</v>
      </c>
      <c r="CJ130" s="713">
        <v>0</v>
      </c>
      <c r="CK130" s="710">
        <v>0</v>
      </c>
      <c r="CL130" s="713">
        <v>0</v>
      </c>
      <c r="CM130" s="710">
        <v>0</v>
      </c>
      <c r="CN130" s="713">
        <v>0</v>
      </c>
      <c r="CO130" s="710">
        <v>0</v>
      </c>
      <c r="CP130" s="713">
        <v>0</v>
      </c>
      <c r="CQ130" s="710">
        <v>0</v>
      </c>
      <c r="CR130" s="711">
        <v>0</v>
      </c>
      <c r="CS130" s="710">
        <v>0</v>
      </c>
      <c r="CT130" s="711">
        <v>0</v>
      </c>
      <c r="CU130" s="712">
        <v>0</v>
      </c>
      <c r="CV130" s="711">
        <v>0</v>
      </c>
    </row>
    <row r="131" spans="1:100">
      <c r="A131" s="467">
        <v>129</v>
      </c>
      <c r="B131" s="595">
        <v>0</v>
      </c>
      <c r="C131" s="595">
        <v>0</v>
      </c>
      <c r="D131" s="595">
        <v>0</v>
      </c>
      <c r="E131" s="595">
        <v>0</v>
      </c>
      <c r="F131" s="595">
        <v>0</v>
      </c>
      <c r="G131" s="595">
        <v>0</v>
      </c>
      <c r="H131" s="595">
        <v>0</v>
      </c>
      <c r="I131" s="595">
        <v>0</v>
      </c>
      <c r="J131" s="595">
        <v>0</v>
      </c>
      <c r="K131" s="595">
        <v>0</v>
      </c>
      <c r="L131" s="595">
        <v>0</v>
      </c>
      <c r="M131" s="595">
        <v>0</v>
      </c>
      <c r="N131" s="595">
        <v>0</v>
      </c>
      <c r="O131" s="595">
        <v>0</v>
      </c>
      <c r="P131" s="595">
        <v>0</v>
      </c>
      <c r="Q131" s="595">
        <v>0</v>
      </c>
      <c r="R131" s="595">
        <v>0</v>
      </c>
      <c r="S131" s="595">
        <v>0</v>
      </c>
      <c r="T131" s="595">
        <v>0</v>
      </c>
      <c r="U131" s="595">
        <v>0</v>
      </c>
      <c r="V131" s="595">
        <v>0</v>
      </c>
      <c r="W131" s="611">
        <v>0</v>
      </c>
      <c r="X131" s="706"/>
      <c r="Y131" s="706"/>
      <c r="Z131" s="706"/>
      <c r="AA131" s="706"/>
      <c r="AB131" s="706"/>
      <c r="AC131" s="706"/>
      <c r="AD131" s="706"/>
      <c r="AE131" s="703">
        <v>0</v>
      </c>
      <c r="AF131" s="704">
        <v>0</v>
      </c>
      <c r="AG131" s="705">
        <v>0</v>
      </c>
      <c r="AH131" s="706">
        <v>0</v>
      </c>
      <c r="AI131" s="705">
        <v>0</v>
      </c>
      <c r="AJ131" s="703">
        <v>0</v>
      </c>
      <c r="AK131" s="705">
        <v>0</v>
      </c>
      <c r="AL131" s="707">
        <v>0</v>
      </c>
      <c r="AM131" s="703">
        <v>0</v>
      </c>
      <c r="AN131" s="703">
        <v>0</v>
      </c>
      <c r="AO131" s="707">
        <v>0</v>
      </c>
      <c r="AP131" s="708">
        <v>2E-3</v>
      </c>
      <c r="AQ131" s="705">
        <f t="shared" si="24"/>
        <v>7.1428571428571426E-3</v>
      </c>
      <c r="AR131" s="703">
        <v>0</v>
      </c>
      <c r="AS131" s="705">
        <v>0</v>
      </c>
      <c r="AT131" s="709">
        <v>0</v>
      </c>
      <c r="AU131" s="703">
        <v>0</v>
      </c>
      <c r="AV131" s="705">
        <v>0</v>
      </c>
      <c r="AW131" s="710">
        <v>0</v>
      </c>
      <c r="AX131" s="711">
        <v>0</v>
      </c>
      <c r="AY131" s="710">
        <v>0</v>
      </c>
      <c r="AZ131" s="711">
        <v>0</v>
      </c>
      <c r="BA131" s="710">
        <v>0</v>
      </c>
      <c r="BB131" s="711">
        <v>0</v>
      </c>
      <c r="BC131" s="712">
        <v>0</v>
      </c>
      <c r="BD131" s="713">
        <v>0</v>
      </c>
      <c r="BE131" s="710">
        <v>0</v>
      </c>
      <c r="BF131" s="711">
        <v>0</v>
      </c>
      <c r="BG131" s="712">
        <v>0</v>
      </c>
      <c r="BH131" s="711">
        <v>0</v>
      </c>
      <c r="BI131" s="712">
        <v>0</v>
      </c>
      <c r="BJ131" s="711">
        <v>0</v>
      </c>
      <c r="BK131" s="712">
        <v>0</v>
      </c>
      <c r="BL131" s="711">
        <v>0</v>
      </c>
      <c r="BM131" s="712">
        <v>0</v>
      </c>
      <c r="BN131" s="711">
        <v>0</v>
      </c>
      <c r="BO131" s="712">
        <v>0</v>
      </c>
      <c r="BP131" s="711">
        <v>0</v>
      </c>
      <c r="BQ131" s="712">
        <v>0</v>
      </c>
      <c r="BR131" s="711">
        <v>0</v>
      </c>
      <c r="BS131" s="712">
        <v>0</v>
      </c>
      <c r="BT131" s="711">
        <v>0</v>
      </c>
      <c r="BU131" s="712">
        <v>0</v>
      </c>
      <c r="BV131" s="711">
        <v>0</v>
      </c>
      <c r="BW131" s="712">
        <v>0</v>
      </c>
      <c r="BX131" s="711">
        <v>0</v>
      </c>
      <c r="BY131" s="712">
        <v>0</v>
      </c>
      <c r="BZ131" s="711">
        <v>0</v>
      </c>
      <c r="CA131" s="712">
        <v>0</v>
      </c>
      <c r="CB131" s="711">
        <v>0</v>
      </c>
      <c r="CC131" s="710">
        <v>0</v>
      </c>
      <c r="CD131" s="713">
        <v>0</v>
      </c>
      <c r="CE131" s="710">
        <v>0</v>
      </c>
      <c r="CF131" s="713">
        <v>0</v>
      </c>
      <c r="CG131" s="710">
        <v>0</v>
      </c>
      <c r="CH131" s="713">
        <v>0</v>
      </c>
      <c r="CI131" s="710">
        <v>0</v>
      </c>
      <c r="CJ131" s="713">
        <v>0</v>
      </c>
      <c r="CK131" s="710">
        <v>0</v>
      </c>
      <c r="CL131" s="713">
        <v>0</v>
      </c>
      <c r="CM131" s="710">
        <v>0</v>
      </c>
      <c r="CN131" s="713">
        <v>0</v>
      </c>
      <c r="CO131" s="710">
        <v>0</v>
      </c>
      <c r="CP131" s="713">
        <v>0</v>
      </c>
      <c r="CQ131" s="710">
        <v>0</v>
      </c>
      <c r="CR131" s="711">
        <v>0</v>
      </c>
      <c r="CS131" s="710">
        <v>0</v>
      </c>
      <c r="CT131" s="711">
        <v>0</v>
      </c>
      <c r="CU131" s="712">
        <v>0</v>
      </c>
      <c r="CV131" s="711">
        <v>0</v>
      </c>
    </row>
    <row r="132" spans="1:100">
      <c r="A132" s="467">
        <v>130</v>
      </c>
      <c r="B132" s="595">
        <v>0</v>
      </c>
      <c r="C132" s="595">
        <v>0</v>
      </c>
      <c r="D132" s="595">
        <v>0</v>
      </c>
      <c r="E132" s="595">
        <v>0</v>
      </c>
      <c r="F132" s="595">
        <v>0</v>
      </c>
      <c r="G132" s="595">
        <v>0</v>
      </c>
      <c r="H132" s="595">
        <v>0</v>
      </c>
      <c r="I132" s="595">
        <v>0</v>
      </c>
      <c r="J132" s="595">
        <v>0</v>
      </c>
      <c r="K132" s="595">
        <v>0</v>
      </c>
      <c r="L132" s="595">
        <v>0</v>
      </c>
      <c r="M132" s="595">
        <v>0</v>
      </c>
      <c r="N132" s="595">
        <v>0</v>
      </c>
      <c r="O132" s="595">
        <v>0</v>
      </c>
      <c r="P132" s="595">
        <v>0</v>
      </c>
      <c r="Q132" s="595">
        <v>0</v>
      </c>
      <c r="R132" s="595">
        <v>0</v>
      </c>
      <c r="S132" s="595">
        <v>0</v>
      </c>
      <c r="T132" s="595">
        <v>0</v>
      </c>
      <c r="U132" s="595">
        <v>0</v>
      </c>
      <c r="V132" s="595">
        <v>0</v>
      </c>
      <c r="W132" s="611">
        <v>0</v>
      </c>
      <c r="X132" s="706"/>
      <c r="Y132" s="706"/>
      <c r="Z132" s="706"/>
      <c r="AA132" s="706"/>
      <c r="AB132" s="706"/>
      <c r="AC132" s="706"/>
      <c r="AD132" s="706"/>
      <c r="AE132" s="703">
        <v>0</v>
      </c>
      <c r="AF132" s="704">
        <v>0</v>
      </c>
      <c r="AG132" s="705">
        <v>0</v>
      </c>
      <c r="AH132" s="706">
        <v>0</v>
      </c>
      <c r="AI132" s="705">
        <v>0</v>
      </c>
      <c r="AJ132" s="703">
        <v>0</v>
      </c>
      <c r="AK132" s="705">
        <v>0</v>
      </c>
      <c r="AL132" s="707">
        <v>0</v>
      </c>
      <c r="AM132" s="703">
        <v>0</v>
      </c>
      <c r="AN132" s="703">
        <v>0</v>
      </c>
      <c r="AO132" s="707">
        <v>0</v>
      </c>
      <c r="AP132" s="708">
        <v>2E-3</v>
      </c>
      <c r="AQ132" s="705">
        <f t="shared" ref="AQ132:AQ141" si="25">1/140</f>
        <v>7.1428571428571426E-3</v>
      </c>
      <c r="AR132" s="703">
        <v>0</v>
      </c>
      <c r="AS132" s="705">
        <v>0</v>
      </c>
      <c r="AT132" s="709">
        <v>0</v>
      </c>
      <c r="AU132" s="703">
        <v>0</v>
      </c>
      <c r="AV132" s="705">
        <v>0</v>
      </c>
      <c r="AW132" s="710">
        <v>0</v>
      </c>
      <c r="AX132" s="711">
        <v>0</v>
      </c>
      <c r="AY132" s="710">
        <v>0</v>
      </c>
      <c r="AZ132" s="711">
        <v>0</v>
      </c>
      <c r="BA132" s="710">
        <v>0</v>
      </c>
      <c r="BB132" s="711">
        <v>0</v>
      </c>
      <c r="BC132" s="712">
        <v>0</v>
      </c>
      <c r="BD132" s="713">
        <v>0</v>
      </c>
      <c r="BE132" s="710">
        <v>0</v>
      </c>
      <c r="BF132" s="711">
        <v>0</v>
      </c>
      <c r="BG132" s="712">
        <v>0</v>
      </c>
      <c r="BH132" s="711">
        <v>0</v>
      </c>
      <c r="BI132" s="712">
        <v>0</v>
      </c>
      <c r="BJ132" s="711">
        <v>0</v>
      </c>
      <c r="BK132" s="712">
        <v>0</v>
      </c>
      <c r="BL132" s="711">
        <v>0</v>
      </c>
      <c r="BM132" s="712">
        <v>0</v>
      </c>
      <c r="BN132" s="711">
        <v>0</v>
      </c>
      <c r="BO132" s="712">
        <v>0</v>
      </c>
      <c r="BP132" s="711">
        <v>0</v>
      </c>
      <c r="BQ132" s="712">
        <v>0</v>
      </c>
      <c r="BR132" s="711">
        <v>0</v>
      </c>
      <c r="BS132" s="712">
        <v>0</v>
      </c>
      <c r="BT132" s="711">
        <v>0</v>
      </c>
      <c r="BU132" s="712">
        <v>0</v>
      </c>
      <c r="BV132" s="711">
        <v>0</v>
      </c>
      <c r="BW132" s="712">
        <v>0</v>
      </c>
      <c r="BX132" s="711">
        <v>0</v>
      </c>
      <c r="BY132" s="712">
        <v>0</v>
      </c>
      <c r="BZ132" s="711">
        <v>0</v>
      </c>
      <c r="CA132" s="712">
        <v>0</v>
      </c>
      <c r="CB132" s="711">
        <v>0</v>
      </c>
      <c r="CC132" s="710">
        <v>0</v>
      </c>
      <c r="CD132" s="713">
        <v>0</v>
      </c>
      <c r="CE132" s="710">
        <v>0</v>
      </c>
      <c r="CF132" s="713">
        <v>0</v>
      </c>
      <c r="CG132" s="710">
        <v>0</v>
      </c>
      <c r="CH132" s="713">
        <v>0</v>
      </c>
      <c r="CI132" s="710">
        <v>0</v>
      </c>
      <c r="CJ132" s="713">
        <v>0</v>
      </c>
      <c r="CK132" s="710">
        <v>0</v>
      </c>
      <c r="CL132" s="713">
        <v>0</v>
      </c>
      <c r="CM132" s="710">
        <v>0</v>
      </c>
      <c r="CN132" s="713">
        <v>0</v>
      </c>
      <c r="CO132" s="710">
        <v>0</v>
      </c>
      <c r="CP132" s="713">
        <v>0</v>
      </c>
      <c r="CQ132" s="710">
        <v>0</v>
      </c>
      <c r="CR132" s="711">
        <v>0</v>
      </c>
      <c r="CS132" s="710">
        <v>0</v>
      </c>
      <c r="CT132" s="711">
        <v>0</v>
      </c>
      <c r="CU132" s="712">
        <v>0</v>
      </c>
      <c r="CV132" s="711">
        <v>0</v>
      </c>
    </row>
    <row r="133" spans="1:100">
      <c r="A133" s="467">
        <v>131</v>
      </c>
      <c r="B133" s="595">
        <v>0</v>
      </c>
      <c r="C133" s="595">
        <v>0</v>
      </c>
      <c r="D133" s="595">
        <v>0</v>
      </c>
      <c r="E133" s="595">
        <v>0</v>
      </c>
      <c r="F133" s="595">
        <v>0</v>
      </c>
      <c r="G133" s="595">
        <v>0</v>
      </c>
      <c r="H133" s="595">
        <v>0</v>
      </c>
      <c r="I133" s="595">
        <v>0</v>
      </c>
      <c r="J133" s="595">
        <v>0</v>
      </c>
      <c r="K133" s="595">
        <v>0</v>
      </c>
      <c r="L133" s="595">
        <v>0</v>
      </c>
      <c r="M133" s="595">
        <v>0</v>
      </c>
      <c r="N133" s="595">
        <v>0</v>
      </c>
      <c r="O133" s="595">
        <v>0</v>
      </c>
      <c r="P133" s="595">
        <v>0</v>
      </c>
      <c r="Q133" s="595">
        <v>0</v>
      </c>
      <c r="R133" s="595">
        <v>0</v>
      </c>
      <c r="S133" s="595">
        <v>0</v>
      </c>
      <c r="T133" s="595">
        <v>0</v>
      </c>
      <c r="U133" s="595">
        <v>0</v>
      </c>
      <c r="V133" s="595">
        <v>0</v>
      </c>
      <c r="W133" s="611">
        <v>0</v>
      </c>
      <c r="X133" s="706"/>
      <c r="Y133" s="706"/>
      <c r="Z133" s="706"/>
      <c r="AA133" s="706"/>
      <c r="AB133" s="706"/>
      <c r="AC133" s="706"/>
      <c r="AD133" s="706"/>
      <c r="AE133" s="703">
        <v>0</v>
      </c>
      <c r="AF133" s="704">
        <v>0</v>
      </c>
      <c r="AG133" s="705">
        <v>0</v>
      </c>
      <c r="AH133" s="706">
        <v>0</v>
      </c>
      <c r="AI133" s="705">
        <v>0</v>
      </c>
      <c r="AJ133" s="703">
        <v>0</v>
      </c>
      <c r="AK133" s="705">
        <v>0</v>
      </c>
      <c r="AL133" s="707">
        <v>0</v>
      </c>
      <c r="AM133" s="703">
        <v>0</v>
      </c>
      <c r="AN133" s="703">
        <v>0</v>
      </c>
      <c r="AO133" s="707">
        <v>0</v>
      </c>
      <c r="AP133" s="708">
        <v>2E-3</v>
      </c>
      <c r="AQ133" s="705">
        <f t="shared" si="25"/>
        <v>7.1428571428571426E-3</v>
      </c>
      <c r="AR133" s="703">
        <v>0</v>
      </c>
      <c r="AS133" s="705">
        <v>0</v>
      </c>
      <c r="AT133" s="709">
        <v>0</v>
      </c>
      <c r="AU133" s="703">
        <v>0</v>
      </c>
      <c r="AV133" s="705">
        <v>0</v>
      </c>
      <c r="AW133" s="710">
        <v>0</v>
      </c>
      <c r="AX133" s="711">
        <v>0</v>
      </c>
      <c r="AY133" s="710">
        <v>0</v>
      </c>
      <c r="AZ133" s="711">
        <v>0</v>
      </c>
      <c r="BA133" s="710">
        <v>0</v>
      </c>
      <c r="BB133" s="711">
        <v>0</v>
      </c>
      <c r="BC133" s="712">
        <v>0</v>
      </c>
      <c r="BD133" s="713">
        <v>0</v>
      </c>
      <c r="BE133" s="710">
        <v>0</v>
      </c>
      <c r="BF133" s="711">
        <v>0</v>
      </c>
      <c r="BG133" s="712">
        <v>0</v>
      </c>
      <c r="BH133" s="711">
        <v>0</v>
      </c>
      <c r="BI133" s="712">
        <v>0</v>
      </c>
      <c r="BJ133" s="711">
        <v>0</v>
      </c>
      <c r="BK133" s="712">
        <v>0</v>
      </c>
      <c r="BL133" s="711">
        <v>0</v>
      </c>
      <c r="BM133" s="712">
        <v>0</v>
      </c>
      <c r="BN133" s="711">
        <v>0</v>
      </c>
      <c r="BO133" s="712">
        <v>0</v>
      </c>
      <c r="BP133" s="711">
        <v>0</v>
      </c>
      <c r="BQ133" s="712">
        <v>0</v>
      </c>
      <c r="BR133" s="711">
        <v>0</v>
      </c>
      <c r="BS133" s="712">
        <v>0</v>
      </c>
      <c r="BT133" s="711">
        <v>0</v>
      </c>
      <c r="BU133" s="712">
        <v>0</v>
      </c>
      <c r="BV133" s="711">
        <v>0</v>
      </c>
      <c r="BW133" s="712">
        <v>0</v>
      </c>
      <c r="BX133" s="711">
        <v>0</v>
      </c>
      <c r="BY133" s="712">
        <v>0</v>
      </c>
      <c r="BZ133" s="711">
        <v>0</v>
      </c>
      <c r="CA133" s="712">
        <v>0</v>
      </c>
      <c r="CB133" s="711">
        <v>0</v>
      </c>
      <c r="CC133" s="710">
        <v>0</v>
      </c>
      <c r="CD133" s="713">
        <v>0</v>
      </c>
      <c r="CE133" s="710">
        <v>0</v>
      </c>
      <c r="CF133" s="713">
        <v>0</v>
      </c>
      <c r="CG133" s="710">
        <v>0</v>
      </c>
      <c r="CH133" s="713">
        <v>0</v>
      </c>
      <c r="CI133" s="710">
        <v>0</v>
      </c>
      <c r="CJ133" s="713">
        <v>0</v>
      </c>
      <c r="CK133" s="710">
        <v>0</v>
      </c>
      <c r="CL133" s="713">
        <v>0</v>
      </c>
      <c r="CM133" s="710">
        <v>0</v>
      </c>
      <c r="CN133" s="713">
        <v>0</v>
      </c>
      <c r="CO133" s="710">
        <v>0</v>
      </c>
      <c r="CP133" s="713">
        <v>0</v>
      </c>
      <c r="CQ133" s="710">
        <v>0</v>
      </c>
      <c r="CR133" s="711">
        <v>0</v>
      </c>
      <c r="CS133" s="710">
        <v>0</v>
      </c>
      <c r="CT133" s="711">
        <v>0</v>
      </c>
      <c r="CU133" s="712">
        <v>0</v>
      </c>
      <c r="CV133" s="711">
        <v>0</v>
      </c>
    </row>
    <row r="134" spans="1:100">
      <c r="A134" s="467">
        <v>132</v>
      </c>
      <c r="B134" s="595">
        <v>0</v>
      </c>
      <c r="C134" s="595">
        <v>0</v>
      </c>
      <c r="D134" s="595">
        <v>0</v>
      </c>
      <c r="E134" s="595">
        <v>0</v>
      </c>
      <c r="F134" s="595">
        <v>0</v>
      </c>
      <c r="G134" s="595">
        <v>0</v>
      </c>
      <c r="H134" s="595">
        <v>0</v>
      </c>
      <c r="I134" s="595">
        <v>0</v>
      </c>
      <c r="J134" s="595">
        <v>0</v>
      </c>
      <c r="K134" s="595">
        <v>0</v>
      </c>
      <c r="L134" s="595">
        <v>0</v>
      </c>
      <c r="M134" s="595">
        <v>0</v>
      </c>
      <c r="N134" s="595">
        <v>0</v>
      </c>
      <c r="O134" s="595">
        <v>0</v>
      </c>
      <c r="P134" s="595">
        <v>0</v>
      </c>
      <c r="Q134" s="595">
        <v>0</v>
      </c>
      <c r="R134" s="595">
        <v>0</v>
      </c>
      <c r="S134" s="595">
        <v>0</v>
      </c>
      <c r="T134" s="595">
        <v>0</v>
      </c>
      <c r="U134" s="595">
        <v>0</v>
      </c>
      <c r="V134" s="595">
        <v>0</v>
      </c>
      <c r="W134" s="611">
        <v>0</v>
      </c>
      <c r="X134" s="706"/>
      <c r="Y134" s="706"/>
      <c r="Z134" s="706"/>
      <c r="AA134" s="706"/>
      <c r="AB134" s="706"/>
      <c r="AC134" s="706"/>
      <c r="AD134" s="706"/>
      <c r="AE134" s="703">
        <v>0</v>
      </c>
      <c r="AF134" s="704">
        <v>0</v>
      </c>
      <c r="AG134" s="705">
        <v>0</v>
      </c>
      <c r="AH134" s="706">
        <v>0</v>
      </c>
      <c r="AI134" s="705">
        <v>0</v>
      </c>
      <c r="AJ134" s="703">
        <v>0</v>
      </c>
      <c r="AK134" s="705">
        <v>0</v>
      </c>
      <c r="AL134" s="707">
        <v>0</v>
      </c>
      <c r="AM134" s="703">
        <v>0</v>
      </c>
      <c r="AN134" s="703">
        <v>0</v>
      </c>
      <c r="AO134" s="707">
        <v>0</v>
      </c>
      <c r="AP134" s="708">
        <v>2E-3</v>
      </c>
      <c r="AQ134" s="705">
        <f t="shared" si="25"/>
        <v>7.1428571428571426E-3</v>
      </c>
      <c r="AR134" s="703">
        <v>0</v>
      </c>
      <c r="AS134" s="705">
        <v>0</v>
      </c>
      <c r="AT134" s="709">
        <v>0</v>
      </c>
      <c r="AU134" s="703">
        <v>0</v>
      </c>
      <c r="AV134" s="705">
        <v>0</v>
      </c>
      <c r="AW134" s="710">
        <v>0</v>
      </c>
      <c r="AX134" s="711">
        <v>0</v>
      </c>
      <c r="AY134" s="710">
        <v>0</v>
      </c>
      <c r="AZ134" s="711">
        <v>0</v>
      </c>
      <c r="BA134" s="710">
        <v>0</v>
      </c>
      <c r="BB134" s="711">
        <v>0</v>
      </c>
      <c r="BC134" s="712">
        <v>0</v>
      </c>
      <c r="BD134" s="713">
        <v>0</v>
      </c>
      <c r="BE134" s="710">
        <v>0</v>
      </c>
      <c r="BF134" s="711">
        <v>0</v>
      </c>
      <c r="BG134" s="712">
        <v>0</v>
      </c>
      <c r="BH134" s="711">
        <v>0</v>
      </c>
      <c r="BI134" s="712">
        <v>0</v>
      </c>
      <c r="BJ134" s="711">
        <v>0</v>
      </c>
      <c r="BK134" s="712">
        <v>0</v>
      </c>
      <c r="BL134" s="711">
        <v>0</v>
      </c>
      <c r="BM134" s="712">
        <v>0</v>
      </c>
      <c r="BN134" s="711">
        <v>0</v>
      </c>
      <c r="BO134" s="712">
        <v>0</v>
      </c>
      <c r="BP134" s="711">
        <v>0</v>
      </c>
      <c r="BQ134" s="712">
        <v>0</v>
      </c>
      <c r="BR134" s="711">
        <v>0</v>
      </c>
      <c r="BS134" s="712">
        <v>0</v>
      </c>
      <c r="BT134" s="711">
        <v>0</v>
      </c>
      <c r="BU134" s="712">
        <v>0</v>
      </c>
      <c r="BV134" s="711">
        <v>0</v>
      </c>
      <c r="BW134" s="712">
        <v>0</v>
      </c>
      <c r="BX134" s="711">
        <v>0</v>
      </c>
      <c r="BY134" s="712">
        <v>0</v>
      </c>
      <c r="BZ134" s="711">
        <v>0</v>
      </c>
      <c r="CA134" s="712">
        <v>0</v>
      </c>
      <c r="CB134" s="711">
        <v>0</v>
      </c>
      <c r="CC134" s="710">
        <v>0</v>
      </c>
      <c r="CD134" s="713">
        <v>0</v>
      </c>
      <c r="CE134" s="710">
        <v>0</v>
      </c>
      <c r="CF134" s="713">
        <v>0</v>
      </c>
      <c r="CG134" s="710">
        <v>0</v>
      </c>
      <c r="CH134" s="713">
        <v>0</v>
      </c>
      <c r="CI134" s="710">
        <v>0</v>
      </c>
      <c r="CJ134" s="713">
        <v>0</v>
      </c>
      <c r="CK134" s="710">
        <v>0</v>
      </c>
      <c r="CL134" s="713">
        <v>0</v>
      </c>
      <c r="CM134" s="710">
        <v>0</v>
      </c>
      <c r="CN134" s="713">
        <v>0</v>
      </c>
      <c r="CO134" s="710">
        <v>0</v>
      </c>
      <c r="CP134" s="713">
        <v>0</v>
      </c>
      <c r="CQ134" s="710">
        <v>0</v>
      </c>
      <c r="CR134" s="711">
        <v>0</v>
      </c>
      <c r="CS134" s="710">
        <v>0</v>
      </c>
      <c r="CT134" s="711">
        <v>0</v>
      </c>
      <c r="CU134" s="712">
        <v>0</v>
      </c>
      <c r="CV134" s="711">
        <v>0</v>
      </c>
    </row>
    <row r="135" spans="1:100">
      <c r="A135" s="467">
        <v>133</v>
      </c>
      <c r="B135" s="595">
        <v>0</v>
      </c>
      <c r="C135" s="595">
        <v>0</v>
      </c>
      <c r="D135" s="595">
        <v>0</v>
      </c>
      <c r="E135" s="595">
        <v>0</v>
      </c>
      <c r="F135" s="595">
        <v>0</v>
      </c>
      <c r="G135" s="595">
        <v>0</v>
      </c>
      <c r="H135" s="595">
        <v>0</v>
      </c>
      <c r="I135" s="595">
        <v>0</v>
      </c>
      <c r="J135" s="595">
        <v>0</v>
      </c>
      <c r="K135" s="595">
        <v>0</v>
      </c>
      <c r="L135" s="595">
        <v>0</v>
      </c>
      <c r="M135" s="595">
        <v>0</v>
      </c>
      <c r="N135" s="595">
        <v>0</v>
      </c>
      <c r="O135" s="595">
        <v>0</v>
      </c>
      <c r="P135" s="595">
        <v>0</v>
      </c>
      <c r="Q135" s="595">
        <v>0</v>
      </c>
      <c r="R135" s="595">
        <v>0</v>
      </c>
      <c r="S135" s="595">
        <v>0</v>
      </c>
      <c r="T135" s="595">
        <v>0</v>
      </c>
      <c r="U135" s="595">
        <v>0</v>
      </c>
      <c r="V135" s="595">
        <v>0</v>
      </c>
      <c r="W135" s="611">
        <v>0</v>
      </c>
      <c r="X135" s="706"/>
      <c r="Y135" s="706"/>
      <c r="Z135" s="706"/>
      <c r="AA135" s="706"/>
      <c r="AB135" s="706"/>
      <c r="AC135" s="706"/>
      <c r="AD135" s="706"/>
      <c r="AE135" s="703">
        <v>0</v>
      </c>
      <c r="AF135" s="704">
        <v>0</v>
      </c>
      <c r="AG135" s="705">
        <v>0</v>
      </c>
      <c r="AH135" s="706">
        <v>0</v>
      </c>
      <c r="AI135" s="705">
        <v>0</v>
      </c>
      <c r="AJ135" s="703">
        <v>0</v>
      </c>
      <c r="AK135" s="705">
        <v>0</v>
      </c>
      <c r="AL135" s="707">
        <v>0</v>
      </c>
      <c r="AM135" s="703">
        <v>0</v>
      </c>
      <c r="AN135" s="703">
        <v>0</v>
      </c>
      <c r="AO135" s="707">
        <v>0</v>
      </c>
      <c r="AP135" s="708">
        <v>2E-3</v>
      </c>
      <c r="AQ135" s="705">
        <f t="shared" si="25"/>
        <v>7.1428571428571426E-3</v>
      </c>
      <c r="AR135" s="703">
        <v>0</v>
      </c>
      <c r="AS135" s="705">
        <v>0</v>
      </c>
      <c r="AT135" s="709">
        <v>0</v>
      </c>
      <c r="AU135" s="703">
        <v>0</v>
      </c>
      <c r="AV135" s="705">
        <v>0</v>
      </c>
      <c r="AW135" s="710">
        <v>0</v>
      </c>
      <c r="AX135" s="711">
        <v>0</v>
      </c>
      <c r="AY135" s="710">
        <v>0</v>
      </c>
      <c r="AZ135" s="711">
        <v>0</v>
      </c>
      <c r="BA135" s="710">
        <v>0</v>
      </c>
      <c r="BB135" s="711">
        <v>0</v>
      </c>
      <c r="BC135" s="712">
        <v>0</v>
      </c>
      <c r="BD135" s="713">
        <v>0</v>
      </c>
      <c r="BE135" s="710">
        <v>0</v>
      </c>
      <c r="BF135" s="711">
        <v>0</v>
      </c>
      <c r="BG135" s="712">
        <v>0</v>
      </c>
      <c r="BH135" s="711">
        <v>0</v>
      </c>
      <c r="BI135" s="712">
        <v>0</v>
      </c>
      <c r="BJ135" s="711">
        <v>0</v>
      </c>
      <c r="BK135" s="712">
        <v>0</v>
      </c>
      <c r="BL135" s="711">
        <v>0</v>
      </c>
      <c r="BM135" s="712">
        <v>0</v>
      </c>
      <c r="BN135" s="711">
        <v>0</v>
      </c>
      <c r="BO135" s="712">
        <v>0</v>
      </c>
      <c r="BP135" s="711">
        <v>0</v>
      </c>
      <c r="BQ135" s="712">
        <v>0</v>
      </c>
      <c r="BR135" s="711">
        <v>0</v>
      </c>
      <c r="BS135" s="712">
        <v>0</v>
      </c>
      <c r="BT135" s="711">
        <v>0</v>
      </c>
      <c r="BU135" s="712">
        <v>0</v>
      </c>
      <c r="BV135" s="711">
        <v>0</v>
      </c>
      <c r="BW135" s="712">
        <v>0</v>
      </c>
      <c r="BX135" s="711">
        <v>0</v>
      </c>
      <c r="BY135" s="712">
        <v>0</v>
      </c>
      <c r="BZ135" s="711">
        <v>0</v>
      </c>
      <c r="CA135" s="712">
        <v>0</v>
      </c>
      <c r="CB135" s="711">
        <v>0</v>
      </c>
      <c r="CC135" s="710">
        <v>0</v>
      </c>
      <c r="CD135" s="713">
        <v>0</v>
      </c>
      <c r="CE135" s="710">
        <v>0</v>
      </c>
      <c r="CF135" s="713">
        <v>0</v>
      </c>
      <c r="CG135" s="710">
        <v>0</v>
      </c>
      <c r="CH135" s="713">
        <v>0</v>
      </c>
      <c r="CI135" s="710">
        <v>0</v>
      </c>
      <c r="CJ135" s="713">
        <v>0</v>
      </c>
      <c r="CK135" s="710">
        <v>0</v>
      </c>
      <c r="CL135" s="713">
        <v>0</v>
      </c>
      <c r="CM135" s="710">
        <v>0</v>
      </c>
      <c r="CN135" s="713">
        <v>0</v>
      </c>
      <c r="CO135" s="710">
        <v>0</v>
      </c>
      <c r="CP135" s="713">
        <v>0</v>
      </c>
      <c r="CQ135" s="710">
        <v>0</v>
      </c>
      <c r="CR135" s="711">
        <v>0</v>
      </c>
      <c r="CS135" s="710">
        <v>0</v>
      </c>
      <c r="CT135" s="711">
        <v>0</v>
      </c>
      <c r="CU135" s="712">
        <v>0</v>
      </c>
      <c r="CV135" s="711">
        <v>0</v>
      </c>
    </row>
    <row r="136" spans="1:100">
      <c r="A136" s="467">
        <v>134</v>
      </c>
      <c r="B136" s="595">
        <v>0</v>
      </c>
      <c r="C136" s="595">
        <v>0</v>
      </c>
      <c r="D136" s="595">
        <v>0</v>
      </c>
      <c r="E136" s="595">
        <v>0</v>
      </c>
      <c r="F136" s="595">
        <v>0</v>
      </c>
      <c r="G136" s="595">
        <v>0</v>
      </c>
      <c r="H136" s="595">
        <v>0</v>
      </c>
      <c r="I136" s="595">
        <v>0</v>
      </c>
      <c r="J136" s="595">
        <v>0</v>
      </c>
      <c r="K136" s="595">
        <v>0</v>
      </c>
      <c r="L136" s="595">
        <v>0</v>
      </c>
      <c r="M136" s="595">
        <v>0</v>
      </c>
      <c r="N136" s="595">
        <v>0</v>
      </c>
      <c r="O136" s="595">
        <v>0</v>
      </c>
      <c r="P136" s="595">
        <v>0</v>
      </c>
      <c r="Q136" s="595">
        <v>0</v>
      </c>
      <c r="R136" s="595">
        <v>0</v>
      </c>
      <c r="S136" s="595">
        <v>0</v>
      </c>
      <c r="T136" s="595">
        <v>0</v>
      </c>
      <c r="U136" s="595">
        <v>0</v>
      </c>
      <c r="V136" s="595">
        <v>0</v>
      </c>
      <c r="W136" s="611">
        <v>0</v>
      </c>
      <c r="X136" s="706"/>
      <c r="Y136" s="706"/>
      <c r="Z136" s="706"/>
      <c r="AA136" s="706"/>
      <c r="AB136" s="706"/>
      <c r="AC136" s="706"/>
      <c r="AD136" s="706"/>
      <c r="AE136" s="703">
        <v>0</v>
      </c>
      <c r="AF136" s="704">
        <v>0</v>
      </c>
      <c r="AG136" s="705">
        <v>0</v>
      </c>
      <c r="AH136" s="706">
        <v>0</v>
      </c>
      <c r="AI136" s="705">
        <v>0</v>
      </c>
      <c r="AJ136" s="703">
        <v>0</v>
      </c>
      <c r="AK136" s="705">
        <v>0</v>
      </c>
      <c r="AL136" s="707">
        <v>0</v>
      </c>
      <c r="AM136" s="703">
        <v>0</v>
      </c>
      <c r="AN136" s="703">
        <v>0</v>
      </c>
      <c r="AO136" s="707">
        <v>0</v>
      </c>
      <c r="AP136" s="708">
        <v>2E-3</v>
      </c>
      <c r="AQ136" s="705">
        <f t="shared" si="25"/>
        <v>7.1428571428571426E-3</v>
      </c>
      <c r="AR136" s="703">
        <v>0</v>
      </c>
      <c r="AS136" s="705">
        <v>0</v>
      </c>
      <c r="AT136" s="709">
        <v>0</v>
      </c>
      <c r="AU136" s="703">
        <v>0</v>
      </c>
      <c r="AV136" s="705">
        <v>0</v>
      </c>
      <c r="AW136" s="710">
        <v>0</v>
      </c>
      <c r="AX136" s="711">
        <v>0</v>
      </c>
      <c r="AY136" s="710">
        <v>0</v>
      </c>
      <c r="AZ136" s="711">
        <v>0</v>
      </c>
      <c r="BA136" s="710">
        <v>0</v>
      </c>
      <c r="BB136" s="711">
        <v>0</v>
      </c>
      <c r="BC136" s="712">
        <v>0</v>
      </c>
      <c r="BD136" s="713">
        <v>0</v>
      </c>
      <c r="BE136" s="710">
        <v>0</v>
      </c>
      <c r="BF136" s="711">
        <v>0</v>
      </c>
      <c r="BG136" s="712">
        <v>0</v>
      </c>
      <c r="BH136" s="711">
        <v>0</v>
      </c>
      <c r="BI136" s="712">
        <v>0</v>
      </c>
      <c r="BJ136" s="711">
        <v>0</v>
      </c>
      <c r="BK136" s="712">
        <v>0</v>
      </c>
      <c r="BL136" s="711">
        <v>0</v>
      </c>
      <c r="BM136" s="712">
        <v>0</v>
      </c>
      <c r="BN136" s="711">
        <v>0</v>
      </c>
      <c r="BO136" s="712">
        <v>0</v>
      </c>
      <c r="BP136" s="711">
        <v>0</v>
      </c>
      <c r="BQ136" s="712">
        <v>0</v>
      </c>
      <c r="BR136" s="711">
        <v>0</v>
      </c>
      <c r="BS136" s="712">
        <v>0</v>
      </c>
      <c r="BT136" s="711">
        <v>0</v>
      </c>
      <c r="BU136" s="712">
        <v>0</v>
      </c>
      <c r="BV136" s="711">
        <v>0</v>
      </c>
      <c r="BW136" s="712">
        <v>0</v>
      </c>
      <c r="BX136" s="711">
        <v>0</v>
      </c>
      <c r="BY136" s="712">
        <v>0</v>
      </c>
      <c r="BZ136" s="711">
        <v>0</v>
      </c>
      <c r="CA136" s="712">
        <v>0</v>
      </c>
      <c r="CB136" s="711">
        <v>0</v>
      </c>
      <c r="CC136" s="710">
        <v>0</v>
      </c>
      <c r="CD136" s="713">
        <v>0</v>
      </c>
      <c r="CE136" s="710">
        <v>0</v>
      </c>
      <c r="CF136" s="713">
        <v>0</v>
      </c>
      <c r="CG136" s="710">
        <v>0</v>
      </c>
      <c r="CH136" s="713">
        <v>0</v>
      </c>
      <c r="CI136" s="710">
        <v>0</v>
      </c>
      <c r="CJ136" s="713">
        <v>0</v>
      </c>
      <c r="CK136" s="710">
        <v>0</v>
      </c>
      <c r="CL136" s="713">
        <v>0</v>
      </c>
      <c r="CM136" s="710">
        <v>0</v>
      </c>
      <c r="CN136" s="713">
        <v>0</v>
      </c>
      <c r="CO136" s="710">
        <v>0</v>
      </c>
      <c r="CP136" s="713">
        <v>0</v>
      </c>
      <c r="CQ136" s="710">
        <v>0</v>
      </c>
      <c r="CR136" s="711">
        <v>0</v>
      </c>
      <c r="CS136" s="710">
        <v>0</v>
      </c>
      <c r="CT136" s="711">
        <v>0</v>
      </c>
      <c r="CU136" s="712">
        <v>0</v>
      </c>
      <c r="CV136" s="711">
        <v>0</v>
      </c>
    </row>
    <row r="137" spans="1:100">
      <c r="A137" s="467">
        <v>135</v>
      </c>
      <c r="B137" s="595">
        <v>0</v>
      </c>
      <c r="C137" s="595">
        <v>0</v>
      </c>
      <c r="D137" s="595">
        <v>0</v>
      </c>
      <c r="E137" s="595">
        <v>0</v>
      </c>
      <c r="F137" s="595">
        <v>0</v>
      </c>
      <c r="G137" s="595">
        <v>0</v>
      </c>
      <c r="H137" s="595">
        <v>0</v>
      </c>
      <c r="I137" s="595">
        <v>0</v>
      </c>
      <c r="J137" s="595">
        <v>0</v>
      </c>
      <c r="K137" s="595">
        <v>0</v>
      </c>
      <c r="L137" s="595">
        <v>0</v>
      </c>
      <c r="M137" s="595">
        <v>0</v>
      </c>
      <c r="N137" s="595">
        <v>0</v>
      </c>
      <c r="O137" s="595">
        <v>0</v>
      </c>
      <c r="P137" s="595">
        <v>0</v>
      </c>
      <c r="Q137" s="595">
        <v>0</v>
      </c>
      <c r="R137" s="595">
        <v>0</v>
      </c>
      <c r="S137" s="595">
        <v>0</v>
      </c>
      <c r="T137" s="595">
        <v>0</v>
      </c>
      <c r="U137" s="595">
        <v>0</v>
      </c>
      <c r="V137" s="595">
        <v>0</v>
      </c>
      <c r="W137" s="611">
        <v>0</v>
      </c>
      <c r="X137" s="706"/>
      <c r="Y137" s="706"/>
      <c r="Z137" s="706"/>
      <c r="AA137" s="706"/>
      <c r="AB137" s="706"/>
      <c r="AC137" s="706"/>
      <c r="AD137" s="706"/>
      <c r="AE137" s="703">
        <v>0</v>
      </c>
      <c r="AF137" s="704">
        <v>0</v>
      </c>
      <c r="AG137" s="705">
        <v>0</v>
      </c>
      <c r="AH137" s="706">
        <v>0</v>
      </c>
      <c r="AI137" s="705">
        <v>0</v>
      </c>
      <c r="AJ137" s="703">
        <v>0</v>
      </c>
      <c r="AK137" s="705">
        <v>0</v>
      </c>
      <c r="AL137" s="707">
        <v>0</v>
      </c>
      <c r="AM137" s="703">
        <v>0</v>
      </c>
      <c r="AN137" s="703">
        <v>0</v>
      </c>
      <c r="AO137" s="707">
        <v>0</v>
      </c>
      <c r="AP137" s="708">
        <v>2E-3</v>
      </c>
      <c r="AQ137" s="705">
        <f t="shared" si="25"/>
        <v>7.1428571428571426E-3</v>
      </c>
      <c r="AR137" s="703">
        <v>0</v>
      </c>
      <c r="AS137" s="705">
        <v>0</v>
      </c>
      <c r="AT137" s="709">
        <v>0</v>
      </c>
      <c r="AU137" s="703">
        <v>0</v>
      </c>
      <c r="AV137" s="705">
        <v>0</v>
      </c>
      <c r="AW137" s="710">
        <v>0</v>
      </c>
      <c r="AX137" s="711">
        <v>0</v>
      </c>
      <c r="AY137" s="710">
        <v>0</v>
      </c>
      <c r="AZ137" s="711">
        <v>0</v>
      </c>
      <c r="BA137" s="710">
        <v>0</v>
      </c>
      <c r="BB137" s="711">
        <v>0</v>
      </c>
      <c r="BC137" s="712">
        <v>0</v>
      </c>
      <c r="BD137" s="713">
        <v>0</v>
      </c>
      <c r="BE137" s="710">
        <v>0</v>
      </c>
      <c r="BF137" s="711">
        <v>0</v>
      </c>
      <c r="BG137" s="712">
        <v>0</v>
      </c>
      <c r="BH137" s="711">
        <v>0</v>
      </c>
      <c r="BI137" s="712">
        <v>0</v>
      </c>
      <c r="BJ137" s="711">
        <v>0</v>
      </c>
      <c r="BK137" s="712">
        <v>0</v>
      </c>
      <c r="BL137" s="711">
        <v>0</v>
      </c>
      <c r="BM137" s="712">
        <v>0</v>
      </c>
      <c r="BN137" s="711">
        <v>0</v>
      </c>
      <c r="BO137" s="712">
        <v>0</v>
      </c>
      <c r="BP137" s="711">
        <v>0</v>
      </c>
      <c r="BQ137" s="712">
        <v>0</v>
      </c>
      <c r="BR137" s="711">
        <v>0</v>
      </c>
      <c r="BS137" s="712">
        <v>0</v>
      </c>
      <c r="BT137" s="711">
        <v>0</v>
      </c>
      <c r="BU137" s="712">
        <v>0</v>
      </c>
      <c r="BV137" s="711">
        <v>0</v>
      </c>
      <c r="BW137" s="712">
        <v>0</v>
      </c>
      <c r="BX137" s="711">
        <v>0</v>
      </c>
      <c r="BY137" s="712">
        <v>0</v>
      </c>
      <c r="BZ137" s="711">
        <v>0</v>
      </c>
      <c r="CA137" s="712">
        <v>0</v>
      </c>
      <c r="CB137" s="711">
        <v>0</v>
      </c>
      <c r="CC137" s="710">
        <v>0</v>
      </c>
      <c r="CD137" s="713">
        <v>0</v>
      </c>
      <c r="CE137" s="710">
        <v>0</v>
      </c>
      <c r="CF137" s="713">
        <v>0</v>
      </c>
      <c r="CG137" s="710">
        <v>0</v>
      </c>
      <c r="CH137" s="713">
        <v>0</v>
      </c>
      <c r="CI137" s="710">
        <v>0</v>
      </c>
      <c r="CJ137" s="713">
        <v>0</v>
      </c>
      <c r="CK137" s="710">
        <v>0</v>
      </c>
      <c r="CL137" s="713">
        <v>0</v>
      </c>
      <c r="CM137" s="710">
        <v>0</v>
      </c>
      <c r="CN137" s="713">
        <v>0</v>
      </c>
      <c r="CO137" s="710">
        <v>0</v>
      </c>
      <c r="CP137" s="713">
        <v>0</v>
      </c>
      <c r="CQ137" s="710">
        <v>0</v>
      </c>
      <c r="CR137" s="711">
        <v>0</v>
      </c>
      <c r="CS137" s="710">
        <v>0</v>
      </c>
      <c r="CT137" s="711">
        <v>0</v>
      </c>
      <c r="CU137" s="712">
        <v>0</v>
      </c>
      <c r="CV137" s="711">
        <v>0</v>
      </c>
    </row>
    <row r="138" spans="1:100">
      <c r="A138" s="467">
        <v>136</v>
      </c>
      <c r="B138" s="595">
        <v>0</v>
      </c>
      <c r="C138" s="595">
        <v>0</v>
      </c>
      <c r="D138" s="595">
        <v>0</v>
      </c>
      <c r="E138" s="595">
        <v>0</v>
      </c>
      <c r="F138" s="595">
        <v>0</v>
      </c>
      <c r="G138" s="595">
        <v>0</v>
      </c>
      <c r="H138" s="595">
        <v>0</v>
      </c>
      <c r="I138" s="595">
        <v>0</v>
      </c>
      <c r="J138" s="595">
        <v>0</v>
      </c>
      <c r="K138" s="595">
        <v>0</v>
      </c>
      <c r="L138" s="595">
        <v>0</v>
      </c>
      <c r="M138" s="595">
        <v>0</v>
      </c>
      <c r="N138" s="595">
        <v>0</v>
      </c>
      <c r="O138" s="595">
        <v>0</v>
      </c>
      <c r="P138" s="595">
        <v>0</v>
      </c>
      <c r="Q138" s="595">
        <v>0</v>
      </c>
      <c r="R138" s="595">
        <v>0</v>
      </c>
      <c r="S138" s="595">
        <v>0</v>
      </c>
      <c r="T138" s="595">
        <v>0</v>
      </c>
      <c r="U138" s="595">
        <v>0</v>
      </c>
      <c r="V138" s="595">
        <v>0</v>
      </c>
      <c r="W138" s="611">
        <v>0</v>
      </c>
      <c r="X138" s="706"/>
      <c r="Y138" s="706"/>
      <c r="Z138" s="706"/>
      <c r="AA138" s="706"/>
      <c r="AB138" s="706"/>
      <c r="AC138" s="706"/>
      <c r="AD138" s="706"/>
      <c r="AE138" s="703">
        <v>0</v>
      </c>
      <c r="AF138" s="704">
        <v>0</v>
      </c>
      <c r="AG138" s="705">
        <v>0</v>
      </c>
      <c r="AH138" s="706">
        <v>0</v>
      </c>
      <c r="AI138" s="705">
        <v>0</v>
      </c>
      <c r="AJ138" s="703">
        <v>0</v>
      </c>
      <c r="AK138" s="705">
        <v>0</v>
      </c>
      <c r="AL138" s="707">
        <v>0</v>
      </c>
      <c r="AM138" s="703">
        <v>0</v>
      </c>
      <c r="AN138" s="703">
        <v>0</v>
      </c>
      <c r="AO138" s="707">
        <v>0</v>
      </c>
      <c r="AP138" s="708">
        <v>2E-3</v>
      </c>
      <c r="AQ138" s="705">
        <f t="shared" si="25"/>
        <v>7.1428571428571426E-3</v>
      </c>
      <c r="AR138" s="703">
        <v>0</v>
      </c>
      <c r="AS138" s="705">
        <v>0</v>
      </c>
      <c r="AT138" s="709">
        <v>0</v>
      </c>
      <c r="AU138" s="703">
        <v>0</v>
      </c>
      <c r="AV138" s="705">
        <v>0</v>
      </c>
      <c r="AW138" s="710">
        <v>0</v>
      </c>
      <c r="AX138" s="711">
        <v>0</v>
      </c>
      <c r="AY138" s="710">
        <v>0</v>
      </c>
      <c r="AZ138" s="711">
        <v>0</v>
      </c>
      <c r="BA138" s="710">
        <v>0</v>
      </c>
      <c r="BB138" s="711">
        <v>0</v>
      </c>
      <c r="BC138" s="712">
        <v>0</v>
      </c>
      <c r="BD138" s="713">
        <v>0</v>
      </c>
      <c r="BE138" s="710">
        <v>0</v>
      </c>
      <c r="BF138" s="711">
        <v>0</v>
      </c>
      <c r="BG138" s="712">
        <v>0</v>
      </c>
      <c r="BH138" s="711">
        <v>0</v>
      </c>
      <c r="BI138" s="712">
        <v>0</v>
      </c>
      <c r="BJ138" s="711">
        <v>0</v>
      </c>
      <c r="BK138" s="712">
        <v>0</v>
      </c>
      <c r="BL138" s="711">
        <v>0</v>
      </c>
      <c r="BM138" s="712">
        <v>0</v>
      </c>
      <c r="BN138" s="711">
        <v>0</v>
      </c>
      <c r="BO138" s="712">
        <v>0</v>
      </c>
      <c r="BP138" s="711">
        <v>0</v>
      </c>
      <c r="BQ138" s="712">
        <v>0</v>
      </c>
      <c r="BR138" s="711">
        <v>0</v>
      </c>
      <c r="BS138" s="712">
        <v>0</v>
      </c>
      <c r="BT138" s="711">
        <v>0</v>
      </c>
      <c r="BU138" s="712">
        <v>0</v>
      </c>
      <c r="BV138" s="711">
        <v>0</v>
      </c>
      <c r="BW138" s="712">
        <v>0</v>
      </c>
      <c r="BX138" s="711">
        <v>0</v>
      </c>
      <c r="BY138" s="712">
        <v>0</v>
      </c>
      <c r="BZ138" s="711">
        <v>0</v>
      </c>
      <c r="CA138" s="712">
        <v>0</v>
      </c>
      <c r="CB138" s="711">
        <v>0</v>
      </c>
      <c r="CC138" s="710">
        <v>0</v>
      </c>
      <c r="CD138" s="713">
        <v>0</v>
      </c>
      <c r="CE138" s="710">
        <v>0</v>
      </c>
      <c r="CF138" s="713">
        <v>0</v>
      </c>
      <c r="CG138" s="710">
        <v>0</v>
      </c>
      <c r="CH138" s="713">
        <v>0</v>
      </c>
      <c r="CI138" s="710">
        <v>0</v>
      </c>
      <c r="CJ138" s="713">
        <v>0</v>
      </c>
      <c r="CK138" s="710">
        <v>0</v>
      </c>
      <c r="CL138" s="713">
        <v>0</v>
      </c>
      <c r="CM138" s="710">
        <v>0</v>
      </c>
      <c r="CN138" s="713">
        <v>0</v>
      </c>
      <c r="CO138" s="710">
        <v>0</v>
      </c>
      <c r="CP138" s="713">
        <v>0</v>
      </c>
      <c r="CQ138" s="710">
        <v>0</v>
      </c>
      <c r="CR138" s="711">
        <v>0</v>
      </c>
      <c r="CS138" s="710">
        <v>0</v>
      </c>
      <c r="CT138" s="711">
        <v>0</v>
      </c>
      <c r="CU138" s="712">
        <v>0</v>
      </c>
      <c r="CV138" s="711">
        <v>0</v>
      </c>
    </row>
    <row r="139" spans="1:100">
      <c r="A139" s="467">
        <v>137</v>
      </c>
      <c r="B139" s="595">
        <v>0</v>
      </c>
      <c r="C139" s="595">
        <v>0</v>
      </c>
      <c r="D139" s="595">
        <v>0</v>
      </c>
      <c r="E139" s="595">
        <v>0</v>
      </c>
      <c r="F139" s="595">
        <v>0</v>
      </c>
      <c r="G139" s="595">
        <v>0</v>
      </c>
      <c r="H139" s="595">
        <v>0</v>
      </c>
      <c r="I139" s="595">
        <v>0</v>
      </c>
      <c r="J139" s="595">
        <v>0</v>
      </c>
      <c r="K139" s="595">
        <v>0</v>
      </c>
      <c r="L139" s="595">
        <v>0</v>
      </c>
      <c r="M139" s="595">
        <v>0</v>
      </c>
      <c r="N139" s="595">
        <v>0</v>
      </c>
      <c r="O139" s="595">
        <v>0</v>
      </c>
      <c r="P139" s="595">
        <v>0</v>
      </c>
      <c r="Q139" s="595">
        <v>0</v>
      </c>
      <c r="R139" s="595">
        <v>0</v>
      </c>
      <c r="S139" s="595">
        <v>0</v>
      </c>
      <c r="T139" s="595">
        <v>0</v>
      </c>
      <c r="U139" s="595">
        <v>0</v>
      </c>
      <c r="V139" s="595">
        <v>0</v>
      </c>
      <c r="W139" s="611">
        <v>0</v>
      </c>
      <c r="X139" s="706"/>
      <c r="Y139" s="706"/>
      <c r="Z139" s="706"/>
      <c r="AA139" s="706"/>
      <c r="AB139" s="706"/>
      <c r="AC139" s="706"/>
      <c r="AD139" s="706"/>
      <c r="AE139" s="703">
        <v>0</v>
      </c>
      <c r="AF139" s="704">
        <v>0</v>
      </c>
      <c r="AG139" s="705">
        <v>0</v>
      </c>
      <c r="AH139" s="706">
        <v>0</v>
      </c>
      <c r="AI139" s="705">
        <v>0</v>
      </c>
      <c r="AJ139" s="703">
        <v>0</v>
      </c>
      <c r="AK139" s="705">
        <v>0</v>
      </c>
      <c r="AL139" s="707">
        <v>0</v>
      </c>
      <c r="AM139" s="703">
        <v>0</v>
      </c>
      <c r="AN139" s="703">
        <v>0</v>
      </c>
      <c r="AO139" s="707">
        <v>0</v>
      </c>
      <c r="AP139" s="708">
        <v>2E-3</v>
      </c>
      <c r="AQ139" s="705">
        <f t="shared" si="25"/>
        <v>7.1428571428571426E-3</v>
      </c>
      <c r="AR139" s="703">
        <v>0</v>
      </c>
      <c r="AS139" s="705">
        <v>0</v>
      </c>
      <c r="AT139" s="709">
        <v>0</v>
      </c>
      <c r="AU139" s="703">
        <v>0</v>
      </c>
      <c r="AV139" s="705">
        <v>0</v>
      </c>
      <c r="AW139" s="710">
        <v>0</v>
      </c>
      <c r="AX139" s="711">
        <v>0</v>
      </c>
      <c r="AY139" s="710">
        <v>0</v>
      </c>
      <c r="AZ139" s="711">
        <v>0</v>
      </c>
      <c r="BA139" s="710">
        <v>0</v>
      </c>
      <c r="BB139" s="711">
        <v>0</v>
      </c>
      <c r="BC139" s="712">
        <v>0</v>
      </c>
      <c r="BD139" s="713">
        <v>0</v>
      </c>
      <c r="BE139" s="710">
        <v>0</v>
      </c>
      <c r="BF139" s="711">
        <v>0</v>
      </c>
      <c r="BG139" s="712">
        <v>0</v>
      </c>
      <c r="BH139" s="711">
        <v>0</v>
      </c>
      <c r="BI139" s="712">
        <v>0</v>
      </c>
      <c r="BJ139" s="711">
        <v>0</v>
      </c>
      <c r="BK139" s="712">
        <v>0</v>
      </c>
      <c r="BL139" s="711">
        <v>0</v>
      </c>
      <c r="BM139" s="712">
        <v>0</v>
      </c>
      <c r="BN139" s="711">
        <v>0</v>
      </c>
      <c r="BO139" s="712">
        <v>0</v>
      </c>
      <c r="BP139" s="711">
        <v>0</v>
      </c>
      <c r="BQ139" s="712">
        <v>0</v>
      </c>
      <c r="BR139" s="711">
        <v>0</v>
      </c>
      <c r="BS139" s="712">
        <v>0</v>
      </c>
      <c r="BT139" s="711">
        <v>0</v>
      </c>
      <c r="BU139" s="712">
        <v>0</v>
      </c>
      <c r="BV139" s="711">
        <v>0</v>
      </c>
      <c r="BW139" s="712">
        <v>0</v>
      </c>
      <c r="BX139" s="711">
        <v>0</v>
      </c>
      <c r="BY139" s="712">
        <v>0</v>
      </c>
      <c r="BZ139" s="711">
        <v>0</v>
      </c>
      <c r="CA139" s="712">
        <v>0</v>
      </c>
      <c r="CB139" s="711">
        <v>0</v>
      </c>
      <c r="CC139" s="710">
        <v>0</v>
      </c>
      <c r="CD139" s="713">
        <v>0</v>
      </c>
      <c r="CE139" s="710">
        <v>0</v>
      </c>
      <c r="CF139" s="713">
        <v>0</v>
      </c>
      <c r="CG139" s="710">
        <v>0</v>
      </c>
      <c r="CH139" s="713">
        <v>0</v>
      </c>
      <c r="CI139" s="710">
        <v>0</v>
      </c>
      <c r="CJ139" s="713">
        <v>0</v>
      </c>
      <c r="CK139" s="710">
        <v>0</v>
      </c>
      <c r="CL139" s="713">
        <v>0</v>
      </c>
      <c r="CM139" s="710">
        <v>0</v>
      </c>
      <c r="CN139" s="713">
        <v>0</v>
      </c>
      <c r="CO139" s="710">
        <v>0</v>
      </c>
      <c r="CP139" s="713">
        <v>0</v>
      </c>
      <c r="CQ139" s="710">
        <v>0</v>
      </c>
      <c r="CR139" s="711">
        <v>0</v>
      </c>
      <c r="CS139" s="710">
        <v>0</v>
      </c>
      <c r="CT139" s="711">
        <v>0</v>
      </c>
      <c r="CU139" s="712">
        <v>0</v>
      </c>
      <c r="CV139" s="711">
        <v>0</v>
      </c>
    </row>
    <row r="140" spans="1:100">
      <c r="A140" s="467">
        <v>138</v>
      </c>
      <c r="B140" s="595">
        <v>0</v>
      </c>
      <c r="C140" s="595">
        <v>0</v>
      </c>
      <c r="D140" s="595">
        <v>0</v>
      </c>
      <c r="E140" s="595">
        <v>0</v>
      </c>
      <c r="F140" s="595">
        <v>0</v>
      </c>
      <c r="G140" s="595">
        <v>0</v>
      </c>
      <c r="H140" s="595">
        <v>0</v>
      </c>
      <c r="I140" s="595">
        <v>0</v>
      </c>
      <c r="J140" s="595">
        <v>0</v>
      </c>
      <c r="K140" s="595">
        <v>0</v>
      </c>
      <c r="L140" s="595">
        <v>0</v>
      </c>
      <c r="M140" s="595">
        <v>0</v>
      </c>
      <c r="N140" s="595">
        <v>0</v>
      </c>
      <c r="O140" s="595">
        <v>0</v>
      </c>
      <c r="P140" s="595">
        <v>0</v>
      </c>
      <c r="Q140" s="595">
        <v>0</v>
      </c>
      <c r="R140" s="595">
        <v>0</v>
      </c>
      <c r="S140" s="595">
        <v>0</v>
      </c>
      <c r="T140" s="595">
        <v>0</v>
      </c>
      <c r="U140" s="595">
        <v>0</v>
      </c>
      <c r="V140" s="595">
        <v>0</v>
      </c>
      <c r="W140" s="611">
        <v>0</v>
      </c>
      <c r="X140" s="706"/>
      <c r="Y140" s="706"/>
      <c r="Z140" s="706"/>
      <c r="AA140" s="706"/>
      <c r="AB140" s="706"/>
      <c r="AC140" s="706"/>
      <c r="AD140" s="706"/>
      <c r="AE140" s="703">
        <v>0</v>
      </c>
      <c r="AF140" s="704">
        <v>0</v>
      </c>
      <c r="AG140" s="705">
        <v>0</v>
      </c>
      <c r="AH140" s="706">
        <v>0</v>
      </c>
      <c r="AI140" s="705">
        <v>0</v>
      </c>
      <c r="AJ140" s="703">
        <v>0</v>
      </c>
      <c r="AK140" s="705">
        <v>0</v>
      </c>
      <c r="AL140" s="707">
        <v>0</v>
      </c>
      <c r="AM140" s="703">
        <v>0</v>
      </c>
      <c r="AN140" s="703">
        <v>0</v>
      </c>
      <c r="AO140" s="707">
        <v>0</v>
      </c>
      <c r="AP140" s="708">
        <v>2E-3</v>
      </c>
      <c r="AQ140" s="705">
        <f t="shared" si="25"/>
        <v>7.1428571428571426E-3</v>
      </c>
      <c r="AR140" s="703">
        <v>0</v>
      </c>
      <c r="AS140" s="705">
        <v>0</v>
      </c>
      <c r="AT140" s="709">
        <v>0</v>
      </c>
      <c r="AU140" s="703">
        <v>0</v>
      </c>
      <c r="AV140" s="705">
        <v>0</v>
      </c>
      <c r="AW140" s="710">
        <v>0</v>
      </c>
      <c r="AX140" s="711">
        <v>0</v>
      </c>
      <c r="AY140" s="710">
        <v>0</v>
      </c>
      <c r="AZ140" s="711">
        <v>0</v>
      </c>
      <c r="BA140" s="710">
        <v>0</v>
      </c>
      <c r="BB140" s="711">
        <v>0</v>
      </c>
      <c r="BC140" s="712">
        <v>0</v>
      </c>
      <c r="BD140" s="713">
        <v>0</v>
      </c>
      <c r="BE140" s="710">
        <v>0</v>
      </c>
      <c r="BF140" s="711">
        <v>0</v>
      </c>
      <c r="BG140" s="712">
        <v>0</v>
      </c>
      <c r="BH140" s="711">
        <v>0</v>
      </c>
      <c r="BI140" s="712">
        <v>0</v>
      </c>
      <c r="BJ140" s="711">
        <v>0</v>
      </c>
      <c r="BK140" s="712">
        <v>0</v>
      </c>
      <c r="BL140" s="711">
        <v>0</v>
      </c>
      <c r="BM140" s="712">
        <v>0</v>
      </c>
      <c r="BN140" s="711">
        <v>0</v>
      </c>
      <c r="BO140" s="712">
        <v>0</v>
      </c>
      <c r="BP140" s="711">
        <v>0</v>
      </c>
      <c r="BQ140" s="712">
        <v>0</v>
      </c>
      <c r="BR140" s="711">
        <v>0</v>
      </c>
      <c r="BS140" s="712">
        <v>0</v>
      </c>
      <c r="BT140" s="711">
        <v>0</v>
      </c>
      <c r="BU140" s="712">
        <v>0</v>
      </c>
      <c r="BV140" s="711">
        <v>0</v>
      </c>
      <c r="BW140" s="712">
        <v>0</v>
      </c>
      <c r="BX140" s="711">
        <v>0</v>
      </c>
      <c r="BY140" s="712">
        <v>0</v>
      </c>
      <c r="BZ140" s="711">
        <v>0</v>
      </c>
      <c r="CA140" s="712">
        <v>0</v>
      </c>
      <c r="CB140" s="711">
        <v>0</v>
      </c>
      <c r="CC140" s="710">
        <v>0</v>
      </c>
      <c r="CD140" s="713">
        <v>0</v>
      </c>
      <c r="CE140" s="710">
        <v>0</v>
      </c>
      <c r="CF140" s="713">
        <v>0</v>
      </c>
      <c r="CG140" s="710">
        <v>0</v>
      </c>
      <c r="CH140" s="713">
        <v>0</v>
      </c>
      <c r="CI140" s="710">
        <v>0</v>
      </c>
      <c r="CJ140" s="713">
        <v>0</v>
      </c>
      <c r="CK140" s="710">
        <v>0</v>
      </c>
      <c r="CL140" s="713">
        <v>0</v>
      </c>
      <c r="CM140" s="710">
        <v>0</v>
      </c>
      <c r="CN140" s="713">
        <v>0</v>
      </c>
      <c r="CO140" s="710">
        <v>0</v>
      </c>
      <c r="CP140" s="713">
        <v>0</v>
      </c>
      <c r="CQ140" s="710">
        <v>0</v>
      </c>
      <c r="CR140" s="711">
        <v>0</v>
      </c>
      <c r="CS140" s="710">
        <v>0</v>
      </c>
      <c r="CT140" s="711">
        <v>0</v>
      </c>
      <c r="CU140" s="712">
        <v>0</v>
      </c>
      <c r="CV140" s="711">
        <v>0</v>
      </c>
    </row>
    <row r="141" spans="1:100">
      <c r="A141" s="467">
        <v>139</v>
      </c>
      <c r="B141" s="595">
        <v>0</v>
      </c>
      <c r="C141" s="595">
        <v>0</v>
      </c>
      <c r="D141" s="595">
        <v>0</v>
      </c>
      <c r="E141" s="595">
        <v>0</v>
      </c>
      <c r="F141" s="595">
        <v>0</v>
      </c>
      <c r="G141" s="595">
        <v>0</v>
      </c>
      <c r="H141" s="595">
        <v>0</v>
      </c>
      <c r="I141" s="595">
        <v>0</v>
      </c>
      <c r="J141" s="595">
        <v>0</v>
      </c>
      <c r="K141" s="595">
        <v>0</v>
      </c>
      <c r="L141" s="595">
        <v>0</v>
      </c>
      <c r="M141" s="595">
        <v>0</v>
      </c>
      <c r="N141" s="595">
        <v>0</v>
      </c>
      <c r="O141" s="595">
        <v>0</v>
      </c>
      <c r="P141" s="595">
        <v>0</v>
      </c>
      <c r="Q141" s="595">
        <v>0</v>
      </c>
      <c r="R141" s="595">
        <v>0</v>
      </c>
      <c r="S141" s="595">
        <v>0</v>
      </c>
      <c r="T141" s="595">
        <v>0</v>
      </c>
      <c r="U141" s="595">
        <v>0</v>
      </c>
      <c r="V141" s="595">
        <v>0</v>
      </c>
      <c r="W141" s="611">
        <v>0</v>
      </c>
      <c r="X141" s="706"/>
      <c r="Y141" s="706"/>
      <c r="Z141" s="706"/>
      <c r="AA141" s="706"/>
      <c r="AB141" s="706"/>
      <c r="AC141" s="706"/>
      <c r="AD141" s="706"/>
      <c r="AE141" s="703">
        <v>0</v>
      </c>
      <c r="AF141" s="704">
        <v>0</v>
      </c>
      <c r="AG141" s="705">
        <v>0</v>
      </c>
      <c r="AH141" s="706">
        <v>0</v>
      </c>
      <c r="AI141" s="705">
        <v>0</v>
      </c>
      <c r="AJ141" s="703">
        <v>0</v>
      </c>
      <c r="AK141" s="705">
        <v>0</v>
      </c>
      <c r="AL141" s="707">
        <v>0</v>
      </c>
      <c r="AM141" s="703">
        <v>0</v>
      </c>
      <c r="AN141" s="703">
        <v>0</v>
      </c>
      <c r="AO141" s="707">
        <v>0</v>
      </c>
      <c r="AP141" s="708">
        <v>2E-3</v>
      </c>
      <c r="AQ141" s="705">
        <f t="shared" si="25"/>
        <v>7.1428571428571426E-3</v>
      </c>
      <c r="AR141" s="703">
        <v>0</v>
      </c>
      <c r="AS141" s="705">
        <v>0</v>
      </c>
      <c r="AT141" s="709">
        <v>0</v>
      </c>
      <c r="AU141" s="703">
        <v>0</v>
      </c>
      <c r="AV141" s="705">
        <v>0</v>
      </c>
      <c r="AW141" s="710">
        <v>0</v>
      </c>
      <c r="AX141" s="711">
        <v>0</v>
      </c>
      <c r="AY141" s="710">
        <v>0</v>
      </c>
      <c r="AZ141" s="711">
        <v>0</v>
      </c>
      <c r="BA141" s="710">
        <v>0</v>
      </c>
      <c r="BB141" s="711">
        <v>0</v>
      </c>
      <c r="BC141" s="712">
        <v>0</v>
      </c>
      <c r="BD141" s="713">
        <v>0</v>
      </c>
      <c r="BE141" s="710">
        <v>0</v>
      </c>
      <c r="BF141" s="711">
        <v>0</v>
      </c>
      <c r="BG141" s="712">
        <v>0</v>
      </c>
      <c r="BH141" s="711">
        <v>0</v>
      </c>
      <c r="BI141" s="712">
        <v>0</v>
      </c>
      <c r="BJ141" s="711">
        <v>0</v>
      </c>
      <c r="BK141" s="712">
        <v>0</v>
      </c>
      <c r="BL141" s="711">
        <v>0</v>
      </c>
      <c r="BM141" s="712">
        <v>0</v>
      </c>
      <c r="BN141" s="711">
        <v>0</v>
      </c>
      <c r="BO141" s="712">
        <v>0</v>
      </c>
      <c r="BP141" s="711">
        <v>0</v>
      </c>
      <c r="BQ141" s="712">
        <v>0</v>
      </c>
      <c r="BR141" s="711">
        <v>0</v>
      </c>
      <c r="BS141" s="712">
        <v>0</v>
      </c>
      <c r="BT141" s="711">
        <v>0</v>
      </c>
      <c r="BU141" s="712">
        <v>0</v>
      </c>
      <c r="BV141" s="711">
        <v>0</v>
      </c>
      <c r="BW141" s="712">
        <v>0</v>
      </c>
      <c r="BX141" s="711">
        <v>0</v>
      </c>
      <c r="BY141" s="712">
        <v>0</v>
      </c>
      <c r="BZ141" s="711">
        <v>0</v>
      </c>
      <c r="CA141" s="712">
        <v>0</v>
      </c>
      <c r="CB141" s="711">
        <v>0</v>
      </c>
      <c r="CC141" s="710">
        <v>0</v>
      </c>
      <c r="CD141" s="713">
        <v>0</v>
      </c>
      <c r="CE141" s="710">
        <v>0</v>
      </c>
      <c r="CF141" s="713">
        <v>0</v>
      </c>
      <c r="CG141" s="710">
        <v>0</v>
      </c>
      <c r="CH141" s="713">
        <v>0</v>
      </c>
      <c r="CI141" s="710">
        <v>0</v>
      </c>
      <c r="CJ141" s="713">
        <v>0</v>
      </c>
      <c r="CK141" s="710">
        <v>0</v>
      </c>
      <c r="CL141" s="713">
        <v>0</v>
      </c>
      <c r="CM141" s="710">
        <v>0</v>
      </c>
      <c r="CN141" s="713">
        <v>0</v>
      </c>
      <c r="CO141" s="710">
        <v>0</v>
      </c>
      <c r="CP141" s="713">
        <v>0</v>
      </c>
      <c r="CQ141" s="710">
        <v>0</v>
      </c>
      <c r="CR141" s="711">
        <v>0</v>
      </c>
      <c r="CS141" s="710">
        <v>0</v>
      </c>
      <c r="CT141" s="711">
        <v>0</v>
      </c>
      <c r="CU141" s="712">
        <v>0</v>
      </c>
      <c r="CV141" s="711">
        <v>0</v>
      </c>
    </row>
    <row r="142" spans="1:100">
      <c r="A142" s="467">
        <v>140</v>
      </c>
      <c r="B142" s="595">
        <v>0</v>
      </c>
      <c r="C142" s="595">
        <v>0</v>
      </c>
      <c r="D142" s="595">
        <v>0</v>
      </c>
      <c r="E142" s="595">
        <v>0</v>
      </c>
      <c r="F142" s="595">
        <v>0</v>
      </c>
      <c r="G142" s="595">
        <v>0</v>
      </c>
      <c r="H142" s="595">
        <v>0</v>
      </c>
      <c r="I142" s="595">
        <v>0</v>
      </c>
      <c r="J142" s="595">
        <v>0</v>
      </c>
      <c r="K142" s="595">
        <v>0</v>
      </c>
      <c r="L142" s="595">
        <v>0</v>
      </c>
      <c r="M142" s="595">
        <v>0</v>
      </c>
      <c r="N142" s="595">
        <v>0</v>
      </c>
      <c r="O142" s="595">
        <v>0</v>
      </c>
      <c r="P142" s="595">
        <v>0</v>
      </c>
      <c r="Q142" s="595">
        <v>0</v>
      </c>
      <c r="R142" s="595">
        <v>0</v>
      </c>
      <c r="S142" s="595">
        <v>0</v>
      </c>
      <c r="T142" s="595">
        <v>0</v>
      </c>
      <c r="U142" s="595">
        <v>0</v>
      </c>
      <c r="V142" s="595">
        <v>0</v>
      </c>
      <c r="W142" s="611">
        <v>0</v>
      </c>
      <c r="X142" s="706"/>
      <c r="Y142" s="706"/>
      <c r="Z142" s="706"/>
      <c r="AA142" s="706"/>
      <c r="AB142" s="706"/>
      <c r="AC142" s="706"/>
      <c r="AD142" s="706"/>
      <c r="AE142" s="703">
        <v>0</v>
      </c>
      <c r="AF142" s="704">
        <v>0</v>
      </c>
      <c r="AG142" s="705">
        <v>0</v>
      </c>
      <c r="AH142" s="706">
        <v>0</v>
      </c>
      <c r="AI142" s="705">
        <v>0</v>
      </c>
      <c r="AJ142" s="703">
        <v>0</v>
      </c>
      <c r="AK142" s="705">
        <v>0</v>
      </c>
      <c r="AL142" s="707">
        <v>0</v>
      </c>
      <c r="AM142" s="703">
        <v>0</v>
      </c>
      <c r="AN142" s="703">
        <v>0</v>
      </c>
      <c r="AO142" s="707">
        <v>0</v>
      </c>
      <c r="AP142" s="708">
        <v>0</v>
      </c>
      <c r="AQ142" s="705">
        <v>0</v>
      </c>
      <c r="AR142" s="703">
        <v>0</v>
      </c>
      <c r="AS142" s="705">
        <v>0</v>
      </c>
      <c r="AT142" s="709">
        <v>0</v>
      </c>
      <c r="AU142" s="703">
        <v>0</v>
      </c>
      <c r="AV142" s="705">
        <v>0</v>
      </c>
      <c r="AW142" s="710">
        <v>0</v>
      </c>
      <c r="AX142" s="711">
        <v>0</v>
      </c>
      <c r="AY142" s="710">
        <v>0</v>
      </c>
      <c r="AZ142" s="711">
        <v>0</v>
      </c>
      <c r="BA142" s="710">
        <v>0</v>
      </c>
      <c r="BB142" s="711">
        <v>0</v>
      </c>
      <c r="BC142" s="712">
        <v>0</v>
      </c>
      <c r="BD142" s="713">
        <v>0</v>
      </c>
      <c r="BE142" s="710">
        <v>0</v>
      </c>
      <c r="BF142" s="711">
        <v>0</v>
      </c>
      <c r="BG142" s="712">
        <v>0</v>
      </c>
      <c r="BH142" s="711">
        <v>0</v>
      </c>
      <c r="BI142" s="712">
        <v>0</v>
      </c>
      <c r="BJ142" s="711">
        <v>0</v>
      </c>
      <c r="BK142" s="712">
        <v>0</v>
      </c>
      <c r="BL142" s="711">
        <v>0</v>
      </c>
      <c r="BM142" s="712">
        <v>0</v>
      </c>
      <c r="BN142" s="711">
        <v>0</v>
      </c>
      <c r="BO142" s="712">
        <v>0</v>
      </c>
      <c r="BP142" s="711">
        <v>0</v>
      </c>
      <c r="BQ142" s="712">
        <v>0</v>
      </c>
      <c r="BR142" s="711">
        <v>0</v>
      </c>
      <c r="BS142" s="712">
        <v>0</v>
      </c>
      <c r="BT142" s="711">
        <v>0</v>
      </c>
      <c r="BU142" s="712">
        <v>0</v>
      </c>
      <c r="BV142" s="711">
        <v>0</v>
      </c>
      <c r="BW142" s="712">
        <v>0</v>
      </c>
      <c r="BX142" s="711">
        <v>0</v>
      </c>
      <c r="BY142" s="712">
        <v>0</v>
      </c>
      <c r="BZ142" s="711">
        <v>0</v>
      </c>
      <c r="CA142" s="712">
        <v>0</v>
      </c>
      <c r="CB142" s="711">
        <v>0</v>
      </c>
      <c r="CC142" s="710">
        <v>0</v>
      </c>
      <c r="CD142" s="713">
        <v>0</v>
      </c>
      <c r="CE142" s="710">
        <v>0</v>
      </c>
      <c r="CF142" s="713">
        <v>0</v>
      </c>
      <c r="CG142" s="710">
        <v>0</v>
      </c>
      <c r="CH142" s="713">
        <v>0</v>
      </c>
      <c r="CI142" s="710">
        <v>0</v>
      </c>
      <c r="CJ142" s="713">
        <v>0</v>
      </c>
      <c r="CK142" s="710">
        <v>0</v>
      </c>
      <c r="CL142" s="713">
        <v>0</v>
      </c>
      <c r="CM142" s="710">
        <v>0</v>
      </c>
      <c r="CN142" s="713">
        <v>0</v>
      </c>
      <c r="CO142" s="710">
        <v>0</v>
      </c>
      <c r="CP142" s="713">
        <v>0</v>
      </c>
      <c r="CQ142" s="710">
        <v>0</v>
      </c>
      <c r="CR142" s="711">
        <v>0</v>
      </c>
      <c r="CS142" s="710">
        <v>0</v>
      </c>
      <c r="CT142" s="711">
        <v>0</v>
      </c>
      <c r="CU142" s="712">
        <v>0</v>
      </c>
      <c r="CV142" s="711">
        <v>0</v>
      </c>
    </row>
    <row r="143" spans="1:100">
      <c r="A143" s="467">
        <v>141</v>
      </c>
      <c r="B143" s="595">
        <v>0</v>
      </c>
      <c r="C143" s="595">
        <v>0</v>
      </c>
      <c r="D143" s="595">
        <v>0</v>
      </c>
      <c r="E143" s="595">
        <v>0</v>
      </c>
      <c r="F143" s="595">
        <v>0</v>
      </c>
      <c r="G143" s="595">
        <v>0</v>
      </c>
      <c r="H143" s="595">
        <v>0</v>
      </c>
      <c r="I143" s="595">
        <v>0</v>
      </c>
      <c r="J143" s="595">
        <v>0</v>
      </c>
      <c r="K143" s="595">
        <v>0</v>
      </c>
      <c r="L143" s="595">
        <v>0</v>
      </c>
      <c r="M143" s="595">
        <v>0</v>
      </c>
      <c r="N143" s="595">
        <v>0</v>
      </c>
      <c r="O143" s="595">
        <v>0</v>
      </c>
      <c r="P143" s="595">
        <v>0</v>
      </c>
      <c r="Q143" s="595">
        <v>0</v>
      </c>
      <c r="R143" s="595">
        <v>0</v>
      </c>
      <c r="S143" s="595">
        <v>0</v>
      </c>
      <c r="T143" s="595">
        <v>0</v>
      </c>
      <c r="U143" s="595">
        <v>0</v>
      </c>
      <c r="V143" s="595">
        <v>0</v>
      </c>
      <c r="W143" s="611">
        <v>0</v>
      </c>
      <c r="X143" s="706"/>
      <c r="Y143" s="706"/>
      <c r="Z143" s="706"/>
      <c r="AA143" s="706"/>
      <c r="AB143" s="706"/>
      <c r="AC143" s="706"/>
      <c r="AD143" s="706"/>
      <c r="AE143" s="703">
        <v>0</v>
      </c>
      <c r="AF143" s="704">
        <v>0</v>
      </c>
      <c r="AG143" s="705">
        <v>0</v>
      </c>
      <c r="AH143" s="706">
        <v>0</v>
      </c>
      <c r="AI143" s="705">
        <v>0</v>
      </c>
      <c r="AJ143" s="703">
        <v>0</v>
      </c>
      <c r="AK143" s="705">
        <v>0</v>
      </c>
      <c r="AL143" s="707">
        <v>0</v>
      </c>
      <c r="AM143" s="703">
        <v>0</v>
      </c>
      <c r="AN143" s="703">
        <v>0</v>
      </c>
      <c r="AO143" s="707">
        <v>0</v>
      </c>
      <c r="AP143" s="708">
        <v>0</v>
      </c>
      <c r="AQ143" s="705">
        <v>0</v>
      </c>
      <c r="AR143" s="703">
        <v>0</v>
      </c>
      <c r="AS143" s="705">
        <v>0</v>
      </c>
      <c r="AT143" s="709">
        <v>0</v>
      </c>
      <c r="AU143" s="703">
        <v>0</v>
      </c>
      <c r="AV143" s="705">
        <v>0</v>
      </c>
      <c r="AW143" s="710">
        <v>0</v>
      </c>
      <c r="AX143" s="711">
        <v>0</v>
      </c>
      <c r="AY143" s="710">
        <v>0</v>
      </c>
      <c r="AZ143" s="711">
        <v>0</v>
      </c>
      <c r="BA143" s="710">
        <v>0</v>
      </c>
      <c r="BB143" s="711">
        <v>0</v>
      </c>
      <c r="BC143" s="712">
        <v>0</v>
      </c>
      <c r="BD143" s="713">
        <v>0</v>
      </c>
      <c r="BE143" s="710">
        <v>0</v>
      </c>
      <c r="BF143" s="711">
        <v>0</v>
      </c>
      <c r="BG143" s="712">
        <v>0</v>
      </c>
      <c r="BH143" s="711">
        <v>0</v>
      </c>
      <c r="BI143" s="712">
        <v>0</v>
      </c>
      <c r="BJ143" s="711">
        <v>0</v>
      </c>
      <c r="BK143" s="712">
        <v>0</v>
      </c>
      <c r="BL143" s="711">
        <v>0</v>
      </c>
      <c r="BM143" s="712">
        <v>0</v>
      </c>
      <c r="BN143" s="711">
        <v>0</v>
      </c>
      <c r="BO143" s="712">
        <v>0</v>
      </c>
      <c r="BP143" s="711">
        <v>0</v>
      </c>
      <c r="BQ143" s="712">
        <v>0</v>
      </c>
      <c r="BR143" s="711">
        <v>0</v>
      </c>
      <c r="BS143" s="712">
        <v>0</v>
      </c>
      <c r="BT143" s="711">
        <v>0</v>
      </c>
      <c r="BU143" s="712">
        <v>0</v>
      </c>
      <c r="BV143" s="711">
        <v>0</v>
      </c>
      <c r="BW143" s="712">
        <v>0</v>
      </c>
      <c r="BX143" s="711">
        <v>0</v>
      </c>
      <c r="BY143" s="712">
        <v>0</v>
      </c>
      <c r="BZ143" s="711">
        <v>0</v>
      </c>
      <c r="CA143" s="712">
        <v>0</v>
      </c>
      <c r="CB143" s="711">
        <v>0</v>
      </c>
      <c r="CC143" s="710">
        <v>0</v>
      </c>
      <c r="CD143" s="713">
        <v>0</v>
      </c>
      <c r="CE143" s="710">
        <v>0</v>
      </c>
      <c r="CF143" s="713">
        <v>0</v>
      </c>
      <c r="CG143" s="710">
        <v>0</v>
      </c>
      <c r="CH143" s="713">
        <v>0</v>
      </c>
      <c r="CI143" s="710">
        <v>0</v>
      </c>
      <c r="CJ143" s="713">
        <v>0</v>
      </c>
      <c r="CK143" s="710">
        <v>0</v>
      </c>
      <c r="CL143" s="713">
        <v>0</v>
      </c>
      <c r="CM143" s="710">
        <v>0</v>
      </c>
      <c r="CN143" s="713">
        <v>0</v>
      </c>
      <c r="CO143" s="710">
        <v>0</v>
      </c>
      <c r="CP143" s="713">
        <v>0</v>
      </c>
      <c r="CQ143" s="710">
        <v>0</v>
      </c>
      <c r="CR143" s="711">
        <v>0</v>
      </c>
      <c r="CS143" s="710">
        <v>0</v>
      </c>
      <c r="CT143" s="711">
        <v>0</v>
      </c>
      <c r="CU143" s="712">
        <v>0</v>
      </c>
      <c r="CV143" s="711">
        <v>0</v>
      </c>
    </row>
    <row r="144" spans="1:100">
      <c r="A144" s="467">
        <v>142</v>
      </c>
      <c r="B144" s="595">
        <v>0</v>
      </c>
      <c r="C144" s="595">
        <v>0</v>
      </c>
      <c r="D144" s="595">
        <v>0</v>
      </c>
      <c r="E144" s="595">
        <v>0</v>
      </c>
      <c r="F144" s="595">
        <v>0</v>
      </c>
      <c r="G144" s="595">
        <v>0</v>
      </c>
      <c r="H144" s="595">
        <v>0</v>
      </c>
      <c r="I144" s="595">
        <v>0</v>
      </c>
      <c r="J144" s="595">
        <v>0</v>
      </c>
      <c r="K144" s="595">
        <v>0</v>
      </c>
      <c r="L144" s="595">
        <v>0</v>
      </c>
      <c r="M144" s="595">
        <v>0</v>
      </c>
      <c r="N144" s="595">
        <v>0</v>
      </c>
      <c r="O144" s="595">
        <v>0</v>
      </c>
      <c r="P144" s="595">
        <v>0</v>
      </c>
      <c r="Q144" s="595">
        <v>0</v>
      </c>
      <c r="R144" s="595">
        <v>0</v>
      </c>
      <c r="S144" s="595">
        <v>0</v>
      </c>
      <c r="T144" s="595">
        <v>0</v>
      </c>
      <c r="U144" s="595">
        <v>0</v>
      </c>
      <c r="V144" s="595">
        <v>0</v>
      </c>
      <c r="W144" s="611">
        <v>0</v>
      </c>
      <c r="X144" s="706"/>
      <c r="Y144" s="706"/>
      <c r="Z144" s="706"/>
      <c r="AA144" s="706"/>
      <c r="AB144" s="706"/>
      <c r="AC144" s="706"/>
      <c r="AD144" s="706"/>
      <c r="AE144" s="703">
        <v>0</v>
      </c>
      <c r="AF144" s="704">
        <v>0</v>
      </c>
      <c r="AG144" s="705">
        <v>0</v>
      </c>
      <c r="AH144" s="706">
        <v>0</v>
      </c>
      <c r="AI144" s="705">
        <v>0</v>
      </c>
      <c r="AJ144" s="703">
        <v>0</v>
      </c>
      <c r="AK144" s="705">
        <v>0</v>
      </c>
      <c r="AL144" s="707">
        <v>0</v>
      </c>
      <c r="AM144" s="703">
        <v>0</v>
      </c>
      <c r="AN144" s="703">
        <v>0</v>
      </c>
      <c r="AO144" s="707">
        <v>0</v>
      </c>
      <c r="AP144" s="708">
        <v>0</v>
      </c>
      <c r="AQ144" s="705">
        <v>0</v>
      </c>
      <c r="AR144" s="703">
        <v>0</v>
      </c>
      <c r="AS144" s="705">
        <v>0</v>
      </c>
      <c r="AT144" s="709">
        <v>0</v>
      </c>
      <c r="AU144" s="703">
        <v>0</v>
      </c>
      <c r="AV144" s="705">
        <v>0</v>
      </c>
      <c r="AW144" s="710">
        <v>0</v>
      </c>
      <c r="AX144" s="711">
        <v>0</v>
      </c>
      <c r="AY144" s="710">
        <v>0</v>
      </c>
      <c r="AZ144" s="711">
        <v>0</v>
      </c>
      <c r="BA144" s="710">
        <v>0</v>
      </c>
      <c r="BB144" s="711">
        <v>0</v>
      </c>
      <c r="BC144" s="712">
        <v>0</v>
      </c>
      <c r="BD144" s="713">
        <v>0</v>
      </c>
      <c r="BE144" s="710">
        <v>0</v>
      </c>
      <c r="BF144" s="711">
        <v>0</v>
      </c>
      <c r="BG144" s="712">
        <v>0</v>
      </c>
      <c r="BH144" s="711">
        <v>0</v>
      </c>
      <c r="BI144" s="712">
        <v>0</v>
      </c>
      <c r="BJ144" s="711">
        <v>0</v>
      </c>
      <c r="BK144" s="712">
        <v>0</v>
      </c>
      <c r="BL144" s="711">
        <v>0</v>
      </c>
      <c r="BM144" s="712">
        <v>0</v>
      </c>
      <c r="BN144" s="711">
        <v>0</v>
      </c>
      <c r="BO144" s="712">
        <v>0</v>
      </c>
      <c r="BP144" s="711">
        <v>0</v>
      </c>
      <c r="BQ144" s="712">
        <v>0</v>
      </c>
      <c r="BR144" s="711">
        <v>0</v>
      </c>
      <c r="BS144" s="712">
        <v>0</v>
      </c>
      <c r="BT144" s="711">
        <v>0</v>
      </c>
      <c r="BU144" s="712">
        <v>0</v>
      </c>
      <c r="BV144" s="711">
        <v>0</v>
      </c>
      <c r="BW144" s="712">
        <v>0</v>
      </c>
      <c r="BX144" s="711">
        <v>0</v>
      </c>
      <c r="BY144" s="712">
        <v>0</v>
      </c>
      <c r="BZ144" s="711">
        <v>0</v>
      </c>
      <c r="CA144" s="712">
        <v>0</v>
      </c>
      <c r="CB144" s="711">
        <v>0</v>
      </c>
      <c r="CC144" s="710">
        <v>0</v>
      </c>
      <c r="CD144" s="713">
        <v>0</v>
      </c>
      <c r="CE144" s="710">
        <v>0</v>
      </c>
      <c r="CF144" s="713">
        <v>0</v>
      </c>
      <c r="CG144" s="710">
        <v>0</v>
      </c>
      <c r="CH144" s="713">
        <v>0</v>
      </c>
      <c r="CI144" s="710">
        <v>0</v>
      </c>
      <c r="CJ144" s="713">
        <v>0</v>
      </c>
      <c r="CK144" s="710">
        <v>0</v>
      </c>
      <c r="CL144" s="713">
        <v>0</v>
      </c>
      <c r="CM144" s="710">
        <v>0</v>
      </c>
      <c r="CN144" s="713">
        <v>0</v>
      </c>
      <c r="CO144" s="710">
        <v>0</v>
      </c>
      <c r="CP144" s="713">
        <v>0</v>
      </c>
      <c r="CQ144" s="710">
        <v>0</v>
      </c>
      <c r="CR144" s="711">
        <v>0</v>
      </c>
      <c r="CS144" s="710">
        <v>0</v>
      </c>
      <c r="CT144" s="711">
        <v>0</v>
      </c>
      <c r="CU144" s="712">
        <v>0</v>
      </c>
      <c r="CV144" s="711">
        <v>0</v>
      </c>
    </row>
    <row r="145" spans="1:100">
      <c r="A145" s="467">
        <v>143</v>
      </c>
      <c r="B145" s="595">
        <v>0</v>
      </c>
      <c r="C145" s="595">
        <v>0</v>
      </c>
      <c r="D145" s="595">
        <v>0</v>
      </c>
      <c r="E145" s="595">
        <v>0</v>
      </c>
      <c r="F145" s="595">
        <v>0</v>
      </c>
      <c r="G145" s="595">
        <v>0</v>
      </c>
      <c r="H145" s="595">
        <v>0</v>
      </c>
      <c r="I145" s="595">
        <v>0</v>
      </c>
      <c r="J145" s="595">
        <v>0</v>
      </c>
      <c r="K145" s="595">
        <v>0</v>
      </c>
      <c r="L145" s="595">
        <v>0</v>
      </c>
      <c r="M145" s="595">
        <v>0</v>
      </c>
      <c r="N145" s="595">
        <v>0</v>
      </c>
      <c r="O145" s="595">
        <v>0</v>
      </c>
      <c r="P145" s="595">
        <v>0</v>
      </c>
      <c r="Q145" s="595">
        <v>0</v>
      </c>
      <c r="R145" s="595">
        <v>0</v>
      </c>
      <c r="S145" s="595">
        <v>0</v>
      </c>
      <c r="T145" s="595">
        <v>0</v>
      </c>
      <c r="U145" s="595">
        <v>0</v>
      </c>
      <c r="V145" s="595">
        <v>0</v>
      </c>
      <c r="W145" s="611">
        <v>0</v>
      </c>
      <c r="X145" s="706"/>
      <c r="Y145" s="706"/>
      <c r="Z145" s="706"/>
      <c r="AA145" s="706"/>
      <c r="AB145" s="706"/>
      <c r="AC145" s="706"/>
      <c r="AD145" s="706"/>
      <c r="AE145" s="703">
        <v>0</v>
      </c>
      <c r="AF145" s="704">
        <v>0</v>
      </c>
      <c r="AG145" s="705">
        <v>0</v>
      </c>
      <c r="AH145" s="706">
        <v>0</v>
      </c>
      <c r="AI145" s="705">
        <v>0</v>
      </c>
      <c r="AJ145" s="703">
        <v>0</v>
      </c>
      <c r="AK145" s="705">
        <v>0</v>
      </c>
      <c r="AL145" s="707">
        <v>0</v>
      </c>
      <c r="AM145" s="703">
        <v>0</v>
      </c>
      <c r="AN145" s="703">
        <v>0</v>
      </c>
      <c r="AO145" s="707">
        <v>0</v>
      </c>
      <c r="AP145" s="708">
        <v>0</v>
      </c>
      <c r="AQ145" s="705">
        <v>0</v>
      </c>
      <c r="AR145" s="703">
        <v>0</v>
      </c>
      <c r="AS145" s="705">
        <v>0</v>
      </c>
      <c r="AT145" s="709">
        <v>0</v>
      </c>
      <c r="AU145" s="703">
        <v>0</v>
      </c>
      <c r="AV145" s="705">
        <v>0</v>
      </c>
      <c r="AW145" s="710">
        <v>0</v>
      </c>
      <c r="AX145" s="711">
        <v>0</v>
      </c>
      <c r="AY145" s="710">
        <v>0</v>
      </c>
      <c r="AZ145" s="711">
        <v>0</v>
      </c>
      <c r="BA145" s="710">
        <v>0</v>
      </c>
      <c r="BB145" s="711">
        <v>0</v>
      </c>
      <c r="BC145" s="712">
        <v>0</v>
      </c>
      <c r="BD145" s="713">
        <v>0</v>
      </c>
      <c r="BE145" s="710">
        <v>0</v>
      </c>
      <c r="BF145" s="711">
        <v>0</v>
      </c>
      <c r="BG145" s="712">
        <v>0</v>
      </c>
      <c r="BH145" s="711">
        <v>0</v>
      </c>
      <c r="BI145" s="712">
        <v>0</v>
      </c>
      <c r="BJ145" s="711">
        <v>0</v>
      </c>
      <c r="BK145" s="712">
        <v>0</v>
      </c>
      <c r="BL145" s="711">
        <v>0</v>
      </c>
      <c r="BM145" s="712">
        <v>0</v>
      </c>
      <c r="BN145" s="711">
        <v>0</v>
      </c>
      <c r="BO145" s="712">
        <v>0</v>
      </c>
      <c r="BP145" s="711">
        <v>0</v>
      </c>
      <c r="BQ145" s="712">
        <v>0</v>
      </c>
      <c r="BR145" s="711">
        <v>0</v>
      </c>
      <c r="BS145" s="712">
        <v>0</v>
      </c>
      <c r="BT145" s="711">
        <v>0</v>
      </c>
      <c r="BU145" s="712">
        <v>0</v>
      </c>
      <c r="BV145" s="711">
        <v>0</v>
      </c>
      <c r="BW145" s="712">
        <v>0</v>
      </c>
      <c r="BX145" s="711">
        <v>0</v>
      </c>
      <c r="BY145" s="712">
        <v>0</v>
      </c>
      <c r="BZ145" s="711">
        <v>0</v>
      </c>
      <c r="CA145" s="712">
        <v>0</v>
      </c>
      <c r="CB145" s="711">
        <v>0</v>
      </c>
      <c r="CC145" s="710">
        <v>0</v>
      </c>
      <c r="CD145" s="713">
        <v>0</v>
      </c>
      <c r="CE145" s="710">
        <v>0</v>
      </c>
      <c r="CF145" s="713">
        <v>0</v>
      </c>
      <c r="CG145" s="710">
        <v>0</v>
      </c>
      <c r="CH145" s="713">
        <v>0</v>
      </c>
      <c r="CI145" s="710">
        <v>0</v>
      </c>
      <c r="CJ145" s="713">
        <v>0</v>
      </c>
      <c r="CK145" s="710">
        <v>0</v>
      </c>
      <c r="CL145" s="713">
        <v>0</v>
      </c>
      <c r="CM145" s="710">
        <v>0</v>
      </c>
      <c r="CN145" s="713">
        <v>0</v>
      </c>
      <c r="CO145" s="710">
        <v>0</v>
      </c>
      <c r="CP145" s="713">
        <v>0</v>
      </c>
      <c r="CQ145" s="710">
        <v>0</v>
      </c>
      <c r="CR145" s="711">
        <v>0</v>
      </c>
      <c r="CS145" s="710">
        <v>0</v>
      </c>
      <c r="CT145" s="711">
        <v>0</v>
      </c>
      <c r="CU145" s="712">
        <v>0</v>
      </c>
      <c r="CV145" s="711">
        <v>0</v>
      </c>
    </row>
    <row r="146" spans="1:100">
      <c r="A146" s="467">
        <v>144</v>
      </c>
      <c r="B146" s="595">
        <v>0</v>
      </c>
      <c r="C146" s="595">
        <v>0</v>
      </c>
      <c r="D146" s="595">
        <v>0</v>
      </c>
      <c r="E146" s="595">
        <v>0</v>
      </c>
      <c r="F146" s="595">
        <v>0</v>
      </c>
      <c r="G146" s="595">
        <v>0</v>
      </c>
      <c r="H146" s="595">
        <v>0</v>
      </c>
      <c r="I146" s="595">
        <v>0</v>
      </c>
      <c r="J146" s="595">
        <v>0</v>
      </c>
      <c r="K146" s="595">
        <v>0</v>
      </c>
      <c r="L146" s="595">
        <v>0</v>
      </c>
      <c r="M146" s="595">
        <v>0</v>
      </c>
      <c r="N146" s="595">
        <v>0</v>
      </c>
      <c r="O146" s="595">
        <v>0</v>
      </c>
      <c r="P146" s="595">
        <v>0</v>
      </c>
      <c r="Q146" s="595">
        <v>0</v>
      </c>
      <c r="R146" s="595">
        <v>0</v>
      </c>
      <c r="S146" s="595">
        <v>0</v>
      </c>
      <c r="T146" s="595">
        <v>0</v>
      </c>
      <c r="U146" s="595">
        <v>0</v>
      </c>
      <c r="V146" s="595">
        <v>0</v>
      </c>
      <c r="W146" s="611">
        <v>0</v>
      </c>
      <c r="X146" s="706"/>
      <c r="Y146" s="706"/>
      <c r="Z146" s="706"/>
      <c r="AA146" s="706"/>
      <c r="AB146" s="706"/>
      <c r="AC146" s="706"/>
      <c r="AD146" s="706"/>
      <c r="AE146" s="703">
        <v>0</v>
      </c>
      <c r="AF146" s="704">
        <v>0</v>
      </c>
      <c r="AG146" s="705">
        <v>0</v>
      </c>
      <c r="AH146" s="706">
        <v>0</v>
      </c>
      <c r="AI146" s="705">
        <v>0</v>
      </c>
      <c r="AJ146" s="703">
        <v>0</v>
      </c>
      <c r="AK146" s="705">
        <v>0</v>
      </c>
      <c r="AL146" s="707">
        <v>0</v>
      </c>
      <c r="AM146" s="703">
        <v>0</v>
      </c>
      <c r="AN146" s="703">
        <v>0</v>
      </c>
      <c r="AO146" s="707">
        <v>0</v>
      </c>
      <c r="AP146" s="708">
        <v>2E-3</v>
      </c>
      <c r="AQ146" s="705">
        <v>0</v>
      </c>
      <c r="AR146" s="703">
        <v>0</v>
      </c>
      <c r="AS146" s="705">
        <v>0</v>
      </c>
      <c r="AT146" s="709">
        <v>0</v>
      </c>
      <c r="AU146" s="703">
        <v>0</v>
      </c>
      <c r="AV146" s="705">
        <v>0</v>
      </c>
      <c r="AW146" s="710">
        <v>0</v>
      </c>
      <c r="AX146" s="711">
        <v>0</v>
      </c>
      <c r="AY146" s="710">
        <v>0</v>
      </c>
      <c r="AZ146" s="711">
        <v>0</v>
      </c>
      <c r="BA146" s="710">
        <v>0</v>
      </c>
      <c r="BB146" s="711">
        <v>0</v>
      </c>
      <c r="BC146" s="712">
        <v>0</v>
      </c>
      <c r="BD146" s="713">
        <v>0</v>
      </c>
      <c r="BE146" s="710">
        <v>0</v>
      </c>
      <c r="BF146" s="711">
        <v>0</v>
      </c>
      <c r="BG146" s="712">
        <v>0</v>
      </c>
      <c r="BH146" s="711">
        <v>0</v>
      </c>
      <c r="BI146" s="712">
        <v>0</v>
      </c>
      <c r="BJ146" s="711">
        <v>0</v>
      </c>
      <c r="BK146" s="712">
        <v>0</v>
      </c>
      <c r="BL146" s="711">
        <v>0</v>
      </c>
      <c r="BM146" s="712">
        <v>0</v>
      </c>
      <c r="BN146" s="711">
        <v>0</v>
      </c>
      <c r="BO146" s="712">
        <v>0</v>
      </c>
      <c r="BP146" s="711">
        <v>0</v>
      </c>
      <c r="BQ146" s="712">
        <v>0</v>
      </c>
      <c r="BR146" s="711">
        <v>0</v>
      </c>
      <c r="BS146" s="712">
        <v>0</v>
      </c>
      <c r="BT146" s="711">
        <v>0</v>
      </c>
      <c r="BU146" s="712">
        <v>0</v>
      </c>
      <c r="BV146" s="711">
        <v>0</v>
      </c>
      <c r="BW146" s="712">
        <v>0</v>
      </c>
      <c r="BX146" s="711">
        <v>0</v>
      </c>
      <c r="BY146" s="712">
        <v>0</v>
      </c>
      <c r="BZ146" s="711">
        <v>0</v>
      </c>
      <c r="CA146" s="712">
        <v>0</v>
      </c>
      <c r="CB146" s="711">
        <v>0</v>
      </c>
      <c r="CC146" s="710">
        <v>0</v>
      </c>
      <c r="CD146" s="713">
        <v>0</v>
      </c>
      <c r="CE146" s="710">
        <v>0</v>
      </c>
      <c r="CF146" s="713">
        <v>0</v>
      </c>
      <c r="CG146" s="710">
        <v>0</v>
      </c>
      <c r="CH146" s="713">
        <v>0</v>
      </c>
      <c r="CI146" s="710">
        <v>0</v>
      </c>
      <c r="CJ146" s="713">
        <v>0</v>
      </c>
      <c r="CK146" s="710">
        <v>0</v>
      </c>
      <c r="CL146" s="713">
        <v>0</v>
      </c>
      <c r="CM146" s="710">
        <v>0</v>
      </c>
      <c r="CN146" s="713">
        <v>0</v>
      </c>
      <c r="CO146" s="710">
        <v>0</v>
      </c>
      <c r="CP146" s="713">
        <v>0</v>
      </c>
      <c r="CQ146" s="710">
        <v>0</v>
      </c>
      <c r="CR146" s="711">
        <v>0</v>
      </c>
      <c r="CS146" s="710">
        <v>0</v>
      </c>
      <c r="CT146" s="711">
        <v>0</v>
      </c>
      <c r="CU146" s="712">
        <v>0</v>
      </c>
      <c r="CV146" s="711">
        <v>0</v>
      </c>
    </row>
    <row r="147" spans="1:100">
      <c r="A147" s="467">
        <v>145</v>
      </c>
      <c r="B147" s="595">
        <v>0</v>
      </c>
      <c r="C147" s="595">
        <v>0</v>
      </c>
      <c r="D147" s="595">
        <v>0</v>
      </c>
      <c r="E147" s="595">
        <v>0</v>
      </c>
      <c r="F147" s="595">
        <v>0</v>
      </c>
      <c r="G147" s="595">
        <v>0</v>
      </c>
      <c r="H147" s="595">
        <v>0</v>
      </c>
      <c r="I147" s="595">
        <v>0</v>
      </c>
      <c r="J147" s="595">
        <v>0</v>
      </c>
      <c r="K147" s="595">
        <v>0</v>
      </c>
      <c r="L147" s="595">
        <v>0</v>
      </c>
      <c r="M147" s="595">
        <v>0</v>
      </c>
      <c r="N147" s="595">
        <v>0</v>
      </c>
      <c r="O147" s="595">
        <v>0</v>
      </c>
      <c r="P147" s="595">
        <v>0</v>
      </c>
      <c r="Q147" s="595">
        <v>0</v>
      </c>
      <c r="R147" s="595">
        <v>0</v>
      </c>
      <c r="S147" s="595">
        <v>0</v>
      </c>
      <c r="T147" s="595">
        <v>0</v>
      </c>
      <c r="U147" s="595">
        <v>0</v>
      </c>
      <c r="V147" s="595">
        <v>0</v>
      </c>
      <c r="W147" s="611">
        <v>0</v>
      </c>
      <c r="X147" s="706"/>
      <c r="Y147" s="706"/>
      <c r="Z147" s="706"/>
      <c r="AA147" s="706"/>
      <c r="AB147" s="706"/>
      <c r="AC147" s="706"/>
      <c r="AD147" s="706"/>
      <c r="AE147" s="703">
        <v>0</v>
      </c>
      <c r="AF147" s="704">
        <v>0</v>
      </c>
      <c r="AG147" s="705">
        <v>0</v>
      </c>
      <c r="AH147" s="706">
        <v>0</v>
      </c>
      <c r="AI147" s="705">
        <v>0</v>
      </c>
      <c r="AJ147" s="703">
        <v>0</v>
      </c>
      <c r="AK147" s="705">
        <v>0</v>
      </c>
      <c r="AL147" s="707">
        <v>0</v>
      </c>
      <c r="AM147" s="703">
        <v>0</v>
      </c>
      <c r="AN147" s="703">
        <v>0</v>
      </c>
      <c r="AO147" s="707">
        <v>0</v>
      </c>
      <c r="AP147" s="708">
        <v>0</v>
      </c>
      <c r="AQ147" s="705">
        <v>0</v>
      </c>
      <c r="AR147" s="703">
        <v>0</v>
      </c>
      <c r="AS147" s="705">
        <v>0</v>
      </c>
      <c r="AT147" s="709">
        <v>0</v>
      </c>
      <c r="AU147" s="703">
        <v>0</v>
      </c>
      <c r="AV147" s="705">
        <v>0</v>
      </c>
      <c r="AW147" s="710">
        <v>0</v>
      </c>
      <c r="AX147" s="711">
        <v>0</v>
      </c>
      <c r="AY147" s="710">
        <v>0</v>
      </c>
      <c r="AZ147" s="711">
        <v>0</v>
      </c>
      <c r="BA147" s="710">
        <v>0</v>
      </c>
      <c r="BB147" s="711">
        <v>0</v>
      </c>
      <c r="BC147" s="712">
        <v>0</v>
      </c>
      <c r="BD147" s="713">
        <v>0</v>
      </c>
      <c r="BE147" s="710">
        <v>0</v>
      </c>
      <c r="BF147" s="711">
        <v>0</v>
      </c>
      <c r="BG147" s="712">
        <v>0</v>
      </c>
      <c r="BH147" s="711">
        <v>0</v>
      </c>
      <c r="BI147" s="712">
        <v>0</v>
      </c>
      <c r="BJ147" s="711">
        <v>0</v>
      </c>
      <c r="BK147" s="712">
        <v>0</v>
      </c>
      <c r="BL147" s="711">
        <v>0</v>
      </c>
      <c r="BM147" s="712">
        <v>0</v>
      </c>
      <c r="BN147" s="711">
        <v>0</v>
      </c>
      <c r="BO147" s="712">
        <v>0</v>
      </c>
      <c r="BP147" s="711">
        <v>0</v>
      </c>
      <c r="BQ147" s="712">
        <v>0</v>
      </c>
      <c r="BR147" s="711">
        <v>0</v>
      </c>
      <c r="BS147" s="712">
        <v>0</v>
      </c>
      <c r="BT147" s="711">
        <v>0</v>
      </c>
      <c r="BU147" s="712">
        <v>0</v>
      </c>
      <c r="BV147" s="711">
        <v>0</v>
      </c>
      <c r="BW147" s="712">
        <v>0</v>
      </c>
      <c r="BX147" s="711">
        <v>0</v>
      </c>
      <c r="BY147" s="712">
        <v>0</v>
      </c>
      <c r="BZ147" s="711">
        <v>0</v>
      </c>
      <c r="CA147" s="712">
        <v>0</v>
      </c>
      <c r="CB147" s="711">
        <v>0</v>
      </c>
      <c r="CC147" s="710">
        <v>0</v>
      </c>
      <c r="CD147" s="713">
        <v>0</v>
      </c>
      <c r="CE147" s="710">
        <v>0</v>
      </c>
      <c r="CF147" s="713">
        <v>0</v>
      </c>
      <c r="CG147" s="710">
        <v>0</v>
      </c>
      <c r="CH147" s="713">
        <v>0</v>
      </c>
      <c r="CI147" s="710">
        <v>0</v>
      </c>
      <c r="CJ147" s="713">
        <v>0</v>
      </c>
      <c r="CK147" s="710">
        <v>0</v>
      </c>
      <c r="CL147" s="713">
        <v>0</v>
      </c>
      <c r="CM147" s="710">
        <v>0</v>
      </c>
      <c r="CN147" s="713">
        <v>0</v>
      </c>
      <c r="CO147" s="710">
        <v>0</v>
      </c>
      <c r="CP147" s="713">
        <v>0</v>
      </c>
      <c r="CQ147" s="710">
        <v>0</v>
      </c>
      <c r="CR147" s="711">
        <v>0</v>
      </c>
      <c r="CS147" s="710">
        <v>0</v>
      </c>
      <c r="CT147" s="711">
        <v>0</v>
      </c>
      <c r="CU147" s="712">
        <v>0</v>
      </c>
      <c r="CV147" s="711">
        <v>0</v>
      </c>
    </row>
    <row r="148" spans="1:100">
      <c r="A148" s="467">
        <v>146</v>
      </c>
      <c r="B148" s="595">
        <v>0</v>
      </c>
      <c r="C148" s="595">
        <v>0</v>
      </c>
      <c r="D148" s="595">
        <v>0</v>
      </c>
      <c r="E148" s="595">
        <v>0</v>
      </c>
      <c r="F148" s="595">
        <v>0</v>
      </c>
      <c r="G148" s="595">
        <v>0</v>
      </c>
      <c r="H148" s="595">
        <v>0</v>
      </c>
      <c r="I148" s="595">
        <v>0</v>
      </c>
      <c r="J148" s="595">
        <v>0</v>
      </c>
      <c r="K148" s="595">
        <v>0</v>
      </c>
      <c r="L148" s="595">
        <v>0</v>
      </c>
      <c r="M148" s="595">
        <v>0</v>
      </c>
      <c r="N148" s="595">
        <v>0</v>
      </c>
      <c r="O148" s="595">
        <v>0</v>
      </c>
      <c r="P148" s="595">
        <v>0</v>
      </c>
      <c r="Q148" s="595">
        <v>0</v>
      </c>
      <c r="R148" s="595">
        <v>0</v>
      </c>
      <c r="S148" s="595">
        <v>0</v>
      </c>
      <c r="T148" s="595">
        <v>0</v>
      </c>
      <c r="U148" s="595">
        <v>0</v>
      </c>
      <c r="V148" s="595">
        <v>0</v>
      </c>
      <c r="W148" s="611">
        <v>0</v>
      </c>
      <c r="X148" s="706"/>
      <c r="Y148" s="706"/>
      <c r="Z148" s="706"/>
      <c r="AA148" s="706"/>
      <c r="AB148" s="706"/>
      <c r="AC148" s="706"/>
      <c r="AD148" s="706"/>
      <c r="AE148" s="703">
        <v>0</v>
      </c>
      <c r="AF148" s="704">
        <v>0</v>
      </c>
      <c r="AG148" s="705">
        <v>0</v>
      </c>
      <c r="AH148" s="706">
        <v>0</v>
      </c>
      <c r="AI148" s="705">
        <v>0</v>
      </c>
      <c r="AJ148" s="703">
        <v>0</v>
      </c>
      <c r="AK148" s="705">
        <v>0</v>
      </c>
      <c r="AL148" s="707">
        <v>0</v>
      </c>
      <c r="AM148" s="703">
        <v>0</v>
      </c>
      <c r="AN148" s="703">
        <v>0</v>
      </c>
      <c r="AO148" s="707">
        <v>0</v>
      </c>
      <c r="AP148" s="708">
        <v>0</v>
      </c>
      <c r="AQ148" s="705">
        <v>0</v>
      </c>
      <c r="AR148" s="703">
        <v>0</v>
      </c>
      <c r="AS148" s="705">
        <v>0</v>
      </c>
      <c r="AT148" s="709">
        <v>0</v>
      </c>
      <c r="AU148" s="703">
        <v>0</v>
      </c>
      <c r="AV148" s="705">
        <v>0</v>
      </c>
      <c r="AW148" s="710">
        <v>0</v>
      </c>
      <c r="AX148" s="711">
        <v>0</v>
      </c>
      <c r="AY148" s="710">
        <v>0</v>
      </c>
      <c r="AZ148" s="711">
        <v>0</v>
      </c>
      <c r="BA148" s="710">
        <v>0</v>
      </c>
      <c r="BB148" s="711">
        <v>0</v>
      </c>
      <c r="BC148" s="712">
        <v>0</v>
      </c>
      <c r="BD148" s="713">
        <v>0</v>
      </c>
      <c r="BE148" s="710">
        <v>0</v>
      </c>
      <c r="BF148" s="711">
        <v>0</v>
      </c>
      <c r="BG148" s="712">
        <v>0</v>
      </c>
      <c r="BH148" s="711">
        <v>0</v>
      </c>
      <c r="BI148" s="712">
        <v>0</v>
      </c>
      <c r="BJ148" s="711">
        <v>0</v>
      </c>
      <c r="BK148" s="712">
        <v>0</v>
      </c>
      <c r="BL148" s="711">
        <v>0</v>
      </c>
      <c r="BM148" s="712">
        <v>0</v>
      </c>
      <c r="BN148" s="711">
        <v>0</v>
      </c>
      <c r="BO148" s="712">
        <v>0</v>
      </c>
      <c r="BP148" s="711">
        <v>0</v>
      </c>
      <c r="BQ148" s="712">
        <v>0</v>
      </c>
      <c r="BR148" s="711">
        <v>0</v>
      </c>
      <c r="BS148" s="712">
        <v>0</v>
      </c>
      <c r="BT148" s="711">
        <v>0</v>
      </c>
      <c r="BU148" s="712">
        <v>0</v>
      </c>
      <c r="BV148" s="711">
        <v>0</v>
      </c>
      <c r="BW148" s="712">
        <v>0</v>
      </c>
      <c r="BX148" s="711">
        <v>0</v>
      </c>
      <c r="BY148" s="712">
        <v>0</v>
      </c>
      <c r="BZ148" s="711">
        <v>0</v>
      </c>
      <c r="CA148" s="712">
        <v>0</v>
      </c>
      <c r="CB148" s="711">
        <v>0</v>
      </c>
      <c r="CC148" s="710">
        <v>0</v>
      </c>
      <c r="CD148" s="713">
        <v>0</v>
      </c>
      <c r="CE148" s="710">
        <v>0</v>
      </c>
      <c r="CF148" s="713">
        <v>0</v>
      </c>
      <c r="CG148" s="710">
        <v>0</v>
      </c>
      <c r="CH148" s="713">
        <v>0</v>
      </c>
      <c r="CI148" s="710">
        <v>0</v>
      </c>
      <c r="CJ148" s="713">
        <v>0</v>
      </c>
      <c r="CK148" s="710">
        <v>0</v>
      </c>
      <c r="CL148" s="713">
        <v>0</v>
      </c>
      <c r="CM148" s="710">
        <v>0</v>
      </c>
      <c r="CN148" s="713">
        <v>0</v>
      </c>
      <c r="CO148" s="710">
        <v>0</v>
      </c>
      <c r="CP148" s="713">
        <v>0</v>
      </c>
      <c r="CQ148" s="710">
        <v>0</v>
      </c>
      <c r="CR148" s="711">
        <v>0</v>
      </c>
      <c r="CS148" s="710">
        <v>0</v>
      </c>
      <c r="CT148" s="711">
        <v>0</v>
      </c>
      <c r="CU148" s="712">
        <v>0</v>
      </c>
      <c r="CV148" s="711">
        <v>0</v>
      </c>
    </row>
    <row r="149" spans="1:100">
      <c r="A149" s="467">
        <v>147</v>
      </c>
      <c r="B149" s="595">
        <v>0</v>
      </c>
      <c r="C149" s="595">
        <v>0</v>
      </c>
      <c r="D149" s="595">
        <v>0</v>
      </c>
      <c r="E149" s="595">
        <v>0</v>
      </c>
      <c r="F149" s="595">
        <v>0</v>
      </c>
      <c r="G149" s="595">
        <v>0</v>
      </c>
      <c r="H149" s="595">
        <v>0</v>
      </c>
      <c r="I149" s="595">
        <v>0</v>
      </c>
      <c r="J149" s="595">
        <v>0</v>
      </c>
      <c r="K149" s="595">
        <v>0</v>
      </c>
      <c r="L149" s="595">
        <v>0</v>
      </c>
      <c r="M149" s="595">
        <v>0</v>
      </c>
      <c r="N149" s="595">
        <v>0</v>
      </c>
      <c r="O149" s="595">
        <v>0</v>
      </c>
      <c r="P149" s="595">
        <v>0</v>
      </c>
      <c r="Q149" s="595">
        <v>0</v>
      </c>
      <c r="R149" s="595">
        <v>0</v>
      </c>
      <c r="S149" s="595">
        <v>0</v>
      </c>
      <c r="T149" s="595">
        <v>0</v>
      </c>
      <c r="U149" s="595">
        <v>0</v>
      </c>
      <c r="V149" s="595">
        <v>0</v>
      </c>
      <c r="W149" s="611">
        <v>0</v>
      </c>
      <c r="X149" s="706"/>
      <c r="Y149" s="706"/>
      <c r="Z149" s="706"/>
      <c r="AA149" s="706"/>
      <c r="AB149" s="706"/>
      <c r="AC149" s="706"/>
      <c r="AD149" s="706"/>
      <c r="AE149" s="703">
        <v>0</v>
      </c>
      <c r="AF149" s="704">
        <v>0</v>
      </c>
      <c r="AG149" s="705">
        <v>0</v>
      </c>
      <c r="AH149" s="706">
        <v>0</v>
      </c>
      <c r="AI149" s="705">
        <v>0</v>
      </c>
      <c r="AJ149" s="703">
        <v>0</v>
      </c>
      <c r="AK149" s="705">
        <v>0</v>
      </c>
      <c r="AL149" s="707">
        <v>0</v>
      </c>
      <c r="AM149" s="703">
        <v>0</v>
      </c>
      <c r="AN149" s="703">
        <v>0</v>
      </c>
      <c r="AO149" s="707">
        <v>0</v>
      </c>
      <c r="AP149" s="708">
        <v>0</v>
      </c>
      <c r="AQ149" s="705">
        <v>0</v>
      </c>
      <c r="AR149" s="703">
        <v>0</v>
      </c>
      <c r="AS149" s="705">
        <v>0</v>
      </c>
      <c r="AT149" s="709">
        <v>0</v>
      </c>
      <c r="AU149" s="703">
        <v>0</v>
      </c>
      <c r="AV149" s="705">
        <v>0</v>
      </c>
      <c r="AW149" s="710">
        <v>0</v>
      </c>
      <c r="AX149" s="711">
        <v>0</v>
      </c>
      <c r="AY149" s="710">
        <v>0</v>
      </c>
      <c r="AZ149" s="711">
        <v>0</v>
      </c>
      <c r="BA149" s="710">
        <v>0</v>
      </c>
      <c r="BB149" s="711">
        <v>0</v>
      </c>
      <c r="BC149" s="712">
        <v>0</v>
      </c>
      <c r="BD149" s="713">
        <v>0</v>
      </c>
      <c r="BE149" s="710">
        <v>0</v>
      </c>
      <c r="BF149" s="711">
        <v>0</v>
      </c>
      <c r="BG149" s="712">
        <v>0</v>
      </c>
      <c r="BH149" s="711">
        <v>0</v>
      </c>
      <c r="BI149" s="712">
        <v>0</v>
      </c>
      <c r="BJ149" s="711">
        <v>0</v>
      </c>
      <c r="BK149" s="712">
        <v>0</v>
      </c>
      <c r="BL149" s="711">
        <v>0</v>
      </c>
      <c r="BM149" s="712">
        <v>0</v>
      </c>
      <c r="BN149" s="711">
        <v>0</v>
      </c>
      <c r="BO149" s="712">
        <v>0</v>
      </c>
      <c r="BP149" s="711">
        <v>0</v>
      </c>
      <c r="BQ149" s="712">
        <v>0</v>
      </c>
      <c r="BR149" s="711">
        <v>0</v>
      </c>
      <c r="BS149" s="712">
        <v>0</v>
      </c>
      <c r="BT149" s="711">
        <v>0</v>
      </c>
      <c r="BU149" s="712">
        <v>0</v>
      </c>
      <c r="BV149" s="711">
        <v>0</v>
      </c>
      <c r="BW149" s="712">
        <v>0</v>
      </c>
      <c r="BX149" s="711">
        <v>0</v>
      </c>
      <c r="BY149" s="712">
        <v>0</v>
      </c>
      <c r="BZ149" s="711">
        <v>0</v>
      </c>
      <c r="CA149" s="712">
        <v>0</v>
      </c>
      <c r="CB149" s="711">
        <v>0</v>
      </c>
      <c r="CC149" s="710">
        <v>0</v>
      </c>
      <c r="CD149" s="713">
        <v>0</v>
      </c>
      <c r="CE149" s="710">
        <v>0</v>
      </c>
      <c r="CF149" s="713">
        <v>0</v>
      </c>
      <c r="CG149" s="710">
        <v>0</v>
      </c>
      <c r="CH149" s="713">
        <v>0</v>
      </c>
      <c r="CI149" s="710">
        <v>0</v>
      </c>
      <c r="CJ149" s="713">
        <v>0</v>
      </c>
      <c r="CK149" s="710">
        <v>0</v>
      </c>
      <c r="CL149" s="713">
        <v>0</v>
      </c>
      <c r="CM149" s="710">
        <v>0</v>
      </c>
      <c r="CN149" s="713">
        <v>0</v>
      </c>
      <c r="CO149" s="710">
        <v>0</v>
      </c>
      <c r="CP149" s="713">
        <v>0</v>
      </c>
      <c r="CQ149" s="710">
        <v>0</v>
      </c>
      <c r="CR149" s="711">
        <v>0</v>
      </c>
      <c r="CS149" s="710">
        <v>0</v>
      </c>
      <c r="CT149" s="711">
        <v>0</v>
      </c>
      <c r="CU149" s="712">
        <v>0</v>
      </c>
      <c r="CV149" s="711">
        <v>0</v>
      </c>
    </row>
    <row r="150" spans="1:100">
      <c r="A150" s="467">
        <v>148</v>
      </c>
      <c r="B150" s="595">
        <v>0</v>
      </c>
      <c r="C150" s="595">
        <v>0</v>
      </c>
      <c r="D150" s="595">
        <v>0</v>
      </c>
      <c r="E150" s="595">
        <v>0</v>
      </c>
      <c r="F150" s="595">
        <v>0</v>
      </c>
      <c r="G150" s="595">
        <v>0</v>
      </c>
      <c r="H150" s="595">
        <v>0</v>
      </c>
      <c r="I150" s="595">
        <v>0</v>
      </c>
      <c r="J150" s="595">
        <v>0</v>
      </c>
      <c r="K150" s="595">
        <v>0</v>
      </c>
      <c r="L150" s="595">
        <v>0</v>
      </c>
      <c r="M150" s="595">
        <v>0</v>
      </c>
      <c r="N150" s="595">
        <v>0</v>
      </c>
      <c r="O150" s="595">
        <v>0</v>
      </c>
      <c r="P150" s="595">
        <v>0</v>
      </c>
      <c r="Q150" s="595">
        <v>0</v>
      </c>
      <c r="R150" s="595">
        <v>0</v>
      </c>
      <c r="S150" s="595">
        <v>0</v>
      </c>
      <c r="T150" s="595">
        <v>0</v>
      </c>
      <c r="U150" s="595">
        <v>0</v>
      </c>
      <c r="V150" s="595">
        <v>0</v>
      </c>
      <c r="W150" s="611">
        <v>0</v>
      </c>
      <c r="X150" s="706"/>
      <c r="Y150" s="706"/>
      <c r="Z150" s="706"/>
      <c r="AA150" s="706"/>
      <c r="AB150" s="706"/>
      <c r="AC150" s="706"/>
      <c r="AD150" s="706"/>
      <c r="AE150" s="703">
        <v>0</v>
      </c>
      <c r="AF150" s="704">
        <v>0</v>
      </c>
      <c r="AG150" s="705">
        <v>0</v>
      </c>
      <c r="AH150" s="706">
        <v>0</v>
      </c>
      <c r="AI150" s="705">
        <v>0</v>
      </c>
      <c r="AJ150" s="703">
        <v>0</v>
      </c>
      <c r="AK150" s="705">
        <v>0</v>
      </c>
      <c r="AL150" s="707">
        <v>0</v>
      </c>
      <c r="AM150" s="703">
        <v>0</v>
      </c>
      <c r="AN150" s="703">
        <v>0</v>
      </c>
      <c r="AO150" s="707">
        <v>0</v>
      </c>
      <c r="AP150" s="708">
        <v>0</v>
      </c>
      <c r="AQ150" s="705">
        <v>0</v>
      </c>
      <c r="AR150" s="703">
        <v>0</v>
      </c>
      <c r="AS150" s="705">
        <v>0</v>
      </c>
      <c r="AT150" s="709">
        <v>0</v>
      </c>
      <c r="AU150" s="703">
        <v>0</v>
      </c>
      <c r="AV150" s="705">
        <v>0</v>
      </c>
      <c r="AW150" s="710">
        <v>0</v>
      </c>
      <c r="AX150" s="711">
        <v>0</v>
      </c>
      <c r="AY150" s="710">
        <v>0</v>
      </c>
      <c r="AZ150" s="711">
        <v>0</v>
      </c>
      <c r="BA150" s="710">
        <v>0</v>
      </c>
      <c r="BB150" s="711">
        <v>0</v>
      </c>
      <c r="BC150" s="712">
        <v>0</v>
      </c>
      <c r="BD150" s="713">
        <v>0</v>
      </c>
      <c r="BE150" s="710">
        <v>0</v>
      </c>
      <c r="BF150" s="711">
        <v>0</v>
      </c>
      <c r="BG150" s="712">
        <v>0</v>
      </c>
      <c r="BH150" s="711">
        <v>0</v>
      </c>
      <c r="BI150" s="712">
        <v>0</v>
      </c>
      <c r="BJ150" s="711">
        <v>0</v>
      </c>
      <c r="BK150" s="712">
        <v>0</v>
      </c>
      <c r="BL150" s="711">
        <v>0</v>
      </c>
      <c r="BM150" s="712">
        <v>0</v>
      </c>
      <c r="BN150" s="711">
        <v>0</v>
      </c>
      <c r="BO150" s="712">
        <v>0</v>
      </c>
      <c r="BP150" s="711">
        <v>0</v>
      </c>
      <c r="BQ150" s="712">
        <v>0</v>
      </c>
      <c r="BR150" s="711">
        <v>0</v>
      </c>
      <c r="BS150" s="712">
        <v>0</v>
      </c>
      <c r="BT150" s="711">
        <v>0</v>
      </c>
      <c r="BU150" s="712">
        <v>0</v>
      </c>
      <c r="BV150" s="711">
        <v>0</v>
      </c>
      <c r="BW150" s="712">
        <v>0</v>
      </c>
      <c r="BX150" s="711">
        <v>0</v>
      </c>
      <c r="BY150" s="712">
        <v>0</v>
      </c>
      <c r="BZ150" s="711">
        <v>0</v>
      </c>
      <c r="CA150" s="712">
        <v>0</v>
      </c>
      <c r="CB150" s="711">
        <v>0</v>
      </c>
      <c r="CC150" s="710">
        <v>0</v>
      </c>
      <c r="CD150" s="713">
        <v>0</v>
      </c>
      <c r="CE150" s="710">
        <v>0</v>
      </c>
      <c r="CF150" s="713">
        <v>0</v>
      </c>
      <c r="CG150" s="710">
        <v>0</v>
      </c>
      <c r="CH150" s="713">
        <v>0</v>
      </c>
      <c r="CI150" s="710">
        <v>0</v>
      </c>
      <c r="CJ150" s="713">
        <v>0</v>
      </c>
      <c r="CK150" s="710">
        <v>0</v>
      </c>
      <c r="CL150" s="713">
        <v>0</v>
      </c>
      <c r="CM150" s="710">
        <v>0</v>
      </c>
      <c r="CN150" s="713">
        <v>0</v>
      </c>
      <c r="CO150" s="710">
        <v>0</v>
      </c>
      <c r="CP150" s="713">
        <v>0</v>
      </c>
      <c r="CQ150" s="710">
        <v>0</v>
      </c>
      <c r="CR150" s="711">
        <v>0</v>
      </c>
      <c r="CS150" s="710">
        <v>0</v>
      </c>
      <c r="CT150" s="711">
        <v>0</v>
      </c>
      <c r="CU150" s="712">
        <v>0</v>
      </c>
      <c r="CV150" s="711">
        <v>0</v>
      </c>
    </row>
    <row r="151" spans="1:100">
      <c r="A151" s="467">
        <v>149</v>
      </c>
      <c r="B151" s="595">
        <v>0</v>
      </c>
      <c r="C151" s="595">
        <v>0</v>
      </c>
      <c r="D151" s="595">
        <v>0</v>
      </c>
      <c r="E151" s="595">
        <v>0</v>
      </c>
      <c r="F151" s="595">
        <v>0</v>
      </c>
      <c r="G151" s="595">
        <v>0</v>
      </c>
      <c r="H151" s="595">
        <v>0</v>
      </c>
      <c r="I151" s="595">
        <v>0</v>
      </c>
      <c r="J151" s="595">
        <v>0</v>
      </c>
      <c r="K151" s="595">
        <v>0</v>
      </c>
      <c r="L151" s="595">
        <v>0</v>
      </c>
      <c r="M151" s="595">
        <v>0</v>
      </c>
      <c r="N151" s="595">
        <v>0</v>
      </c>
      <c r="O151" s="595">
        <v>0</v>
      </c>
      <c r="P151" s="595">
        <v>0</v>
      </c>
      <c r="Q151" s="595">
        <v>0</v>
      </c>
      <c r="R151" s="595">
        <v>0</v>
      </c>
      <c r="S151" s="595">
        <v>0</v>
      </c>
      <c r="T151" s="595">
        <v>0</v>
      </c>
      <c r="U151" s="595">
        <v>0</v>
      </c>
      <c r="V151" s="595">
        <v>0</v>
      </c>
      <c r="W151" s="611">
        <v>0</v>
      </c>
      <c r="X151" s="706"/>
      <c r="Y151" s="706"/>
      <c r="Z151" s="706"/>
      <c r="AA151" s="706"/>
      <c r="AB151" s="706"/>
      <c r="AC151" s="706"/>
      <c r="AD151" s="706"/>
      <c r="AE151" s="703">
        <v>0</v>
      </c>
      <c r="AF151" s="704">
        <v>0</v>
      </c>
      <c r="AG151" s="705">
        <v>0</v>
      </c>
      <c r="AH151" s="706">
        <v>0</v>
      </c>
      <c r="AI151" s="705">
        <v>0</v>
      </c>
      <c r="AJ151" s="703">
        <v>0</v>
      </c>
      <c r="AK151" s="705">
        <v>0</v>
      </c>
      <c r="AL151" s="707">
        <v>0</v>
      </c>
      <c r="AM151" s="703">
        <v>0</v>
      </c>
      <c r="AN151" s="703">
        <v>0</v>
      </c>
      <c r="AO151" s="707">
        <v>0</v>
      </c>
      <c r="AP151" s="708">
        <v>0</v>
      </c>
      <c r="AQ151" s="705">
        <v>0</v>
      </c>
      <c r="AR151" s="703">
        <v>0</v>
      </c>
      <c r="AS151" s="705">
        <v>0</v>
      </c>
      <c r="AT151" s="709">
        <v>0</v>
      </c>
      <c r="AU151" s="703">
        <v>0</v>
      </c>
      <c r="AV151" s="705">
        <v>0</v>
      </c>
      <c r="AW151" s="710">
        <v>0</v>
      </c>
      <c r="AX151" s="711">
        <v>0</v>
      </c>
      <c r="AY151" s="710">
        <v>0</v>
      </c>
      <c r="AZ151" s="711">
        <v>0</v>
      </c>
      <c r="BA151" s="710">
        <v>0</v>
      </c>
      <c r="BB151" s="711">
        <v>0</v>
      </c>
      <c r="BC151" s="712">
        <v>0</v>
      </c>
      <c r="BD151" s="713">
        <v>0</v>
      </c>
      <c r="BE151" s="710">
        <v>0</v>
      </c>
      <c r="BF151" s="711">
        <v>0</v>
      </c>
      <c r="BG151" s="712">
        <v>0</v>
      </c>
      <c r="BH151" s="711">
        <v>0</v>
      </c>
      <c r="BI151" s="712">
        <v>0</v>
      </c>
      <c r="BJ151" s="711">
        <v>0</v>
      </c>
      <c r="BK151" s="712">
        <v>0</v>
      </c>
      <c r="BL151" s="711">
        <v>0</v>
      </c>
      <c r="BM151" s="712">
        <v>0</v>
      </c>
      <c r="BN151" s="711">
        <v>0</v>
      </c>
      <c r="BO151" s="712">
        <v>0</v>
      </c>
      <c r="BP151" s="711">
        <v>0</v>
      </c>
      <c r="BQ151" s="712">
        <v>0</v>
      </c>
      <c r="BR151" s="711">
        <v>0</v>
      </c>
      <c r="BS151" s="712">
        <v>0</v>
      </c>
      <c r="BT151" s="711">
        <v>0</v>
      </c>
      <c r="BU151" s="712">
        <v>0</v>
      </c>
      <c r="BV151" s="711">
        <v>0</v>
      </c>
      <c r="BW151" s="712">
        <v>0</v>
      </c>
      <c r="BX151" s="711">
        <v>0</v>
      </c>
      <c r="BY151" s="712">
        <v>0</v>
      </c>
      <c r="BZ151" s="711">
        <v>0</v>
      </c>
      <c r="CA151" s="712">
        <v>0</v>
      </c>
      <c r="CB151" s="711">
        <v>0</v>
      </c>
      <c r="CC151" s="710">
        <v>0</v>
      </c>
      <c r="CD151" s="713">
        <v>0</v>
      </c>
      <c r="CE151" s="710">
        <v>0</v>
      </c>
      <c r="CF151" s="713">
        <v>0</v>
      </c>
      <c r="CG151" s="710">
        <v>0</v>
      </c>
      <c r="CH151" s="713">
        <v>0</v>
      </c>
      <c r="CI151" s="710">
        <v>0</v>
      </c>
      <c r="CJ151" s="713">
        <v>0</v>
      </c>
      <c r="CK151" s="710">
        <v>0</v>
      </c>
      <c r="CL151" s="713">
        <v>0</v>
      </c>
      <c r="CM151" s="710">
        <v>0</v>
      </c>
      <c r="CN151" s="713">
        <v>0</v>
      </c>
      <c r="CO151" s="710">
        <v>0</v>
      </c>
      <c r="CP151" s="713">
        <v>0</v>
      </c>
      <c r="CQ151" s="710">
        <v>0</v>
      </c>
      <c r="CR151" s="711">
        <v>0</v>
      </c>
      <c r="CS151" s="710">
        <v>0</v>
      </c>
      <c r="CT151" s="711">
        <v>0</v>
      </c>
      <c r="CU151" s="712">
        <v>0</v>
      </c>
      <c r="CV151" s="711">
        <v>0</v>
      </c>
    </row>
    <row r="152" spans="1:100">
      <c r="A152" s="467">
        <v>150</v>
      </c>
      <c r="B152" s="595">
        <v>0</v>
      </c>
      <c r="C152" s="595">
        <v>0</v>
      </c>
      <c r="D152" s="595">
        <v>0</v>
      </c>
      <c r="E152" s="595">
        <v>0</v>
      </c>
      <c r="F152" s="595">
        <v>0</v>
      </c>
      <c r="G152" s="595">
        <v>0</v>
      </c>
      <c r="H152" s="595">
        <v>0</v>
      </c>
      <c r="I152" s="595">
        <v>0</v>
      </c>
      <c r="J152" s="595">
        <v>0</v>
      </c>
      <c r="K152" s="595">
        <v>0</v>
      </c>
      <c r="L152" s="595">
        <v>0</v>
      </c>
      <c r="M152" s="595">
        <v>0</v>
      </c>
      <c r="N152" s="595">
        <v>0</v>
      </c>
      <c r="O152" s="595">
        <v>0</v>
      </c>
      <c r="P152" s="595">
        <v>0</v>
      </c>
      <c r="Q152" s="595">
        <v>0</v>
      </c>
      <c r="R152" s="595">
        <v>0</v>
      </c>
      <c r="S152" s="595">
        <v>0</v>
      </c>
      <c r="T152" s="595">
        <v>0</v>
      </c>
      <c r="U152" s="595">
        <v>0</v>
      </c>
      <c r="V152" s="595">
        <v>0</v>
      </c>
      <c r="W152" s="611">
        <v>0</v>
      </c>
      <c r="X152" s="706"/>
      <c r="Y152" s="706"/>
      <c r="Z152" s="706"/>
      <c r="AA152" s="706"/>
      <c r="AB152" s="706"/>
      <c r="AC152" s="706"/>
      <c r="AD152" s="706"/>
      <c r="AE152" s="703">
        <v>0</v>
      </c>
      <c r="AF152" s="704">
        <v>0</v>
      </c>
      <c r="AG152" s="705">
        <v>0</v>
      </c>
      <c r="AH152" s="706">
        <v>0</v>
      </c>
      <c r="AI152" s="705">
        <v>0</v>
      </c>
      <c r="AJ152" s="703">
        <v>0</v>
      </c>
      <c r="AK152" s="705">
        <v>0</v>
      </c>
      <c r="AL152" s="707">
        <v>0</v>
      </c>
      <c r="AM152" s="703">
        <v>0</v>
      </c>
      <c r="AN152" s="703">
        <v>0</v>
      </c>
      <c r="AO152" s="707">
        <v>0</v>
      </c>
      <c r="AP152" s="708">
        <v>0</v>
      </c>
      <c r="AQ152" s="705">
        <v>0</v>
      </c>
      <c r="AR152" s="703">
        <v>0</v>
      </c>
      <c r="AS152" s="705">
        <v>0</v>
      </c>
      <c r="AT152" s="709">
        <v>0</v>
      </c>
      <c r="AU152" s="703">
        <v>0</v>
      </c>
      <c r="AV152" s="705">
        <v>0</v>
      </c>
      <c r="AW152" s="710">
        <v>0</v>
      </c>
      <c r="AX152" s="711">
        <v>0</v>
      </c>
      <c r="AY152" s="710">
        <v>0</v>
      </c>
      <c r="AZ152" s="711">
        <v>0</v>
      </c>
      <c r="BA152" s="710">
        <v>0</v>
      </c>
      <c r="BB152" s="711">
        <v>0</v>
      </c>
      <c r="BC152" s="712">
        <v>0</v>
      </c>
      <c r="BD152" s="713">
        <v>0</v>
      </c>
      <c r="BE152" s="710">
        <v>0</v>
      </c>
      <c r="BF152" s="711">
        <v>0</v>
      </c>
      <c r="BG152" s="712">
        <v>0</v>
      </c>
      <c r="BH152" s="711">
        <v>0</v>
      </c>
      <c r="BI152" s="712">
        <v>0</v>
      </c>
      <c r="BJ152" s="711">
        <v>0</v>
      </c>
      <c r="BK152" s="712">
        <v>0</v>
      </c>
      <c r="BL152" s="711">
        <v>0</v>
      </c>
      <c r="BM152" s="712">
        <v>0</v>
      </c>
      <c r="BN152" s="711">
        <v>0</v>
      </c>
      <c r="BO152" s="712">
        <v>0</v>
      </c>
      <c r="BP152" s="711">
        <v>0</v>
      </c>
      <c r="BQ152" s="712">
        <v>0</v>
      </c>
      <c r="BR152" s="711">
        <v>0</v>
      </c>
      <c r="BS152" s="712">
        <v>0</v>
      </c>
      <c r="BT152" s="711">
        <v>0</v>
      </c>
      <c r="BU152" s="712">
        <v>0</v>
      </c>
      <c r="BV152" s="711">
        <v>0</v>
      </c>
      <c r="BW152" s="712">
        <v>0</v>
      </c>
      <c r="BX152" s="711">
        <v>0</v>
      </c>
      <c r="BY152" s="712">
        <v>0</v>
      </c>
      <c r="BZ152" s="711">
        <v>0</v>
      </c>
      <c r="CA152" s="712">
        <v>0</v>
      </c>
      <c r="CB152" s="711">
        <v>0</v>
      </c>
      <c r="CC152" s="710">
        <v>0</v>
      </c>
      <c r="CD152" s="713">
        <v>0</v>
      </c>
      <c r="CE152" s="710">
        <v>0</v>
      </c>
      <c r="CF152" s="713">
        <v>0</v>
      </c>
      <c r="CG152" s="710">
        <v>0</v>
      </c>
      <c r="CH152" s="713">
        <v>0</v>
      </c>
      <c r="CI152" s="710">
        <v>0</v>
      </c>
      <c r="CJ152" s="713">
        <v>0</v>
      </c>
      <c r="CK152" s="710">
        <v>0</v>
      </c>
      <c r="CL152" s="713">
        <v>0</v>
      </c>
      <c r="CM152" s="710">
        <v>0</v>
      </c>
      <c r="CN152" s="713">
        <v>0</v>
      </c>
      <c r="CO152" s="710">
        <v>0</v>
      </c>
      <c r="CP152" s="713">
        <v>0</v>
      </c>
      <c r="CQ152" s="710">
        <v>0</v>
      </c>
      <c r="CR152" s="711">
        <v>0</v>
      </c>
      <c r="CS152" s="710">
        <v>0</v>
      </c>
      <c r="CT152" s="711">
        <v>0</v>
      </c>
      <c r="CU152" s="712">
        <v>0</v>
      </c>
      <c r="CV152" s="711">
        <v>0</v>
      </c>
    </row>
    <row r="153" spans="1:100">
      <c r="A153" s="467">
        <v>151</v>
      </c>
      <c r="B153" s="595">
        <v>0</v>
      </c>
      <c r="C153" s="595">
        <v>0</v>
      </c>
      <c r="D153" s="595">
        <v>0</v>
      </c>
      <c r="E153" s="595">
        <v>0</v>
      </c>
      <c r="F153" s="595">
        <v>0</v>
      </c>
      <c r="G153" s="595">
        <v>0</v>
      </c>
      <c r="H153" s="595">
        <v>0</v>
      </c>
      <c r="I153" s="595">
        <v>0</v>
      </c>
      <c r="J153" s="595">
        <v>0</v>
      </c>
      <c r="K153" s="595">
        <v>0</v>
      </c>
      <c r="L153" s="595">
        <v>0</v>
      </c>
      <c r="M153" s="595">
        <v>0</v>
      </c>
      <c r="N153" s="595">
        <v>0</v>
      </c>
      <c r="O153" s="595">
        <v>0</v>
      </c>
      <c r="P153" s="595">
        <v>0</v>
      </c>
      <c r="Q153" s="595">
        <v>0</v>
      </c>
      <c r="R153" s="595">
        <v>0</v>
      </c>
      <c r="S153" s="595">
        <v>0</v>
      </c>
      <c r="T153" s="595">
        <v>0</v>
      </c>
      <c r="U153" s="595">
        <v>0</v>
      </c>
      <c r="V153" s="595">
        <v>0</v>
      </c>
      <c r="W153" s="611">
        <v>0</v>
      </c>
      <c r="X153" s="706"/>
      <c r="Y153" s="706"/>
      <c r="Z153" s="706"/>
      <c r="AA153" s="706"/>
      <c r="AB153" s="706"/>
      <c r="AC153" s="706"/>
      <c r="AD153" s="706"/>
      <c r="AE153" s="703">
        <v>0</v>
      </c>
      <c r="AF153" s="704">
        <v>0</v>
      </c>
      <c r="AG153" s="705">
        <v>0</v>
      </c>
      <c r="AH153" s="706">
        <v>0</v>
      </c>
      <c r="AI153" s="705">
        <v>0</v>
      </c>
      <c r="AJ153" s="703">
        <v>0</v>
      </c>
      <c r="AK153" s="705">
        <v>0</v>
      </c>
      <c r="AL153" s="707">
        <v>0</v>
      </c>
      <c r="AM153" s="703">
        <v>0</v>
      </c>
      <c r="AN153" s="703">
        <v>0</v>
      </c>
      <c r="AO153" s="707">
        <v>0</v>
      </c>
      <c r="AP153" s="708">
        <v>0</v>
      </c>
      <c r="AQ153" s="705">
        <v>0</v>
      </c>
      <c r="AR153" s="703">
        <v>0</v>
      </c>
      <c r="AS153" s="705">
        <v>0</v>
      </c>
      <c r="AT153" s="709">
        <v>0</v>
      </c>
      <c r="AU153" s="703">
        <v>0</v>
      </c>
      <c r="AV153" s="705">
        <v>0</v>
      </c>
      <c r="AW153" s="710">
        <v>0</v>
      </c>
      <c r="AX153" s="711">
        <v>0</v>
      </c>
      <c r="AY153" s="710">
        <v>0</v>
      </c>
      <c r="AZ153" s="711">
        <v>0</v>
      </c>
      <c r="BA153" s="710">
        <v>0</v>
      </c>
      <c r="BB153" s="711">
        <v>0</v>
      </c>
      <c r="BC153" s="712">
        <v>0</v>
      </c>
      <c r="BD153" s="713">
        <v>0</v>
      </c>
      <c r="BE153" s="710">
        <v>0</v>
      </c>
      <c r="BF153" s="711">
        <v>0</v>
      </c>
      <c r="BG153" s="712">
        <v>0</v>
      </c>
      <c r="BH153" s="711">
        <v>0</v>
      </c>
      <c r="BI153" s="712">
        <v>0</v>
      </c>
      <c r="BJ153" s="711">
        <v>0</v>
      </c>
      <c r="BK153" s="712">
        <v>0</v>
      </c>
      <c r="BL153" s="711">
        <v>0</v>
      </c>
      <c r="BM153" s="712">
        <v>0</v>
      </c>
      <c r="BN153" s="711">
        <v>0</v>
      </c>
      <c r="BO153" s="712">
        <v>0</v>
      </c>
      <c r="BP153" s="711">
        <v>0</v>
      </c>
      <c r="BQ153" s="712">
        <v>0</v>
      </c>
      <c r="BR153" s="711">
        <v>0</v>
      </c>
      <c r="BS153" s="712">
        <v>0</v>
      </c>
      <c r="BT153" s="711">
        <v>0</v>
      </c>
      <c r="BU153" s="712">
        <v>0</v>
      </c>
      <c r="BV153" s="711">
        <v>0</v>
      </c>
      <c r="BW153" s="712">
        <v>0</v>
      </c>
      <c r="BX153" s="711">
        <v>0</v>
      </c>
      <c r="BY153" s="712">
        <v>0</v>
      </c>
      <c r="BZ153" s="711">
        <v>0</v>
      </c>
      <c r="CA153" s="712">
        <v>0</v>
      </c>
      <c r="CB153" s="711">
        <v>0</v>
      </c>
      <c r="CC153" s="710">
        <v>0</v>
      </c>
      <c r="CD153" s="713">
        <v>0</v>
      </c>
      <c r="CE153" s="710">
        <v>0</v>
      </c>
      <c r="CF153" s="713">
        <v>0</v>
      </c>
      <c r="CG153" s="710">
        <v>0</v>
      </c>
      <c r="CH153" s="713">
        <v>0</v>
      </c>
      <c r="CI153" s="710">
        <v>0</v>
      </c>
      <c r="CJ153" s="713">
        <v>0</v>
      </c>
      <c r="CK153" s="710">
        <v>0</v>
      </c>
      <c r="CL153" s="713">
        <v>0</v>
      </c>
      <c r="CM153" s="710">
        <v>0</v>
      </c>
      <c r="CN153" s="713">
        <v>0</v>
      </c>
      <c r="CO153" s="710">
        <v>0</v>
      </c>
      <c r="CP153" s="713">
        <v>0</v>
      </c>
      <c r="CQ153" s="710">
        <v>0</v>
      </c>
      <c r="CR153" s="711">
        <v>0</v>
      </c>
      <c r="CS153" s="710">
        <v>0</v>
      </c>
      <c r="CT153" s="711">
        <v>0</v>
      </c>
      <c r="CU153" s="712">
        <v>0</v>
      </c>
      <c r="CV153" s="711">
        <v>0</v>
      </c>
    </row>
    <row r="154" spans="1:100">
      <c r="A154" s="467">
        <v>152</v>
      </c>
      <c r="B154" s="595">
        <v>0</v>
      </c>
      <c r="C154" s="595">
        <v>0</v>
      </c>
      <c r="D154" s="595">
        <v>0</v>
      </c>
      <c r="E154" s="595">
        <v>0</v>
      </c>
      <c r="F154" s="595">
        <v>0</v>
      </c>
      <c r="G154" s="595">
        <v>0</v>
      </c>
      <c r="H154" s="595">
        <v>0</v>
      </c>
      <c r="I154" s="595">
        <v>0</v>
      </c>
      <c r="J154" s="595">
        <v>0</v>
      </c>
      <c r="K154" s="595">
        <v>0</v>
      </c>
      <c r="L154" s="595">
        <v>0</v>
      </c>
      <c r="M154" s="595">
        <v>0</v>
      </c>
      <c r="N154" s="595">
        <v>0</v>
      </c>
      <c r="O154" s="595">
        <v>0</v>
      </c>
      <c r="P154" s="595">
        <v>0</v>
      </c>
      <c r="Q154" s="595">
        <v>0</v>
      </c>
      <c r="R154" s="595">
        <v>0</v>
      </c>
      <c r="S154" s="595">
        <v>0</v>
      </c>
      <c r="T154" s="595">
        <v>0</v>
      </c>
      <c r="U154" s="595">
        <v>0</v>
      </c>
      <c r="V154" s="595">
        <v>0</v>
      </c>
      <c r="W154" s="611">
        <v>0</v>
      </c>
      <c r="X154" s="706"/>
      <c r="Y154" s="706"/>
      <c r="Z154" s="706"/>
      <c r="AA154" s="706"/>
      <c r="AB154" s="706"/>
      <c r="AC154" s="706"/>
      <c r="AD154" s="706"/>
      <c r="AE154" s="703">
        <v>0</v>
      </c>
      <c r="AF154" s="704">
        <v>0</v>
      </c>
      <c r="AG154" s="705">
        <v>0</v>
      </c>
      <c r="AH154" s="706">
        <v>0</v>
      </c>
      <c r="AI154" s="705">
        <v>0</v>
      </c>
      <c r="AJ154" s="703">
        <v>0</v>
      </c>
      <c r="AK154" s="705">
        <v>0</v>
      </c>
      <c r="AL154" s="707">
        <v>0</v>
      </c>
      <c r="AM154" s="703">
        <v>0</v>
      </c>
      <c r="AN154" s="703">
        <v>0</v>
      </c>
      <c r="AO154" s="707">
        <v>0</v>
      </c>
      <c r="AP154" s="708">
        <v>0</v>
      </c>
      <c r="AQ154" s="705">
        <v>0</v>
      </c>
      <c r="AR154" s="703">
        <v>0</v>
      </c>
      <c r="AS154" s="705">
        <v>0</v>
      </c>
      <c r="AT154" s="709">
        <v>0</v>
      </c>
      <c r="AU154" s="703">
        <v>0</v>
      </c>
      <c r="AV154" s="705">
        <v>0</v>
      </c>
      <c r="AW154" s="710">
        <v>0</v>
      </c>
      <c r="AX154" s="711">
        <v>0</v>
      </c>
      <c r="AY154" s="710">
        <v>0</v>
      </c>
      <c r="AZ154" s="711">
        <v>0</v>
      </c>
      <c r="BA154" s="710">
        <v>0</v>
      </c>
      <c r="BB154" s="711">
        <v>0</v>
      </c>
      <c r="BC154" s="712">
        <v>0</v>
      </c>
      <c r="BD154" s="713">
        <v>0</v>
      </c>
      <c r="BE154" s="710">
        <v>0</v>
      </c>
      <c r="BF154" s="711">
        <v>0</v>
      </c>
      <c r="BG154" s="712">
        <v>0</v>
      </c>
      <c r="BH154" s="711">
        <v>0</v>
      </c>
      <c r="BI154" s="712">
        <v>0</v>
      </c>
      <c r="BJ154" s="711">
        <v>0</v>
      </c>
      <c r="BK154" s="712">
        <v>0</v>
      </c>
      <c r="BL154" s="711">
        <v>0</v>
      </c>
      <c r="BM154" s="712">
        <v>0</v>
      </c>
      <c r="BN154" s="711">
        <v>0</v>
      </c>
      <c r="BO154" s="712">
        <v>0</v>
      </c>
      <c r="BP154" s="711">
        <v>0</v>
      </c>
      <c r="BQ154" s="712">
        <v>0</v>
      </c>
      <c r="BR154" s="711">
        <v>0</v>
      </c>
      <c r="BS154" s="712">
        <v>0</v>
      </c>
      <c r="BT154" s="711">
        <v>0</v>
      </c>
      <c r="BU154" s="712">
        <v>0</v>
      </c>
      <c r="BV154" s="711">
        <v>0</v>
      </c>
      <c r="BW154" s="712">
        <v>0</v>
      </c>
      <c r="BX154" s="711">
        <v>0</v>
      </c>
      <c r="BY154" s="712">
        <v>0</v>
      </c>
      <c r="BZ154" s="711">
        <v>0</v>
      </c>
      <c r="CA154" s="712">
        <v>0</v>
      </c>
      <c r="CB154" s="711">
        <v>0</v>
      </c>
      <c r="CC154" s="710">
        <v>0</v>
      </c>
      <c r="CD154" s="713">
        <v>0</v>
      </c>
      <c r="CE154" s="710">
        <v>0</v>
      </c>
      <c r="CF154" s="713">
        <v>0</v>
      </c>
      <c r="CG154" s="710">
        <v>0</v>
      </c>
      <c r="CH154" s="713">
        <v>0</v>
      </c>
      <c r="CI154" s="710">
        <v>0</v>
      </c>
      <c r="CJ154" s="713">
        <v>0</v>
      </c>
      <c r="CK154" s="710">
        <v>0</v>
      </c>
      <c r="CL154" s="713">
        <v>0</v>
      </c>
      <c r="CM154" s="710">
        <v>0</v>
      </c>
      <c r="CN154" s="713">
        <v>0</v>
      </c>
      <c r="CO154" s="710">
        <v>0</v>
      </c>
      <c r="CP154" s="713">
        <v>0</v>
      </c>
      <c r="CQ154" s="710">
        <v>0</v>
      </c>
      <c r="CR154" s="711">
        <v>0</v>
      </c>
      <c r="CS154" s="710">
        <v>0</v>
      </c>
      <c r="CT154" s="711">
        <v>0</v>
      </c>
      <c r="CU154" s="712">
        <v>0</v>
      </c>
      <c r="CV154" s="711">
        <v>0</v>
      </c>
    </row>
    <row r="155" spans="1:100">
      <c r="A155" s="467">
        <v>153</v>
      </c>
      <c r="B155" s="595">
        <v>0</v>
      </c>
      <c r="C155" s="595">
        <v>0</v>
      </c>
      <c r="D155" s="595">
        <v>0</v>
      </c>
      <c r="E155" s="595">
        <v>0</v>
      </c>
      <c r="F155" s="595">
        <v>0</v>
      </c>
      <c r="G155" s="595">
        <v>0</v>
      </c>
      <c r="H155" s="595">
        <v>0</v>
      </c>
      <c r="I155" s="595">
        <v>0</v>
      </c>
      <c r="J155" s="595">
        <v>0</v>
      </c>
      <c r="K155" s="595">
        <v>0</v>
      </c>
      <c r="L155" s="595">
        <v>0</v>
      </c>
      <c r="M155" s="595">
        <v>0</v>
      </c>
      <c r="N155" s="595">
        <v>0</v>
      </c>
      <c r="O155" s="595">
        <v>0</v>
      </c>
      <c r="P155" s="595">
        <v>0</v>
      </c>
      <c r="Q155" s="595">
        <v>0</v>
      </c>
      <c r="R155" s="595">
        <v>0</v>
      </c>
      <c r="S155" s="595">
        <v>0</v>
      </c>
      <c r="T155" s="595">
        <v>0</v>
      </c>
      <c r="U155" s="595">
        <v>0</v>
      </c>
      <c r="V155" s="595">
        <v>0</v>
      </c>
      <c r="W155" s="611">
        <v>0</v>
      </c>
      <c r="X155" s="706"/>
      <c r="Y155" s="706"/>
      <c r="Z155" s="706"/>
      <c r="AA155" s="706"/>
      <c r="AB155" s="706"/>
      <c r="AC155" s="706"/>
      <c r="AD155" s="706"/>
      <c r="AE155" s="703">
        <v>0</v>
      </c>
      <c r="AF155" s="704">
        <v>0</v>
      </c>
      <c r="AG155" s="705">
        <v>0</v>
      </c>
      <c r="AH155" s="706">
        <v>0</v>
      </c>
      <c r="AI155" s="705">
        <v>0</v>
      </c>
      <c r="AJ155" s="703">
        <v>0</v>
      </c>
      <c r="AK155" s="705">
        <v>0</v>
      </c>
      <c r="AL155" s="707">
        <v>0</v>
      </c>
      <c r="AM155" s="703">
        <v>0</v>
      </c>
      <c r="AN155" s="703">
        <v>0</v>
      </c>
      <c r="AO155" s="707">
        <v>0</v>
      </c>
      <c r="AP155" s="708">
        <v>0</v>
      </c>
      <c r="AQ155" s="705">
        <v>0</v>
      </c>
      <c r="AR155" s="703">
        <v>0</v>
      </c>
      <c r="AS155" s="705">
        <v>0</v>
      </c>
      <c r="AT155" s="709">
        <v>0</v>
      </c>
      <c r="AU155" s="703">
        <v>0</v>
      </c>
      <c r="AV155" s="705">
        <v>0</v>
      </c>
      <c r="AW155" s="710">
        <v>0</v>
      </c>
      <c r="AX155" s="711">
        <v>0</v>
      </c>
      <c r="AY155" s="710">
        <v>0</v>
      </c>
      <c r="AZ155" s="711">
        <v>0</v>
      </c>
      <c r="BA155" s="710">
        <v>0</v>
      </c>
      <c r="BB155" s="711">
        <v>0</v>
      </c>
      <c r="BC155" s="712">
        <v>0</v>
      </c>
      <c r="BD155" s="713">
        <v>0</v>
      </c>
      <c r="BE155" s="710">
        <v>0</v>
      </c>
      <c r="BF155" s="711">
        <v>0</v>
      </c>
      <c r="BG155" s="712">
        <v>0</v>
      </c>
      <c r="BH155" s="711">
        <v>0</v>
      </c>
      <c r="BI155" s="712">
        <v>0</v>
      </c>
      <c r="BJ155" s="711">
        <v>0</v>
      </c>
      <c r="BK155" s="712">
        <v>0</v>
      </c>
      <c r="BL155" s="711">
        <v>0</v>
      </c>
      <c r="BM155" s="712">
        <v>0</v>
      </c>
      <c r="BN155" s="711">
        <v>0</v>
      </c>
      <c r="BO155" s="712">
        <v>0</v>
      </c>
      <c r="BP155" s="711">
        <v>0</v>
      </c>
      <c r="BQ155" s="712">
        <v>0</v>
      </c>
      <c r="BR155" s="711">
        <v>0</v>
      </c>
      <c r="BS155" s="712">
        <v>0</v>
      </c>
      <c r="BT155" s="711">
        <v>0</v>
      </c>
      <c r="BU155" s="712">
        <v>0</v>
      </c>
      <c r="BV155" s="711">
        <v>0</v>
      </c>
      <c r="BW155" s="712">
        <v>0</v>
      </c>
      <c r="BX155" s="711">
        <v>0</v>
      </c>
      <c r="BY155" s="712">
        <v>0</v>
      </c>
      <c r="BZ155" s="711">
        <v>0</v>
      </c>
      <c r="CA155" s="712">
        <v>0</v>
      </c>
      <c r="CB155" s="711">
        <v>0</v>
      </c>
      <c r="CC155" s="710">
        <v>0</v>
      </c>
      <c r="CD155" s="713">
        <v>0</v>
      </c>
      <c r="CE155" s="710">
        <v>0</v>
      </c>
      <c r="CF155" s="713">
        <v>0</v>
      </c>
      <c r="CG155" s="710">
        <v>0</v>
      </c>
      <c r="CH155" s="713">
        <v>0</v>
      </c>
      <c r="CI155" s="710">
        <v>0</v>
      </c>
      <c r="CJ155" s="713">
        <v>0</v>
      </c>
      <c r="CK155" s="710">
        <v>0</v>
      </c>
      <c r="CL155" s="713">
        <v>0</v>
      </c>
      <c r="CM155" s="710">
        <v>0</v>
      </c>
      <c r="CN155" s="713">
        <v>0</v>
      </c>
      <c r="CO155" s="710">
        <v>0</v>
      </c>
      <c r="CP155" s="713">
        <v>0</v>
      </c>
      <c r="CQ155" s="710">
        <v>0</v>
      </c>
      <c r="CR155" s="711">
        <v>0</v>
      </c>
      <c r="CS155" s="710">
        <v>0</v>
      </c>
      <c r="CT155" s="711">
        <v>0</v>
      </c>
      <c r="CU155" s="712">
        <v>0</v>
      </c>
      <c r="CV155" s="711">
        <v>0</v>
      </c>
    </row>
    <row r="156" spans="1:100">
      <c r="A156" s="467">
        <v>154</v>
      </c>
      <c r="B156" s="595">
        <v>0</v>
      </c>
      <c r="C156" s="595">
        <v>0</v>
      </c>
      <c r="D156" s="595">
        <v>0</v>
      </c>
      <c r="E156" s="595">
        <v>0</v>
      </c>
      <c r="F156" s="595">
        <v>0</v>
      </c>
      <c r="G156" s="595">
        <v>0</v>
      </c>
      <c r="H156" s="595">
        <v>0</v>
      </c>
      <c r="I156" s="595">
        <v>0</v>
      </c>
      <c r="J156" s="595">
        <v>0</v>
      </c>
      <c r="K156" s="595">
        <v>0</v>
      </c>
      <c r="L156" s="595">
        <v>0</v>
      </c>
      <c r="M156" s="595">
        <v>0</v>
      </c>
      <c r="N156" s="595">
        <v>0</v>
      </c>
      <c r="O156" s="595">
        <v>0</v>
      </c>
      <c r="P156" s="595">
        <v>0</v>
      </c>
      <c r="Q156" s="595">
        <v>0</v>
      </c>
      <c r="R156" s="595">
        <v>0</v>
      </c>
      <c r="S156" s="595">
        <v>0</v>
      </c>
      <c r="T156" s="595">
        <v>0</v>
      </c>
      <c r="U156" s="595">
        <v>0</v>
      </c>
      <c r="V156" s="595">
        <v>0</v>
      </c>
      <c r="W156" s="611">
        <v>0</v>
      </c>
      <c r="X156" s="706"/>
      <c r="Y156" s="706"/>
      <c r="Z156" s="706"/>
      <c r="AA156" s="706"/>
      <c r="AB156" s="706"/>
      <c r="AC156" s="706"/>
      <c r="AD156" s="706"/>
      <c r="AE156" s="703">
        <v>0</v>
      </c>
      <c r="AF156" s="704">
        <v>0</v>
      </c>
      <c r="AG156" s="705">
        <v>0</v>
      </c>
      <c r="AH156" s="706">
        <v>0</v>
      </c>
      <c r="AI156" s="705">
        <v>0</v>
      </c>
      <c r="AJ156" s="703">
        <v>0</v>
      </c>
      <c r="AK156" s="705">
        <v>0</v>
      </c>
      <c r="AL156" s="707">
        <v>0</v>
      </c>
      <c r="AM156" s="703">
        <v>0</v>
      </c>
      <c r="AN156" s="703">
        <v>0</v>
      </c>
      <c r="AO156" s="707">
        <v>0</v>
      </c>
      <c r="AP156" s="708">
        <v>0</v>
      </c>
      <c r="AQ156" s="705">
        <v>0</v>
      </c>
      <c r="AR156" s="703">
        <v>0</v>
      </c>
      <c r="AS156" s="705">
        <v>0</v>
      </c>
      <c r="AT156" s="709">
        <v>0</v>
      </c>
      <c r="AU156" s="703">
        <v>0</v>
      </c>
      <c r="AV156" s="705">
        <v>0</v>
      </c>
      <c r="AW156" s="710">
        <v>0</v>
      </c>
      <c r="AX156" s="711">
        <v>0</v>
      </c>
      <c r="AY156" s="710">
        <v>0</v>
      </c>
      <c r="AZ156" s="711">
        <v>0</v>
      </c>
      <c r="BA156" s="710">
        <v>0</v>
      </c>
      <c r="BB156" s="711">
        <v>0</v>
      </c>
      <c r="BC156" s="712">
        <v>0</v>
      </c>
      <c r="BD156" s="713">
        <v>0</v>
      </c>
      <c r="BE156" s="710">
        <v>0</v>
      </c>
      <c r="BF156" s="711">
        <v>0</v>
      </c>
      <c r="BG156" s="712">
        <v>0</v>
      </c>
      <c r="BH156" s="711">
        <v>0</v>
      </c>
      <c r="BI156" s="712">
        <v>0</v>
      </c>
      <c r="BJ156" s="711">
        <v>0</v>
      </c>
      <c r="BK156" s="712">
        <v>0</v>
      </c>
      <c r="BL156" s="711">
        <v>0</v>
      </c>
      <c r="BM156" s="712">
        <v>0</v>
      </c>
      <c r="BN156" s="711">
        <v>0</v>
      </c>
      <c r="BO156" s="712">
        <v>0</v>
      </c>
      <c r="BP156" s="711">
        <v>0</v>
      </c>
      <c r="BQ156" s="712">
        <v>0</v>
      </c>
      <c r="BR156" s="711">
        <v>0</v>
      </c>
      <c r="BS156" s="712">
        <v>0</v>
      </c>
      <c r="BT156" s="711">
        <v>0</v>
      </c>
      <c r="BU156" s="712">
        <v>0</v>
      </c>
      <c r="BV156" s="711">
        <v>0</v>
      </c>
      <c r="BW156" s="712">
        <v>0</v>
      </c>
      <c r="BX156" s="711">
        <v>0</v>
      </c>
      <c r="BY156" s="712">
        <v>0</v>
      </c>
      <c r="BZ156" s="711">
        <v>0</v>
      </c>
      <c r="CA156" s="712">
        <v>0</v>
      </c>
      <c r="CB156" s="711">
        <v>0</v>
      </c>
      <c r="CC156" s="710">
        <v>0</v>
      </c>
      <c r="CD156" s="713">
        <v>0</v>
      </c>
      <c r="CE156" s="710">
        <v>0</v>
      </c>
      <c r="CF156" s="713">
        <v>0</v>
      </c>
      <c r="CG156" s="710">
        <v>0</v>
      </c>
      <c r="CH156" s="713">
        <v>0</v>
      </c>
      <c r="CI156" s="710">
        <v>0</v>
      </c>
      <c r="CJ156" s="713">
        <v>0</v>
      </c>
      <c r="CK156" s="710">
        <v>0</v>
      </c>
      <c r="CL156" s="713">
        <v>0</v>
      </c>
      <c r="CM156" s="710">
        <v>0</v>
      </c>
      <c r="CN156" s="713">
        <v>0</v>
      </c>
      <c r="CO156" s="710">
        <v>0</v>
      </c>
      <c r="CP156" s="713">
        <v>0</v>
      </c>
      <c r="CQ156" s="710">
        <v>0</v>
      </c>
      <c r="CR156" s="711">
        <v>0</v>
      </c>
      <c r="CS156" s="710">
        <v>0</v>
      </c>
      <c r="CT156" s="711">
        <v>0</v>
      </c>
      <c r="CU156" s="712">
        <v>0</v>
      </c>
      <c r="CV156" s="711">
        <v>0</v>
      </c>
    </row>
    <row r="157" spans="1:100">
      <c r="A157" s="467">
        <v>155</v>
      </c>
      <c r="B157" s="595">
        <v>0</v>
      </c>
      <c r="C157" s="595">
        <v>0</v>
      </c>
      <c r="D157" s="595">
        <v>0</v>
      </c>
      <c r="E157" s="595">
        <v>0</v>
      </c>
      <c r="F157" s="595">
        <v>0</v>
      </c>
      <c r="G157" s="595">
        <v>0</v>
      </c>
      <c r="H157" s="595">
        <v>0</v>
      </c>
      <c r="I157" s="595">
        <v>0</v>
      </c>
      <c r="J157" s="595">
        <v>0</v>
      </c>
      <c r="K157" s="595">
        <v>0</v>
      </c>
      <c r="L157" s="595">
        <v>0</v>
      </c>
      <c r="M157" s="595">
        <v>0</v>
      </c>
      <c r="N157" s="595">
        <v>0</v>
      </c>
      <c r="O157" s="595">
        <v>0</v>
      </c>
      <c r="P157" s="595">
        <v>0</v>
      </c>
      <c r="Q157" s="595">
        <v>0</v>
      </c>
      <c r="R157" s="595">
        <v>0</v>
      </c>
      <c r="S157" s="595">
        <v>0</v>
      </c>
      <c r="T157" s="595">
        <v>0</v>
      </c>
      <c r="U157" s="595">
        <v>0</v>
      </c>
      <c r="V157" s="595">
        <v>0</v>
      </c>
      <c r="W157" s="611">
        <v>0</v>
      </c>
      <c r="X157" s="706"/>
      <c r="Y157" s="706"/>
      <c r="Z157" s="706"/>
      <c r="AA157" s="706"/>
      <c r="AB157" s="706"/>
      <c r="AC157" s="706"/>
      <c r="AD157" s="706"/>
      <c r="AE157" s="703">
        <v>0</v>
      </c>
      <c r="AF157" s="704">
        <v>0</v>
      </c>
      <c r="AG157" s="705">
        <v>0</v>
      </c>
      <c r="AH157" s="706">
        <v>0</v>
      </c>
      <c r="AI157" s="705">
        <v>0</v>
      </c>
      <c r="AJ157" s="703">
        <v>0</v>
      </c>
      <c r="AK157" s="705">
        <v>0</v>
      </c>
      <c r="AL157" s="707">
        <v>0</v>
      </c>
      <c r="AM157" s="703">
        <v>0</v>
      </c>
      <c r="AN157" s="703">
        <v>0</v>
      </c>
      <c r="AO157" s="707">
        <v>0</v>
      </c>
      <c r="AP157" s="708">
        <v>0</v>
      </c>
      <c r="AQ157" s="705">
        <v>0</v>
      </c>
      <c r="AR157" s="703">
        <v>0</v>
      </c>
      <c r="AS157" s="705">
        <v>0</v>
      </c>
      <c r="AT157" s="709">
        <v>0</v>
      </c>
      <c r="AU157" s="703">
        <v>0</v>
      </c>
      <c r="AV157" s="705">
        <v>0</v>
      </c>
      <c r="AW157" s="710">
        <v>0</v>
      </c>
      <c r="AX157" s="711">
        <v>0</v>
      </c>
      <c r="AY157" s="710">
        <v>0</v>
      </c>
      <c r="AZ157" s="711">
        <v>0</v>
      </c>
      <c r="BA157" s="710">
        <v>0</v>
      </c>
      <c r="BB157" s="711">
        <v>0</v>
      </c>
      <c r="BC157" s="712">
        <v>0</v>
      </c>
      <c r="BD157" s="713">
        <v>0</v>
      </c>
      <c r="BE157" s="710">
        <v>0</v>
      </c>
      <c r="BF157" s="711">
        <v>0</v>
      </c>
      <c r="BG157" s="712">
        <v>0</v>
      </c>
      <c r="BH157" s="711">
        <v>0</v>
      </c>
      <c r="BI157" s="712">
        <v>0</v>
      </c>
      <c r="BJ157" s="711">
        <v>0</v>
      </c>
      <c r="BK157" s="712">
        <v>0</v>
      </c>
      <c r="BL157" s="711">
        <v>0</v>
      </c>
      <c r="BM157" s="712">
        <v>0</v>
      </c>
      <c r="BN157" s="711">
        <v>0</v>
      </c>
      <c r="BO157" s="712">
        <v>0</v>
      </c>
      <c r="BP157" s="711">
        <v>0</v>
      </c>
      <c r="BQ157" s="712">
        <v>0</v>
      </c>
      <c r="BR157" s="711">
        <v>0</v>
      </c>
      <c r="BS157" s="712">
        <v>0</v>
      </c>
      <c r="BT157" s="711">
        <v>0</v>
      </c>
      <c r="BU157" s="712">
        <v>0</v>
      </c>
      <c r="BV157" s="711">
        <v>0</v>
      </c>
      <c r="BW157" s="712">
        <v>0</v>
      </c>
      <c r="BX157" s="711">
        <v>0</v>
      </c>
      <c r="BY157" s="712">
        <v>0</v>
      </c>
      <c r="BZ157" s="711">
        <v>0</v>
      </c>
      <c r="CA157" s="712">
        <v>0</v>
      </c>
      <c r="CB157" s="711">
        <v>0</v>
      </c>
      <c r="CC157" s="710">
        <v>0</v>
      </c>
      <c r="CD157" s="713">
        <v>0</v>
      </c>
      <c r="CE157" s="710">
        <v>0</v>
      </c>
      <c r="CF157" s="713">
        <v>0</v>
      </c>
      <c r="CG157" s="710">
        <v>0</v>
      </c>
      <c r="CH157" s="713">
        <v>0</v>
      </c>
      <c r="CI157" s="710">
        <v>0</v>
      </c>
      <c r="CJ157" s="713">
        <v>0</v>
      </c>
      <c r="CK157" s="710">
        <v>0</v>
      </c>
      <c r="CL157" s="713">
        <v>0</v>
      </c>
      <c r="CM157" s="710">
        <v>0</v>
      </c>
      <c r="CN157" s="713">
        <v>0</v>
      </c>
      <c r="CO157" s="710">
        <v>0</v>
      </c>
      <c r="CP157" s="713">
        <v>0</v>
      </c>
      <c r="CQ157" s="710">
        <v>0</v>
      </c>
      <c r="CR157" s="711">
        <v>0</v>
      </c>
      <c r="CS157" s="710">
        <v>0</v>
      </c>
      <c r="CT157" s="711">
        <v>0</v>
      </c>
      <c r="CU157" s="712">
        <v>0</v>
      </c>
      <c r="CV157" s="711">
        <v>0</v>
      </c>
    </row>
    <row r="158" spans="1:100">
      <c r="A158" s="467">
        <v>156</v>
      </c>
      <c r="B158" s="595">
        <v>0</v>
      </c>
      <c r="C158" s="595">
        <v>0</v>
      </c>
      <c r="D158" s="595">
        <v>0</v>
      </c>
      <c r="E158" s="595">
        <v>0</v>
      </c>
      <c r="F158" s="595">
        <v>0</v>
      </c>
      <c r="G158" s="595">
        <v>0</v>
      </c>
      <c r="H158" s="595">
        <v>0</v>
      </c>
      <c r="I158" s="595">
        <v>0</v>
      </c>
      <c r="J158" s="595">
        <v>0</v>
      </c>
      <c r="K158" s="595">
        <v>0</v>
      </c>
      <c r="L158" s="595">
        <v>0</v>
      </c>
      <c r="M158" s="595">
        <v>0</v>
      </c>
      <c r="N158" s="595">
        <v>0</v>
      </c>
      <c r="O158" s="595">
        <v>0</v>
      </c>
      <c r="P158" s="595">
        <v>0</v>
      </c>
      <c r="Q158" s="595">
        <v>0</v>
      </c>
      <c r="R158" s="595">
        <v>0</v>
      </c>
      <c r="S158" s="595">
        <v>0</v>
      </c>
      <c r="T158" s="595">
        <v>0</v>
      </c>
      <c r="U158" s="595">
        <v>0</v>
      </c>
      <c r="V158" s="595">
        <v>0</v>
      </c>
      <c r="W158" s="611">
        <v>0</v>
      </c>
      <c r="X158" s="706"/>
      <c r="Y158" s="706"/>
      <c r="Z158" s="706"/>
      <c r="AA158" s="706"/>
      <c r="AB158" s="706"/>
      <c r="AC158" s="706"/>
      <c r="AD158" s="706"/>
      <c r="AE158" s="703">
        <v>0</v>
      </c>
      <c r="AF158" s="704">
        <v>0</v>
      </c>
      <c r="AG158" s="705">
        <v>0</v>
      </c>
      <c r="AH158" s="706">
        <v>0</v>
      </c>
      <c r="AI158" s="705">
        <v>0</v>
      </c>
      <c r="AJ158" s="703">
        <v>0</v>
      </c>
      <c r="AK158" s="705">
        <v>0</v>
      </c>
      <c r="AL158" s="707">
        <v>0</v>
      </c>
      <c r="AM158" s="703">
        <v>0</v>
      </c>
      <c r="AN158" s="703">
        <v>0</v>
      </c>
      <c r="AO158" s="707">
        <v>0</v>
      </c>
      <c r="AP158" s="708">
        <v>0</v>
      </c>
      <c r="AQ158" s="705">
        <v>0</v>
      </c>
      <c r="AR158" s="703">
        <v>0</v>
      </c>
      <c r="AS158" s="705">
        <v>0</v>
      </c>
      <c r="AT158" s="709">
        <v>0</v>
      </c>
      <c r="AU158" s="703">
        <v>0</v>
      </c>
      <c r="AV158" s="705">
        <v>0</v>
      </c>
      <c r="AW158" s="710">
        <v>0</v>
      </c>
      <c r="AX158" s="711">
        <v>0</v>
      </c>
      <c r="AY158" s="710">
        <v>0</v>
      </c>
      <c r="AZ158" s="711">
        <v>0</v>
      </c>
      <c r="BA158" s="710">
        <v>0</v>
      </c>
      <c r="BB158" s="711">
        <v>0</v>
      </c>
      <c r="BC158" s="712">
        <v>0</v>
      </c>
      <c r="BD158" s="713">
        <v>0</v>
      </c>
      <c r="BE158" s="710">
        <v>0</v>
      </c>
      <c r="BF158" s="711">
        <v>0</v>
      </c>
      <c r="BG158" s="712">
        <v>0</v>
      </c>
      <c r="BH158" s="711">
        <v>0</v>
      </c>
      <c r="BI158" s="712">
        <v>0</v>
      </c>
      <c r="BJ158" s="711">
        <v>0</v>
      </c>
      <c r="BK158" s="712">
        <v>0</v>
      </c>
      <c r="BL158" s="711">
        <v>0</v>
      </c>
      <c r="BM158" s="712">
        <v>0</v>
      </c>
      <c r="BN158" s="711">
        <v>0</v>
      </c>
      <c r="BO158" s="712">
        <v>0</v>
      </c>
      <c r="BP158" s="711">
        <v>0</v>
      </c>
      <c r="BQ158" s="712">
        <v>0</v>
      </c>
      <c r="BR158" s="711">
        <v>0</v>
      </c>
      <c r="BS158" s="712">
        <v>0</v>
      </c>
      <c r="BT158" s="711">
        <v>0</v>
      </c>
      <c r="BU158" s="712">
        <v>0</v>
      </c>
      <c r="BV158" s="711">
        <v>0</v>
      </c>
      <c r="BW158" s="712">
        <v>0</v>
      </c>
      <c r="BX158" s="711">
        <v>0</v>
      </c>
      <c r="BY158" s="712">
        <v>0</v>
      </c>
      <c r="BZ158" s="711">
        <v>0</v>
      </c>
      <c r="CA158" s="712">
        <v>0</v>
      </c>
      <c r="CB158" s="711">
        <v>0</v>
      </c>
      <c r="CC158" s="710">
        <v>0</v>
      </c>
      <c r="CD158" s="713">
        <v>0</v>
      </c>
      <c r="CE158" s="710">
        <v>0</v>
      </c>
      <c r="CF158" s="713">
        <v>0</v>
      </c>
      <c r="CG158" s="710">
        <v>0</v>
      </c>
      <c r="CH158" s="713">
        <v>0</v>
      </c>
      <c r="CI158" s="710">
        <v>0</v>
      </c>
      <c r="CJ158" s="713">
        <v>0</v>
      </c>
      <c r="CK158" s="710">
        <v>0</v>
      </c>
      <c r="CL158" s="713">
        <v>0</v>
      </c>
      <c r="CM158" s="710">
        <v>0</v>
      </c>
      <c r="CN158" s="713">
        <v>0</v>
      </c>
      <c r="CO158" s="710">
        <v>0</v>
      </c>
      <c r="CP158" s="713">
        <v>0</v>
      </c>
      <c r="CQ158" s="710">
        <v>0</v>
      </c>
      <c r="CR158" s="711">
        <v>0</v>
      </c>
      <c r="CS158" s="710">
        <v>0</v>
      </c>
      <c r="CT158" s="711">
        <v>0</v>
      </c>
      <c r="CU158" s="712">
        <v>0</v>
      </c>
      <c r="CV158" s="711">
        <v>0</v>
      </c>
    </row>
    <row r="159" spans="1:100">
      <c r="A159" s="467">
        <v>157</v>
      </c>
      <c r="B159" s="595">
        <v>0</v>
      </c>
      <c r="C159" s="595">
        <v>0</v>
      </c>
      <c r="D159" s="595">
        <v>0</v>
      </c>
      <c r="E159" s="595">
        <v>0</v>
      </c>
      <c r="F159" s="595">
        <v>0</v>
      </c>
      <c r="G159" s="595">
        <v>0</v>
      </c>
      <c r="H159" s="595">
        <v>0</v>
      </c>
      <c r="I159" s="595">
        <v>0</v>
      </c>
      <c r="J159" s="595">
        <v>0</v>
      </c>
      <c r="K159" s="595">
        <v>0</v>
      </c>
      <c r="L159" s="595">
        <v>0</v>
      </c>
      <c r="M159" s="595">
        <v>0</v>
      </c>
      <c r="N159" s="595">
        <v>0</v>
      </c>
      <c r="O159" s="595">
        <v>0</v>
      </c>
      <c r="P159" s="595">
        <v>0</v>
      </c>
      <c r="Q159" s="595">
        <v>0</v>
      </c>
      <c r="R159" s="595">
        <v>0</v>
      </c>
      <c r="S159" s="595">
        <v>0</v>
      </c>
      <c r="T159" s="595">
        <v>0</v>
      </c>
      <c r="U159" s="595">
        <v>0</v>
      </c>
      <c r="V159" s="595">
        <v>0</v>
      </c>
      <c r="W159" s="611">
        <v>0</v>
      </c>
      <c r="X159" s="706"/>
      <c r="Y159" s="706"/>
      <c r="Z159" s="706"/>
      <c r="AA159" s="706"/>
      <c r="AB159" s="706"/>
      <c r="AC159" s="706"/>
      <c r="AD159" s="706"/>
      <c r="AE159" s="703">
        <v>0</v>
      </c>
      <c r="AF159" s="704">
        <v>0</v>
      </c>
      <c r="AG159" s="705">
        <v>0</v>
      </c>
      <c r="AH159" s="706">
        <v>0</v>
      </c>
      <c r="AI159" s="705">
        <v>0</v>
      </c>
      <c r="AJ159" s="703">
        <v>0</v>
      </c>
      <c r="AK159" s="705">
        <v>0</v>
      </c>
      <c r="AL159" s="707">
        <v>0</v>
      </c>
      <c r="AM159" s="703">
        <v>0</v>
      </c>
      <c r="AN159" s="703">
        <v>0</v>
      </c>
      <c r="AO159" s="707">
        <v>0</v>
      </c>
      <c r="AP159" s="708">
        <v>0</v>
      </c>
      <c r="AQ159" s="705">
        <v>0</v>
      </c>
      <c r="AR159" s="703">
        <v>0</v>
      </c>
      <c r="AS159" s="705">
        <v>0</v>
      </c>
      <c r="AT159" s="709">
        <v>0</v>
      </c>
      <c r="AU159" s="703">
        <v>0</v>
      </c>
      <c r="AV159" s="705">
        <v>0</v>
      </c>
      <c r="AW159" s="710">
        <v>0</v>
      </c>
      <c r="AX159" s="711">
        <v>0</v>
      </c>
      <c r="AY159" s="710">
        <v>0</v>
      </c>
      <c r="AZ159" s="711">
        <v>0</v>
      </c>
      <c r="BA159" s="710">
        <v>0</v>
      </c>
      <c r="BB159" s="711">
        <v>0</v>
      </c>
      <c r="BC159" s="712">
        <v>0</v>
      </c>
      <c r="BD159" s="713">
        <v>0</v>
      </c>
      <c r="BE159" s="710">
        <v>0</v>
      </c>
      <c r="BF159" s="711">
        <v>0</v>
      </c>
      <c r="BG159" s="712">
        <v>0</v>
      </c>
      <c r="BH159" s="711">
        <v>0</v>
      </c>
      <c r="BI159" s="712">
        <v>0</v>
      </c>
      <c r="BJ159" s="711">
        <v>0</v>
      </c>
      <c r="BK159" s="712">
        <v>0</v>
      </c>
      <c r="BL159" s="711">
        <v>0</v>
      </c>
      <c r="BM159" s="712">
        <v>0</v>
      </c>
      <c r="BN159" s="711">
        <v>0</v>
      </c>
      <c r="BO159" s="712">
        <v>0</v>
      </c>
      <c r="BP159" s="711">
        <v>0</v>
      </c>
      <c r="BQ159" s="712">
        <v>0</v>
      </c>
      <c r="BR159" s="711">
        <v>0</v>
      </c>
      <c r="BS159" s="712">
        <v>0</v>
      </c>
      <c r="BT159" s="711">
        <v>0</v>
      </c>
      <c r="BU159" s="712">
        <v>0</v>
      </c>
      <c r="BV159" s="711">
        <v>0</v>
      </c>
      <c r="BW159" s="712">
        <v>0</v>
      </c>
      <c r="BX159" s="711">
        <v>0</v>
      </c>
      <c r="BY159" s="712">
        <v>0</v>
      </c>
      <c r="BZ159" s="711">
        <v>0</v>
      </c>
      <c r="CA159" s="712">
        <v>0</v>
      </c>
      <c r="CB159" s="711">
        <v>0</v>
      </c>
      <c r="CC159" s="710">
        <v>0</v>
      </c>
      <c r="CD159" s="713">
        <v>0</v>
      </c>
      <c r="CE159" s="710">
        <v>0</v>
      </c>
      <c r="CF159" s="713">
        <v>0</v>
      </c>
      <c r="CG159" s="710">
        <v>0</v>
      </c>
      <c r="CH159" s="713">
        <v>0</v>
      </c>
      <c r="CI159" s="710">
        <v>0</v>
      </c>
      <c r="CJ159" s="713">
        <v>0</v>
      </c>
      <c r="CK159" s="710">
        <v>0</v>
      </c>
      <c r="CL159" s="713">
        <v>0</v>
      </c>
      <c r="CM159" s="710">
        <v>0</v>
      </c>
      <c r="CN159" s="713">
        <v>0</v>
      </c>
      <c r="CO159" s="710">
        <v>0</v>
      </c>
      <c r="CP159" s="713">
        <v>0</v>
      </c>
      <c r="CQ159" s="710">
        <v>0</v>
      </c>
      <c r="CR159" s="711">
        <v>0</v>
      </c>
      <c r="CS159" s="710">
        <v>0</v>
      </c>
      <c r="CT159" s="711">
        <v>0</v>
      </c>
      <c r="CU159" s="712">
        <v>0</v>
      </c>
      <c r="CV159" s="711">
        <v>0</v>
      </c>
    </row>
    <row r="160" spans="1:100">
      <c r="A160" s="467">
        <v>158</v>
      </c>
      <c r="B160" s="595">
        <v>0</v>
      </c>
      <c r="C160" s="595">
        <v>0</v>
      </c>
      <c r="D160" s="595">
        <v>0</v>
      </c>
      <c r="E160" s="595">
        <v>0</v>
      </c>
      <c r="F160" s="595">
        <v>0</v>
      </c>
      <c r="G160" s="595">
        <v>0</v>
      </c>
      <c r="H160" s="595">
        <v>0</v>
      </c>
      <c r="I160" s="595">
        <v>0</v>
      </c>
      <c r="J160" s="595">
        <v>0</v>
      </c>
      <c r="K160" s="595">
        <v>0</v>
      </c>
      <c r="L160" s="595">
        <v>0</v>
      </c>
      <c r="M160" s="595">
        <v>0</v>
      </c>
      <c r="N160" s="595">
        <v>0</v>
      </c>
      <c r="O160" s="595">
        <v>0</v>
      </c>
      <c r="P160" s="595">
        <v>0</v>
      </c>
      <c r="Q160" s="595">
        <v>0</v>
      </c>
      <c r="R160" s="595">
        <v>0</v>
      </c>
      <c r="S160" s="595">
        <v>0</v>
      </c>
      <c r="T160" s="595">
        <v>0</v>
      </c>
      <c r="U160" s="595">
        <v>0</v>
      </c>
      <c r="V160" s="595">
        <v>0</v>
      </c>
      <c r="W160" s="611">
        <v>0</v>
      </c>
      <c r="X160" s="706"/>
      <c r="Y160" s="706"/>
      <c r="Z160" s="706"/>
      <c r="AA160" s="706"/>
      <c r="AB160" s="706"/>
      <c r="AC160" s="706"/>
      <c r="AD160" s="706"/>
      <c r="AE160" s="703">
        <v>0</v>
      </c>
      <c r="AF160" s="704">
        <v>0</v>
      </c>
      <c r="AG160" s="705">
        <v>0</v>
      </c>
      <c r="AH160" s="706">
        <v>0</v>
      </c>
      <c r="AI160" s="705">
        <v>0</v>
      </c>
      <c r="AJ160" s="703">
        <v>0</v>
      </c>
      <c r="AK160" s="705">
        <v>0</v>
      </c>
      <c r="AL160" s="707">
        <v>0</v>
      </c>
      <c r="AM160" s="703">
        <v>0</v>
      </c>
      <c r="AN160" s="703">
        <v>0</v>
      </c>
      <c r="AO160" s="707">
        <v>0</v>
      </c>
      <c r="AP160" s="708">
        <v>0</v>
      </c>
      <c r="AQ160" s="705">
        <v>0</v>
      </c>
      <c r="AR160" s="703">
        <v>0</v>
      </c>
      <c r="AS160" s="705">
        <v>0</v>
      </c>
      <c r="AT160" s="709">
        <v>0</v>
      </c>
      <c r="AU160" s="703">
        <v>0</v>
      </c>
      <c r="AV160" s="705">
        <v>0</v>
      </c>
      <c r="AW160" s="710">
        <v>0</v>
      </c>
      <c r="AX160" s="711">
        <v>0</v>
      </c>
      <c r="AY160" s="710">
        <v>0</v>
      </c>
      <c r="AZ160" s="711">
        <v>0</v>
      </c>
      <c r="BA160" s="710">
        <v>0</v>
      </c>
      <c r="BB160" s="711">
        <v>0</v>
      </c>
      <c r="BC160" s="712">
        <v>0</v>
      </c>
      <c r="BD160" s="713">
        <v>0</v>
      </c>
      <c r="BE160" s="710">
        <v>0</v>
      </c>
      <c r="BF160" s="711">
        <v>0</v>
      </c>
      <c r="BG160" s="712">
        <v>0</v>
      </c>
      <c r="BH160" s="711">
        <v>0</v>
      </c>
      <c r="BI160" s="712">
        <v>0</v>
      </c>
      <c r="BJ160" s="711">
        <v>0</v>
      </c>
      <c r="BK160" s="712">
        <v>0</v>
      </c>
      <c r="BL160" s="711">
        <v>0</v>
      </c>
      <c r="BM160" s="712">
        <v>0</v>
      </c>
      <c r="BN160" s="711">
        <v>0</v>
      </c>
      <c r="BO160" s="712">
        <v>0</v>
      </c>
      <c r="BP160" s="711">
        <v>0</v>
      </c>
      <c r="BQ160" s="712">
        <v>0</v>
      </c>
      <c r="BR160" s="711">
        <v>0</v>
      </c>
      <c r="BS160" s="712">
        <v>0</v>
      </c>
      <c r="BT160" s="711">
        <v>0</v>
      </c>
      <c r="BU160" s="712">
        <v>0</v>
      </c>
      <c r="BV160" s="711">
        <v>0</v>
      </c>
      <c r="BW160" s="712">
        <v>0</v>
      </c>
      <c r="BX160" s="711">
        <v>0</v>
      </c>
      <c r="BY160" s="712">
        <v>0</v>
      </c>
      <c r="BZ160" s="711">
        <v>0</v>
      </c>
      <c r="CA160" s="712">
        <v>0</v>
      </c>
      <c r="CB160" s="711">
        <v>0</v>
      </c>
      <c r="CC160" s="710">
        <v>0</v>
      </c>
      <c r="CD160" s="713">
        <v>0</v>
      </c>
      <c r="CE160" s="710">
        <v>0</v>
      </c>
      <c r="CF160" s="713">
        <v>0</v>
      </c>
      <c r="CG160" s="710">
        <v>0</v>
      </c>
      <c r="CH160" s="713">
        <v>0</v>
      </c>
      <c r="CI160" s="710">
        <v>0</v>
      </c>
      <c r="CJ160" s="713">
        <v>0</v>
      </c>
      <c r="CK160" s="710">
        <v>0</v>
      </c>
      <c r="CL160" s="713">
        <v>0</v>
      </c>
      <c r="CM160" s="710">
        <v>0</v>
      </c>
      <c r="CN160" s="713">
        <v>0</v>
      </c>
      <c r="CO160" s="710">
        <v>0</v>
      </c>
      <c r="CP160" s="713">
        <v>0</v>
      </c>
      <c r="CQ160" s="710">
        <v>0</v>
      </c>
      <c r="CR160" s="711">
        <v>0</v>
      </c>
      <c r="CS160" s="710">
        <v>0</v>
      </c>
      <c r="CT160" s="711">
        <v>0</v>
      </c>
      <c r="CU160" s="712">
        <v>0</v>
      </c>
      <c r="CV160" s="711">
        <v>0</v>
      </c>
    </row>
    <row r="161" spans="1:100">
      <c r="A161" s="467">
        <v>159</v>
      </c>
      <c r="B161" s="595">
        <v>0</v>
      </c>
      <c r="C161" s="595">
        <v>0</v>
      </c>
      <c r="D161" s="595">
        <v>0</v>
      </c>
      <c r="E161" s="595">
        <v>0</v>
      </c>
      <c r="F161" s="595">
        <v>0</v>
      </c>
      <c r="G161" s="595">
        <v>0</v>
      </c>
      <c r="H161" s="595">
        <v>0</v>
      </c>
      <c r="I161" s="595">
        <v>0</v>
      </c>
      <c r="J161" s="595">
        <v>0</v>
      </c>
      <c r="K161" s="595">
        <v>0</v>
      </c>
      <c r="L161" s="595">
        <v>0</v>
      </c>
      <c r="M161" s="595">
        <v>0</v>
      </c>
      <c r="N161" s="595">
        <v>0</v>
      </c>
      <c r="O161" s="595">
        <v>0</v>
      </c>
      <c r="P161" s="595">
        <v>0</v>
      </c>
      <c r="Q161" s="595">
        <v>0</v>
      </c>
      <c r="R161" s="595">
        <v>0</v>
      </c>
      <c r="S161" s="595">
        <v>0</v>
      </c>
      <c r="T161" s="595">
        <v>0</v>
      </c>
      <c r="U161" s="595">
        <v>0</v>
      </c>
      <c r="V161" s="595">
        <v>0</v>
      </c>
      <c r="W161" s="611">
        <v>0</v>
      </c>
      <c r="X161" s="706"/>
      <c r="Y161" s="706"/>
      <c r="Z161" s="706"/>
      <c r="AA161" s="706"/>
      <c r="AB161" s="706"/>
      <c r="AC161" s="706"/>
      <c r="AD161" s="706"/>
      <c r="AE161" s="703">
        <v>0</v>
      </c>
      <c r="AF161" s="704">
        <v>0</v>
      </c>
      <c r="AG161" s="705">
        <v>0</v>
      </c>
      <c r="AH161" s="706">
        <v>0</v>
      </c>
      <c r="AI161" s="705">
        <v>0</v>
      </c>
      <c r="AJ161" s="703">
        <v>0</v>
      </c>
      <c r="AK161" s="705">
        <v>0</v>
      </c>
      <c r="AL161" s="707">
        <v>0</v>
      </c>
      <c r="AM161" s="703">
        <v>0</v>
      </c>
      <c r="AN161" s="703">
        <v>0</v>
      </c>
      <c r="AO161" s="707">
        <v>0</v>
      </c>
      <c r="AP161" s="708">
        <v>0</v>
      </c>
      <c r="AQ161" s="705">
        <v>0</v>
      </c>
      <c r="AR161" s="703">
        <v>0</v>
      </c>
      <c r="AS161" s="705">
        <v>0</v>
      </c>
      <c r="AT161" s="709">
        <v>0</v>
      </c>
      <c r="AU161" s="703">
        <v>0</v>
      </c>
      <c r="AV161" s="705">
        <v>0</v>
      </c>
      <c r="AW161" s="710">
        <v>0</v>
      </c>
      <c r="AX161" s="711">
        <v>0</v>
      </c>
      <c r="AY161" s="710">
        <v>0</v>
      </c>
      <c r="AZ161" s="711">
        <v>0</v>
      </c>
      <c r="BA161" s="710">
        <v>0</v>
      </c>
      <c r="BB161" s="711">
        <v>0</v>
      </c>
      <c r="BC161" s="712">
        <v>0</v>
      </c>
      <c r="BD161" s="713">
        <v>0</v>
      </c>
      <c r="BE161" s="710">
        <v>0</v>
      </c>
      <c r="BF161" s="711">
        <v>0</v>
      </c>
      <c r="BG161" s="712">
        <v>0</v>
      </c>
      <c r="BH161" s="711">
        <v>0</v>
      </c>
      <c r="BI161" s="712">
        <v>0</v>
      </c>
      <c r="BJ161" s="711">
        <v>0</v>
      </c>
      <c r="BK161" s="712">
        <v>0</v>
      </c>
      <c r="BL161" s="711">
        <v>0</v>
      </c>
      <c r="BM161" s="712">
        <v>0</v>
      </c>
      <c r="BN161" s="711">
        <v>0</v>
      </c>
      <c r="BO161" s="712">
        <v>0</v>
      </c>
      <c r="BP161" s="711">
        <v>0</v>
      </c>
      <c r="BQ161" s="712">
        <v>0</v>
      </c>
      <c r="BR161" s="711">
        <v>0</v>
      </c>
      <c r="BS161" s="712">
        <v>0</v>
      </c>
      <c r="BT161" s="711">
        <v>0</v>
      </c>
      <c r="BU161" s="712">
        <v>0</v>
      </c>
      <c r="BV161" s="711">
        <v>0</v>
      </c>
      <c r="BW161" s="712">
        <v>0</v>
      </c>
      <c r="BX161" s="711">
        <v>0</v>
      </c>
      <c r="BY161" s="712">
        <v>0</v>
      </c>
      <c r="BZ161" s="711">
        <v>0</v>
      </c>
      <c r="CA161" s="712">
        <v>0</v>
      </c>
      <c r="CB161" s="711">
        <v>0</v>
      </c>
      <c r="CC161" s="710">
        <v>0</v>
      </c>
      <c r="CD161" s="713">
        <v>0</v>
      </c>
      <c r="CE161" s="710">
        <v>0</v>
      </c>
      <c r="CF161" s="713">
        <v>0</v>
      </c>
      <c r="CG161" s="710">
        <v>0</v>
      </c>
      <c r="CH161" s="713">
        <v>0</v>
      </c>
      <c r="CI161" s="710">
        <v>0</v>
      </c>
      <c r="CJ161" s="713">
        <v>0</v>
      </c>
      <c r="CK161" s="710">
        <v>0</v>
      </c>
      <c r="CL161" s="713">
        <v>0</v>
      </c>
      <c r="CM161" s="710">
        <v>0</v>
      </c>
      <c r="CN161" s="713">
        <v>0</v>
      </c>
      <c r="CO161" s="710">
        <v>0</v>
      </c>
      <c r="CP161" s="713">
        <v>0</v>
      </c>
      <c r="CQ161" s="710">
        <v>0</v>
      </c>
      <c r="CR161" s="711">
        <v>0</v>
      </c>
      <c r="CS161" s="710">
        <v>0</v>
      </c>
      <c r="CT161" s="711">
        <v>0</v>
      </c>
      <c r="CU161" s="712">
        <v>0</v>
      </c>
      <c r="CV161" s="711">
        <v>0</v>
      </c>
    </row>
    <row r="162" spans="1:100">
      <c r="A162" s="467">
        <v>160</v>
      </c>
      <c r="B162" s="595">
        <v>0</v>
      </c>
      <c r="C162" s="595">
        <v>0</v>
      </c>
      <c r="D162" s="595">
        <v>0</v>
      </c>
      <c r="E162" s="595">
        <v>0</v>
      </c>
      <c r="F162" s="595">
        <v>0</v>
      </c>
      <c r="G162" s="595">
        <v>0</v>
      </c>
      <c r="H162" s="595">
        <v>0</v>
      </c>
      <c r="I162" s="595">
        <v>0</v>
      </c>
      <c r="J162" s="595">
        <v>0</v>
      </c>
      <c r="K162" s="595">
        <v>0</v>
      </c>
      <c r="L162" s="595">
        <v>0</v>
      </c>
      <c r="M162" s="595">
        <v>0</v>
      </c>
      <c r="N162" s="595">
        <v>0</v>
      </c>
      <c r="O162" s="595">
        <v>0</v>
      </c>
      <c r="P162" s="595">
        <v>0</v>
      </c>
      <c r="Q162" s="595">
        <v>0</v>
      </c>
      <c r="R162" s="595">
        <v>0</v>
      </c>
      <c r="S162" s="595">
        <v>0</v>
      </c>
      <c r="T162" s="595">
        <v>0</v>
      </c>
      <c r="U162" s="595">
        <v>0</v>
      </c>
      <c r="V162" s="595">
        <v>0</v>
      </c>
      <c r="W162" s="611">
        <v>0</v>
      </c>
      <c r="X162" s="706"/>
      <c r="Y162" s="706"/>
      <c r="Z162" s="706"/>
      <c r="AA162" s="706"/>
      <c r="AB162" s="706"/>
      <c r="AC162" s="706"/>
      <c r="AD162" s="706"/>
      <c r="AE162" s="703">
        <v>0</v>
      </c>
      <c r="AF162" s="704">
        <v>0</v>
      </c>
      <c r="AG162" s="705">
        <v>0</v>
      </c>
      <c r="AH162" s="706">
        <v>0</v>
      </c>
      <c r="AI162" s="705">
        <v>0</v>
      </c>
      <c r="AJ162" s="703">
        <v>0</v>
      </c>
      <c r="AK162" s="705">
        <v>0</v>
      </c>
      <c r="AL162" s="707">
        <v>0</v>
      </c>
      <c r="AM162" s="703">
        <v>0</v>
      </c>
      <c r="AN162" s="703">
        <v>0</v>
      </c>
      <c r="AO162" s="707">
        <v>0</v>
      </c>
      <c r="AP162" s="708">
        <v>0</v>
      </c>
      <c r="AQ162" s="705">
        <v>0</v>
      </c>
      <c r="AR162" s="703">
        <v>0</v>
      </c>
      <c r="AS162" s="705">
        <v>0</v>
      </c>
      <c r="AT162" s="709">
        <v>0</v>
      </c>
      <c r="AU162" s="703">
        <v>0</v>
      </c>
      <c r="AV162" s="705">
        <v>0</v>
      </c>
      <c r="AW162" s="710">
        <v>0</v>
      </c>
      <c r="AX162" s="711">
        <v>0</v>
      </c>
      <c r="AY162" s="710">
        <v>0</v>
      </c>
      <c r="AZ162" s="711">
        <v>0</v>
      </c>
      <c r="BA162" s="710">
        <v>0</v>
      </c>
      <c r="BB162" s="711">
        <v>0</v>
      </c>
      <c r="BC162" s="712">
        <v>0</v>
      </c>
      <c r="BD162" s="713">
        <v>0</v>
      </c>
      <c r="BE162" s="710">
        <v>0</v>
      </c>
      <c r="BF162" s="711">
        <v>0</v>
      </c>
      <c r="BG162" s="712">
        <v>0</v>
      </c>
      <c r="BH162" s="711">
        <v>0</v>
      </c>
      <c r="BI162" s="712">
        <v>0</v>
      </c>
      <c r="BJ162" s="711">
        <v>0</v>
      </c>
      <c r="BK162" s="712">
        <v>0</v>
      </c>
      <c r="BL162" s="711">
        <v>0</v>
      </c>
      <c r="BM162" s="712">
        <v>0</v>
      </c>
      <c r="BN162" s="711">
        <v>0</v>
      </c>
      <c r="BO162" s="712">
        <v>0</v>
      </c>
      <c r="BP162" s="711">
        <v>0</v>
      </c>
      <c r="BQ162" s="712">
        <v>0</v>
      </c>
      <c r="BR162" s="711">
        <v>0</v>
      </c>
      <c r="BS162" s="712">
        <v>0</v>
      </c>
      <c r="BT162" s="711">
        <v>0</v>
      </c>
      <c r="BU162" s="712">
        <v>0</v>
      </c>
      <c r="BV162" s="711">
        <v>0</v>
      </c>
      <c r="BW162" s="712">
        <v>0</v>
      </c>
      <c r="BX162" s="711">
        <v>0</v>
      </c>
      <c r="BY162" s="712">
        <v>0</v>
      </c>
      <c r="BZ162" s="711">
        <v>0</v>
      </c>
      <c r="CA162" s="712">
        <v>0</v>
      </c>
      <c r="CB162" s="711">
        <v>0</v>
      </c>
      <c r="CC162" s="710">
        <v>0</v>
      </c>
      <c r="CD162" s="713">
        <v>0</v>
      </c>
      <c r="CE162" s="710">
        <v>0</v>
      </c>
      <c r="CF162" s="713">
        <v>0</v>
      </c>
      <c r="CG162" s="710">
        <v>0</v>
      </c>
      <c r="CH162" s="713">
        <v>0</v>
      </c>
      <c r="CI162" s="710">
        <v>0</v>
      </c>
      <c r="CJ162" s="713">
        <v>0</v>
      </c>
      <c r="CK162" s="710">
        <v>0</v>
      </c>
      <c r="CL162" s="713">
        <v>0</v>
      </c>
      <c r="CM162" s="710">
        <v>0</v>
      </c>
      <c r="CN162" s="713">
        <v>0</v>
      </c>
      <c r="CO162" s="710">
        <v>0</v>
      </c>
      <c r="CP162" s="713">
        <v>0</v>
      </c>
      <c r="CQ162" s="710">
        <v>0</v>
      </c>
      <c r="CR162" s="711">
        <v>0</v>
      </c>
      <c r="CS162" s="710">
        <v>0</v>
      </c>
      <c r="CT162" s="711">
        <v>0</v>
      </c>
      <c r="CU162" s="712">
        <v>0</v>
      </c>
      <c r="CV162" s="711">
        <v>0</v>
      </c>
    </row>
    <row r="163" spans="1:100">
      <c r="A163" s="467">
        <v>161</v>
      </c>
      <c r="B163" s="595">
        <v>0</v>
      </c>
      <c r="C163" s="595">
        <v>0</v>
      </c>
      <c r="D163" s="595">
        <v>0</v>
      </c>
      <c r="E163" s="595">
        <v>0</v>
      </c>
      <c r="F163" s="595">
        <v>0</v>
      </c>
      <c r="G163" s="595">
        <v>0</v>
      </c>
      <c r="H163" s="595">
        <v>0</v>
      </c>
      <c r="I163" s="595">
        <v>0</v>
      </c>
      <c r="J163" s="595">
        <v>0</v>
      </c>
      <c r="K163" s="595">
        <v>0</v>
      </c>
      <c r="L163" s="595">
        <v>0</v>
      </c>
      <c r="M163" s="595">
        <v>0</v>
      </c>
      <c r="N163" s="595">
        <v>0</v>
      </c>
      <c r="O163" s="595">
        <v>0</v>
      </c>
      <c r="P163" s="595">
        <v>0</v>
      </c>
      <c r="Q163" s="595">
        <v>0</v>
      </c>
      <c r="R163" s="595">
        <v>0</v>
      </c>
      <c r="S163" s="595">
        <v>0</v>
      </c>
      <c r="T163" s="595">
        <v>0</v>
      </c>
      <c r="U163" s="595">
        <v>0</v>
      </c>
      <c r="V163" s="595">
        <v>0</v>
      </c>
      <c r="W163" s="611">
        <v>0</v>
      </c>
      <c r="X163" s="706"/>
      <c r="Y163" s="706"/>
      <c r="Z163" s="706"/>
      <c r="AA163" s="706"/>
      <c r="AB163" s="706"/>
      <c r="AC163" s="706"/>
      <c r="AD163" s="706"/>
      <c r="AE163" s="703">
        <v>0</v>
      </c>
      <c r="AF163" s="704">
        <v>0</v>
      </c>
      <c r="AG163" s="705">
        <v>0</v>
      </c>
      <c r="AH163" s="706">
        <v>0</v>
      </c>
      <c r="AI163" s="705">
        <v>0</v>
      </c>
      <c r="AJ163" s="703">
        <v>0</v>
      </c>
      <c r="AK163" s="705">
        <v>0</v>
      </c>
      <c r="AL163" s="707">
        <v>0</v>
      </c>
      <c r="AM163" s="703">
        <v>0</v>
      </c>
      <c r="AN163" s="703">
        <v>0</v>
      </c>
      <c r="AO163" s="707">
        <v>0</v>
      </c>
      <c r="AP163" s="708">
        <v>0</v>
      </c>
      <c r="AQ163" s="705">
        <v>0</v>
      </c>
      <c r="AR163" s="703">
        <v>0</v>
      </c>
      <c r="AS163" s="705">
        <v>0</v>
      </c>
      <c r="AT163" s="709">
        <v>0</v>
      </c>
      <c r="AU163" s="703">
        <v>0</v>
      </c>
      <c r="AV163" s="705">
        <v>0</v>
      </c>
      <c r="AW163" s="710">
        <v>0</v>
      </c>
      <c r="AX163" s="711">
        <v>0</v>
      </c>
      <c r="AY163" s="710">
        <v>0</v>
      </c>
      <c r="AZ163" s="711">
        <v>0</v>
      </c>
      <c r="BA163" s="710">
        <v>0</v>
      </c>
      <c r="BB163" s="711">
        <v>0</v>
      </c>
      <c r="BC163" s="712">
        <v>0</v>
      </c>
      <c r="BD163" s="713">
        <v>0</v>
      </c>
      <c r="BE163" s="710">
        <v>0</v>
      </c>
      <c r="BF163" s="711">
        <v>0</v>
      </c>
      <c r="BG163" s="712">
        <v>0</v>
      </c>
      <c r="BH163" s="711">
        <v>0</v>
      </c>
      <c r="BI163" s="712">
        <v>0</v>
      </c>
      <c r="BJ163" s="711">
        <v>0</v>
      </c>
      <c r="BK163" s="712">
        <v>0</v>
      </c>
      <c r="BL163" s="711">
        <v>0</v>
      </c>
      <c r="BM163" s="712">
        <v>0</v>
      </c>
      <c r="BN163" s="711">
        <v>0</v>
      </c>
      <c r="BO163" s="712">
        <v>0</v>
      </c>
      <c r="BP163" s="711">
        <v>0</v>
      </c>
      <c r="BQ163" s="712">
        <v>0</v>
      </c>
      <c r="BR163" s="711">
        <v>0</v>
      </c>
      <c r="BS163" s="712">
        <v>0</v>
      </c>
      <c r="BT163" s="711">
        <v>0</v>
      </c>
      <c r="BU163" s="712">
        <v>0</v>
      </c>
      <c r="BV163" s="711">
        <v>0</v>
      </c>
      <c r="BW163" s="712">
        <v>0</v>
      </c>
      <c r="BX163" s="711">
        <v>0</v>
      </c>
      <c r="BY163" s="712">
        <v>0</v>
      </c>
      <c r="BZ163" s="711">
        <v>0</v>
      </c>
      <c r="CA163" s="712">
        <v>0</v>
      </c>
      <c r="CB163" s="711">
        <v>0</v>
      </c>
      <c r="CC163" s="710">
        <v>0</v>
      </c>
      <c r="CD163" s="713">
        <v>0</v>
      </c>
      <c r="CE163" s="710">
        <v>0</v>
      </c>
      <c r="CF163" s="713">
        <v>0</v>
      </c>
      <c r="CG163" s="710">
        <v>0</v>
      </c>
      <c r="CH163" s="713">
        <v>0</v>
      </c>
      <c r="CI163" s="710">
        <v>0</v>
      </c>
      <c r="CJ163" s="713">
        <v>0</v>
      </c>
      <c r="CK163" s="710">
        <v>0</v>
      </c>
      <c r="CL163" s="713">
        <v>0</v>
      </c>
      <c r="CM163" s="710">
        <v>0</v>
      </c>
      <c r="CN163" s="713">
        <v>0</v>
      </c>
      <c r="CO163" s="710">
        <v>0</v>
      </c>
      <c r="CP163" s="713">
        <v>0</v>
      </c>
      <c r="CQ163" s="710">
        <v>0</v>
      </c>
      <c r="CR163" s="711">
        <v>0</v>
      </c>
      <c r="CS163" s="710">
        <v>0</v>
      </c>
      <c r="CT163" s="711">
        <v>0</v>
      </c>
      <c r="CU163" s="712">
        <v>0</v>
      </c>
      <c r="CV163" s="711">
        <v>0</v>
      </c>
    </row>
    <row r="164" spans="1:100">
      <c r="A164" s="467">
        <v>162</v>
      </c>
      <c r="B164" s="595">
        <v>0</v>
      </c>
      <c r="C164" s="595">
        <v>0</v>
      </c>
      <c r="D164" s="595">
        <v>0</v>
      </c>
      <c r="E164" s="595">
        <v>0</v>
      </c>
      <c r="F164" s="595">
        <v>0</v>
      </c>
      <c r="G164" s="595">
        <v>0</v>
      </c>
      <c r="H164" s="595">
        <v>0</v>
      </c>
      <c r="I164" s="595">
        <v>0</v>
      </c>
      <c r="J164" s="595">
        <v>0</v>
      </c>
      <c r="K164" s="595">
        <v>0</v>
      </c>
      <c r="L164" s="595">
        <v>0</v>
      </c>
      <c r="M164" s="595">
        <v>0</v>
      </c>
      <c r="N164" s="595">
        <v>0</v>
      </c>
      <c r="O164" s="595">
        <v>0</v>
      </c>
      <c r="P164" s="595">
        <v>0</v>
      </c>
      <c r="Q164" s="595">
        <v>0</v>
      </c>
      <c r="R164" s="595">
        <v>0</v>
      </c>
      <c r="S164" s="595">
        <v>0</v>
      </c>
      <c r="T164" s="595">
        <v>0</v>
      </c>
      <c r="U164" s="595">
        <v>0</v>
      </c>
      <c r="V164" s="595">
        <v>0</v>
      </c>
      <c r="W164" s="611">
        <v>0</v>
      </c>
      <c r="X164" s="706"/>
      <c r="Y164" s="706"/>
      <c r="Z164" s="706"/>
      <c r="AA164" s="706"/>
      <c r="AB164" s="706"/>
      <c r="AC164" s="706"/>
      <c r="AD164" s="706"/>
      <c r="AE164" s="703">
        <v>0</v>
      </c>
      <c r="AF164" s="704">
        <v>0</v>
      </c>
      <c r="AG164" s="705">
        <v>0</v>
      </c>
      <c r="AH164" s="706">
        <v>0</v>
      </c>
      <c r="AI164" s="705">
        <v>0</v>
      </c>
      <c r="AJ164" s="703">
        <v>0</v>
      </c>
      <c r="AK164" s="705">
        <v>0</v>
      </c>
      <c r="AL164" s="707">
        <v>0</v>
      </c>
      <c r="AM164" s="703">
        <v>0</v>
      </c>
      <c r="AN164" s="703">
        <v>0</v>
      </c>
      <c r="AO164" s="707">
        <v>0</v>
      </c>
      <c r="AP164" s="708">
        <v>0</v>
      </c>
      <c r="AQ164" s="705">
        <v>0</v>
      </c>
      <c r="AR164" s="703">
        <v>0</v>
      </c>
      <c r="AS164" s="705">
        <v>0</v>
      </c>
      <c r="AT164" s="709">
        <v>0</v>
      </c>
      <c r="AU164" s="703">
        <v>0</v>
      </c>
      <c r="AV164" s="705">
        <v>0</v>
      </c>
      <c r="AW164" s="710">
        <v>0</v>
      </c>
      <c r="AX164" s="711">
        <v>0</v>
      </c>
      <c r="AY164" s="710">
        <v>0</v>
      </c>
      <c r="AZ164" s="711">
        <v>0</v>
      </c>
      <c r="BA164" s="710">
        <v>0</v>
      </c>
      <c r="BB164" s="711">
        <v>0</v>
      </c>
      <c r="BC164" s="712">
        <v>0</v>
      </c>
      <c r="BD164" s="713">
        <v>0</v>
      </c>
      <c r="BE164" s="710">
        <v>0</v>
      </c>
      <c r="BF164" s="711">
        <v>0</v>
      </c>
      <c r="BG164" s="712">
        <v>0</v>
      </c>
      <c r="BH164" s="711">
        <v>0</v>
      </c>
      <c r="BI164" s="712">
        <v>0</v>
      </c>
      <c r="BJ164" s="711">
        <v>0</v>
      </c>
      <c r="BK164" s="712">
        <v>0</v>
      </c>
      <c r="BL164" s="711">
        <v>0</v>
      </c>
      <c r="BM164" s="712">
        <v>0</v>
      </c>
      <c r="BN164" s="711">
        <v>0</v>
      </c>
      <c r="BO164" s="712">
        <v>0</v>
      </c>
      <c r="BP164" s="711">
        <v>0</v>
      </c>
      <c r="BQ164" s="712">
        <v>0</v>
      </c>
      <c r="BR164" s="711">
        <v>0</v>
      </c>
      <c r="BS164" s="712">
        <v>0</v>
      </c>
      <c r="BT164" s="711">
        <v>0</v>
      </c>
      <c r="BU164" s="712">
        <v>0</v>
      </c>
      <c r="BV164" s="711">
        <v>0</v>
      </c>
      <c r="BW164" s="712">
        <v>0</v>
      </c>
      <c r="BX164" s="711">
        <v>0</v>
      </c>
      <c r="BY164" s="712">
        <v>0</v>
      </c>
      <c r="BZ164" s="711">
        <v>0</v>
      </c>
      <c r="CA164" s="712">
        <v>0</v>
      </c>
      <c r="CB164" s="711">
        <v>0</v>
      </c>
      <c r="CC164" s="710">
        <v>0</v>
      </c>
      <c r="CD164" s="713">
        <v>0</v>
      </c>
      <c r="CE164" s="710">
        <v>0</v>
      </c>
      <c r="CF164" s="713">
        <v>0</v>
      </c>
      <c r="CG164" s="710">
        <v>0</v>
      </c>
      <c r="CH164" s="713">
        <v>0</v>
      </c>
      <c r="CI164" s="710">
        <v>0</v>
      </c>
      <c r="CJ164" s="713">
        <v>0</v>
      </c>
      <c r="CK164" s="710">
        <v>0</v>
      </c>
      <c r="CL164" s="713">
        <v>0</v>
      </c>
      <c r="CM164" s="710">
        <v>0</v>
      </c>
      <c r="CN164" s="713">
        <v>0</v>
      </c>
      <c r="CO164" s="710">
        <v>0</v>
      </c>
      <c r="CP164" s="713">
        <v>0</v>
      </c>
      <c r="CQ164" s="710">
        <v>0</v>
      </c>
      <c r="CR164" s="711">
        <v>0</v>
      </c>
      <c r="CS164" s="710">
        <v>0</v>
      </c>
      <c r="CT164" s="711">
        <v>0</v>
      </c>
      <c r="CU164" s="712">
        <v>0</v>
      </c>
      <c r="CV164" s="711">
        <v>0</v>
      </c>
    </row>
    <row r="165" spans="1:100">
      <c r="A165" s="467">
        <v>163</v>
      </c>
      <c r="B165" s="595">
        <v>0</v>
      </c>
      <c r="C165" s="595">
        <v>0</v>
      </c>
      <c r="D165" s="595">
        <v>0</v>
      </c>
      <c r="E165" s="595">
        <v>0</v>
      </c>
      <c r="F165" s="595">
        <v>0</v>
      </c>
      <c r="G165" s="595">
        <v>0</v>
      </c>
      <c r="H165" s="595">
        <v>0</v>
      </c>
      <c r="I165" s="595">
        <v>0</v>
      </c>
      <c r="J165" s="595">
        <v>0</v>
      </c>
      <c r="K165" s="595">
        <v>0</v>
      </c>
      <c r="L165" s="595">
        <v>0</v>
      </c>
      <c r="M165" s="595">
        <v>0</v>
      </c>
      <c r="N165" s="595">
        <v>0</v>
      </c>
      <c r="O165" s="595">
        <v>0</v>
      </c>
      <c r="P165" s="595">
        <v>0</v>
      </c>
      <c r="Q165" s="595">
        <v>0</v>
      </c>
      <c r="R165" s="595">
        <v>0</v>
      </c>
      <c r="S165" s="595">
        <v>0</v>
      </c>
      <c r="T165" s="595">
        <v>0</v>
      </c>
      <c r="U165" s="595">
        <v>0</v>
      </c>
      <c r="V165" s="595">
        <v>0</v>
      </c>
      <c r="W165" s="611">
        <v>0</v>
      </c>
      <c r="X165" s="706"/>
      <c r="Y165" s="706"/>
      <c r="Z165" s="706"/>
      <c r="AA165" s="706"/>
      <c r="AB165" s="706"/>
      <c r="AC165" s="706"/>
      <c r="AD165" s="706"/>
      <c r="AE165" s="703">
        <v>0</v>
      </c>
      <c r="AF165" s="704">
        <v>0</v>
      </c>
      <c r="AG165" s="705">
        <v>0</v>
      </c>
      <c r="AH165" s="706">
        <v>0</v>
      </c>
      <c r="AI165" s="705">
        <v>0</v>
      </c>
      <c r="AJ165" s="703">
        <v>0</v>
      </c>
      <c r="AK165" s="705">
        <v>0</v>
      </c>
      <c r="AL165" s="707">
        <v>0</v>
      </c>
      <c r="AM165" s="703">
        <v>0</v>
      </c>
      <c r="AN165" s="703">
        <v>0</v>
      </c>
      <c r="AO165" s="707">
        <v>0</v>
      </c>
      <c r="AP165" s="708">
        <v>0</v>
      </c>
      <c r="AQ165" s="705">
        <v>0</v>
      </c>
      <c r="AR165" s="703">
        <v>0</v>
      </c>
      <c r="AS165" s="705">
        <v>0</v>
      </c>
      <c r="AT165" s="709">
        <v>0</v>
      </c>
      <c r="AU165" s="703">
        <v>0</v>
      </c>
      <c r="AV165" s="705">
        <v>0</v>
      </c>
      <c r="AW165" s="710">
        <v>0</v>
      </c>
      <c r="AX165" s="711">
        <v>0</v>
      </c>
      <c r="AY165" s="710">
        <v>0</v>
      </c>
      <c r="AZ165" s="711">
        <v>0</v>
      </c>
      <c r="BA165" s="710">
        <v>0</v>
      </c>
      <c r="BB165" s="711">
        <v>0</v>
      </c>
      <c r="BC165" s="712">
        <v>0</v>
      </c>
      <c r="BD165" s="713">
        <v>0</v>
      </c>
      <c r="BE165" s="710">
        <v>0</v>
      </c>
      <c r="BF165" s="711">
        <v>0</v>
      </c>
      <c r="BG165" s="712">
        <v>0</v>
      </c>
      <c r="BH165" s="711">
        <v>0</v>
      </c>
      <c r="BI165" s="712">
        <v>0</v>
      </c>
      <c r="BJ165" s="711">
        <v>0</v>
      </c>
      <c r="BK165" s="712">
        <v>0</v>
      </c>
      <c r="BL165" s="711">
        <v>0</v>
      </c>
      <c r="BM165" s="712">
        <v>0</v>
      </c>
      <c r="BN165" s="711">
        <v>0</v>
      </c>
      <c r="BO165" s="712">
        <v>0</v>
      </c>
      <c r="BP165" s="711">
        <v>0</v>
      </c>
      <c r="BQ165" s="712">
        <v>0</v>
      </c>
      <c r="BR165" s="711">
        <v>0</v>
      </c>
      <c r="BS165" s="712">
        <v>0</v>
      </c>
      <c r="BT165" s="711">
        <v>0</v>
      </c>
      <c r="BU165" s="712">
        <v>0</v>
      </c>
      <c r="BV165" s="711">
        <v>0</v>
      </c>
      <c r="BW165" s="712">
        <v>0</v>
      </c>
      <c r="BX165" s="711">
        <v>0</v>
      </c>
      <c r="BY165" s="712">
        <v>0</v>
      </c>
      <c r="BZ165" s="711">
        <v>0</v>
      </c>
      <c r="CA165" s="712">
        <v>0</v>
      </c>
      <c r="CB165" s="711">
        <v>0</v>
      </c>
      <c r="CC165" s="710">
        <v>0</v>
      </c>
      <c r="CD165" s="713">
        <v>0</v>
      </c>
      <c r="CE165" s="710">
        <v>0</v>
      </c>
      <c r="CF165" s="713">
        <v>0</v>
      </c>
      <c r="CG165" s="710">
        <v>0</v>
      </c>
      <c r="CH165" s="713">
        <v>0</v>
      </c>
      <c r="CI165" s="710">
        <v>0</v>
      </c>
      <c r="CJ165" s="713">
        <v>0</v>
      </c>
      <c r="CK165" s="710">
        <v>0</v>
      </c>
      <c r="CL165" s="713">
        <v>0</v>
      </c>
      <c r="CM165" s="710">
        <v>0</v>
      </c>
      <c r="CN165" s="713">
        <v>0</v>
      </c>
      <c r="CO165" s="710">
        <v>0</v>
      </c>
      <c r="CP165" s="713">
        <v>0</v>
      </c>
      <c r="CQ165" s="710">
        <v>0</v>
      </c>
      <c r="CR165" s="711">
        <v>0</v>
      </c>
      <c r="CS165" s="710">
        <v>0</v>
      </c>
      <c r="CT165" s="711">
        <v>0</v>
      </c>
      <c r="CU165" s="712">
        <v>0</v>
      </c>
      <c r="CV165" s="711">
        <v>0</v>
      </c>
    </row>
    <row r="166" spans="1:100">
      <c r="A166" s="467">
        <v>164</v>
      </c>
      <c r="B166" s="595">
        <v>0</v>
      </c>
      <c r="C166" s="595">
        <v>0</v>
      </c>
      <c r="D166" s="595">
        <v>0</v>
      </c>
      <c r="E166" s="595">
        <v>0</v>
      </c>
      <c r="F166" s="595">
        <v>0</v>
      </c>
      <c r="G166" s="595">
        <v>0</v>
      </c>
      <c r="H166" s="595">
        <v>0</v>
      </c>
      <c r="I166" s="595">
        <v>0</v>
      </c>
      <c r="J166" s="595">
        <v>0</v>
      </c>
      <c r="K166" s="595">
        <v>0</v>
      </c>
      <c r="L166" s="595">
        <v>0</v>
      </c>
      <c r="M166" s="595">
        <v>0</v>
      </c>
      <c r="N166" s="595">
        <v>0</v>
      </c>
      <c r="O166" s="595">
        <v>0</v>
      </c>
      <c r="P166" s="595">
        <v>0</v>
      </c>
      <c r="Q166" s="595">
        <v>0</v>
      </c>
      <c r="R166" s="595">
        <v>0</v>
      </c>
      <c r="S166" s="595">
        <v>0</v>
      </c>
      <c r="T166" s="595">
        <v>0</v>
      </c>
      <c r="U166" s="595">
        <v>0</v>
      </c>
      <c r="V166" s="595">
        <v>0</v>
      </c>
      <c r="W166" s="611">
        <v>0</v>
      </c>
      <c r="X166" s="706"/>
      <c r="Y166" s="706"/>
      <c r="Z166" s="706"/>
      <c r="AA166" s="706"/>
      <c r="AB166" s="706"/>
      <c r="AC166" s="706"/>
      <c r="AD166" s="706"/>
      <c r="AE166" s="703">
        <v>0</v>
      </c>
      <c r="AF166" s="704">
        <v>0</v>
      </c>
      <c r="AG166" s="705">
        <v>0</v>
      </c>
      <c r="AH166" s="706">
        <v>0</v>
      </c>
      <c r="AI166" s="705">
        <v>0</v>
      </c>
      <c r="AJ166" s="703">
        <v>0</v>
      </c>
      <c r="AK166" s="705">
        <v>0</v>
      </c>
      <c r="AL166" s="707">
        <v>0</v>
      </c>
      <c r="AM166" s="703">
        <v>0</v>
      </c>
      <c r="AN166" s="703">
        <v>0</v>
      </c>
      <c r="AO166" s="707">
        <v>0</v>
      </c>
      <c r="AP166" s="708">
        <v>0</v>
      </c>
      <c r="AQ166" s="705">
        <v>0</v>
      </c>
      <c r="AR166" s="703">
        <v>0</v>
      </c>
      <c r="AS166" s="705">
        <v>0</v>
      </c>
      <c r="AT166" s="709">
        <v>0</v>
      </c>
      <c r="AU166" s="703">
        <v>0</v>
      </c>
      <c r="AV166" s="705">
        <v>0</v>
      </c>
      <c r="AW166" s="710">
        <v>0</v>
      </c>
      <c r="AX166" s="711">
        <v>0</v>
      </c>
      <c r="AY166" s="710">
        <v>0</v>
      </c>
      <c r="AZ166" s="711">
        <v>0</v>
      </c>
      <c r="BA166" s="710">
        <v>0</v>
      </c>
      <c r="BB166" s="711">
        <v>0</v>
      </c>
      <c r="BC166" s="712">
        <v>0</v>
      </c>
      <c r="BD166" s="713">
        <v>0</v>
      </c>
      <c r="BE166" s="710">
        <v>0</v>
      </c>
      <c r="BF166" s="711">
        <v>0</v>
      </c>
      <c r="BG166" s="712">
        <v>0</v>
      </c>
      <c r="BH166" s="711">
        <v>0</v>
      </c>
      <c r="BI166" s="712">
        <v>0</v>
      </c>
      <c r="BJ166" s="711">
        <v>0</v>
      </c>
      <c r="BK166" s="712">
        <v>0</v>
      </c>
      <c r="BL166" s="711">
        <v>0</v>
      </c>
      <c r="BM166" s="712">
        <v>0</v>
      </c>
      <c r="BN166" s="711">
        <v>0</v>
      </c>
      <c r="BO166" s="712">
        <v>0</v>
      </c>
      <c r="BP166" s="711">
        <v>0</v>
      </c>
      <c r="BQ166" s="712">
        <v>0</v>
      </c>
      <c r="BR166" s="711">
        <v>0</v>
      </c>
      <c r="BS166" s="712">
        <v>0</v>
      </c>
      <c r="BT166" s="711">
        <v>0</v>
      </c>
      <c r="BU166" s="712">
        <v>0</v>
      </c>
      <c r="BV166" s="711">
        <v>0</v>
      </c>
      <c r="BW166" s="712">
        <v>0</v>
      </c>
      <c r="BX166" s="711">
        <v>0</v>
      </c>
      <c r="BY166" s="712">
        <v>0</v>
      </c>
      <c r="BZ166" s="711">
        <v>0</v>
      </c>
      <c r="CA166" s="712">
        <v>0</v>
      </c>
      <c r="CB166" s="711">
        <v>0</v>
      </c>
      <c r="CC166" s="710">
        <v>0</v>
      </c>
      <c r="CD166" s="713">
        <v>0</v>
      </c>
      <c r="CE166" s="710">
        <v>0</v>
      </c>
      <c r="CF166" s="713">
        <v>0</v>
      </c>
      <c r="CG166" s="710">
        <v>0</v>
      </c>
      <c r="CH166" s="713">
        <v>0</v>
      </c>
      <c r="CI166" s="710">
        <v>0</v>
      </c>
      <c r="CJ166" s="713">
        <v>0</v>
      </c>
      <c r="CK166" s="710">
        <v>0</v>
      </c>
      <c r="CL166" s="713">
        <v>0</v>
      </c>
      <c r="CM166" s="710">
        <v>0</v>
      </c>
      <c r="CN166" s="713">
        <v>0</v>
      </c>
      <c r="CO166" s="710">
        <v>0</v>
      </c>
      <c r="CP166" s="713">
        <v>0</v>
      </c>
      <c r="CQ166" s="710">
        <v>0</v>
      </c>
      <c r="CR166" s="711">
        <v>0</v>
      </c>
      <c r="CS166" s="710">
        <v>0</v>
      </c>
      <c r="CT166" s="711">
        <v>0</v>
      </c>
      <c r="CU166" s="712">
        <v>0</v>
      </c>
      <c r="CV166" s="711">
        <v>0</v>
      </c>
    </row>
    <row r="167" spans="1:100">
      <c r="A167" s="467">
        <v>165</v>
      </c>
      <c r="B167" s="595">
        <v>0</v>
      </c>
      <c r="C167" s="595">
        <v>0</v>
      </c>
      <c r="D167" s="595">
        <v>0</v>
      </c>
      <c r="E167" s="595">
        <v>0</v>
      </c>
      <c r="F167" s="595">
        <v>0</v>
      </c>
      <c r="G167" s="595">
        <v>0</v>
      </c>
      <c r="H167" s="595">
        <v>0</v>
      </c>
      <c r="I167" s="595">
        <v>0</v>
      </c>
      <c r="J167" s="595">
        <v>0</v>
      </c>
      <c r="K167" s="595">
        <v>0</v>
      </c>
      <c r="L167" s="595">
        <v>0</v>
      </c>
      <c r="M167" s="595">
        <v>0</v>
      </c>
      <c r="N167" s="595">
        <v>0</v>
      </c>
      <c r="O167" s="595">
        <v>0</v>
      </c>
      <c r="P167" s="595">
        <v>0</v>
      </c>
      <c r="Q167" s="595">
        <v>0</v>
      </c>
      <c r="R167" s="595">
        <v>0</v>
      </c>
      <c r="S167" s="595">
        <v>0</v>
      </c>
      <c r="T167" s="595">
        <v>0</v>
      </c>
      <c r="U167" s="595">
        <v>0</v>
      </c>
      <c r="V167" s="595">
        <v>0</v>
      </c>
      <c r="W167" s="611">
        <v>0</v>
      </c>
      <c r="X167" s="706"/>
      <c r="Y167" s="706"/>
      <c r="Z167" s="706"/>
      <c r="AA167" s="706"/>
      <c r="AB167" s="706"/>
      <c r="AC167" s="706"/>
      <c r="AD167" s="706"/>
      <c r="AE167" s="703">
        <v>0</v>
      </c>
      <c r="AF167" s="704">
        <v>0</v>
      </c>
      <c r="AG167" s="705">
        <v>0</v>
      </c>
      <c r="AH167" s="706">
        <v>0</v>
      </c>
      <c r="AI167" s="705">
        <v>0</v>
      </c>
      <c r="AJ167" s="703">
        <v>0</v>
      </c>
      <c r="AK167" s="705">
        <v>0</v>
      </c>
      <c r="AL167" s="707">
        <v>0</v>
      </c>
      <c r="AM167" s="703">
        <v>0</v>
      </c>
      <c r="AN167" s="703">
        <v>0</v>
      </c>
      <c r="AO167" s="707">
        <v>0</v>
      </c>
      <c r="AP167" s="708">
        <v>0</v>
      </c>
      <c r="AQ167" s="705">
        <v>0</v>
      </c>
      <c r="AR167" s="703">
        <v>0</v>
      </c>
      <c r="AS167" s="705">
        <v>0</v>
      </c>
      <c r="AT167" s="709">
        <v>0</v>
      </c>
      <c r="AU167" s="703">
        <v>0</v>
      </c>
      <c r="AV167" s="705">
        <v>0</v>
      </c>
      <c r="AW167" s="710">
        <v>0</v>
      </c>
      <c r="AX167" s="711">
        <v>0</v>
      </c>
      <c r="AY167" s="710">
        <v>0</v>
      </c>
      <c r="AZ167" s="711">
        <v>0</v>
      </c>
      <c r="BA167" s="710">
        <v>0</v>
      </c>
      <c r="BB167" s="711">
        <v>0</v>
      </c>
      <c r="BC167" s="712">
        <v>0</v>
      </c>
      <c r="BD167" s="713">
        <v>0</v>
      </c>
      <c r="BE167" s="710">
        <v>0</v>
      </c>
      <c r="BF167" s="711">
        <v>0</v>
      </c>
      <c r="BG167" s="712">
        <v>0</v>
      </c>
      <c r="BH167" s="711">
        <v>0</v>
      </c>
      <c r="BI167" s="712">
        <v>0</v>
      </c>
      <c r="BJ167" s="711">
        <v>0</v>
      </c>
      <c r="BK167" s="712">
        <v>0</v>
      </c>
      <c r="BL167" s="711">
        <v>0</v>
      </c>
      <c r="BM167" s="712">
        <v>0</v>
      </c>
      <c r="BN167" s="711">
        <v>0</v>
      </c>
      <c r="BO167" s="712">
        <v>0</v>
      </c>
      <c r="BP167" s="711">
        <v>0</v>
      </c>
      <c r="BQ167" s="712">
        <v>0</v>
      </c>
      <c r="BR167" s="711">
        <v>0</v>
      </c>
      <c r="BS167" s="712">
        <v>0</v>
      </c>
      <c r="BT167" s="711">
        <v>0</v>
      </c>
      <c r="BU167" s="712">
        <v>0</v>
      </c>
      <c r="BV167" s="711">
        <v>0</v>
      </c>
      <c r="BW167" s="712">
        <v>0</v>
      </c>
      <c r="BX167" s="711">
        <v>0</v>
      </c>
      <c r="BY167" s="712">
        <v>0</v>
      </c>
      <c r="BZ167" s="711">
        <v>0</v>
      </c>
      <c r="CA167" s="712">
        <v>0</v>
      </c>
      <c r="CB167" s="711">
        <v>0</v>
      </c>
      <c r="CC167" s="710">
        <v>0</v>
      </c>
      <c r="CD167" s="713">
        <v>0</v>
      </c>
      <c r="CE167" s="710">
        <v>0</v>
      </c>
      <c r="CF167" s="713">
        <v>0</v>
      </c>
      <c r="CG167" s="710">
        <v>0</v>
      </c>
      <c r="CH167" s="713">
        <v>0</v>
      </c>
      <c r="CI167" s="710">
        <v>0</v>
      </c>
      <c r="CJ167" s="713">
        <v>0</v>
      </c>
      <c r="CK167" s="710">
        <v>0</v>
      </c>
      <c r="CL167" s="713">
        <v>0</v>
      </c>
      <c r="CM167" s="710">
        <v>0</v>
      </c>
      <c r="CN167" s="713">
        <v>0</v>
      </c>
      <c r="CO167" s="710">
        <v>0</v>
      </c>
      <c r="CP167" s="713">
        <v>0</v>
      </c>
      <c r="CQ167" s="710">
        <v>0</v>
      </c>
      <c r="CR167" s="711">
        <v>0</v>
      </c>
      <c r="CS167" s="710">
        <v>0</v>
      </c>
      <c r="CT167" s="711">
        <v>0</v>
      </c>
      <c r="CU167" s="712">
        <v>0</v>
      </c>
      <c r="CV167" s="711">
        <v>0</v>
      </c>
    </row>
    <row r="168" spans="1:100">
      <c r="A168" s="467">
        <v>166</v>
      </c>
      <c r="B168" s="595">
        <v>0</v>
      </c>
      <c r="C168" s="595">
        <v>0</v>
      </c>
      <c r="D168" s="595">
        <v>0</v>
      </c>
      <c r="E168" s="595">
        <v>0</v>
      </c>
      <c r="F168" s="595">
        <v>0</v>
      </c>
      <c r="G168" s="595">
        <v>0</v>
      </c>
      <c r="H168" s="595">
        <v>0</v>
      </c>
      <c r="I168" s="595">
        <v>0</v>
      </c>
      <c r="J168" s="595">
        <v>0</v>
      </c>
      <c r="K168" s="595">
        <v>0</v>
      </c>
      <c r="L168" s="595">
        <v>0</v>
      </c>
      <c r="M168" s="595">
        <v>0</v>
      </c>
      <c r="N168" s="595">
        <v>0</v>
      </c>
      <c r="O168" s="595">
        <v>0</v>
      </c>
      <c r="P168" s="595">
        <v>0</v>
      </c>
      <c r="Q168" s="595">
        <v>0</v>
      </c>
      <c r="R168" s="595">
        <v>0</v>
      </c>
      <c r="S168" s="595">
        <v>0</v>
      </c>
      <c r="T168" s="595">
        <v>0</v>
      </c>
      <c r="U168" s="595">
        <v>0</v>
      </c>
      <c r="V168" s="595">
        <v>0</v>
      </c>
      <c r="W168" s="611">
        <v>0</v>
      </c>
      <c r="X168" s="706"/>
      <c r="Y168" s="706"/>
      <c r="Z168" s="706"/>
      <c r="AA168" s="706"/>
      <c r="AB168" s="706"/>
      <c r="AC168" s="706"/>
      <c r="AD168" s="706"/>
      <c r="AE168" s="703">
        <v>0</v>
      </c>
      <c r="AF168" s="704">
        <v>0</v>
      </c>
      <c r="AG168" s="705">
        <v>0</v>
      </c>
      <c r="AH168" s="706">
        <v>0</v>
      </c>
      <c r="AI168" s="705">
        <v>0</v>
      </c>
      <c r="AJ168" s="703">
        <v>0</v>
      </c>
      <c r="AK168" s="705">
        <v>0</v>
      </c>
      <c r="AL168" s="707">
        <v>0</v>
      </c>
      <c r="AM168" s="703">
        <v>0</v>
      </c>
      <c r="AN168" s="703">
        <v>0</v>
      </c>
      <c r="AO168" s="707">
        <v>0</v>
      </c>
      <c r="AP168" s="708">
        <v>0</v>
      </c>
      <c r="AQ168" s="705">
        <v>0</v>
      </c>
      <c r="AR168" s="703">
        <v>0</v>
      </c>
      <c r="AS168" s="705">
        <v>0</v>
      </c>
      <c r="AT168" s="709">
        <v>0</v>
      </c>
      <c r="AU168" s="703">
        <v>0</v>
      </c>
      <c r="AV168" s="705">
        <v>0</v>
      </c>
      <c r="AW168" s="710">
        <v>0</v>
      </c>
      <c r="AX168" s="711">
        <v>0</v>
      </c>
      <c r="AY168" s="710">
        <v>0</v>
      </c>
      <c r="AZ168" s="711">
        <v>0</v>
      </c>
      <c r="BA168" s="710">
        <v>0</v>
      </c>
      <c r="BB168" s="711">
        <v>0</v>
      </c>
      <c r="BC168" s="712">
        <v>0</v>
      </c>
      <c r="BD168" s="713">
        <v>0</v>
      </c>
      <c r="BE168" s="710">
        <v>0</v>
      </c>
      <c r="BF168" s="711">
        <v>0</v>
      </c>
      <c r="BG168" s="712">
        <v>0</v>
      </c>
      <c r="BH168" s="711">
        <v>0</v>
      </c>
      <c r="BI168" s="712">
        <v>0</v>
      </c>
      <c r="BJ168" s="711">
        <v>0</v>
      </c>
      <c r="BK168" s="712">
        <v>0</v>
      </c>
      <c r="BL168" s="711">
        <v>0</v>
      </c>
      <c r="BM168" s="712">
        <v>0</v>
      </c>
      <c r="BN168" s="711">
        <v>0</v>
      </c>
      <c r="BO168" s="712">
        <v>0</v>
      </c>
      <c r="BP168" s="711">
        <v>0</v>
      </c>
      <c r="BQ168" s="712">
        <v>0</v>
      </c>
      <c r="BR168" s="711">
        <v>0</v>
      </c>
      <c r="BS168" s="712">
        <v>0</v>
      </c>
      <c r="BT168" s="711">
        <v>0</v>
      </c>
      <c r="BU168" s="712">
        <v>0</v>
      </c>
      <c r="BV168" s="711">
        <v>0</v>
      </c>
      <c r="BW168" s="712">
        <v>0</v>
      </c>
      <c r="BX168" s="711">
        <v>0</v>
      </c>
      <c r="BY168" s="712">
        <v>0</v>
      </c>
      <c r="BZ168" s="711">
        <v>0</v>
      </c>
      <c r="CA168" s="712">
        <v>0</v>
      </c>
      <c r="CB168" s="711">
        <v>0</v>
      </c>
      <c r="CC168" s="710">
        <v>0</v>
      </c>
      <c r="CD168" s="713">
        <v>0</v>
      </c>
      <c r="CE168" s="710">
        <v>0</v>
      </c>
      <c r="CF168" s="713">
        <v>0</v>
      </c>
      <c r="CG168" s="710">
        <v>0</v>
      </c>
      <c r="CH168" s="713">
        <v>0</v>
      </c>
      <c r="CI168" s="710">
        <v>0</v>
      </c>
      <c r="CJ168" s="713">
        <v>0</v>
      </c>
      <c r="CK168" s="710">
        <v>0</v>
      </c>
      <c r="CL168" s="713">
        <v>0</v>
      </c>
      <c r="CM168" s="710">
        <v>0</v>
      </c>
      <c r="CN168" s="713">
        <v>0</v>
      </c>
      <c r="CO168" s="710">
        <v>0</v>
      </c>
      <c r="CP168" s="713">
        <v>0</v>
      </c>
      <c r="CQ168" s="710">
        <v>0</v>
      </c>
      <c r="CR168" s="711">
        <v>0</v>
      </c>
      <c r="CS168" s="710">
        <v>0</v>
      </c>
      <c r="CT168" s="711">
        <v>0</v>
      </c>
      <c r="CU168" s="712">
        <v>0</v>
      </c>
      <c r="CV168" s="711">
        <v>0</v>
      </c>
    </row>
    <row r="169" spans="1:100">
      <c r="A169" s="467">
        <v>167</v>
      </c>
      <c r="B169" s="595">
        <v>0</v>
      </c>
      <c r="C169" s="595">
        <v>0</v>
      </c>
      <c r="D169" s="595">
        <v>0</v>
      </c>
      <c r="E169" s="595">
        <v>0</v>
      </c>
      <c r="F169" s="595">
        <v>0</v>
      </c>
      <c r="G169" s="595">
        <v>0</v>
      </c>
      <c r="H169" s="595">
        <v>0</v>
      </c>
      <c r="I169" s="595">
        <v>0</v>
      </c>
      <c r="J169" s="595">
        <v>0</v>
      </c>
      <c r="K169" s="595">
        <v>0</v>
      </c>
      <c r="L169" s="595">
        <v>0</v>
      </c>
      <c r="M169" s="595">
        <v>0</v>
      </c>
      <c r="N169" s="595">
        <v>0</v>
      </c>
      <c r="O169" s="595">
        <v>0</v>
      </c>
      <c r="P169" s="595">
        <v>0</v>
      </c>
      <c r="Q169" s="595">
        <v>0</v>
      </c>
      <c r="R169" s="595">
        <v>0</v>
      </c>
      <c r="S169" s="595">
        <v>0</v>
      </c>
      <c r="T169" s="595">
        <v>0</v>
      </c>
      <c r="U169" s="595">
        <v>0</v>
      </c>
      <c r="V169" s="595">
        <v>0</v>
      </c>
      <c r="W169" s="611">
        <v>0</v>
      </c>
      <c r="X169" s="706"/>
      <c r="Y169" s="706"/>
      <c r="Z169" s="706"/>
      <c r="AA169" s="706"/>
      <c r="AB169" s="706"/>
      <c r="AC169" s="706"/>
      <c r="AD169" s="706"/>
      <c r="AE169" s="703">
        <v>0</v>
      </c>
      <c r="AF169" s="704">
        <v>0</v>
      </c>
      <c r="AG169" s="705">
        <v>0</v>
      </c>
      <c r="AH169" s="706">
        <v>0</v>
      </c>
      <c r="AI169" s="705">
        <v>0</v>
      </c>
      <c r="AJ169" s="703">
        <v>0</v>
      </c>
      <c r="AK169" s="705">
        <v>0</v>
      </c>
      <c r="AL169" s="707">
        <v>0</v>
      </c>
      <c r="AM169" s="703">
        <v>0</v>
      </c>
      <c r="AN169" s="703">
        <v>0</v>
      </c>
      <c r="AO169" s="707">
        <v>0</v>
      </c>
      <c r="AP169" s="708">
        <v>0</v>
      </c>
      <c r="AQ169" s="705">
        <v>0</v>
      </c>
      <c r="AR169" s="703">
        <v>0</v>
      </c>
      <c r="AS169" s="705">
        <v>0</v>
      </c>
      <c r="AT169" s="709">
        <v>0</v>
      </c>
      <c r="AU169" s="703">
        <v>0</v>
      </c>
      <c r="AV169" s="705">
        <v>0</v>
      </c>
      <c r="AW169" s="710">
        <v>0</v>
      </c>
      <c r="AX169" s="711">
        <v>0</v>
      </c>
      <c r="AY169" s="710">
        <v>0</v>
      </c>
      <c r="AZ169" s="711">
        <v>0</v>
      </c>
      <c r="BA169" s="710">
        <v>0</v>
      </c>
      <c r="BB169" s="711">
        <v>0</v>
      </c>
      <c r="BC169" s="712">
        <v>0</v>
      </c>
      <c r="BD169" s="713">
        <v>0</v>
      </c>
      <c r="BE169" s="710">
        <v>0</v>
      </c>
      <c r="BF169" s="711">
        <v>0</v>
      </c>
      <c r="BG169" s="712">
        <v>0</v>
      </c>
      <c r="BH169" s="711">
        <v>0</v>
      </c>
      <c r="BI169" s="712">
        <v>0</v>
      </c>
      <c r="BJ169" s="711">
        <v>0</v>
      </c>
      <c r="BK169" s="712">
        <v>0</v>
      </c>
      <c r="BL169" s="711">
        <v>0</v>
      </c>
      <c r="BM169" s="712">
        <v>0</v>
      </c>
      <c r="BN169" s="711">
        <v>0</v>
      </c>
      <c r="BO169" s="712">
        <v>0</v>
      </c>
      <c r="BP169" s="711">
        <v>0</v>
      </c>
      <c r="BQ169" s="712">
        <v>0</v>
      </c>
      <c r="BR169" s="711">
        <v>0</v>
      </c>
      <c r="BS169" s="712">
        <v>0</v>
      </c>
      <c r="BT169" s="711">
        <v>0</v>
      </c>
      <c r="BU169" s="712">
        <v>0</v>
      </c>
      <c r="BV169" s="711">
        <v>0</v>
      </c>
      <c r="BW169" s="712">
        <v>0</v>
      </c>
      <c r="BX169" s="711">
        <v>0</v>
      </c>
      <c r="BY169" s="712">
        <v>0</v>
      </c>
      <c r="BZ169" s="711">
        <v>0</v>
      </c>
      <c r="CA169" s="712">
        <v>0</v>
      </c>
      <c r="CB169" s="711">
        <v>0</v>
      </c>
      <c r="CC169" s="710">
        <v>0</v>
      </c>
      <c r="CD169" s="713">
        <v>0</v>
      </c>
      <c r="CE169" s="710">
        <v>0</v>
      </c>
      <c r="CF169" s="713">
        <v>0</v>
      </c>
      <c r="CG169" s="710">
        <v>0</v>
      </c>
      <c r="CH169" s="713">
        <v>0</v>
      </c>
      <c r="CI169" s="710">
        <v>0</v>
      </c>
      <c r="CJ169" s="713">
        <v>0</v>
      </c>
      <c r="CK169" s="710">
        <v>0</v>
      </c>
      <c r="CL169" s="713">
        <v>0</v>
      </c>
      <c r="CM169" s="710">
        <v>0</v>
      </c>
      <c r="CN169" s="713">
        <v>0</v>
      </c>
      <c r="CO169" s="710">
        <v>0</v>
      </c>
      <c r="CP169" s="713">
        <v>0</v>
      </c>
      <c r="CQ169" s="710">
        <v>0</v>
      </c>
      <c r="CR169" s="711">
        <v>0</v>
      </c>
      <c r="CS169" s="710">
        <v>0</v>
      </c>
      <c r="CT169" s="711">
        <v>0</v>
      </c>
      <c r="CU169" s="712">
        <v>0</v>
      </c>
      <c r="CV169" s="711">
        <v>0</v>
      </c>
    </row>
    <row r="170" spans="1:100">
      <c r="A170" s="467">
        <v>168</v>
      </c>
      <c r="B170" s="595">
        <v>0</v>
      </c>
      <c r="C170" s="595">
        <v>0</v>
      </c>
      <c r="D170" s="595">
        <v>0</v>
      </c>
      <c r="E170" s="595">
        <v>0</v>
      </c>
      <c r="F170" s="595">
        <v>0</v>
      </c>
      <c r="G170" s="595">
        <v>0</v>
      </c>
      <c r="H170" s="595">
        <v>0</v>
      </c>
      <c r="I170" s="595">
        <v>0</v>
      </c>
      <c r="J170" s="595">
        <v>0</v>
      </c>
      <c r="K170" s="595">
        <v>0</v>
      </c>
      <c r="L170" s="595">
        <v>0</v>
      </c>
      <c r="M170" s="595">
        <v>0</v>
      </c>
      <c r="N170" s="595">
        <v>0</v>
      </c>
      <c r="O170" s="595">
        <v>0</v>
      </c>
      <c r="P170" s="595">
        <v>0</v>
      </c>
      <c r="Q170" s="595">
        <v>0</v>
      </c>
      <c r="R170" s="595">
        <v>0</v>
      </c>
      <c r="S170" s="595">
        <v>0</v>
      </c>
      <c r="T170" s="595">
        <v>0</v>
      </c>
      <c r="U170" s="595">
        <v>0</v>
      </c>
      <c r="V170" s="595">
        <v>0</v>
      </c>
      <c r="W170" s="611">
        <v>0</v>
      </c>
      <c r="X170" s="706"/>
      <c r="Y170" s="706"/>
      <c r="Z170" s="706"/>
      <c r="AA170" s="706"/>
      <c r="AB170" s="706"/>
      <c r="AC170" s="706"/>
      <c r="AD170" s="706"/>
      <c r="AE170" s="703">
        <v>0</v>
      </c>
      <c r="AF170" s="704">
        <v>0</v>
      </c>
      <c r="AG170" s="705">
        <v>0</v>
      </c>
      <c r="AH170" s="706">
        <v>0</v>
      </c>
      <c r="AI170" s="705">
        <v>0</v>
      </c>
      <c r="AJ170" s="703">
        <v>0</v>
      </c>
      <c r="AK170" s="705">
        <v>0</v>
      </c>
      <c r="AL170" s="707">
        <v>0</v>
      </c>
      <c r="AM170" s="703">
        <v>0</v>
      </c>
      <c r="AN170" s="703">
        <v>0</v>
      </c>
      <c r="AO170" s="707">
        <v>0</v>
      </c>
      <c r="AP170" s="708">
        <v>0</v>
      </c>
      <c r="AQ170" s="705">
        <v>0</v>
      </c>
      <c r="AR170" s="703">
        <v>0</v>
      </c>
      <c r="AS170" s="705">
        <v>0</v>
      </c>
      <c r="AT170" s="709">
        <v>0</v>
      </c>
      <c r="AU170" s="703">
        <v>0</v>
      </c>
      <c r="AV170" s="705">
        <v>0</v>
      </c>
      <c r="AW170" s="710">
        <v>0</v>
      </c>
      <c r="AX170" s="711">
        <v>0</v>
      </c>
      <c r="AY170" s="710">
        <v>0</v>
      </c>
      <c r="AZ170" s="711">
        <v>0</v>
      </c>
      <c r="BA170" s="710">
        <v>0</v>
      </c>
      <c r="BB170" s="711">
        <v>0</v>
      </c>
      <c r="BC170" s="712">
        <v>0</v>
      </c>
      <c r="BD170" s="713">
        <v>0</v>
      </c>
      <c r="BE170" s="710">
        <v>0</v>
      </c>
      <c r="BF170" s="711">
        <v>0</v>
      </c>
      <c r="BG170" s="712">
        <v>0</v>
      </c>
      <c r="BH170" s="711">
        <v>0</v>
      </c>
      <c r="BI170" s="712">
        <v>0</v>
      </c>
      <c r="BJ170" s="711">
        <v>0</v>
      </c>
      <c r="BK170" s="712">
        <v>0</v>
      </c>
      <c r="BL170" s="711">
        <v>0</v>
      </c>
      <c r="BM170" s="712">
        <v>0</v>
      </c>
      <c r="BN170" s="711">
        <v>0</v>
      </c>
      <c r="BO170" s="712">
        <v>0</v>
      </c>
      <c r="BP170" s="711">
        <v>0</v>
      </c>
      <c r="BQ170" s="712">
        <v>0</v>
      </c>
      <c r="BR170" s="711">
        <v>0</v>
      </c>
      <c r="BS170" s="712">
        <v>0</v>
      </c>
      <c r="BT170" s="711">
        <v>0</v>
      </c>
      <c r="BU170" s="712">
        <v>0</v>
      </c>
      <c r="BV170" s="711">
        <v>0</v>
      </c>
      <c r="BW170" s="712">
        <v>0</v>
      </c>
      <c r="BX170" s="711">
        <v>0</v>
      </c>
      <c r="BY170" s="712">
        <v>0</v>
      </c>
      <c r="BZ170" s="711">
        <v>0</v>
      </c>
      <c r="CA170" s="712">
        <v>0</v>
      </c>
      <c r="CB170" s="711">
        <v>0</v>
      </c>
      <c r="CC170" s="710">
        <v>0</v>
      </c>
      <c r="CD170" s="713">
        <v>0</v>
      </c>
      <c r="CE170" s="710">
        <v>0</v>
      </c>
      <c r="CF170" s="713">
        <v>0</v>
      </c>
      <c r="CG170" s="710">
        <v>0</v>
      </c>
      <c r="CH170" s="713">
        <v>0</v>
      </c>
      <c r="CI170" s="710">
        <v>0</v>
      </c>
      <c r="CJ170" s="713">
        <v>0</v>
      </c>
      <c r="CK170" s="710">
        <v>0</v>
      </c>
      <c r="CL170" s="713">
        <v>0</v>
      </c>
      <c r="CM170" s="710">
        <v>0</v>
      </c>
      <c r="CN170" s="713">
        <v>0</v>
      </c>
      <c r="CO170" s="710">
        <v>0</v>
      </c>
      <c r="CP170" s="713">
        <v>0</v>
      </c>
      <c r="CQ170" s="710">
        <v>0</v>
      </c>
      <c r="CR170" s="711">
        <v>0</v>
      </c>
      <c r="CS170" s="710">
        <v>0</v>
      </c>
      <c r="CT170" s="711">
        <v>0</v>
      </c>
      <c r="CU170" s="712">
        <v>0</v>
      </c>
      <c r="CV170" s="711">
        <v>0</v>
      </c>
    </row>
    <row r="171" spans="1:100">
      <c r="A171" s="467">
        <v>169</v>
      </c>
      <c r="B171" s="595">
        <v>0</v>
      </c>
      <c r="C171" s="595">
        <v>0</v>
      </c>
      <c r="D171" s="595">
        <v>0</v>
      </c>
      <c r="E171" s="595">
        <v>0</v>
      </c>
      <c r="F171" s="595">
        <v>0</v>
      </c>
      <c r="G171" s="595">
        <v>0</v>
      </c>
      <c r="H171" s="595">
        <v>0</v>
      </c>
      <c r="I171" s="595">
        <v>0</v>
      </c>
      <c r="J171" s="595">
        <v>0</v>
      </c>
      <c r="K171" s="595">
        <v>0</v>
      </c>
      <c r="L171" s="595">
        <v>0</v>
      </c>
      <c r="M171" s="595">
        <v>0</v>
      </c>
      <c r="N171" s="595">
        <v>0</v>
      </c>
      <c r="O171" s="595">
        <v>0</v>
      </c>
      <c r="P171" s="595">
        <v>0</v>
      </c>
      <c r="Q171" s="595">
        <v>0</v>
      </c>
      <c r="R171" s="595">
        <v>0</v>
      </c>
      <c r="S171" s="595">
        <v>0</v>
      </c>
      <c r="T171" s="595">
        <v>0</v>
      </c>
      <c r="U171" s="595">
        <v>0</v>
      </c>
      <c r="V171" s="595">
        <v>0</v>
      </c>
      <c r="W171" s="611">
        <v>0</v>
      </c>
      <c r="X171" s="706"/>
      <c r="Y171" s="706"/>
      <c r="Z171" s="706"/>
      <c r="AA171" s="706"/>
      <c r="AB171" s="706"/>
      <c r="AC171" s="706"/>
      <c r="AD171" s="706"/>
      <c r="AE171" s="703">
        <v>0</v>
      </c>
      <c r="AF171" s="704">
        <v>0</v>
      </c>
      <c r="AG171" s="705">
        <v>0</v>
      </c>
      <c r="AH171" s="706">
        <v>0</v>
      </c>
      <c r="AI171" s="705">
        <v>0</v>
      </c>
      <c r="AJ171" s="703">
        <v>0</v>
      </c>
      <c r="AK171" s="705">
        <v>0</v>
      </c>
      <c r="AL171" s="707">
        <v>0</v>
      </c>
      <c r="AM171" s="703">
        <v>0</v>
      </c>
      <c r="AN171" s="703">
        <v>0</v>
      </c>
      <c r="AO171" s="707">
        <v>0</v>
      </c>
      <c r="AP171" s="708">
        <v>0</v>
      </c>
      <c r="AQ171" s="705">
        <v>0</v>
      </c>
      <c r="AR171" s="703">
        <v>0</v>
      </c>
      <c r="AS171" s="705">
        <v>0</v>
      </c>
      <c r="AT171" s="709">
        <v>0</v>
      </c>
      <c r="AU171" s="703">
        <v>0</v>
      </c>
      <c r="AV171" s="705">
        <v>0</v>
      </c>
      <c r="AW171" s="710">
        <v>0</v>
      </c>
      <c r="AX171" s="711">
        <v>0</v>
      </c>
      <c r="AY171" s="710">
        <v>0</v>
      </c>
      <c r="AZ171" s="711">
        <v>0</v>
      </c>
      <c r="BA171" s="710">
        <v>0</v>
      </c>
      <c r="BB171" s="711">
        <v>0</v>
      </c>
      <c r="BC171" s="712">
        <v>0</v>
      </c>
      <c r="BD171" s="713">
        <v>0</v>
      </c>
      <c r="BE171" s="710">
        <v>0</v>
      </c>
      <c r="BF171" s="711">
        <v>0</v>
      </c>
      <c r="BG171" s="712">
        <v>0</v>
      </c>
      <c r="BH171" s="711">
        <v>0</v>
      </c>
      <c r="BI171" s="712">
        <v>0</v>
      </c>
      <c r="BJ171" s="711">
        <v>0</v>
      </c>
      <c r="BK171" s="712">
        <v>0</v>
      </c>
      <c r="BL171" s="711">
        <v>0</v>
      </c>
      <c r="BM171" s="712">
        <v>0</v>
      </c>
      <c r="BN171" s="711">
        <v>0</v>
      </c>
      <c r="BO171" s="712">
        <v>0</v>
      </c>
      <c r="BP171" s="711">
        <v>0</v>
      </c>
      <c r="BQ171" s="712">
        <v>0</v>
      </c>
      <c r="BR171" s="711">
        <v>0</v>
      </c>
      <c r="BS171" s="712">
        <v>0</v>
      </c>
      <c r="BT171" s="711">
        <v>0</v>
      </c>
      <c r="BU171" s="712">
        <v>0</v>
      </c>
      <c r="BV171" s="711">
        <v>0</v>
      </c>
      <c r="BW171" s="712">
        <v>0</v>
      </c>
      <c r="BX171" s="711">
        <v>0</v>
      </c>
      <c r="BY171" s="712">
        <v>0</v>
      </c>
      <c r="BZ171" s="711">
        <v>0</v>
      </c>
      <c r="CA171" s="712">
        <v>0</v>
      </c>
      <c r="CB171" s="711">
        <v>0</v>
      </c>
      <c r="CC171" s="710">
        <v>0</v>
      </c>
      <c r="CD171" s="713">
        <v>0</v>
      </c>
      <c r="CE171" s="710">
        <v>0</v>
      </c>
      <c r="CF171" s="713">
        <v>0</v>
      </c>
      <c r="CG171" s="710">
        <v>0</v>
      </c>
      <c r="CH171" s="713">
        <v>0</v>
      </c>
      <c r="CI171" s="710">
        <v>0</v>
      </c>
      <c r="CJ171" s="713">
        <v>0</v>
      </c>
      <c r="CK171" s="710">
        <v>0</v>
      </c>
      <c r="CL171" s="713">
        <v>0</v>
      </c>
      <c r="CM171" s="710">
        <v>0</v>
      </c>
      <c r="CN171" s="713">
        <v>0</v>
      </c>
      <c r="CO171" s="710">
        <v>0</v>
      </c>
      <c r="CP171" s="713">
        <v>0</v>
      </c>
      <c r="CQ171" s="710">
        <v>0</v>
      </c>
      <c r="CR171" s="711">
        <v>0</v>
      </c>
      <c r="CS171" s="710">
        <v>0</v>
      </c>
      <c r="CT171" s="711">
        <v>0</v>
      </c>
      <c r="CU171" s="712">
        <v>0</v>
      </c>
      <c r="CV171" s="711">
        <v>0</v>
      </c>
    </row>
    <row r="172" spans="1:100">
      <c r="A172" s="467">
        <v>170</v>
      </c>
      <c r="B172" s="595">
        <v>0</v>
      </c>
      <c r="C172" s="595">
        <v>0</v>
      </c>
      <c r="D172" s="595">
        <v>0</v>
      </c>
      <c r="E172" s="595">
        <v>0</v>
      </c>
      <c r="F172" s="595">
        <v>0</v>
      </c>
      <c r="G172" s="595">
        <v>0</v>
      </c>
      <c r="H172" s="595">
        <v>0</v>
      </c>
      <c r="I172" s="595">
        <v>0</v>
      </c>
      <c r="J172" s="595">
        <v>0</v>
      </c>
      <c r="K172" s="595">
        <v>0</v>
      </c>
      <c r="L172" s="595">
        <v>0</v>
      </c>
      <c r="M172" s="595">
        <v>0</v>
      </c>
      <c r="N172" s="595">
        <v>0</v>
      </c>
      <c r="O172" s="595">
        <v>0</v>
      </c>
      <c r="P172" s="595">
        <v>0</v>
      </c>
      <c r="Q172" s="595">
        <v>0</v>
      </c>
      <c r="R172" s="595">
        <v>0</v>
      </c>
      <c r="S172" s="595">
        <v>0</v>
      </c>
      <c r="T172" s="595">
        <v>0</v>
      </c>
      <c r="U172" s="595">
        <v>0</v>
      </c>
      <c r="V172" s="595">
        <v>0</v>
      </c>
      <c r="W172" s="611">
        <v>0</v>
      </c>
      <c r="X172" s="706"/>
      <c r="Y172" s="706"/>
      <c r="Z172" s="706"/>
      <c r="AA172" s="706"/>
      <c r="AB172" s="706"/>
      <c r="AC172" s="706"/>
      <c r="AD172" s="706"/>
      <c r="AE172" s="703">
        <v>0</v>
      </c>
      <c r="AF172" s="704">
        <v>0</v>
      </c>
      <c r="AG172" s="705">
        <v>0</v>
      </c>
      <c r="AH172" s="706">
        <v>0</v>
      </c>
      <c r="AI172" s="705">
        <v>0</v>
      </c>
      <c r="AJ172" s="703">
        <v>0</v>
      </c>
      <c r="AK172" s="705">
        <v>0</v>
      </c>
      <c r="AL172" s="707">
        <v>0</v>
      </c>
      <c r="AM172" s="703">
        <v>0</v>
      </c>
      <c r="AN172" s="703">
        <v>0</v>
      </c>
      <c r="AO172" s="707">
        <v>0</v>
      </c>
      <c r="AP172" s="708">
        <v>0</v>
      </c>
      <c r="AQ172" s="705">
        <v>0</v>
      </c>
      <c r="AR172" s="703">
        <v>0</v>
      </c>
      <c r="AS172" s="705">
        <v>0</v>
      </c>
      <c r="AT172" s="709">
        <v>0</v>
      </c>
      <c r="AU172" s="703">
        <v>0</v>
      </c>
      <c r="AV172" s="705">
        <v>0</v>
      </c>
      <c r="AW172" s="710">
        <v>0</v>
      </c>
      <c r="AX172" s="711">
        <v>0</v>
      </c>
      <c r="AY172" s="710">
        <v>0</v>
      </c>
      <c r="AZ172" s="711">
        <v>0</v>
      </c>
      <c r="BA172" s="710">
        <v>0</v>
      </c>
      <c r="BB172" s="711">
        <v>0</v>
      </c>
      <c r="BC172" s="712">
        <v>0</v>
      </c>
      <c r="BD172" s="713">
        <v>0</v>
      </c>
      <c r="BE172" s="710">
        <v>0</v>
      </c>
      <c r="BF172" s="711">
        <v>0</v>
      </c>
      <c r="BG172" s="712">
        <v>0</v>
      </c>
      <c r="BH172" s="711">
        <v>0</v>
      </c>
      <c r="BI172" s="712">
        <v>0</v>
      </c>
      <c r="BJ172" s="711">
        <v>0</v>
      </c>
      <c r="BK172" s="712">
        <v>0</v>
      </c>
      <c r="BL172" s="711">
        <v>0</v>
      </c>
      <c r="BM172" s="712">
        <v>0</v>
      </c>
      <c r="BN172" s="711">
        <v>0</v>
      </c>
      <c r="BO172" s="712">
        <v>0</v>
      </c>
      <c r="BP172" s="711">
        <v>0</v>
      </c>
      <c r="BQ172" s="712">
        <v>0</v>
      </c>
      <c r="BR172" s="711">
        <v>0</v>
      </c>
      <c r="BS172" s="712">
        <v>0</v>
      </c>
      <c r="BT172" s="711">
        <v>0</v>
      </c>
      <c r="BU172" s="712">
        <v>0</v>
      </c>
      <c r="BV172" s="711">
        <v>0</v>
      </c>
      <c r="BW172" s="712">
        <v>0</v>
      </c>
      <c r="BX172" s="711">
        <v>0</v>
      </c>
      <c r="BY172" s="712">
        <v>0</v>
      </c>
      <c r="BZ172" s="711">
        <v>0</v>
      </c>
      <c r="CA172" s="712">
        <v>0</v>
      </c>
      <c r="CB172" s="711">
        <v>0</v>
      </c>
      <c r="CC172" s="710">
        <v>0</v>
      </c>
      <c r="CD172" s="713">
        <v>0</v>
      </c>
      <c r="CE172" s="710">
        <v>0</v>
      </c>
      <c r="CF172" s="713">
        <v>0</v>
      </c>
      <c r="CG172" s="710">
        <v>0</v>
      </c>
      <c r="CH172" s="713">
        <v>0</v>
      </c>
      <c r="CI172" s="710">
        <v>0</v>
      </c>
      <c r="CJ172" s="713">
        <v>0</v>
      </c>
      <c r="CK172" s="710">
        <v>0</v>
      </c>
      <c r="CL172" s="713">
        <v>0</v>
      </c>
      <c r="CM172" s="710">
        <v>0</v>
      </c>
      <c r="CN172" s="713">
        <v>0</v>
      </c>
      <c r="CO172" s="710">
        <v>0</v>
      </c>
      <c r="CP172" s="713">
        <v>0</v>
      </c>
      <c r="CQ172" s="710">
        <v>0</v>
      </c>
      <c r="CR172" s="711">
        <v>0</v>
      </c>
      <c r="CS172" s="710">
        <v>0</v>
      </c>
      <c r="CT172" s="711">
        <v>0</v>
      </c>
      <c r="CU172" s="712">
        <v>0</v>
      </c>
      <c r="CV172" s="711">
        <v>0</v>
      </c>
    </row>
    <row r="173" spans="1:100">
      <c r="A173" s="467">
        <v>171</v>
      </c>
      <c r="B173" s="595">
        <v>0</v>
      </c>
      <c r="C173" s="595">
        <v>0</v>
      </c>
      <c r="D173" s="595">
        <v>0</v>
      </c>
      <c r="E173" s="595">
        <v>0</v>
      </c>
      <c r="F173" s="595">
        <v>0</v>
      </c>
      <c r="G173" s="595">
        <v>0</v>
      </c>
      <c r="H173" s="595">
        <v>0</v>
      </c>
      <c r="I173" s="595">
        <v>0</v>
      </c>
      <c r="J173" s="595">
        <v>0</v>
      </c>
      <c r="K173" s="595">
        <v>0</v>
      </c>
      <c r="L173" s="595">
        <v>0</v>
      </c>
      <c r="M173" s="595">
        <v>0</v>
      </c>
      <c r="N173" s="595">
        <v>0</v>
      </c>
      <c r="O173" s="595">
        <v>0</v>
      </c>
      <c r="P173" s="595">
        <v>0</v>
      </c>
      <c r="Q173" s="595">
        <v>0</v>
      </c>
      <c r="R173" s="595">
        <v>0</v>
      </c>
      <c r="S173" s="595">
        <v>0</v>
      </c>
      <c r="T173" s="595">
        <v>0</v>
      </c>
      <c r="U173" s="595">
        <v>0</v>
      </c>
      <c r="V173" s="595">
        <v>0</v>
      </c>
      <c r="W173" s="611">
        <v>0</v>
      </c>
      <c r="X173" s="706"/>
      <c r="Y173" s="706"/>
      <c r="Z173" s="706"/>
      <c r="AA173" s="706"/>
      <c r="AB173" s="706"/>
      <c r="AC173" s="706"/>
      <c r="AD173" s="706"/>
      <c r="AE173" s="703">
        <v>0</v>
      </c>
      <c r="AF173" s="704">
        <v>0</v>
      </c>
      <c r="AG173" s="705">
        <v>0</v>
      </c>
      <c r="AH173" s="706">
        <v>0</v>
      </c>
      <c r="AI173" s="705">
        <v>0</v>
      </c>
      <c r="AJ173" s="703">
        <v>0</v>
      </c>
      <c r="AK173" s="705">
        <v>0</v>
      </c>
      <c r="AL173" s="707">
        <v>0</v>
      </c>
      <c r="AM173" s="703">
        <v>0</v>
      </c>
      <c r="AN173" s="703">
        <v>0</v>
      </c>
      <c r="AO173" s="707">
        <v>0</v>
      </c>
      <c r="AP173" s="708">
        <v>0</v>
      </c>
      <c r="AQ173" s="705">
        <v>0</v>
      </c>
      <c r="AR173" s="703">
        <v>0</v>
      </c>
      <c r="AS173" s="705">
        <v>0</v>
      </c>
      <c r="AT173" s="709">
        <v>0</v>
      </c>
      <c r="AU173" s="703">
        <v>0</v>
      </c>
      <c r="AV173" s="705">
        <v>0</v>
      </c>
      <c r="AW173" s="710">
        <v>0</v>
      </c>
      <c r="AX173" s="711">
        <v>0</v>
      </c>
      <c r="AY173" s="710">
        <v>0</v>
      </c>
      <c r="AZ173" s="711">
        <v>0</v>
      </c>
      <c r="BA173" s="710">
        <v>0</v>
      </c>
      <c r="BB173" s="711">
        <v>0</v>
      </c>
      <c r="BC173" s="712">
        <v>0</v>
      </c>
      <c r="BD173" s="713">
        <v>0</v>
      </c>
      <c r="BE173" s="710">
        <v>0</v>
      </c>
      <c r="BF173" s="711">
        <v>0</v>
      </c>
      <c r="BG173" s="712">
        <v>0</v>
      </c>
      <c r="BH173" s="711">
        <v>0</v>
      </c>
      <c r="BI173" s="712">
        <v>0</v>
      </c>
      <c r="BJ173" s="711">
        <v>0</v>
      </c>
      <c r="BK173" s="712">
        <v>0</v>
      </c>
      <c r="BL173" s="711">
        <v>0</v>
      </c>
      <c r="BM173" s="712">
        <v>0</v>
      </c>
      <c r="BN173" s="711">
        <v>0</v>
      </c>
      <c r="BO173" s="712">
        <v>0</v>
      </c>
      <c r="BP173" s="711">
        <v>0</v>
      </c>
      <c r="BQ173" s="712">
        <v>0</v>
      </c>
      <c r="BR173" s="711">
        <v>0</v>
      </c>
      <c r="BS173" s="712">
        <v>0</v>
      </c>
      <c r="BT173" s="711">
        <v>0</v>
      </c>
      <c r="BU173" s="712">
        <v>0</v>
      </c>
      <c r="BV173" s="711">
        <v>0</v>
      </c>
      <c r="BW173" s="712">
        <v>0</v>
      </c>
      <c r="BX173" s="711">
        <v>0</v>
      </c>
      <c r="BY173" s="712">
        <v>0</v>
      </c>
      <c r="BZ173" s="711">
        <v>0</v>
      </c>
      <c r="CA173" s="712">
        <v>0</v>
      </c>
      <c r="CB173" s="711">
        <v>0</v>
      </c>
      <c r="CC173" s="710">
        <v>0</v>
      </c>
      <c r="CD173" s="713">
        <v>0</v>
      </c>
      <c r="CE173" s="710">
        <v>0</v>
      </c>
      <c r="CF173" s="713">
        <v>0</v>
      </c>
      <c r="CG173" s="710">
        <v>0</v>
      </c>
      <c r="CH173" s="713">
        <v>0</v>
      </c>
      <c r="CI173" s="710">
        <v>0</v>
      </c>
      <c r="CJ173" s="713">
        <v>0</v>
      </c>
      <c r="CK173" s="710">
        <v>0</v>
      </c>
      <c r="CL173" s="713">
        <v>0</v>
      </c>
      <c r="CM173" s="710">
        <v>0</v>
      </c>
      <c r="CN173" s="713">
        <v>0</v>
      </c>
      <c r="CO173" s="710">
        <v>0</v>
      </c>
      <c r="CP173" s="713">
        <v>0</v>
      </c>
      <c r="CQ173" s="710">
        <v>0</v>
      </c>
      <c r="CR173" s="711">
        <v>0</v>
      </c>
      <c r="CS173" s="710">
        <v>0</v>
      </c>
      <c r="CT173" s="711">
        <v>0</v>
      </c>
      <c r="CU173" s="712">
        <v>0</v>
      </c>
      <c r="CV173" s="711">
        <v>0</v>
      </c>
    </row>
    <row r="174" spans="1:100">
      <c r="A174" s="467">
        <v>172</v>
      </c>
      <c r="B174" s="595">
        <v>0</v>
      </c>
      <c r="C174" s="595">
        <v>0</v>
      </c>
      <c r="D174" s="595">
        <v>0</v>
      </c>
      <c r="E174" s="595">
        <v>0</v>
      </c>
      <c r="F174" s="595">
        <v>0</v>
      </c>
      <c r="G174" s="595">
        <v>0</v>
      </c>
      <c r="H174" s="595">
        <v>0</v>
      </c>
      <c r="I174" s="595">
        <v>0</v>
      </c>
      <c r="J174" s="595">
        <v>0</v>
      </c>
      <c r="K174" s="595">
        <v>0</v>
      </c>
      <c r="L174" s="595">
        <v>0</v>
      </c>
      <c r="M174" s="595">
        <v>0</v>
      </c>
      <c r="N174" s="595">
        <v>0</v>
      </c>
      <c r="O174" s="595">
        <v>0</v>
      </c>
      <c r="P174" s="595">
        <v>0</v>
      </c>
      <c r="Q174" s="595">
        <v>0</v>
      </c>
      <c r="R174" s="595">
        <v>0</v>
      </c>
      <c r="S174" s="595">
        <v>0</v>
      </c>
      <c r="T174" s="595">
        <v>0</v>
      </c>
      <c r="U174" s="595">
        <v>0</v>
      </c>
      <c r="V174" s="595">
        <v>0</v>
      </c>
      <c r="W174" s="611">
        <v>0</v>
      </c>
      <c r="X174" s="706"/>
      <c r="Y174" s="706"/>
      <c r="Z174" s="706"/>
      <c r="AA174" s="706"/>
      <c r="AB174" s="706"/>
      <c r="AC174" s="706"/>
      <c r="AD174" s="706"/>
      <c r="AE174" s="703">
        <v>0</v>
      </c>
      <c r="AF174" s="704">
        <v>0</v>
      </c>
      <c r="AG174" s="705">
        <v>0</v>
      </c>
      <c r="AH174" s="706">
        <v>0</v>
      </c>
      <c r="AI174" s="705">
        <v>0</v>
      </c>
      <c r="AJ174" s="703">
        <v>0</v>
      </c>
      <c r="AK174" s="705">
        <v>0</v>
      </c>
      <c r="AL174" s="707">
        <v>0</v>
      </c>
      <c r="AM174" s="703">
        <v>0</v>
      </c>
      <c r="AN174" s="703">
        <v>0</v>
      </c>
      <c r="AO174" s="707">
        <v>0</v>
      </c>
      <c r="AP174" s="708">
        <v>0</v>
      </c>
      <c r="AQ174" s="705">
        <v>0</v>
      </c>
      <c r="AR174" s="703">
        <v>0</v>
      </c>
      <c r="AS174" s="705">
        <v>0</v>
      </c>
      <c r="AT174" s="709">
        <v>0</v>
      </c>
      <c r="AU174" s="703">
        <v>0</v>
      </c>
      <c r="AV174" s="705">
        <v>0</v>
      </c>
      <c r="AW174" s="710">
        <v>0</v>
      </c>
      <c r="AX174" s="711">
        <v>0</v>
      </c>
      <c r="AY174" s="710">
        <v>0</v>
      </c>
      <c r="AZ174" s="711">
        <v>0</v>
      </c>
      <c r="BA174" s="710">
        <v>0</v>
      </c>
      <c r="BB174" s="711">
        <v>0</v>
      </c>
      <c r="BC174" s="712">
        <v>0</v>
      </c>
      <c r="BD174" s="713">
        <v>0</v>
      </c>
      <c r="BE174" s="710">
        <v>0</v>
      </c>
      <c r="BF174" s="711">
        <v>0</v>
      </c>
      <c r="BG174" s="712">
        <v>0</v>
      </c>
      <c r="BH174" s="711">
        <v>0</v>
      </c>
      <c r="BI174" s="712">
        <v>0</v>
      </c>
      <c r="BJ174" s="711">
        <v>0</v>
      </c>
      <c r="BK174" s="712">
        <v>0</v>
      </c>
      <c r="BL174" s="711">
        <v>0</v>
      </c>
      <c r="BM174" s="712">
        <v>0</v>
      </c>
      <c r="BN174" s="711">
        <v>0</v>
      </c>
      <c r="BO174" s="712">
        <v>0</v>
      </c>
      <c r="BP174" s="711">
        <v>0</v>
      </c>
      <c r="BQ174" s="712">
        <v>0</v>
      </c>
      <c r="BR174" s="711">
        <v>0</v>
      </c>
      <c r="BS174" s="712">
        <v>0</v>
      </c>
      <c r="BT174" s="711">
        <v>0</v>
      </c>
      <c r="BU174" s="712">
        <v>0</v>
      </c>
      <c r="BV174" s="711">
        <v>0</v>
      </c>
      <c r="BW174" s="712">
        <v>0</v>
      </c>
      <c r="BX174" s="711">
        <v>0</v>
      </c>
      <c r="BY174" s="712">
        <v>0</v>
      </c>
      <c r="BZ174" s="711">
        <v>0</v>
      </c>
      <c r="CA174" s="712">
        <v>0</v>
      </c>
      <c r="CB174" s="711">
        <v>0</v>
      </c>
      <c r="CC174" s="710">
        <v>0</v>
      </c>
      <c r="CD174" s="713">
        <v>0</v>
      </c>
      <c r="CE174" s="710">
        <v>0</v>
      </c>
      <c r="CF174" s="713">
        <v>0</v>
      </c>
      <c r="CG174" s="710">
        <v>0</v>
      </c>
      <c r="CH174" s="713">
        <v>0</v>
      </c>
      <c r="CI174" s="710">
        <v>0</v>
      </c>
      <c r="CJ174" s="713">
        <v>0</v>
      </c>
      <c r="CK174" s="710">
        <v>0</v>
      </c>
      <c r="CL174" s="713">
        <v>0</v>
      </c>
      <c r="CM174" s="710">
        <v>0</v>
      </c>
      <c r="CN174" s="713">
        <v>0</v>
      </c>
      <c r="CO174" s="710">
        <v>0</v>
      </c>
      <c r="CP174" s="713">
        <v>0</v>
      </c>
      <c r="CQ174" s="710">
        <v>0</v>
      </c>
      <c r="CR174" s="711">
        <v>0</v>
      </c>
      <c r="CS174" s="710">
        <v>0</v>
      </c>
      <c r="CT174" s="711">
        <v>0</v>
      </c>
      <c r="CU174" s="712">
        <v>0</v>
      </c>
      <c r="CV174" s="711">
        <v>0</v>
      </c>
    </row>
    <row r="175" spans="1:100">
      <c r="A175" s="467">
        <v>173</v>
      </c>
      <c r="B175" s="595">
        <v>0</v>
      </c>
      <c r="C175" s="595">
        <v>0</v>
      </c>
      <c r="D175" s="595">
        <v>0</v>
      </c>
      <c r="E175" s="595">
        <v>0</v>
      </c>
      <c r="F175" s="595">
        <v>0</v>
      </c>
      <c r="G175" s="595">
        <v>0</v>
      </c>
      <c r="H175" s="595">
        <v>0</v>
      </c>
      <c r="I175" s="595">
        <v>0</v>
      </c>
      <c r="J175" s="595">
        <v>0</v>
      </c>
      <c r="K175" s="595">
        <v>0</v>
      </c>
      <c r="L175" s="595">
        <v>0</v>
      </c>
      <c r="M175" s="595">
        <v>0</v>
      </c>
      <c r="N175" s="595">
        <v>0</v>
      </c>
      <c r="O175" s="595">
        <v>0</v>
      </c>
      <c r="P175" s="595">
        <v>0</v>
      </c>
      <c r="Q175" s="595">
        <v>0</v>
      </c>
      <c r="R175" s="595">
        <v>0</v>
      </c>
      <c r="S175" s="595">
        <v>0</v>
      </c>
      <c r="T175" s="595">
        <v>0</v>
      </c>
      <c r="U175" s="595">
        <v>0</v>
      </c>
      <c r="V175" s="595">
        <v>0</v>
      </c>
      <c r="W175" s="611">
        <v>0</v>
      </c>
      <c r="X175" s="706"/>
      <c r="Y175" s="706"/>
      <c r="Z175" s="706"/>
      <c r="AA175" s="706"/>
      <c r="AB175" s="706"/>
      <c r="AC175" s="706"/>
      <c r="AD175" s="706"/>
      <c r="AE175" s="703">
        <v>0</v>
      </c>
      <c r="AF175" s="704">
        <v>0</v>
      </c>
      <c r="AG175" s="705">
        <v>0</v>
      </c>
      <c r="AH175" s="706">
        <v>0</v>
      </c>
      <c r="AI175" s="705">
        <v>0</v>
      </c>
      <c r="AJ175" s="703">
        <v>0</v>
      </c>
      <c r="AK175" s="705">
        <v>0</v>
      </c>
      <c r="AL175" s="707">
        <v>0</v>
      </c>
      <c r="AM175" s="703">
        <v>0</v>
      </c>
      <c r="AN175" s="703">
        <v>0</v>
      </c>
      <c r="AO175" s="707">
        <v>0</v>
      </c>
      <c r="AP175" s="708">
        <v>0</v>
      </c>
      <c r="AQ175" s="705">
        <v>0</v>
      </c>
      <c r="AR175" s="703">
        <v>0</v>
      </c>
      <c r="AS175" s="705">
        <v>0</v>
      </c>
      <c r="AT175" s="709">
        <v>0</v>
      </c>
      <c r="AU175" s="703">
        <v>0</v>
      </c>
      <c r="AV175" s="705">
        <v>0</v>
      </c>
      <c r="AW175" s="710">
        <v>0</v>
      </c>
      <c r="AX175" s="711">
        <v>0</v>
      </c>
      <c r="AY175" s="710">
        <v>0</v>
      </c>
      <c r="AZ175" s="711">
        <v>0</v>
      </c>
      <c r="BA175" s="710">
        <v>0</v>
      </c>
      <c r="BB175" s="711">
        <v>0</v>
      </c>
      <c r="BC175" s="712">
        <v>0</v>
      </c>
      <c r="BD175" s="713">
        <v>0</v>
      </c>
      <c r="BE175" s="710">
        <v>0</v>
      </c>
      <c r="BF175" s="711">
        <v>0</v>
      </c>
      <c r="BG175" s="712">
        <v>0</v>
      </c>
      <c r="BH175" s="711">
        <v>0</v>
      </c>
      <c r="BI175" s="712">
        <v>0</v>
      </c>
      <c r="BJ175" s="711">
        <v>0</v>
      </c>
      <c r="BK175" s="712">
        <v>0</v>
      </c>
      <c r="BL175" s="711">
        <v>0</v>
      </c>
      <c r="BM175" s="712">
        <v>0</v>
      </c>
      <c r="BN175" s="711">
        <v>0</v>
      </c>
      <c r="BO175" s="712">
        <v>0</v>
      </c>
      <c r="BP175" s="711">
        <v>0</v>
      </c>
      <c r="BQ175" s="712">
        <v>0</v>
      </c>
      <c r="BR175" s="711">
        <v>0</v>
      </c>
      <c r="BS175" s="712">
        <v>0</v>
      </c>
      <c r="BT175" s="711">
        <v>0</v>
      </c>
      <c r="BU175" s="712">
        <v>0</v>
      </c>
      <c r="BV175" s="711">
        <v>0</v>
      </c>
      <c r="BW175" s="712">
        <v>0</v>
      </c>
      <c r="BX175" s="711">
        <v>0</v>
      </c>
      <c r="BY175" s="712">
        <v>0</v>
      </c>
      <c r="BZ175" s="711">
        <v>0</v>
      </c>
      <c r="CA175" s="712">
        <v>0</v>
      </c>
      <c r="CB175" s="711">
        <v>0</v>
      </c>
      <c r="CC175" s="710">
        <v>0</v>
      </c>
      <c r="CD175" s="713">
        <v>0</v>
      </c>
      <c r="CE175" s="710">
        <v>0</v>
      </c>
      <c r="CF175" s="713">
        <v>0</v>
      </c>
      <c r="CG175" s="710">
        <v>0</v>
      </c>
      <c r="CH175" s="713">
        <v>0</v>
      </c>
      <c r="CI175" s="710">
        <v>0</v>
      </c>
      <c r="CJ175" s="713">
        <v>0</v>
      </c>
      <c r="CK175" s="710">
        <v>0</v>
      </c>
      <c r="CL175" s="713">
        <v>0</v>
      </c>
      <c r="CM175" s="710">
        <v>0</v>
      </c>
      <c r="CN175" s="713">
        <v>0</v>
      </c>
      <c r="CO175" s="710">
        <v>0</v>
      </c>
      <c r="CP175" s="713">
        <v>0</v>
      </c>
      <c r="CQ175" s="710">
        <v>0</v>
      </c>
      <c r="CR175" s="711">
        <v>0</v>
      </c>
      <c r="CS175" s="710">
        <v>0</v>
      </c>
      <c r="CT175" s="711">
        <v>0</v>
      </c>
      <c r="CU175" s="712">
        <v>0</v>
      </c>
      <c r="CV175" s="711">
        <v>0</v>
      </c>
    </row>
    <row r="176" spans="1:100">
      <c r="A176" s="467">
        <v>174</v>
      </c>
      <c r="B176" s="595">
        <v>0</v>
      </c>
      <c r="C176" s="595">
        <v>0</v>
      </c>
      <c r="D176" s="595">
        <v>0</v>
      </c>
      <c r="E176" s="595">
        <v>0</v>
      </c>
      <c r="F176" s="595">
        <v>0</v>
      </c>
      <c r="G176" s="595">
        <v>0</v>
      </c>
      <c r="H176" s="595">
        <v>0</v>
      </c>
      <c r="I176" s="595">
        <v>0</v>
      </c>
      <c r="J176" s="595">
        <v>0</v>
      </c>
      <c r="K176" s="595">
        <v>0</v>
      </c>
      <c r="L176" s="595">
        <v>0</v>
      </c>
      <c r="M176" s="595">
        <v>0</v>
      </c>
      <c r="N176" s="595">
        <v>0</v>
      </c>
      <c r="O176" s="595">
        <v>0</v>
      </c>
      <c r="P176" s="595">
        <v>0</v>
      </c>
      <c r="Q176" s="595">
        <v>0</v>
      </c>
      <c r="R176" s="595">
        <v>0</v>
      </c>
      <c r="S176" s="595">
        <v>0</v>
      </c>
      <c r="T176" s="595">
        <v>0</v>
      </c>
      <c r="U176" s="595">
        <v>0</v>
      </c>
      <c r="V176" s="595">
        <v>0</v>
      </c>
      <c r="W176" s="611">
        <v>0</v>
      </c>
      <c r="X176" s="706"/>
      <c r="Y176" s="706"/>
      <c r="Z176" s="706"/>
      <c r="AA176" s="706"/>
      <c r="AB176" s="706"/>
      <c r="AC176" s="706"/>
      <c r="AD176" s="706"/>
      <c r="AE176" s="703">
        <v>0</v>
      </c>
      <c r="AF176" s="704">
        <v>0</v>
      </c>
      <c r="AG176" s="705">
        <v>0</v>
      </c>
      <c r="AH176" s="706">
        <v>0</v>
      </c>
      <c r="AI176" s="705">
        <v>0</v>
      </c>
      <c r="AJ176" s="703">
        <v>0</v>
      </c>
      <c r="AK176" s="705">
        <v>0</v>
      </c>
      <c r="AL176" s="707">
        <v>0</v>
      </c>
      <c r="AM176" s="703">
        <v>0</v>
      </c>
      <c r="AN176" s="703">
        <v>0</v>
      </c>
      <c r="AO176" s="707">
        <v>0</v>
      </c>
      <c r="AP176" s="708">
        <v>0</v>
      </c>
      <c r="AQ176" s="705">
        <v>0</v>
      </c>
      <c r="AR176" s="703">
        <v>0</v>
      </c>
      <c r="AS176" s="705">
        <v>0</v>
      </c>
      <c r="AT176" s="709">
        <v>0</v>
      </c>
      <c r="AU176" s="703">
        <v>0</v>
      </c>
      <c r="AV176" s="705">
        <v>0</v>
      </c>
      <c r="AW176" s="710">
        <v>0</v>
      </c>
      <c r="AX176" s="711">
        <v>0</v>
      </c>
      <c r="AY176" s="710">
        <v>0</v>
      </c>
      <c r="AZ176" s="711">
        <v>0</v>
      </c>
      <c r="BA176" s="710">
        <v>0</v>
      </c>
      <c r="BB176" s="711">
        <v>0</v>
      </c>
      <c r="BC176" s="712">
        <v>0</v>
      </c>
      <c r="BD176" s="713">
        <v>0</v>
      </c>
      <c r="BE176" s="710">
        <v>0</v>
      </c>
      <c r="BF176" s="711">
        <v>0</v>
      </c>
      <c r="BG176" s="712">
        <v>0</v>
      </c>
      <c r="BH176" s="711">
        <v>0</v>
      </c>
      <c r="BI176" s="712">
        <v>0</v>
      </c>
      <c r="BJ176" s="711">
        <v>0</v>
      </c>
      <c r="BK176" s="712">
        <v>0</v>
      </c>
      <c r="BL176" s="711">
        <v>0</v>
      </c>
      <c r="BM176" s="712">
        <v>0</v>
      </c>
      <c r="BN176" s="711">
        <v>0</v>
      </c>
      <c r="BO176" s="712">
        <v>0</v>
      </c>
      <c r="BP176" s="711">
        <v>0</v>
      </c>
      <c r="BQ176" s="712">
        <v>0</v>
      </c>
      <c r="BR176" s="711">
        <v>0</v>
      </c>
      <c r="BS176" s="712">
        <v>0</v>
      </c>
      <c r="BT176" s="711">
        <v>0</v>
      </c>
      <c r="BU176" s="712">
        <v>0</v>
      </c>
      <c r="BV176" s="711">
        <v>0</v>
      </c>
      <c r="BW176" s="712">
        <v>0</v>
      </c>
      <c r="BX176" s="711">
        <v>0</v>
      </c>
      <c r="BY176" s="712">
        <v>0</v>
      </c>
      <c r="BZ176" s="711">
        <v>0</v>
      </c>
      <c r="CA176" s="712">
        <v>0</v>
      </c>
      <c r="CB176" s="711">
        <v>0</v>
      </c>
      <c r="CC176" s="710">
        <v>0</v>
      </c>
      <c r="CD176" s="713">
        <v>0</v>
      </c>
      <c r="CE176" s="710">
        <v>0</v>
      </c>
      <c r="CF176" s="713">
        <v>0</v>
      </c>
      <c r="CG176" s="710">
        <v>0</v>
      </c>
      <c r="CH176" s="713">
        <v>0</v>
      </c>
      <c r="CI176" s="710">
        <v>0</v>
      </c>
      <c r="CJ176" s="713">
        <v>0</v>
      </c>
      <c r="CK176" s="710">
        <v>0</v>
      </c>
      <c r="CL176" s="713">
        <v>0</v>
      </c>
      <c r="CM176" s="710">
        <v>0</v>
      </c>
      <c r="CN176" s="713">
        <v>0</v>
      </c>
      <c r="CO176" s="710">
        <v>0</v>
      </c>
      <c r="CP176" s="713">
        <v>0</v>
      </c>
      <c r="CQ176" s="710">
        <v>0</v>
      </c>
      <c r="CR176" s="711">
        <v>0</v>
      </c>
      <c r="CS176" s="710">
        <v>0</v>
      </c>
      <c r="CT176" s="711">
        <v>0</v>
      </c>
      <c r="CU176" s="712">
        <v>0</v>
      </c>
      <c r="CV176" s="711">
        <v>0</v>
      </c>
    </row>
    <row r="177" spans="1:100">
      <c r="A177" s="467">
        <v>175</v>
      </c>
      <c r="B177" s="595">
        <v>0</v>
      </c>
      <c r="C177" s="595">
        <v>0</v>
      </c>
      <c r="D177" s="595">
        <v>0</v>
      </c>
      <c r="E177" s="595">
        <v>0</v>
      </c>
      <c r="F177" s="595">
        <v>0</v>
      </c>
      <c r="G177" s="595">
        <v>0</v>
      </c>
      <c r="H177" s="595">
        <v>0</v>
      </c>
      <c r="I177" s="595">
        <v>0</v>
      </c>
      <c r="J177" s="595">
        <v>0</v>
      </c>
      <c r="K177" s="595">
        <v>0</v>
      </c>
      <c r="L177" s="595">
        <v>0</v>
      </c>
      <c r="M177" s="595">
        <v>0</v>
      </c>
      <c r="N177" s="595">
        <v>0</v>
      </c>
      <c r="O177" s="595">
        <v>0</v>
      </c>
      <c r="P177" s="595">
        <v>0</v>
      </c>
      <c r="Q177" s="595">
        <v>0</v>
      </c>
      <c r="R177" s="595">
        <v>0</v>
      </c>
      <c r="S177" s="595">
        <v>0</v>
      </c>
      <c r="T177" s="595">
        <v>0</v>
      </c>
      <c r="U177" s="595">
        <v>0</v>
      </c>
      <c r="V177" s="595">
        <v>0</v>
      </c>
      <c r="W177" s="611">
        <v>0</v>
      </c>
      <c r="X177" s="706"/>
      <c r="Y177" s="706"/>
      <c r="Z177" s="706"/>
      <c r="AA177" s="706"/>
      <c r="AB177" s="706"/>
      <c r="AC177" s="706"/>
      <c r="AD177" s="706"/>
      <c r="AE177" s="703">
        <v>0</v>
      </c>
      <c r="AF177" s="704">
        <v>0</v>
      </c>
      <c r="AG177" s="705">
        <v>0</v>
      </c>
      <c r="AH177" s="706">
        <v>0</v>
      </c>
      <c r="AI177" s="705">
        <v>0</v>
      </c>
      <c r="AJ177" s="703">
        <v>0</v>
      </c>
      <c r="AK177" s="705">
        <v>0</v>
      </c>
      <c r="AL177" s="707">
        <v>0</v>
      </c>
      <c r="AM177" s="703">
        <v>0</v>
      </c>
      <c r="AN177" s="703">
        <v>0</v>
      </c>
      <c r="AO177" s="707">
        <v>0</v>
      </c>
      <c r="AP177" s="708">
        <v>0</v>
      </c>
      <c r="AQ177" s="705">
        <v>0</v>
      </c>
      <c r="AR177" s="703">
        <v>0</v>
      </c>
      <c r="AS177" s="705">
        <v>0</v>
      </c>
      <c r="AT177" s="709">
        <v>0</v>
      </c>
      <c r="AU177" s="703">
        <v>0</v>
      </c>
      <c r="AV177" s="705">
        <v>0</v>
      </c>
      <c r="AW177" s="710">
        <v>0</v>
      </c>
      <c r="AX177" s="711">
        <v>0</v>
      </c>
      <c r="AY177" s="710">
        <v>0</v>
      </c>
      <c r="AZ177" s="711">
        <v>0</v>
      </c>
      <c r="BA177" s="710">
        <v>0</v>
      </c>
      <c r="BB177" s="711">
        <v>0</v>
      </c>
      <c r="BC177" s="712">
        <v>0</v>
      </c>
      <c r="BD177" s="713">
        <v>0</v>
      </c>
      <c r="BE177" s="710">
        <v>0</v>
      </c>
      <c r="BF177" s="711">
        <v>0</v>
      </c>
      <c r="BG177" s="712">
        <v>0</v>
      </c>
      <c r="BH177" s="711">
        <v>0</v>
      </c>
      <c r="BI177" s="712">
        <v>0</v>
      </c>
      <c r="BJ177" s="711">
        <v>0</v>
      </c>
      <c r="BK177" s="712">
        <v>0</v>
      </c>
      <c r="BL177" s="711">
        <v>0</v>
      </c>
      <c r="BM177" s="712">
        <v>0</v>
      </c>
      <c r="BN177" s="711">
        <v>0</v>
      </c>
      <c r="BO177" s="712">
        <v>0</v>
      </c>
      <c r="BP177" s="711">
        <v>0</v>
      </c>
      <c r="BQ177" s="712">
        <v>0</v>
      </c>
      <c r="BR177" s="711">
        <v>0</v>
      </c>
      <c r="BS177" s="712">
        <v>0</v>
      </c>
      <c r="BT177" s="711">
        <v>0</v>
      </c>
      <c r="BU177" s="712">
        <v>0</v>
      </c>
      <c r="BV177" s="711">
        <v>0</v>
      </c>
      <c r="BW177" s="712">
        <v>0</v>
      </c>
      <c r="BX177" s="711">
        <v>0</v>
      </c>
      <c r="BY177" s="712">
        <v>0</v>
      </c>
      <c r="BZ177" s="711">
        <v>0</v>
      </c>
      <c r="CA177" s="712">
        <v>0</v>
      </c>
      <c r="CB177" s="711">
        <v>0</v>
      </c>
      <c r="CC177" s="710">
        <v>0</v>
      </c>
      <c r="CD177" s="713">
        <v>0</v>
      </c>
      <c r="CE177" s="710">
        <v>0</v>
      </c>
      <c r="CF177" s="713">
        <v>0</v>
      </c>
      <c r="CG177" s="710">
        <v>0</v>
      </c>
      <c r="CH177" s="713">
        <v>0</v>
      </c>
      <c r="CI177" s="710">
        <v>0</v>
      </c>
      <c r="CJ177" s="713">
        <v>0</v>
      </c>
      <c r="CK177" s="710">
        <v>0</v>
      </c>
      <c r="CL177" s="713">
        <v>0</v>
      </c>
      <c r="CM177" s="710">
        <v>0</v>
      </c>
      <c r="CN177" s="713">
        <v>0</v>
      </c>
      <c r="CO177" s="710">
        <v>0</v>
      </c>
      <c r="CP177" s="713">
        <v>0</v>
      </c>
      <c r="CQ177" s="710">
        <v>0</v>
      </c>
      <c r="CR177" s="711">
        <v>0</v>
      </c>
      <c r="CS177" s="710">
        <v>0</v>
      </c>
      <c r="CT177" s="711">
        <v>0</v>
      </c>
      <c r="CU177" s="712">
        <v>0</v>
      </c>
      <c r="CV177" s="711">
        <v>0</v>
      </c>
    </row>
    <row r="178" spans="1:100">
      <c r="A178" s="467">
        <v>176</v>
      </c>
      <c r="B178" s="595">
        <v>0</v>
      </c>
      <c r="C178" s="595">
        <v>0</v>
      </c>
      <c r="D178" s="595">
        <v>0</v>
      </c>
      <c r="E178" s="595">
        <v>0</v>
      </c>
      <c r="F178" s="595">
        <v>0</v>
      </c>
      <c r="G178" s="595">
        <v>0</v>
      </c>
      <c r="H178" s="595">
        <v>0</v>
      </c>
      <c r="I178" s="595">
        <v>0</v>
      </c>
      <c r="J178" s="595">
        <v>0</v>
      </c>
      <c r="K178" s="595">
        <v>0</v>
      </c>
      <c r="L178" s="595">
        <v>0</v>
      </c>
      <c r="M178" s="595">
        <v>0</v>
      </c>
      <c r="N178" s="595">
        <v>0</v>
      </c>
      <c r="O178" s="595">
        <v>0</v>
      </c>
      <c r="P178" s="595">
        <v>0</v>
      </c>
      <c r="Q178" s="595">
        <v>0</v>
      </c>
      <c r="R178" s="595">
        <v>0</v>
      </c>
      <c r="S178" s="595">
        <v>0</v>
      </c>
      <c r="T178" s="595">
        <v>0</v>
      </c>
      <c r="U178" s="595">
        <v>0</v>
      </c>
      <c r="V178" s="595">
        <v>0</v>
      </c>
      <c r="W178" s="611">
        <v>0</v>
      </c>
      <c r="X178" s="706"/>
      <c r="Y178" s="706"/>
      <c r="Z178" s="706"/>
      <c r="AA178" s="706"/>
      <c r="AB178" s="706"/>
      <c r="AC178" s="706"/>
      <c r="AD178" s="706"/>
      <c r="AE178" s="703">
        <v>0</v>
      </c>
      <c r="AF178" s="704">
        <v>0</v>
      </c>
      <c r="AG178" s="705">
        <v>0</v>
      </c>
      <c r="AH178" s="706">
        <v>0</v>
      </c>
      <c r="AI178" s="705">
        <v>0</v>
      </c>
      <c r="AJ178" s="703">
        <v>0</v>
      </c>
      <c r="AK178" s="705">
        <v>0</v>
      </c>
      <c r="AL178" s="707">
        <v>0</v>
      </c>
      <c r="AM178" s="703">
        <v>0</v>
      </c>
      <c r="AN178" s="703">
        <v>0</v>
      </c>
      <c r="AO178" s="707">
        <v>0</v>
      </c>
      <c r="AP178" s="708">
        <v>0</v>
      </c>
      <c r="AQ178" s="705">
        <v>0</v>
      </c>
      <c r="AR178" s="703">
        <v>0</v>
      </c>
      <c r="AS178" s="705">
        <v>0</v>
      </c>
      <c r="AT178" s="709">
        <v>0</v>
      </c>
      <c r="AU178" s="703">
        <v>0</v>
      </c>
      <c r="AV178" s="705">
        <v>0</v>
      </c>
      <c r="AW178" s="710">
        <v>0</v>
      </c>
      <c r="AX178" s="711">
        <v>0</v>
      </c>
      <c r="AY178" s="710">
        <v>0</v>
      </c>
      <c r="AZ178" s="711">
        <v>0</v>
      </c>
      <c r="BA178" s="710">
        <v>0</v>
      </c>
      <c r="BB178" s="711">
        <v>0</v>
      </c>
      <c r="BC178" s="712">
        <v>0</v>
      </c>
      <c r="BD178" s="713">
        <v>0</v>
      </c>
      <c r="BE178" s="710">
        <v>0</v>
      </c>
      <c r="BF178" s="711">
        <v>0</v>
      </c>
      <c r="BG178" s="712">
        <v>0</v>
      </c>
      <c r="BH178" s="711">
        <v>0</v>
      </c>
      <c r="BI178" s="712">
        <v>0</v>
      </c>
      <c r="BJ178" s="711">
        <v>0</v>
      </c>
      <c r="BK178" s="712">
        <v>0</v>
      </c>
      <c r="BL178" s="711">
        <v>0</v>
      </c>
      <c r="BM178" s="712">
        <v>0</v>
      </c>
      <c r="BN178" s="711">
        <v>0</v>
      </c>
      <c r="BO178" s="712">
        <v>0</v>
      </c>
      <c r="BP178" s="711">
        <v>0</v>
      </c>
      <c r="BQ178" s="712">
        <v>0</v>
      </c>
      <c r="BR178" s="711">
        <v>0</v>
      </c>
      <c r="BS178" s="712">
        <v>0</v>
      </c>
      <c r="BT178" s="711">
        <v>0</v>
      </c>
      <c r="BU178" s="712">
        <v>0</v>
      </c>
      <c r="BV178" s="711">
        <v>0</v>
      </c>
      <c r="BW178" s="712">
        <v>0</v>
      </c>
      <c r="BX178" s="711">
        <v>0</v>
      </c>
      <c r="BY178" s="712">
        <v>0</v>
      </c>
      <c r="BZ178" s="711">
        <v>0</v>
      </c>
      <c r="CA178" s="712">
        <v>0</v>
      </c>
      <c r="CB178" s="711">
        <v>0</v>
      </c>
      <c r="CC178" s="710">
        <v>0</v>
      </c>
      <c r="CD178" s="713">
        <v>0</v>
      </c>
      <c r="CE178" s="710">
        <v>0</v>
      </c>
      <c r="CF178" s="713">
        <v>0</v>
      </c>
      <c r="CG178" s="710">
        <v>0</v>
      </c>
      <c r="CH178" s="713">
        <v>0</v>
      </c>
      <c r="CI178" s="710">
        <v>0</v>
      </c>
      <c r="CJ178" s="713">
        <v>0</v>
      </c>
      <c r="CK178" s="710">
        <v>0</v>
      </c>
      <c r="CL178" s="713">
        <v>0</v>
      </c>
      <c r="CM178" s="710">
        <v>0</v>
      </c>
      <c r="CN178" s="713">
        <v>0</v>
      </c>
      <c r="CO178" s="710">
        <v>0</v>
      </c>
      <c r="CP178" s="713">
        <v>0</v>
      </c>
      <c r="CQ178" s="710">
        <v>0</v>
      </c>
      <c r="CR178" s="711">
        <v>0</v>
      </c>
      <c r="CS178" s="710">
        <v>0</v>
      </c>
      <c r="CT178" s="711">
        <v>0</v>
      </c>
      <c r="CU178" s="712">
        <v>0</v>
      </c>
      <c r="CV178" s="711">
        <v>0</v>
      </c>
    </row>
    <row r="179" spans="1:100">
      <c r="A179" s="467">
        <v>177</v>
      </c>
      <c r="B179" s="595">
        <v>0</v>
      </c>
      <c r="C179" s="595">
        <v>0</v>
      </c>
      <c r="D179" s="595">
        <v>0</v>
      </c>
      <c r="E179" s="595">
        <v>0</v>
      </c>
      <c r="F179" s="595">
        <v>0</v>
      </c>
      <c r="G179" s="595">
        <v>0</v>
      </c>
      <c r="H179" s="595">
        <v>0</v>
      </c>
      <c r="I179" s="595">
        <v>0</v>
      </c>
      <c r="J179" s="595">
        <v>0</v>
      </c>
      <c r="K179" s="595">
        <v>0</v>
      </c>
      <c r="L179" s="595">
        <v>0</v>
      </c>
      <c r="M179" s="595">
        <v>0</v>
      </c>
      <c r="N179" s="595">
        <v>0</v>
      </c>
      <c r="O179" s="595">
        <v>0</v>
      </c>
      <c r="P179" s="595">
        <v>0</v>
      </c>
      <c r="Q179" s="595">
        <v>0</v>
      </c>
      <c r="R179" s="595">
        <v>0</v>
      </c>
      <c r="S179" s="595">
        <v>0</v>
      </c>
      <c r="T179" s="595">
        <v>0</v>
      </c>
      <c r="U179" s="595">
        <v>0</v>
      </c>
      <c r="V179" s="595">
        <v>0</v>
      </c>
      <c r="W179" s="611">
        <v>0</v>
      </c>
      <c r="X179" s="706"/>
      <c r="Y179" s="706"/>
      <c r="Z179" s="706"/>
      <c r="AA179" s="706"/>
      <c r="AB179" s="706"/>
      <c r="AC179" s="706"/>
      <c r="AD179" s="706"/>
      <c r="AE179" s="703">
        <v>0</v>
      </c>
      <c r="AF179" s="704">
        <v>0</v>
      </c>
      <c r="AG179" s="705">
        <v>0</v>
      </c>
      <c r="AH179" s="706">
        <v>0</v>
      </c>
      <c r="AI179" s="705">
        <v>0</v>
      </c>
      <c r="AJ179" s="703">
        <v>0</v>
      </c>
      <c r="AK179" s="705">
        <v>0</v>
      </c>
      <c r="AL179" s="707">
        <v>0</v>
      </c>
      <c r="AM179" s="703">
        <v>0</v>
      </c>
      <c r="AN179" s="703">
        <v>0</v>
      </c>
      <c r="AO179" s="707">
        <v>0</v>
      </c>
      <c r="AP179" s="708">
        <v>0</v>
      </c>
      <c r="AQ179" s="705">
        <v>0</v>
      </c>
      <c r="AR179" s="703">
        <v>0</v>
      </c>
      <c r="AS179" s="705">
        <v>0</v>
      </c>
      <c r="AT179" s="709">
        <v>0</v>
      </c>
      <c r="AU179" s="703">
        <v>0</v>
      </c>
      <c r="AV179" s="705">
        <v>0</v>
      </c>
      <c r="AW179" s="710">
        <v>0</v>
      </c>
      <c r="AX179" s="711">
        <v>0</v>
      </c>
      <c r="AY179" s="710">
        <v>0</v>
      </c>
      <c r="AZ179" s="711">
        <v>0</v>
      </c>
      <c r="BA179" s="710">
        <v>0</v>
      </c>
      <c r="BB179" s="711">
        <v>0</v>
      </c>
      <c r="BC179" s="712">
        <v>0</v>
      </c>
      <c r="BD179" s="713">
        <v>0</v>
      </c>
      <c r="BE179" s="710">
        <v>0</v>
      </c>
      <c r="BF179" s="711">
        <v>0</v>
      </c>
      <c r="BG179" s="712">
        <v>0</v>
      </c>
      <c r="BH179" s="711">
        <v>0</v>
      </c>
      <c r="BI179" s="712">
        <v>0</v>
      </c>
      <c r="BJ179" s="711">
        <v>0</v>
      </c>
      <c r="BK179" s="712">
        <v>0</v>
      </c>
      <c r="BL179" s="711">
        <v>0</v>
      </c>
      <c r="BM179" s="712">
        <v>0</v>
      </c>
      <c r="BN179" s="711">
        <v>0</v>
      </c>
      <c r="BO179" s="712">
        <v>0</v>
      </c>
      <c r="BP179" s="711">
        <v>0</v>
      </c>
      <c r="BQ179" s="712">
        <v>0</v>
      </c>
      <c r="BR179" s="711">
        <v>0</v>
      </c>
      <c r="BS179" s="712">
        <v>0</v>
      </c>
      <c r="BT179" s="711">
        <v>0</v>
      </c>
      <c r="BU179" s="712">
        <v>0</v>
      </c>
      <c r="BV179" s="711">
        <v>0</v>
      </c>
      <c r="BW179" s="712">
        <v>0</v>
      </c>
      <c r="BX179" s="711">
        <v>0</v>
      </c>
      <c r="BY179" s="712">
        <v>0</v>
      </c>
      <c r="BZ179" s="711">
        <v>0</v>
      </c>
      <c r="CA179" s="712">
        <v>0</v>
      </c>
      <c r="CB179" s="711">
        <v>0</v>
      </c>
      <c r="CC179" s="710">
        <v>0</v>
      </c>
      <c r="CD179" s="713">
        <v>0</v>
      </c>
      <c r="CE179" s="710">
        <v>0</v>
      </c>
      <c r="CF179" s="713">
        <v>0</v>
      </c>
      <c r="CG179" s="710">
        <v>0</v>
      </c>
      <c r="CH179" s="713">
        <v>0</v>
      </c>
      <c r="CI179" s="710">
        <v>0</v>
      </c>
      <c r="CJ179" s="713">
        <v>0</v>
      </c>
      <c r="CK179" s="710">
        <v>0</v>
      </c>
      <c r="CL179" s="713">
        <v>0</v>
      </c>
      <c r="CM179" s="710">
        <v>0</v>
      </c>
      <c r="CN179" s="713">
        <v>0</v>
      </c>
      <c r="CO179" s="710">
        <v>0</v>
      </c>
      <c r="CP179" s="713">
        <v>0</v>
      </c>
      <c r="CQ179" s="710">
        <v>0</v>
      </c>
      <c r="CR179" s="711">
        <v>0</v>
      </c>
      <c r="CS179" s="710">
        <v>0</v>
      </c>
      <c r="CT179" s="711">
        <v>0</v>
      </c>
      <c r="CU179" s="712">
        <v>0</v>
      </c>
      <c r="CV179" s="711">
        <v>0</v>
      </c>
    </row>
    <row r="180" spans="1:100">
      <c r="A180" s="467">
        <v>178</v>
      </c>
      <c r="B180" s="595">
        <v>0</v>
      </c>
      <c r="C180" s="595">
        <v>0</v>
      </c>
      <c r="D180" s="595">
        <v>0</v>
      </c>
      <c r="E180" s="595">
        <v>0</v>
      </c>
      <c r="F180" s="595">
        <v>0</v>
      </c>
      <c r="G180" s="595">
        <v>0</v>
      </c>
      <c r="H180" s="595">
        <v>0</v>
      </c>
      <c r="I180" s="595">
        <v>0</v>
      </c>
      <c r="J180" s="595">
        <v>0</v>
      </c>
      <c r="K180" s="595">
        <v>0</v>
      </c>
      <c r="L180" s="595">
        <v>0</v>
      </c>
      <c r="M180" s="595">
        <v>0</v>
      </c>
      <c r="N180" s="595">
        <v>0</v>
      </c>
      <c r="O180" s="595">
        <v>0</v>
      </c>
      <c r="P180" s="595">
        <v>0</v>
      </c>
      <c r="Q180" s="595">
        <v>0</v>
      </c>
      <c r="R180" s="595">
        <v>0</v>
      </c>
      <c r="S180" s="595">
        <v>0</v>
      </c>
      <c r="T180" s="595">
        <v>0</v>
      </c>
      <c r="U180" s="595">
        <v>0</v>
      </c>
      <c r="V180" s="595">
        <v>0</v>
      </c>
      <c r="W180" s="611">
        <v>0</v>
      </c>
      <c r="X180" s="706"/>
      <c r="Y180" s="706"/>
      <c r="Z180" s="706"/>
      <c r="AA180" s="706"/>
      <c r="AB180" s="706"/>
      <c r="AC180" s="706"/>
      <c r="AD180" s="706"/>
      <c r="AE180" s="703">
        <v>0</v>
      </c>
      <c r="AF180" s="704">
        <v>0</v>
      </c>
      <c r="AG180" s="705">
        <v>0</v>
      </c>
      <c r="AH180" s="706">
        <v>0</v>
      </c>
      <c r="AI180" s="705">
        <v>0</v>
      </c>
      <c r="AJ180" s="703">
        <v>0</v>
      </c>
      <c r="AK180" s="705">
        <v>0</v>
      </c>
      <c r="AL180" s="707">
        <v>0</v>
      </c>
      <c r="AM180" s="703">
        <v>0</v>
      </c>
      <c r="AN180" s="703">
        <v>0</v>
      </c>
      <c r="AO180" s="707">
        <v>0</v>
      </c>
      <c r="AP180" s="708">
        <v>0</v>
      </c>
      <c r="AQ180" s="705">
        <v>0</v>
      </c>
      <c r="AR180" s="703">
        <v>0</v>
      </c>
      <c r="AS180" s="705">
        <v>0</v>
      </c>
      <c r="AT180" s="709">
        <v>0</v>
      </c>
      <c r="AU180" s="703">
        <v>0</v>
      </c>
      <c r="AV180" s="705">
        <v>0</v>
      </c>
      <c r="AW180" s="710">
        <v>0</v>
      </c>
      <c r="AX180" s="711">
        <v>0</v>
      </c>
      <c r="AY180" s="710">
        <v>0</v>
      </c>
      <c r="AZ180" s="711">
        <v>0</v>
      </c>
      <c r="BA180" s="710">
        <v>0</v>
      </c>
      <c r="BB180" s="711">
        <v>0</v>
      </c>
      <c r="BC180" s="712">
        <v>0</v>
      </c>
      <c r="BD180" s="713">
        <v>0</v>
      </c>
      <c r="BE180" s="710">
        <v>0</v>
      </c>
      <c r="BF180" s="711">
        <v>0</v>
      </c>
      <c r="BG180" s="712">
        <v>0</v>
      </c>
      <c r="BH180" s="711">
        <v>0</v>
      </c>
      <c r="BI180" s="712">
        <v>0</v>
      </c>
      <c r="BJ180" s="711">
        <v>0</v>
      </c>
      <c r="BK180" s="712">
        <v>0</v>
      </c>
      <c r="BL180" s="711">
        <v>0</v>
      </c>
      <c r="BM180" s="712">
        <v>0</v>
      </c>
      <c r="BN180" s="711">
        <v>0</v>
      </c>
      <c r="BO180" s="712">
        <v>0</v>
      </c>
      <c r="BP180" s="711">
        <v>0</v>
      </c>
      <c r="BQ180" s="712">
        <v>0</v>
      </c>
      <c r="BR180" s="711">
        <v>0</v>
      </c>
      <c r="BS180" s="712">
        <v>0</v>
      </c>
      <c r="BT180" s="711">
        <v>0</v>
      </c>
      <c r="BU180" s="712">
        <v>0</v>
      </c>
      <c r="BV180" s="711">
        <v>0</v>
      </c>
      <c r="BW180" s="712">
        <v>0</v>
      </c>
      <c r="BX180" s="711">
        <v>0</v>
      </c>
      <c r="BY180" s="712">
        <v>0</v>
      </c>
      <c r="BZ180" s="711">
        <v>0</v>
      </c>
      <c r="CA180" s="712">
        <v>0</v>
      </c>
      <c r="CB180" s="711">
        <v>0</v>
      </c>
      <c r="CC180" s="710">
        <v>0</v>
      </c>
      <c r="CD180" s="713">
        <v>0</v>
      </c>
      <c r="CE180" s="710">
        <v>0</v>
      </c>
      <c r="CF180" s="713">
        <v>0</v>
      </c>
      <c r="CG180" s="710">
        <v>0</v>
      </c>
      <c r="CH180" s="713">
        <v>0</v>
      </c>
      <c r="CI180" s="710">
        <v>0</v>
      </c>
      <c r="CJ180" s="713">
        <v>0</v>
      </c>
      <c r="CK180" s="710">
        <v>0</v>
      </c>
      <c r="CL180" s="713">
        <v>0</v>
      </c>
      <c r="CM180" s="710">
        <v>0</v>
      </c>
      <c r="CN180" s="713">
        <v>0</v>
      </c>
      <c r="CO180" s="710">
        <v>0</v>
      </c>
      <c r="CP180" s="713">
        <v>0</v>
      </c>
      <c r="CQ180" s="710">
        <v>0</v>
      </c>
      <c r="CR180" s="711">
        <v>0</v>
      </c>
      <c r="CS180" s="710">
        <v>0</v>
      </c>
      <c r="CT180" s="711">
        <v>0</v>
      </c>
      <c r="CU180" s="712">
        <v>0</v>
      </c>
      <c r="CV180" s="711">
        <v>0</v>
      </c>
    </row>
    <row r="181" spans="1:100">
      <c r="A181" s="467">
        <v>179</v>
      </c>
      <c r="B181" s="595">
        <v>0</v>
      </c>
      <c r="C181" s="595">
        <v>0</v>
      </c>
      <c r="D181" s="595">
        <v>0</v>
      </c>
      <c r="E181" s="595">
        <v>0</v>
      </c>
      <c r="F181" s="595">
        <v>0</v>
      </c>
      <c r="G181" s="595">
        <v>0</v>
      </c>
      <c r="H181" s="595">
        <v>0</v>
      </c>
      <c r="I181" s="595">
        <v>0</v>
      </c>
      <c r="J181" s="595">
        <v>0</v>
      </c>
      <c r="K181" s="595">
        <v>0</v>
      </c>
      <c r="L181" s="595">
        <v>0</v>
      </c>
      <c r="M181" s="595">
        <v>0</v>
      </c>
      <c r="N181" s="595">
        <v>0</v>
      </c>
      <c r="O181" s="595">
        <v>0</v>
      </c>
      <c r="P181" s="595">
        <v>0</v>
      </c>
      <c r="Q181" s="595">
        <v>0</v>
      </c>
      <c r="R181" s="595">
        <v>0</v>
      </c>
      <c r="S181" s="595">
        <v>0</v>
      </c>
      <c r="T181" s="595">
        <v>0</v>
      </c>
      <c r="U181" s="595">
        <v>0</v>
      </c>
      <c r="V181" s="595">
        <v>0</v>
      </c>
      <c r="W181" s="611">
        <v>0</v>
      </c>
      <c r="X181" s="706"/>
      <c r="Y181" s="706"/>
      <c r="Z181" s="706"/>
      <c r="AA181" s="706"/>
      <c r="AB181" s="706"/>
      <c r="AC181" s="706"/>
      <c r="AD181" s="706"/>
      <c r="AE181" s="703">
        <v>0</v>
      </c>
      <c r="AF181" s="704">
        <v>0</v>
      </c>
      <c r="AG181" s="705">
        <v>0</v>
      </c>
      <c r="AH181" s="706">
        <v>0</v>
      </c>
      <c r="AI181" s="705">
        <v>0</v>
      </c>
      <c r="AJ181" s="703">
        <v>0</v>
      </c>
      <c r="AK181" s="705">
        <v>0</v>
      </c>
      <c r="AL181" s="707">
        <v>0</v>
      </c>
      <c r="AM181" s="703">
        <v>0</v>
      </c>
      <c r="AN181" s="703">
        <v>0</v>
      </c>
      <c r="AO181" s="707">
        <v>0</v>
      </c>
      <c r="AP181" s="708">
        <v>0</v>
      </c>
      <c r="AQ181" s="705">
        <v>0</v>
      </c>
      <c r="AR181" s="703">
        <v>0</v>
      </c>
      <c r="AS181" s="705">
        <v>0</v>
      </c>
      <c r="AT181" s="709">
        <v>0</v>
      </c>
      <c r="AU181" s="703">
        <v>0</v>
      </c>
      <c r="AV181" s="705">
        <v>0</v>
      </c>
      <c r="AW181" s="710">
        <v>0</v>
      </c>
      <c r="AX181" s="711">
        <v>0</v>
      </c>
      <c r="AY181" s="710">
        <v>0</v>
      </c>
      <c r="AZ181" s="711">
        <v>0</v>
      </c>
      <c r="BA181" s="710">
        <v>0</v>
      </c>
      <c r="BB181" s="711">
        <v>0</v>
      </c>
      <c r="BC181" s="712">
        <v>0</v>
      </c>
      <c r="BD181" s="713">
        <v>0</v>
      </c>
      <c r="BE181" s="710">
        <v>0</v>
      </c>
      <c r="BF181" s="711">
        <v>0</v>
      </c>
      <c r="BG181" s="712">
        <v>0</v>
      </c>
      <c r="BH181" s="711">
        <v>0</v>
      </c>
      <c r="BI181" s="712">
        <v>0</v>
      </c>
      <c r="BJ181" s="711">
        <v>0</v>
      </c>
      <c r="BK181" s="712">
        <v>0</v>
      </c>
      <c r="BL181" s="711">
        <v>0</v>
      </c>
      <c r="BM181" s="712">
        <v>0</v>
      </c>
      <c r="BN181" s="711">
        <v>0</v>
      </c>
      <c r="BO181" s="712">
        <v>0</v>
      </c>
      <c r="BP181" s="711">
        <v>0</v>
      </c>
      <c r="BQ181" s="712">
        <v>0</v>
      </c>
      <c r="BR181" s="711">
        <v>0</v>
      </c>
      <c r="BS181" s="712">
        <v>0</v>
      </c>
      <c r="BT181" s="711">
        <v>0</v>
      </c>
      <c r="BU181" s="712">
        <v>0</v>
      </c>
      <c r="BV181" s="711">
        <v>0</v>
      </c>
      <c r="BW181" s="712">
        <v>0</v>
      </c>
      <c r="BX181" s="711">
        <v>0</v>
      </c>
      <c r="BY181" s="712">
        <v>0</v>
      </c>
      <c r="BZ181" s="711">
        <v>0</v>
      </c>
      <c r="CA181" s="712">
        <v>0</v>
      </c>
      <c r="CB181" s="711">
        <v>0</v>
      </c>
      <c r="CC181" s="710">
        <v>0</v>
      </c>
      <c r="CD181" s="713">
        <v>0</v>
      </c>
      <c r="CE181" s="710">
        <v>0</v>
      </c>
      <c r="CF181" s="713">
        <v>0</v>
      </c>
      <c r="CG181" s="710">
        <v>0</v>
      </c>
      <c r="CH181" s="713">
        <v>0</v>
      </c>
      <c r="CI181" s="710">
        <v>0</v>
      </c>
      <c r="CJ181" s="713">
        <v>0</v>
      </c>
      <c r="CK181" s="710">
        <v>0</v>
      </c>
      <c r="CL181" s="713">
        <v>0</v>
      </c>
      <c r="CM181" s="710">
        <v>0</v>
      </c>
      <c r="CN181" s="713">
        <v>0</v>
      </c>
      <c r="CO181" s="710">
        <v>0</v>
      </c>
      <c r="CP181" s="713">
        <v>0</v>
      </c>
      <c r="CQ181" s="710">
        <v>0</v>
      </c>
      <c r="CR181" s="711">
        <v>0</v>
      </c>
      <c r="CS181" s="710">
        <v>0</v>
      </c>
      <c r="CT181" s="711">
        <v>0</v>
      </c>
      <c r="CU181" s="712">
        <v>0</v>
      </c>
      <c r="CV181" s="711">
        <v>0</v>
      </c>
    </row>
    <row r="182" spans="1:100">
      <c r="A182" s="467">
        <v>180</v>
      </c>
      <c r="B182" s="595">
        <v>0</v>
      </c>
      <c r="C182" s="595">
        <v>0</v>
      </c>
      <c r="D182" s="595">
        <v>0</v>
      </c>
      <c r="E182" s="595">
        <v>0</v>
      </c>
      <c r="F182" s="595">
        <v>0</v>
      </c>
      <c r="G182" s="595">
        <v>0</v>
      </c>
      <c r="H182" s="595">
        <v>0</v>
      </c>
      <c r="I182" s="595">
        <v>0</v>
      </c>
      <c r="J182" s="595">
        <v>0</v>
      </c>
      <c r="K182" s="595">
        <v>0</v>
      </c>
      <c r="L182" s="595">
        <v>0</v>
      </c>
      <c r="M182" s="595">
        <v>0</v>
      </c>
      <c r="N182" s="595">
        <v>0</v>
      </c>
      <c r="O182" s="595">
        <v>0</v>
      </c>
      <c r="P182" s="595">
        <v>0</v>
      </c>
      <c r="Q182" s="595">
        <v>0</v>
      </c>
      <c r="R182" s="595">
        <v>0</v>
      </c>
      <c r="S182" s="595">
        <v>0</v>
      </c>
      <c r="T182" s="595">
        <v>0</v>
      </c>
      <c r="U182" s="595">
        <v>0</v>
      </c>
      <c r="V182" s="595">
        <v>0</v>
      </c>
      <c r="W182" s="611">
        <v>0</v>
      </c>
      <c r="X182" s="706"/>
      <c r="Y182" s="706"/>
      <c r="Z182" s="706"/>
      <c r="AA182" s="706"/>
      <c r="AB182" s="706"/>
      <c r="AC182" s="706"/>
      <c r="AD182" s="706"/>
      <c r="AE182" s="703">
        <v>0</v>
      </c>
      <c r="AF182" s="704">
        <v>0</v>
      </c>
      <c r="AG182" s="705">
        <v>0</v>
      </c>
      <c r="AH182" s="706">
        <v>0</v>
      </c>
      <c r="AI182" s="705">
        <v>0</v>
      </c>
      <c r="AJ182" s="703">
        <v>0</v>
      </c>
      <c r="AK182" s="705">
        <v>0</v>
      </c>
      <c r="AL182" s="707">
        <v>0</v>
      </c>
      <c r="AM182" s="703">
        <v>0</v>
      </c>
      <c r="AN182" s="703">
        <v>0</v>
      </c>
      <c r="AO182" s="707">
        <v>0</v>
      </c>
      <c r="AP182" s="708">
        <v>0</v>
      </c>
      <c r="AQ182" s="705">
        <v>0</v>
      </c>
      <c r="AR182" s="703">
        <v>0</v>
      </c>
      <c r="AS182" s="705">
        <v>0</v>
      </c>
      <c r="AT182" s="709">
        <v>0</v>
      </c>
      <c r="AU182" s="703">
        <v>0</v>
      </c>
      <c r="AV182" s="705">
        <v>0</v>
      </c>
      <c r="AW182" s="710">
        <v>0</v>
      </c>
      <c r="AX182" s="711">
        <v>0</v>
      </c>
      <c r="AY182" s="710">
        <v>0</v>
      </c>
      <c r="AZ182" s="711">
        <v>0</v>
      </c>
      <c r="BA182" s="710">
        <v>0</v>
      </c>
      <c r="BB182" s="711">
        <v>0</v>
      </c>
      <c r="BC182" s="712">
        <v>0</v>
      </c>
      <c r="BD182" s="713">
        <v>0</v>
      </c>
      <c r="BE182" s="710">
        <v>0</v>
      </c>
      <c r="BF182" s="711">
        <v>0</v>
      </c>
      <c r="BG182" s="712">
        <v>0</v>
      </c>
      <c r="BH182" s="711">
        <v>0</v>
      </c>
      <c r="BI182" s="712">
        <v>0</v>
      </c>
      <c r="BJ182" s="711">
        <v>0</v>
      </c>
      <c r="BK182" s="712">
        <v>0</v>
      </c>
      <c r="BL182" s="711">
        <v>0</v>
      </c>
      <c r="BM182" s="712">
        <v>0</v>
      </c>
      <c r="BN182" s="711">
        <v>0</v>
      </c>
      <c r="BO182" s="712">
        <v>0</v>
      </c>
      <c r="BP182" s="711">
        <v>0</v>
      </c>
      <c r="BQ182" s="712">
        <v>0</v>
      </c>
      <c r="BR182" s="711">
        <v>0</v>
      </c>
      <c r="BS182" s="712">
        <v>0</v>
      </c>
      <c r="BT182" s="711">
        <v>0</v>
      </c>
      <c r="BU182" s="712">
        <v>0</v>
      </c>
      <c r="BV182" s="711">
        <v>0</v>
      </c>
      <c r="BW182" s="712">
        <v>0</v>
      </c>
      <c r="BX182" s="711">
        <v>0</v>
      </c>
      <c r="BY182" s="712">
        <v>0</v>
      </c>
      <c r="BZ182" s="711">
        <v>0</v>
      </c>
      <c r="CA182" s="712">
        <v>0</v>
      </c>
      <c r="CB182" s="711">
        <v>0</v>
      </c>
      <c r="CC182" s="710">
        <v>0</v>
      </c>
      <c r="CD182" s="713">
        <v>0</v>
      </c>
      <c r="CE182" s="710">
        <v>0</v>
      </c>
      <c r="CF182" s="713">
        <v>0</v>
      </c>
      <c r="CG182" s="710">
        <v>0</v>
      </c>
      <c r="CH182" s="713">
        <v>0</v>
      </c>
      <c r="CI182" s="710">
        <v>0</v>
      </c>
      <c r="CJ182" s="713">
        <v>0</v>
      </c>
      <c r="CK182" s="710">
        <v>0</v>
      </c>
      <c r="CL182" s="713">
        <v>0</v>
      </c>
      <c r="CM182" s="710">
        <v>0</v>
      </c>
      <c r="CN182" s="713">
        <v>0</v>
      </c>
      <c r="CO182" s="710">
        <v>0</v>
      </c>
      <c r="CP182" s="713">
        <v>0</v>
      </c>
      <c r="CQ182" s="710">
        <v>0</v>
      </c>
      <c r="CR182" s="711">
        <v>0</v>
      </c>
      <c r="CS182" s="710">
        <v>0</v>
      </c>
      <c r="CT182" s="711">
        <v>0</v>
      </c>
      <c r="CU182" s="712">
        <v>0</v>
      </c>
      <c r="CV182" s="711">
        <v>0</v>
      </c>
    </row>
    <row r="183" spans="1:100">
      <c r="A183" s="467">
        <v>181</v>
      </c>
      <c r="B183" s="595">
        <v>0</v>
      </c>
      <c r="C183" s="595">
        <v>0</v>
      </c>
      <c r="D183" s="595">
        <v>0</v>
      </c>
      <c r="E183" s="595">
        <v>0</v>
      </c>
      <c r="F183" s="595">
        <v>0</v>
      </c>
      <c r="G183" s="595">
        <v>0</v>
      </c>
      <c r="H183" s="595">
        <v>0</v>
      </c>
      <c r="I183" s="595">
        <v>0</v>
      </c>
      <c r="J183" s="595">
        <v>0</v>
      </c>
      <c r="K183" s="595">
        <v>0</v>
      </c>
      <c r="L183" s="595">
        <v>0</v>
      </c>
      <c r="M183" s="595">
        <v>0</v>
      </c>
      <c r="N183" s="595">
        <v>0</v>
      </c>
      <c r="O183" s="595">
        <v>0</v>
      </c>
      <c r="P183" s="595">
        <v>0</v>
      </c>
      <c r="Q183" s="595">
        <v>0</v>
      </c>
      <c r="R183" s="595">
        <v>0</v>
      </c>
      <c r="S183" s="595">
        <v>0</v>
      </c>
      <c r="T183" s="595">
        <v>0</v>
      </c>
      <c r="U183" s="595">
        <v>0</v>
      </c>
      <c r="V183" s="595">
        <v>0</v>
      </c>
      <c r="W183" s="611">
        <v>0</v>
      </c>
      <c r="X183" s="706"/>
      <c r="Y183" s="706"/>
      <c r="Z183" s="706"/>
      <c r="AA183" s="706"/>
      <c r="AB183" s="706"/>
      <c r="AC183" s="706"/>
      <c r="AD183" s="706"/>
      <c r="AE183" s="703">
        <v>0</v>
      </c>
      <c r="AF183" s="704">
        <v>0</v>
      </c>
      <c r="AG183" s="705">
        <v>0</v>
      </c>
      <c r="AH183" s="706">
        <v>0</v>
      </c>
      <c r="AI183" s="705">
        <v>0</v>
      </c>
      <c r="AJ183" s="703">
        <v>0</v>
      </c>
      <c r="AK183" s="705">
        <v>0</v>
      </c>
      <c r="AL183" s="707">
        <v>0</v>
      </c>
      <c r="AM183" s="703">
        <v>0</v>
      </c>
      <c r="AN183" s="703">
        <v>0</v>
      </c>
      <c r="AO183" s="707">
        <v>0</v>
      </c>
      <c r="AP183" s="708">
        <v>0</v>
      </c>
      <c r="AQ183" s="705">
        <v>0</v>
      </c>
      <c r="AR183" s="703">
        <v>0</v>
      </c>
      <c r="AS183" s="705">
        <v>0</v>
      </c>
      <c r="AT183" s="709">
        <v>0</v>
      </c>
      <c r="AU183" s="703">
        <v>0</v>
      </c>
      <c r="AV183" s="705">
        <v>0</v>
      </c>
      <c r="AW183" s="710">
        <v>0</v>
      </c>
      <c r="AX183" s="711">
        <v>0</v>
      </c>
      <c r="AY183" s="710">
        <v>0</v>
      </c>
      <c r="AZ183" s="711">
        <v>0</v>
      </c>
      <c r="BA183" s="710">
        <v>0</v>
      </c>
      <c r="BB183" s="711">
        <v>0</v>
      </c>
      <c r="BC183" s="712">
        <v>0</v>
      </c>
      <c r="BD183" s="713">
        <v>0</v>
      </c>
      <c r="BE183" s="710">
        <v>0</v>
      </c>
      <c r="BF183" s="711">
        <v>0</v>
      </c>
      <c r="BG183" s="712">
        <v>0</v>
      </c>
      <c r="BH183" s="711">
        <v>0</v>
      </c>
      <c r="BI183" s="712">
        <v>0</v>
      </c>
      <c r="BJ183" s="711">
        <v>0</v>
      </c>
      <c r="BK183" s="712">
        <v>0</v>
      </c>
      <c r="BL183" s="711">
        <v>0</v>
      </c>
      <c r="BM183" s="712">
        <v>0</v>
      </c>
      <c r="BN183" s="711">
        <v>0</v>
      </c>
      <c r="BO183" s="712">
        <v>0</v>
      </c>
      <c r="BP183" s="711">
        <v>0</v>
      </c>
      <c r="BQ183" s="712">
        <v>0</v>
      </c>
      <c r="BR183" s="711">
        <v>0</v>
      </c>
      <c r="BS183" s="712">
        <v>0</v>
      </c>
      <c r="BT183" s="711">
        <v>0</v>
      </c>
      <c r="BU183" s="712">
        <v>0</v>
      </c>
      <c r="BV183" s="711">
        <v>0</v>
      </c>
      <c r="BW183" s="712">
        <v>0</v>
      </c>
      <c r="BX183" s="711">
        <v>0</v>
      </c>
      <c r="BY183" s="712">
        <v>0</v>
      </c>
      <c r="BZ183" s="711">
        <v>0</v>
      </c>
      <c r="CA183" s="712">
        <v>0</v>
      </c>
      <c r="CB183" s="711">
        <v>0</v>
      </c>
      <c r="CC183" s="710">
        <v>0</v>
      </c>
      <c r="CD183" s="713">
        <v>0</v>
      </c>
      <c r="CE183" s="710">
        <v>0</v>
      </c>
      <c r="CF183" s="713">
        <v>0</v>
      </c>
      <c r="CG183" s="710">
        <v>0</v>
      </c>
      <c r="CH183" s="713">
        <v>0</v>
      </c>
      <c r="CI183" s="710">
        <v>0</v>
      </c>
      <c r="CJ183" s="713">
        <v>0</v>
      </c>
      <c r="CK183" s="710">
        <v>0</v>
      </c>
      <c r="CL183" s="713">
        <v>0</v>
      </c>
      <c r="CM183" s="710">
        <v>0</v>
      </c>
      <c r="CN183" s="713">
        <v>0</v>
      </c>
      <c r="CO183" s="710">
        <v>0</v>
      </c>
      <c r="CP183" s="713">
        <v>0</v>
      </c>
      <c r="CQ183" s="710">
        <v>0</v>
      </c>
      <c r="CR183" s="711">
        <v>0</v>
      </c>
      <c r="CS183" s="710">
        <v>0</v>
      </c>
      <c r="CT183" s="711">
        <v>0</v>
      </c>
      <c r="CU183" s="712">
        <v>0</v>
      </c>
      <c r="CV183" s="711">
        <v>0</v>
      </c>
    </row>
    <row r="184" spans="1:100">
      <c r="A184" s="467">
        <v>182</v>
      </c>
      <c r="B184" s="595">
        <v>0</v>
      </c>
      <c r="C184" s="595">
        <v>0</v>
      </c>
      <c r="D184" s="595">
        <v>0</v>
      </c>
      <c r="E184" s="595">
        <v>0</v>
      </c>
      <c r="F184" s="595">
        <v>0</v>
      </c>
      <c r="G184" s="595">
        <v>0</v>
      </c>
      <c r="H184" s="595">
        <v>0</v>
      </c>
      <c r="I184" s="595">
        <v>0</v>
      </c>
      <c r="J184" s="595">
        <v>0</v>
      </c>
      <c r="K184" s="595">
        <v>0</v>
      </c>
      <c r="L184" s="595">
        <v>0</v>
      </c>
      <c r="M184" s="595">
        <v>0</v>
      </c>
      <c r="N184" s="595">
        <v>0</v>
      </c>
      <c r="O184" s="595">
        <v>0</v>
      </c>
      <c r="P184" s="595">
        <v>0</v>
      </c>
      <c r="Q184" s="595">
        <v>0</v>
      </c>
      <c r="R184" s="595">
        <v>0</v>
      </c>
      <c r="S184" s="595">
        <v>0</v>
      </c>
      <c r="T184" s="595">
        <v>0</v>
      </c>
      <c r="U184" s="595">
        <v>0</v>
      </c>
      <c r="V184" s="595">
        <v>0</v>
      </c>
      <c r="W184" s="611">
        <v>0</v>
      </c>
      <c r="X184" s="706"/>
      <c r="Y184" s="706"/>
      <c r="Z184" s="706"/>
      <c r="AA184" s="706"/>
      <c r="AB184" s="706"/>
      <c r="AC184" s="706"/>
      <c r="AD184" s="706"/>
      <c r="AE184" s="703">
        <v>0</v>
      </c>
      <c r="AF184" s="704">
        <v>0</v>
      </c>
      <c r="AG184" s="705">
        <v>0</v>
      </c>
      <c r="AH184" s="706">
        <v>0</v>
      </c>
      <c r="AI184" s="705">
        <v>0</v>
      </c>
      <c r="AJ184" s="703">
        <v>0</v>
      </c>
      <c r="AK184" s="705">
        <v>0</v>
      </c>
      <c r="AL184" s="707">
        <v>0</v>
      </c>
      <c r="AM184" s="703">
        <v>0</v>
      </c>
      <c r="AN184" s="703">
        <v>0</v>
      </c>
      <c r="AO184" s="707">
        <v>0</v>
      </c>
      <c r="AP184" s="708">
        <v>0</v>
      </c>
      <c r="AQ184" s="705">
        <v>0</v>
      </c>
      <c r="AR184" s="703">
        <v>0</v>
      </c>
      <c r="AS184" s="705">
        <v>0</v>
      </c>
      <c r="AT184" s="709">
        <v>0</v>
      </c>
      <c r="AU184" s="703">
        <v>0</v>
      </c>
      <c r="AV184" s="705">
        <v>0</v>
      </c>
      <c r="AW184" s="710">
        <v>0</v>
      </c>
      <c r="AX184" s="711">
        <v>0</v>
      </c>
      <c r="AY184" s="710">
        <v>0</v>
      </c>
      <c r="AZ184" s="711">
        <v>0</v>
      </c>
      <c r="BA184" s="710">
        <v>0</v>
      </c>
      <c r="BB184" s="711">
        <v>0</v>
      </c>
      <c r="BC184" s="712">
        <v>0</v>
      </c>
      <c r="BD184" s="713">
        <v>0</v>
      </c>
      <c r="BE184" s="710">
        <v>0</v>
      </c>
      <c r="BF184" s="711">
        <v>0</v>
      </c>
      <c r="BG184" s="712">
        <v>0</v>
      </c>
      <c r="BH184" s="711">
        <v>0</v>
      </c>
      <c r="BI184" s="712">
        <v>0</v>
      </c>
      <c r="BJ184" s="711">
        <v>0</v>
      </c>
      <c r="BK184" s="712">
        <v>0</v>
      </c>
      <c r="BL184" s="711">
        <v>0</v>
      </c>
      <c r="BM184" s="712">
        <v>0</v>
      </c>
      <c r="BN184" s="711">
        <v>0</v>
      </c>
      <c r="BO184" s="712">
        <v>0</v>
      </c>
      <c r="BP184" s="711">
        <v>0</v>
      </c>
      <c r="BQ184" s="712">
        <v>0</v>
      </c>
      <c r="BR184" s="711">
        <v>0</v>
      </c>
      <c r="BS184" s="712">
        <v>0</v>
      </c>
      <c r="BT184" s="711">
        <v>0</v>
      </c>
      <c r="BU184" s="712">
        <v>0</v>
      </c>
      <c r="BV184" s="711">
        <v>0</v>
      </c>
      <c r="BW184" s="712">
        <v>0</v>
      </c>
      <c r="BX184" s="711">
        <v>0</v>
      </c>
      <c r="BY184" s="712">
        <v>0</v>
      </c>
      <c r="BZ184" s="711">
        <v>0</v>
      </c>
      <c r="CA184" s="712">
        <v>0</v>
      </c>
      <c r="CB184" s="711">
        <v>0</v>
      </c>
      <c r="CC184" s="710">
        <v>0</v>
      </c>
      <c r="CD184" s="713">
        <v>0</v>
      </c>
      <c r="CE184" s="710">
        <v>0</v>
      </c>
      <c r="CF184" s="713">
        <v>0</v>
      </c>
      <c r="CG184" s="710">
        <v>0</v>
      </c>
      <c r="CH184" s="713">
        <v>0</v>
      </c>
      <c r="CI184" s="710">
        <v>0</v>
      </c>
      <c r="CJ184" s="713">
        <v>0</v>
      </c>
      <c r="CK184" s="710">
        <v>0</v>
      </c>
      <c r="CL184" s="713">
        <v>0</v>
      </c>
      <c r="CM184" s="710">
        <v>0</v>
      </c>
      <c r="CN184" s="713">
        <v>0</v>
      </c>
      <c r="CO184" s="710">
        <v>0</v>
      </c>
      <c r="CP184" s="713">
        <v>0</v>
      </c>
      <c r="CQ184" s="710">
        <v>0</v>
      </c>
      <c r="CR184" s="711">
        <v>0</v>
      </c>
      <c r="CS184" s="710">
        <v>0</v>
      </c>
      <c r="CT184" s="711">
        <v>0</v>
      </c>
      <c r="CU184" s="712">
        <v>0</v>
      </c>
      <c r="CV184" s="711">
        <v>0</v>
      </c>
    </row>
    <row r="185" spans="1:100">
      <c r="A185" s="467">
        <v>183</v>
      </c>
      <c r="B185" s="595">
        <v>0</v>
      </c>
      <c r="C185" s="595">
        <v>0</v>
      </c>
      <c r="D185" s="595">
        <v>0</v>
      </c>
      <c r="E185" s="595">
        <v>0</v>
      </c>
      <c r="F185" s="595">
        <v>0</v>
      </c>
      <c r="G185" s="595">
        <v>0</v>
      </c>
      <c r="H185" s="595">
        <v>0</v>
      </c>
      <c r="I185" s="595">
        <v>0</v>
      </c>
      <c r="J185" s="595">
        <v>0</v>
      </c>
      <c r="K185" s="595">
        <v>0</v>
      </c>
      <c r="L185" s="595">
        <v>0</v>
      </c>
      <c r="M185" s="595">
        <v>0</v>
      </c>
      <c r="N185" s="595">
        <v>0</v>
      </c>
      <c r="O185" s="595">
        <v>0</v>
      </c>
      <c r="P185" s="595">
        <v>0</v>
      </c>
      <c r="Q185" s="595">
        <v>0</v>
      </c>
      <c r="R185" s="595">
        <v>0</v>
      </c>
      <c r="S185" s="595">
        <v>0</v>
      </c>
      <c r="T185" s="595">
        <v>0</v>
      </c>
      <c r="U185" s="595">
        <v>0</v>
      </c>
      <c r="V185" s="595">
        <v>0</v>
      </c>
      <c r="W185" s="611">
        <v>0</v>
      </c>
      <c r="X185" s="706"/>
      <c r="Y185" s="706"/>
      <c r="Z185" s="706"/>
      <c r="AA185" s="706"/>
      <c r="AB185" s="706"/>
      <c r="AC185" s="706"/>
      <c r="AD185" s="706"/>
      <c r="AE185" s="703">
        <v>0</v>
      </c>
      <c r="AF185" s="704">
        <v>0</v>
      </c>
      <c r="AG185" s="705">
        <v>0</v>
      </c>
      <c r="AH185" s="706">
        <v>0</v>
      </c>
      <c r="AI185" s="705">
        <v>0</v>
      </c>
      <c r="AJ185" s="703">
        <v>0</v>
      </c>
      <c r="AK185" s="705">
        <v>0</v>
      </c>
      <c r="AL185" s="707">
        <v>0</v>
      </c>
      <c r="AM185" s="703">
        <v>0</v>
      </c>
      <c r="AN185" s="703">
        <v>0</v>
      </c>
      <c r="AO185" s="707">
        <v>0</v>
      </c>
      <c r="AP185" s="708">
        <v>0</v>
      </c>
      <c r="AQ185" s="705">
        <v>0</v>
      </c>
      <c r="AR185" s="703">
        <v>0</v>
      </c>
      <c r="AS185" s="705">
        <v>0</v>
      </c>
      <c r="AT185" s="709">
        <v>0</v>
      </c>
      <c r="AU185" s="703">
        <v>0</v>
      </c>
      <c r="AV185" s="705">
        <v>0</v>
      </c>
      <c r="AW185" s="710">
        <v>0</v>
      </c>
      <c r="AX185" s="711">
        <v>0</v>
      </c>
      <c r="AY185" s="710">
        <v>0</v>
      </c>
      <c r="AZ185" s="711">
        <v>0</v>
      </c>
      <c r="BA185" s="710">
        <v>0</v>
      </c>
      <c r="BB185" s="711">
        <v>0</v>
      </c>
      <c r="BC185" s="712">
        <v>0</v>
      </c>
      <c r="BD185" s="713">
        <v>0</v>
      </c>
      <c r="BE185" s="710">
        <v>0</v>
      </c>
      <c r="BF185" s="711">
        <v>0</v>
      </c>
      <c r="BG185" s="712">
        <v>0</v>
      </c>
      <c r="BH185" s="711">
        <v>0</v>
      </c>
      <c r="BI185" s="712">
        <v>0</v>
      </c>
      <c r="BJ185" s="711">
        <v>0</v>
      </c>
      <c r="BK185" s="712">
        <v>0</v>
      </c>
      <c r="BL185" s="711">
        <v>0</v>
      </c>
      <c r="BM185" s="712">
        <v>0</v>
      </c>
      <c r="BN185" s="711">
        <v>0</v>
      </c>
      <c r="BO185" s="712">
        <v>0</v>
      </c>
      <c r="BP185" s="711">
        <v>0</v>
      </c>
      <c r="BQ185" s="712">
        <v>0</v>
      </c>
      <c r="BR185" s="711">
        <v>0</v>
      </c>
      <c r="BS185" s="712">
        <v>0</v>
      </c>
      <c r="BT185" s="711">
        <v>0</v>
      </c>
      <c r="BU185" s="712">
        <v>0</v>
      </c>
      <c r="BV185" s="711">
        <v>0</v>
      </c>
      <c r="BW185" s="712">
        <v>0</v>
      </c>
      <c r="BX185" s="711">
        <v>0</v>
      </c>
      <c r="BY185" s="712">
        <v>0</v>
      </c>
      <c r="BZ185" s="711">
        <v>0</v>
      </c>
      <c r="CA185" s="712">
        <v>0</v>
      </c>
      <c r="CB185" s="711">
        <v>0</v>
      </c>
      <c r="CC185" s="710">
        <v>0</v>
      </c>
      <c r="CD185" s="713">
        <v>0</v>
      </c>
      <c r="CE185" s="710">
        <v>0</v>
      </c>
      <c r="CF185" s="713">
        <v>0</v>
      </c>
      <c r="CG185" s="710">
        <v>0</v>
      </c>
      <c r="CH185" s="713">
        <v>0</v>
      </c>
      <c r="CI185" s="710">
        <v>0</v>
      </c>
      <c r="CJ185" s="713">
        <v>0</v>
      </c>
      <c r="CK185" s="710">
        <v>0</v>
      </c>
      <c r="CL185" s="713">
        <v>0</v>
      </c>
      <c r="CM185" s="710">
        <v>0</v>
      </c>
      <c r="CN185" s="713">
        <v>0</v>
      </c>
      <c r="CO185" s="710">
        <v>0</v>
      </c>
      <c r="CP185" s="713">
        <v>0</v>
      </c>
      <c r="CQ185" s="710">
        <v>0</v>
      </c>
      <c r="CR185" s="711">
        <v>0</v>
      </c>
      <c r="CS185" s="710">
        <v>0</v>
      </c>
      <c r="CT185" s="711">
        <v>0</v>
      </c>
      <c r="CU185" s="712">
        <v>0</v>
      </c>
      <c r="CV185" s="711">
        <v>0</v>
      </c>
    </row>
    <row r="186" spans="1:100">
      <c r="A186" s="467">
        <v>184</v>
      </c>
      <c r="B186" s="595">
        <v>0</v>
      </c>
      <c r="C186" s="595">
        <v>0</v>
      </c>
      <c r="D186" s="595">
        <v>0</v>
      </c>
      <c r="E186" s="595">
        <v>0</v>
      </c>
      <c r="F186" s="595">
        <v>0</v>
      </c>
      <c r="G186" s="595">
        <v>0</v>
      </c>
      <c r="H186" s="595">
        <v>0</v>
      </c>
      <c r="I186" s="595">
        <v>0</v>
      </c>
      <c r="J186" s="595">
        <v>0</v>
      </c>
      <c r="K186" s="595">
        <v>0</v>
      </c>
      <c r="L186" s="595">
        <v>0</v>
      </c>
      <c r="M186" s="595">
        <v>0</v>
      </c>
      <c r="N186" s="595">
        <v>0</v>
      </c>
      <c r="O186" s="595">
        <v>0</v>
      </c>
      <c r="P186" s="595">
        <v>0</v>
      </c>
      <c r="Q186" s="595">
        <v>0</v>
      </c>
      <c r="R186" s="595">
        <v>0</v>
      </c>
      <c r="S186" s="595">
        <v>0</v>
      </c>
      <c r="T186" s="595">
        <v>0</v>
      </c>
      <c r="U186" s="595">
        <v>0</v>
      </c>
      <c r="V186" s="595">
        <v>0</v>
      </c>
      <c r="W186" s="611">
        <v>0</v>
      </c>
      <c r="X186" s="706"/>
      <c r="Y186" s="706"/>
      <c r="Z186" s="706"/>
      <c r="AA186" s="706"/>
      <c r="AB186" s="706"/>
      <c r="AC186" s="706"/>
      <c r="AD186" s="706"/>
      <c r="AE186" s="703">
        <v>0</v>
      </c>
      <c r="AF186" s="704">
        <v>0</v>
      </c>
      <c r="AG186" s="705">
        <v>0</v>
      </c>
      <c r="AH186" s="706">
        <v>0</v>
      </c>
      <c r="AI186" s="705">
        <v>0</v>
      </c>
      <c r="AJ186" s="703">
        <v>0</v>
      </c>
      <c r="AK186" s="705">
        <v>0</v>
      </c>
      <c r="AL186" s="707">
        <v>0</v>
      </c>
      <c r="AM186" s="703">
        <v>0</v>
      </c>
      <c r="AN186" s="703">
        <v>0</v>
      </c>
      <c r="AO186" s="707">
        <v>0</v>
      </c>
      <c r="AP186" s="708">
        <v>0</v>
      </c>
      <c r="AQ186" s="705">
        <v>0</v>
      </c>
      <c r="AR186" s="703">
        <v>0</v>
      </c>
      <c r="AS186" s="705">
        <v>0</v>
      </c>
      <c r="AT186" s="709">
        <v>0</v>
      </c>
      <c r="AU186" s="703">
        <v>0</v>
      </c>
      <c r="AV186" s="705">
        <v>0</v>
      </c>
      <c r="AW186" s="710">
        <v>0</v>
      </c>
      <c r="AX186" s="711">
        <v>0</v>
      </c>
      <c r="AY186" s="710">
        <v>0</v>
      </c>
      <c r="AZ186" s="711">
        <v>0</v>
      </c>
      <c r="BA186" s="710">
        <v>0</v>
      </c>
      <c r="BB186" s="711">
        <v>0</v>
      </c>
      <c r="BC186" s="712">
        <v>0</v>
      </c>
      <c r="BD186" s="713">
        <v>0</v>
      </c>
      <c r="BE186" s="710">
        <v>0</v>
      </c>
      <c r="BF186" s="711">
        <v>0</v>
      </c>
      <c r="BG186" s="712">
        <v>0</v>
      </c>
      <c r="BH186" s="711">
        <v>0</v>
      </c>
      <c r="BI186" s="712">
        <v>0</v>
      </c>
      <c r="BJ186" s="711">
        <v>0</v>
      </c>
      <c r="BK186" s="712">
        <v>0</v>
      </c>
      <c r="BL186" s="711">
        <v>0</v>
      </c>
      <c r="BM186" s="712">
        <v>0</v>
      </c>
      <c r="BN186" s="711">
        <v>0</v>
      </c>
      <c r="BO186" s="712">
        <v>0</v>
      </c>
      <c r="BP186" s="711">
        <v>0</v>
      </c>
      <c r="BQ186" s="712">
        <v>0</v>
      </c>
      <c r="BR186" s="711">
        <v>0</v>
      </c>
      <c r="BS186" s="712">
        <v>0</v>
      </c>
      <c r="BT186" s="711">
        <v>0</v>
      </c>
      <c r="BU186" s="712">
        <v>0</v>
      </c>
      <c r="BV186" s="711">
        <v>0</v>
      </c>
      <c r="BW186" s="712">
        <v>0</v>
      </c>
      <c r="BX186" s="711">
        <v>0</v>
      </c>
      <c r="BY186" s="712">
        <v>0</v>
      </c>
      <c r="BZ186" s="711">
        <v>0</v>
      </c>
      <c r="CA186" s="712">
        <v>0</v>
      </c>
      <c r="CB186" s="711">
        <v>0</v>
      </c>
      <c r="CC186" s="710">
        <v>0</v>
      </c>
      <c r="CD186" s="713">
        <v>0</v>
      </c>
      <c r="CE186" s="710">
        <v>0</v>
      </c>
      <c r="CF186" s="713">
        <v>0</v>
      </c>
      <c r="CG186" s="710">
        <v>0</v>
      </c>
      <c r="CH186" s="713">
        <v>0</v>
      </c>
      <c r="CI186" s="710">
        <v>0</v>
      </c>
      <c r="CJ186" s="713">
        <v>0</v>
      </c>
      <c r="CK186" s="710">
        <v>0</v>
      </c>
      <c r="CL186" s="713">
        <v>0</v>
      </c>
      <c r="CM186" s="710">
        <v>0</v>
      </c>
      <c r="CN186" s="713">
        <v>0</v>
      </c>
      <c r="CO186" s="710">
        <v>0</v>
      </c>
      <c r="CP186" s="713">
        <v>0</v>
      </c>
      <c r="CQ186" s="710">
        <v>0</v>
      </c>
      <c r="CR186" s="711">
        <v>0</v>
      </c>
      <c r="CS186" s="710">
        <v>0</v>
      </c>
      <c r="CT186" s="711">
        <v>0</v>
      </c>
      <c r="CU186" s="712">
        <v>0</v>
      </c>
      <c r="CV186" s="711">
        <v>0</v>
      </c>
    </row>
    <row r="187" spans="1:100">
      <c r="A187" s="467">
        <v>185</v>
      </c>
      <c r="B187" s="595">
        <v>0</v>
      </c>
      <c r="C187" s="595">
        <v>0</v>
      </c>
      <c r="D187" s="595">
        <v>0</v>
      </c>
      <c r="E187" s="595">
        <v>0</v>
      </c>
      <c r="F187" s="595">
        <v>0</v>
      </c>
      <c r="G187" s="595">
        <v>0</v>
      </c>
      <c r="H187" s="595">
        <v>0</v>
      </c>
      <c r="I187" s="595">
        <v>0</v>
      </c>
      <c r="J187" s="595">
        <v>0</v>
      </c>
      <c r="K187" s="595">
        <v>0</v>
      </c>
      <c r="L187" s="595">
        <v>0</v>
      </c>
      <c r="M187" s="595">
        <v>0</v>
      </c>
      <c r="N187" s="595">
        <v>0</v>
      </c>
      <c r="O187" s="595">
        <v>0</v>
      </c>
      <c r="P187" s="595">
        <v>0</v>
      </c>
      <c r="Q187" s="595">
        <v>0</v>
      </c>
      <c r="R187" s="595">
        <v>0</v>
      </c>
      <c r="S187" s="595">
        <v>0</v>
      </c>
      <c r="T187" s="595">
        <v>0</v>
      </c>
      <c r="U187" s="595">
        <v>0</v>
      </c>
      <c r="V187" s="595">
        <v>0</v>
      </c>
      <c r="W187" s="611">
        <v>0</v>
      </c>
      <c r="X187" s="706"/>
      <c r="Y187" s="706"/>
      <c r="Z187" s="706"/>
      <c r="AA187" s="706"/>
      <c r="AB187" s="706"/>
      <c r="AC187" s="706"/>
      <c r="AD187" s="706"/>
      <c r="AE187" s="703">
        <v>0</v>
      </c>
      <c r="AF187" s="704">
        <v>0</v>
      </c>
      <c r="AG187" s="705">
        <v>0</v>
      </c>
      <c r="AH187" s="706">
        <v>0</v>
      </c>
      <c r="AI187" s="705">
        <v>0</v>
      </c>
      <c r="AJ187" s="703">
        <v>0</v>
      </c>
      <c r="AK187" s="705">
        <v>0</v>
      </c>
      <c r="AL187" s="707">
        <v>0</v>
      </c>
      <c r="AM187" s="703">
        <v>0</v>
      </c>
      <c r="AN187" s="703">
        <v>0</v>
      </c>
      <c r="AO187" s="707">
        <v>0</v>
      </c>
      <c r="AP187" s="708">
        <v>0</v>
      </c>
      <c r="AQ187" s="705">
        <v>0</v>
      </c>
      <c r="AR187" s="703">
        <v>0</v>
      </c>
      <c r="AS187" s="705">
        <v>0</v>
      </c>
      <c r="AT187" s="709">
        <v>0</v>
      </c>
      <c r="AU187" s="703">
        <v>0</v>
      </c>
      <c r="AV187" s="705">
        <v>0</v>
      </c>
      <c r="AW187" s="710">
        <v>0</v>
      </c>
      <c r="AX187" s="711">
        <v>0</v>
      </c>
      <c r="AY187" s="710">
        <v>0</v>
      </c>
      <c r="AZ187" s="711">
        <v>0</v>
      </c>
      <c r="BA187" s="710">
        <v>0</v>
      </c>
      <c r="BB187" s="711">
        <v>0</v>
      </c>
      <c r="BC187" s="712">
        <v>0</v>
      </c>
      <c r="BD187" s="713">
        <v>0</v>
      </c>
      <c r="BE187" s="710">
        <v>0</v>
      </c>
      <c r="BF187" s="711">
        <v>0</v>
      </c>
      <c r="BG187" s="712">
        <v>0</v>
      </c>
      <c r="BH187" s="711">
        <v>0</v>
      </c>
      <c r="BI187" s="712">
        <v>0</v>
      </c>
      <c r="BJ187" s="711">
        <v>0</v>
      </c>
      <c r="BK187" s="712">
        <v>0</v>
      </c>
      <c r="BL187" s="711">
        <v>0</v>
      </c>
      <c r="BM187" s="712">
        <v>0</v>
      </c>
      <c r="BN187" s="711">
        <v>0</v>
      </c>
      <c r="BO187" s="712">
        <v>0</v>
      </c>
      <c r="BP187" s="711">
        <v>0</v>
      </c>
      <c r="BQ187" s="712">
        <v>0</v>
      </c>
      <c r="BR187" s="711">
        <v>0</v>
      </c>
      <c r="BS187" s="712">
        <v>0</v>
      </c>
      <c r="BT187" s="711">
        <v>0</v>
      </c>
      <c r="BU187" s="712">
        <v>0</v>
      </c>
      <c r="BV187" s="711">
        <v>0</v>
      </c>
      <c r="BW187" s="712">
        <v>0</v>
      </c>
      <c r="BX187" s="711">
        <v>0</v>
      </c>
      <c r="BY187" s="712">
        <v>0</v>
      </c>
      <c r="BZ187" s="711">
        <v>0</v>
      </c>
      <c r="CA187" s="712">
        <v>0</v>
      </c>
      <c r="CB187" s="711">
        <v>0</v>
      </c>
      <c r="CC187" s="710">
        <v>0</v>
      </c>
      <c r="CD187" s="713">
        <v>0</v>
      </c>
      <c r="CE187" s="710">
        <v>0</v>
      </c>
      <c r="CF187" s="713">
        <v>0</v>
      </c>
      <c r="CG187" s="710">
        <v>0</v>
      </c>
      <c r="CH187" s="713">
        <v>0</v>
      </c>
      <c r="CI187" s="710">
        <v>0</v>
      </c>
      <c r="CJ187" s="713">
        <v>0</v>
      </c>
      <c r="CK187" s="710">
        <v>0</v>
      </c>
      <c r="CL187" s="713">
        <v>0</v>
      </c>
      <c r="CM187" s="710">
        <v>0</v>
      </c>
      <c r="CN187" s="713">
        <v>0</v>
      </c>
      <c r="CO187" s="710">
        <v>0</v>
      </c>
      <c r="CP187" s="713">
        <v>0</v>
      </c>
      <c r="CQ187" s="710">
        <v>0</v>
      </c>
      <c r="CR187" s="711">
        <v>0</v>
      </c>
      <c r="CS187" s="710">
        <v>0</v>
      </c>
      <c r="CT187" s="711">
        <v>0</v>
      </c>
      <c r="CU187" s="712">
        <v>0</v>
      </c>
      <c r="CV187" s="711">
        <v>0</v>
      </c>
    </row>
    <row r="188" spans="1:100">
      <c r="A188" s="467">
        <v>186</v>
      </c>
      <c r="B188" s="595">
        <v>0</v>
      </c>
      <c r="C188" s="595">
        <v>0</v>
      </c>
      <c r="D188" s="595">
        <v>0</v>
      </c>
      <c r="E188" s="595">
        <v>0</v>
      </c>
      <c r="F188" s="595">
        <v>0</v>
      </c>
      <c r="G188" s="595">
        <v>0</v>
      </c>
      <c r="H188" s="595">
        <v>0</v>
      </c>
      <c r="I188" s="595">
        <v>0</v>
      </c>
      <c r="J188" s="595">
        <v>0</v>
      </c>
      <c r="K188" s="595">
        <v>0</v>
      </c>
      <c r="L188" s="595">
        <v>0</v>
      </c>
      <c r="M188" s="595">
        <v>0</v>
      </c>
      <c r="N188" s="595">
        <v>0</v>
      </c>
      <c r="O188" s="595">
        <v>0</v>
      </c>
      <c r="P188" s="595">
        <v>0</v>
      </c>
      <c r="Q188" s="595">
        <v>0</v>
      </c>
      <c r="R188" s="595">
        <v>0</v>
      </c>
      <c r="S188" s="595">
        <v>0</v>
      </c>
      <c r="T188" s="595">
        <v>0</v>
      </c>
      <c r="U188" s="595">
        <v>0</v>
      </c>
      <c r="V188" s="595">
        <v>0</v>
      </c>
      <c r="W188" s="611">
        <v>0</v>
      </c>
      <c r="X188" s="706"/>
      <c r="Y188" s="706"/>
      <c r="Z188" s="706"/>
      <c r="AA188" s="706"/>
      <c r="AB188" s="706"/>
      <c r="AC188" s="706"/>
      <c r="AD188" s="706"/>
      <c r="AE188" s="703">
        <v>0</v>
      </c>
      <c r="AF188" s="704">
        <v>0</v>
      </c>
      <c r="AG188" s="705">
        <v>0</v>
      </c>
      <c r="AH188" s="706">
        <v>0</v>
      </c>
      <c r="AI188" s="705">
        <v>0</v>
      </c>
      <c r="AJ188" s="703">
        <v>0</v>
      </c>
      <c r="AK188" s="705">
        <v>0</v>
      </c>
      <c r="AL188" s="707">
        <v>0</v>
      </c>
      <c r="AM188" s="703">
        <v>0</v>
      </c>
      <c r="AN188" s="703">
        <v>0</v>
      </c>
      <c r="AO188" s="707">
        <v>0</v>
      </c>
      <c r="AP188" s="708">
        <v>0</v>
      </c>
      <c r="AQ188" s="705">
        <v>0</v>
      </c>
      <c r="AR188" s="703">
        <v>0</v>
      </c>
      <c r="AS188" s="705">
        <v>0</v>
      </c>
      <c r="AT188" s="709">
        <v>0</v>
      </c>
      <c r="AU188" s="703">
        <v>0</v>
      </c>
      <c r="AV188" s="705">
        <v>0</v>
      </c>
      <c r="AW188" s="710">
        <v>0</v>
      </c>
      <c r="AX188" s="711">
        <v>0</v>
      </c>
      <c r="AY188" s="710">
        <v>0</v>
      </c>
      <c r="AZ188" s="711">
        <v>0</v>
      </c>
      <c r="BA188" s="710">
        <v>0</v>
      </c>
      <c r="BB188" s="711">
        <v>0</v>
      </c>
      <c r="BC188" s="712">
        <v>0</v>
      </c>
      <c r="BD188" s="713">
        <v>0</v>
      </c>
      <c r="BE188" s="710">
        <v>0</v>
      </c>
      <c r="BF188" s="711">
        <v>0</v>
      </c>
      <c r="BG188" s="712">
        <v>0</v>
      </c>
      <c r="BH188" s="711">
        <v>0</v>
      </c>
      <c r="BI188" s="712">
        <v>0</v>
      </c>
      <c r="BJ188" s="711">
        <v>0</v>
      </c>
      <c r="BK188" s="712">
        <v>0</v>
      </c>
      <c r="BL188" s="711">
        <v>0</v>
      </c>
      <c r="BM188" s="712">
        <v>0</v>
      </c>
      <c r="BN188" s="711">
        <v>0</v>
      </c>
      <c r="BO188" s="712">
        <v>0</v>
      </c>
      <c r="BP188" s="711">
        <v>0</v>
      </c>
      <c r="BQ188" s="712">
        <v>0</v>
      </c>
      <c r="BR188" s="711">
        <v>0</v>
      </c>
      <c r="BS188" s="712">
        <v>0</v>
      </c>
      <c r="BT188" s="711">
        <v>0</v>
      </c>
      <c r="BU188" s="712">
        <v>0</v>
      </c>
      <c r="BV188" s="711">
        <v>0</v>
      </c>
      <c r="BW188" s="712">
        <v>0</v>
      </c>
      <c r="BX188" s="711">
        <v>0</v>
      </c>
      <c r="BY188" s="712">
        <v>0</v>
      </c>
      <c r="BZ188" s="711">
        <v>0</v>
      </c>
      <c r="CA188" s="712">
        <v>0</v>
      </c>
      <c r="CB188" s="711">
        <v>0</v>
      </c>
      <c r="CC188" s="710">
        <v>0</v>
      </c>
      <c r="CD188" s="713">
        <v>0</v>
      </c>
      <c r="CE188" s="710">
        <v>0</v>
      </c>
      <c r="CF188" s="713">
        <v>0</v>
      </c>
      <c r="CG188" s="710">
        <v>0</v>
      </c>
      <c r="CH188" s="713">
        <v>0</v>
      </c>
      <c r="CI188" s="710">
        <v>0</v>
      </c>
      <c r="CJ188" s="713">
        <v>0</v>
      </c>
      <c r="CK188" s="710">
        <v>0</v>
      </c>
      <c r="CL188" s="713">
        <v>0</v>
      </c>
      <c r="CM188" s="710">
        <v>0</v>
      </c>
      <c r="CN188" s="713">
        <v>0</v>
      </c>
      <c r="CO188" s="710">
        <v>0</v>
      </c>
      <c r="CP188" s="713">
        <v>0</v>
      </c>
      <c r="CQ188" s="710">
        <v>0</v>
      </c>
      <c r="CR188" s="711">
        <v>0</v>
      </c>
      <c r="CS188" s="710">
        <v>0</v>
      </c>
      <c r="CT188" s="711">
        <v>0</v>
      </c>
      <c r="CU188" s="712">
        <v>0</v>
      </c>
      <c r="CV188" s="711">
        <v>0</v>
      </c>
    </row>
    <row r="189" spans="1:100">
      <c r="A189" s="467">
        <v>187</v>
      </c>
      <c r="B189" s="595">
        <v>0</v>
      </c>
      <c r="C189" s="595">
        <v>0</v>
      </c>
      <c r="D189" s="595">
        <v>0</v>
      </c>
      <c r="E189" s="595">
        <v>0</v>
      </c>
      <c r="F189" s="595">
        <v>0</v>
      </c>
      <c r="G189" s="595">
        <v>0</v>
      </c>
      <c r="H189" s="595">
        <v>0</v>
      </c>
      <c r="I189" s="595">
        <v>0</v>
      </c>
      <c r="J189" s="595">
        <v>0</v>
      </c>
      <c r="K189" s="595">
        <v>0</v>
      </c>
      <c r="L189" s="595">
        <v>0</v>
      </c>
      <c r="M189" s="595">
        <v>0</v>
      </c>
      <c r="N189" s="595">
        <v>0</v>
      </c>
      <c r="O189" s="595">
        <v>0</v>
      </c>
      <c r="P189" s="595">
        <v>0</v>
      </c>
      <c r="Q189" s="595">
        <v>0</v>
      </c>
      <c r="R189" s="595">
        <v>0</v>
      </c>
      <c r="S189" s="595">
        <v>0</v>
      </c>
      <c r="T189" s="595">
        <v>0</v>
      </c>
      <c r="U189" s="595">
        <v>0</v>
      </c>
      <c r="V189" s="595">
        <v>0</v>
      </c>
      <c r="W189" s="611">
        <v>0</v>
      </c>
      <c r="X189" s="706"/>
      <c r="Y189" s="706"/>
      <c r="Z189" s="706"/>
      <c r="AA189" s="706"/>
      <c r="AB189" s="706"/>
      <c r="AC189" s="706"/>
      <c r="AD189" s="706"/>
      <c r="AE189" s="703">
        <v>0</v>
      </c>
      <c r="AF189" s="704">
        <v>0</v>
      </c>
      <c r="AG189" s="705">
        <v>0</v>
      </c>
      <c r="AH189" s="706">
        <v>0</v>
      </c>
      <c r="AI189" s="705">
        <v>0</v>
      </c>
      <c r="AJ189" s="703">
        <v>0</v>
      </c>
      <c r="AK189" s="705">
        <v>0</v>
      </c>
      <c r="AL189" s="707">
        <v>0</v>
      </c>
      <c r="AM189" s="703">
        <v>0</v>
      </c>
      <c r="AN189" s="703">
        <v>0</v>
      </c>
      <c r="AO189" s="707">
        <v>0</v>
      </c>
      <c r="AP189" s="708">
        <v>0</v>
      </c>
      <c r="AQ189" s="705">
        <v>0</v>
      </c>
      <c r="AR189" s="703">
        <v>0</v>
      </c>
      <c r="AS189" s="705">
        <v>0</v>
      </c>
      <c r="AT189" s="709">
        <v>0</v>
      </c>
      <c r="AU189" s="703">
        <v>0</v>
      </c>
      <c r="AV189" s="705">
        <v>0</v>
      </c>
      <c r="AW189" s="710">
        <v>0</v>
      </c>
      <c r="AX189" s="711">
        <v>0</v>
      </c>
      <c r="AY189" s="710">
        <v>0</v>
      </c>
      <c r="AZ189" s="711">
        <v>0</v>
      </c>
      <c r="BA189" s="710">
        <v>0</v>
      </c>
      <c r="BB189" s="711">
        <v>0</v>
      </c>
      <c r="BC189" s="712">
        <v>0</v>
      </c>
      <c r="BD189" s="713">
        <v>0</v>
      </c>
      <c r="BE189" s="710">
        <v>0</v>
      </c>
      <c r="BF189" s="711">
        <v>0</v>
      </c>
      <c r="BG189" s="712">
        <v>0</v>
      </c>
      <c r="BH189" s="711">
        <v>0</v>
      </c>
      <c r="BI189" s="712">
        <v>0</v>
      </c>
      <c r="BJ189" s="711">
        <v>0</v>
      </c>
      <c r="BK189" s="712">
        <v>0</v>
      </c>
      <c r="BL189" s="711">
        <v>0</v>
      </c>
      <c r="BM189" s="712">
        <v>0</v>
      </c>
      <c r="BN189" s="711">
        <v>0</v>
      </c>
      <c r="BO189" s="712">
        <v>0</v>
      </c>
      <c r="BP189" s="711">
        <v>0</v>
      </c>
      <c r="BQ189" s="712">
        <v>0</v>
      </c>
      <c r="BR189" s="711">
        <v>0</v>
      </c>
      <c r="BS189" s="712">
        <v>0</v>
      </c>
      <c r="BT189" s="711">
        <v>0</v>
      </c>
      <c r="BU189" s="712">
        <v>0</v>
      </c>
      <c r="BV189" s="711">
        <v>0</v>
      </c>
      <c r="BW189" s="712">
        <v>0</v>
      </c>
      <c r="BX189" s="711">
        <v>0</v>
      </c>
      <c r="BY189" s="712">
        <v>0</v>
      </c>
      <c r="BZ189" s="711">
        <v>0</v>
      </c>
      <c r="CA189" s="712">
        <v>0</v>
      </c>
      <c r="CB189" s="711">
        <v>0</v>
      </c>
      <c r="CC189" s="710">
        <v>0</v>
      </c>
      <c r="CD189" s="713">
        <v>0</v>
      </c>
      <c r="CE189" s="710">
        <v>0</v>
      </c>
      <c r="CF189" s="713">
        <v>0</v>
      </c>
      <c r="CG189" s="710">
        <v>0</v>
      </c>
      <c r="CH189" s="713">
        <v>0</v>
      </c>
      <c r="CI189" s="710">
        <v>0</v>
      </c>
      <c r="CJ189" s="713">
        <v>0</v>
      </c>
      <c r="CK189" s="710">
        <v>0</v>
      </c>
      <c r="CL189" s="713">
        <v>0</v>
      </c>
      <c r="CM189" s="710">
        <v>0</v>
      </c>
      <c r="CN189" s="713">
        <v>0</v>
      </c>
      <c r="CO189" s="710">
        <v>0</v>
      </c>
      <c r="CP189" s="713">
        <v>0</v>
      </c>
      <c r="CQ189" s="710">
        <v>0</v>
      </c>
      <c r="CR189" s="711">
        <v>0</v>
      </c>
      <c r="CS189" s="710">
        <v>0</v>
      </c>
      <c r="CT189" s="711">
        <v>0</v>
      </c>
      <c r="CU189" s="712">
        <v>0</v>
      </c>
      <c r="CV189" s="711">
        <v>0</v>
      </c>
    </row>
    <row r="190" spans="1:100">
      <c r="A190" s="467">
        <v>188</v>
      </c>
      <c r="B190" s="595">
        <v>0</v>
      </c>
      <c r="C190" s="595">
        <v>0</v>
      </c>
      <c r="D190" s="595">
        <v>0</v>
      </c>
      <c r="E190" s="595">
        <v>0</v>
      </c>
      <c r="F190" s="595">
        <v>0</v>
      </c>
      <c r="G190" s="595">
        <v>0</v>
      </c>
      <c r="H190" s="595">
        <v>0</v>
      </c>
      <c r="I190" s="595">
        <v>0</v>
      </c>
      <c r="J190" s="595">
        <v>0</v>
      </c>
      <c r="K190" s="595">
        <v>0</v>
      </c>
      <c r="L190" s="595">
        <v>0</v>
      </c>
      <c r="M190" s="595">
        <v>0</v>
      </c>
      <c r="N190" s="595">
        <v>0</v>
      </c>
      <c r="O190" s="595">
        <v>0</v>
      </c>
      <c r="P190" s="595">
        <v>0</v>
      </c>
      <c r="Q190" s="595">
        <v>0</v>
      </c>
      <c r="R190" s="595">
        <v>0</v>
      </c>
      <c r="S190" s="595">
        <v>0</v>
      </c>
      <c r="T190" s="595">
        <v>0</v>
      </c>
      <c r="U190" s="595">
        <v>0</v>
      </c>
      <c r="V190" s="595">
        <v>0</v>
      </c>
      <c r="W190" s="611">
        <v>0</v>
      </c>
      <c r="X190" s="706"/>
      <c r="Y190" s="706"/>
      <c r="Z190" s="706"/>
      <c r="AA190" s="706"/>
      <c r="AB190" s="706"/>
      <c r="AC190" s="706"/>
      <c r="AD190" s="706"/>
      <c r="AE190" s="703">
        <v>0</v>
      </c>
      <c r="AF190" s="704">
        <v>0</v>
      </c>
      <c r="AG190" s="705">
        <v>0</v>
      </c>
      <c r="AH190" s="706">
        <v>0</v>
      </c>
      <c r="AI190" s="705">
        <v>0</v>
      </c>
      <c r="AJ190" s="703">
        <v>0</v>
      </c>
      <c r="AK190" s="705">
        <v>0</v>
      </c>
      <c r="AL190" s="707">
        <v>0</v>
      </c>
      <c r="AM190" s="703">
        <v>0</v>
      </c>
      <c r="AN190" s="703">
        <v>0</v>
      </c>
      <c r="AO190" s="707">
        <v>0</v>
      </c>
      <c r="AP190" s="708">
        <v>0</v>
      </c>
      <c r="AQ190" s="705">
        <v>0</v>
      </c>
      <c r="AR190" s="703">
        <v>0</v>
      </c>
      <c r="AS190" s="705">
        <v>0</v>
      </c>
      <c r="AT190" s="709">
        <v>0</v>
      </c>
      <c r="AU190" s="703">
        <v>0</v>
      </c>
      <c r="AV190" s="705">
        <v>0</v>
      </c>
      <c r="AW190" s="710">
        <v>0</v>
      </c>
      <c r="AX190" s="711">
        <v>0</v>
      </c>
      <c r="AY190" s="710">
        <v>0</v>
      </c>
      <c r="AZ190" s="711">
        <v>0</v>
      </c>
      <c r="BA190" s="710">
        <v>0</v>
      </c>
      <c r="BB190" s="711">
        <v>0</v>
      </c>
      <c r="BC190" s="712">
        <v>0</v>
      </c>
      <c r="BD190" s="713">
        <v>0</v>
      </c>
      <c r="BE190" s="710">
        <v>0</v>
      </c>
      <c r="BF190" s="711">
        <v>0</v>
      </c>
      <c r="BG190" s="712">
        <v>0</v>
      </c>
      <c r="BH190" s="711">
        <v>0</v>
      </c>
      <c r="BI190" s="712">
        <v>0</v>
      </c>
      <c r="BJ190" s="711">
        <v>0</v>
      </c>
      <c r="BK190" s="712">
        <v>0</v>
      </c>
      <c r="BL190" s="711">
        <v>0</v>
      </c>
      <c r="BM190" s="712">
        <v>0</v>
      </c>
      <c r="BN190" s="711">
        <v>0</v>
      </c>
      <c r="BO190" s="712">
        <v>0</v>
      </c>
      <c r="BP190" s="711">
        <v>0</v>
      </c>
      <c r="BQ190" s="712">
        <v>0</v>
      </c>
      <c r="BR190" s="711">
        <v>0</v>
      </c>
      <c r="BS190" s="712">
        <v>0</v>
      </c>
      <c r="BT190" s="711">
        <v>0</v>
      </c>
      <c r="BU190" s="712">
        <v>0</v>
      </c>
      <c r="BV190" s="711">
        <v>0</v>
      </c>
      <c r="BW190" s="712">
        <v>0</v>
      </c>
      <c r="BX190" s="711">
        <v>0</v>
      </c>
      <c r="BY190" s="712">
        <v>0</v>
      </c>
      <c r="BZ190" s="711">
        <v>0</v>
      </c>
      <c r="CA190" s="712">
        <v>0</v>
      </c>
      <c r="CB190" s="711">
        <v>0</v>
      </c>
      <c r="CC190" s="710">
        <v>0</v>
      </c>
      <c r="CD190" s="713">
        <v>0</v>
      </c>
      <c r="CE190" s="710">
        <v>0</v>
      </c>
      <c r="CF190" s="713">
        <v>0</v>
      </c>
      <c r="CG190" s="710">
        <v>0</v>
      </c>
      <c r="CH190" s="713">
        <v>0</v>
      </c>
      <c r="CI190" s="710">
        <v>0</v>
      </c>
      <c r="CJ190" s="713">
        <v>0</v>
      </c>
      <c r="CK190" s="710">
        <v>0</v>
      </c>
      <c r="CL190" s="713">
        <v>0</v>
      </c>
      <c r="CM190" s="710">
        <v>0</v>
      </c>
      <c r="CN190" s="713">
        <v>0</v>
      </c>
      <c r="CO190" s="710">
        <v>0</v>
      </c>
      <c r="CP190" s="713">
        <v>0</v>
      </c>
      <c r="CQ190" s="710">
        <v>0</v>
      </c>
      <c r="CR190" s="711">
        <v>0</v>
      </c>
      <c r="CS190" s="710">
        <v>0</v>
      </c>
      <c r="CT190" s="711">
        <v>0</v>
      </c>
      <c r="CU190" s="712">
        <v>0</v>
      </c>
      <c r="CV190" s="711">
        <v>0</v>
      </c>
    </row>
    <row r="191" spans="1:100">
      <c r="A191" s="467">
        <v>189</v>
      </c>
      <c r="B191" s="595">
        <v>0</v>
      </c>
      <c r="C191" s="595">
        <v>0</v>
      </c>
      <c r="D191" s="595">
        <v>0</v>
      </c>
      <c r="E191" s="595">
        <v>0</v>
      </c>
      <c r="F191" s="595">
        <v>0</v>
      </c>
      <c r="G191" s="595">
        <v>0</v>
      </c>
      <c r="H191" s="595">
        <v>0</v>
      </c>
      <c r="I191" s="595">
        <v>0</v>
      </c>
      <c r="J191" s="595">
        <v>0</v>
      </c>
      <c r="K191" s="595">
        <v>0</v>
      </c>
      <c r="L191" s="595">
        <v>0</v>
      </c>
      <c r="M191" s="595">
        <v>0</v>
      </c>
      <c r="N191" s="595">
        <v>0</v>
      </c>
      <c r="O191" s="595">
        <v>0</v>
      </c>
      <c r="P191" s="595">
        <v>0</v>
      </c>
      <c r="Q191" s="595">
        <v>0</v>
      </c>
      <c r="R191" s="595">
        <v>0</v>
      </c>
      <c r="S191" s="595">
        <v>0</v>
      </c>
      <c r="T191" s="595">
        <v>0</v>
      </c>
      <c r="U191" s="595">
        <v>0</v>
      </c>
      <c r="V191" s="595">
        <v>0</v>
      </c>
      <c r="W191" s="611">
        <v>0</v>
      </c>
      <c r="X191" s="706"/>
      <c r="Y191" s="706"/>
      <c r="Z191" s="706"/>
      <c r="AA191" s="706"/>
      <c r="AB191" s="706"/>
      <c r="AC191" s="706"/>
      <c r="AD191" s="706"/>
      <c r="AE191" s="703">
        <v>0</v>
      </c>
      <c r="AF191" s="704">
        <v>0</v>
      </c>
      <c r="AG191" s="705">
        <v>0</v>
      </c>
      <c r="AH191" s="706">
        <v>0</v>
      </c>
      <c r="AI191" s="705">
        <v>0</v>
      </c>
      <c r="AJ191" s="703">
        <v>0</v>
      </c>
      <c r="AK191" s="705">
        <v>0</v>
      </c>
      <c r="AL191" s="707">
        <v>0</v>
      </c>
      <c r="AM191" s="703">
        <v>0</v>
      </c>
      <c r="AN191" s="703">
        <v>0</v>
      </c>
      <c r="AO191" s="707">
        <v>0</v>
      </c>
      <c r="AP191" s="708">
        <v>0</v>
      </c>
      <c r="AQ191" s="705">
        <v>0</v>
      </c>
      <c r="AR191" s="703">
        <v>0</v>
      </c>
      <c r="AS191" s="705">
        <v>0</v>
      </c>
      <c r="AT191" s="709">
        <v>0</v>
      </c>
      <c r="AU191" s="703">
        <v>0</v>
      </c>
      <c r="AV191" s="705">
        <v>0</v>
      </c>
      <c r="AW191" s="710">
        <v>0</v>
      </c>
      <c r="AX191" s="711">
        <v>0</v>
      </c>
      <c r="AY191" s="710">
        <v>0</v>
      </c>
      <c r="AZ191" s="711">
        <v>0</v>
      </c>
      <c r="BA191" s="710">
        <v>0</v>
      </c>
      <c r="BB191" s="711">
        <v>0</v>
      </c>
      <c r="BC191" s="712">
        <v>0</v>
      </c>
      <c r="BD191" s="713">
        <v>0</v>
      </c>
      <c r="BE191" s="710">
        <v>0</v>
      </c>
      <c r="BF191" s="711">
        <v>0</v>
      </c>
      <c r="BG191" s="712">
        <v>0</v>
      </c>
      <c r="BH191" s="711">
        <v>0</v>
      </c>
      <c r="BI191" s="712">
        <v>0</v>
      </c>
      <c r="BJ191" s="711">
        <v>0</v>
      </c>
      <c r="BK191" s="712">
        <v>0</v>
      </c>
      <c r="BL191" s="711">
        <v>0</v>
      </c>
      <c r="BM191" s="712">
        <v>0</v>
      </c>
      <c r="BN191" s="711">
        <v>0</v>
      </c>
      <c r="BO191" s="712">
        <v>0</v>
      </c>
      <c r="BP191" s="711">
        <v>0</v>
      </c>
      <c r="BQ191" s="712">
        <v>0</v>
      </c>
      <c r="BR191" s="711">
        <v>0</v>
      </c>
      <c r="BS191" s="712">
        <v>0</v>
      </c>
      <c r="BT191" s="711">
        <v>0</v>
      </c>
      <c r="BU191" s="712">
        <v>0</v>
      </c>
      <c r="BV191" s="711">
        <v>0</v>
      </c>
      <c r="BW191" s="712">
        <v>0</v>
      </c>
      <c r="BX191" s="711">
        <v>0</v>
      </c>
      <c r="BY191" s="712">
        <v>0</v>
      </c>
      <c r="BZ191" s="711">
        <v>0</v>
      </c>
      <c r="CA191" s="712">
        <v>0</v>
      </c>
      <c r="CB191" s="711">
        <v>0</v>
      </c>
      <c r="CC191" s="710">
        <v>0</v>
      </c>
      <c r="CD191" s="713">
        <v>0</v>
      </c>
      <c r="CE191" s="710">
        <v>0</v>
      </c>
      <c r="CF191" s="713">
        <v>0</v>
      </c>
      <c r="CG191" s="710">
        <v>0</v>
      </c>
      <c r="CH191" s="713">
        <v>0</v>
      </c>
      <c r="CI191" s="710">
        <v>0</v>
      </c>
      <c r="CJ191" s="713">
        <v>0</v>
      </c>
      <c r="CK191" s="710">
        <v>0</v>
      </c>
      <c r="CL191" s="713">
        <v>0</v>
      </c>
      <c r="CM191" s="710">
        <v>0</v>
      </c>
      <c r="CN191" s="713">
        <v>0</v>
      </c>
      <c r="CO191" s="710">
        <v>0</v>
      </c>
      <c r="CP191" s="713">
        <v>0</v>
      </c>
      <c r="CQ191" s="710">
        <v>0</v>
      </c>
      <c r="CR191" s="711">
        <v>0</v>
      </c>
      <c r="CS191" s="710">
        <v>0</v>
      </c>
      <c r="CT191" s="711">
        <v>0</v>
      </c>
      <c r="CU191" s="712">
        <v>0</v>
      </c>
      <c r="CV191" s="711">
        <v>0</v>
      </c>
    </row>
    <row r="192" spans="1:100">
      <c r="A192" s="467">
        <v>190</v>
      </c>
      <c r="B192" s="595">
        <v>0</v>
      </c>
      <c r="C192" s="595">
        <v>0</v>
      </c>
      <c r="D192" s="595">
        <v>0</v>
      </c>
      <c r="E192" s="595">
        <v>0</v>
      </c>
      <c r="F192" s="595">
        <v>0</v>
      </c>
      <c r="G192" s="595">
        <v>0</v>
      </c>
      <c r="H192" s="595">
        <v>0</v>
      </c>
      <c r="I192" s="595">
        <v>0</v>
      </c>
      <c r="J192" s="595">
        <v>0</v>
      </c>
      <c r="K192" s="595">
        <v>0</v>
      </c>
      <c r="L192" s="595">
        <v>0</v>
      </c>
      <c r="M192" s="595">
        <v>0</v>
      </c>
      <c r="N192" s="595">
        <v>0</v>
      </c>
      <c r="O192" s="595">
        <v>0</v>
      </c>
      <c r="P192" s="595">
        <v>0</v>
      </c>
      <c r="Q192" s="595">
        <v>0</v>
      </c>
      <c r="R192" s="595">
        <v>0</v>
      </c>
      <c r="S192" s="595">
        <v>0</v>
      </c>
      <c r="T192" s="595">
        <v>0</v>
      </c>
      <c r="U192" s="595">
        <v>0</v>
      </c>
      <c r="V192" s="595">
        <v>0</v>
      </c>
      <c r="W192" s="611">
        <v>0</v>
      </c>
      <c r="X192" s="706"/>
      <c r="Y192" s="706"/>
      <c r="Z192" s="706"/>
      <c r="AA192" s="706"/>
      <c r="AB192" s="706"/>
      <c r="AC192" s="706"/>
      <c r="AD192" s="706"/>
      <c r="AE192" s="703">
        <v>0</v>
      </c>
      <c r="AF192" s="704">
        <v>0</v>
      </c>
      <c r="AG192" s="705">
        <v>0</v>
      </c>
      <c r="AH192" s="706">
        <v>0</v>
      </c>
      <c r="AI192" s="705">
        <v>0</v>
      </c>
      <c r="AJ192" s="703">
        <v>0</v>
      </c>
      <c r="AK192" s="705">
        <v>0</v>
      </c>
      <c r="AL192" s="707">
        <v>0</v>
      </c>
      <c r="AM192" s="703">
        <v>0</v>
      </c>
      <c r="AN192" s="703">
        <v>0</v>
      </c>
      <c r="AO192" s="707">
        <v>0</v>
      </c>
      <c r="AP192" s="708">
        <v>0</v>
      </c>
      <c r="AQ192" s="705">
        <v>0</v>
      </c>
      <c r="AR192" s="703">
        <v>0</v>
      </c>
      <c r="AS192" s="705">
        <v>0</v>
      </c>
      <c r="AT192" s="709">
        <v>0</v>
      </c>
      <c r="AU192" s="703">
        <v>0</v>
      </c>
      <c r="AV192" s="705">
        <v>0</v>
      </c>
      <c r="AW192" s="710">
        <v>0</v>
      </c>
      <c r="AX192" s="711">
        <v>0</v>
      </c>
      <c r="AY192" s="710">
        <v>0</v>
      </c>
      <c r="AZ192" s="711">
        <v>0</v>
      </c>
      <c r="BA192" s="710">
        <v>0</v>
      </c>
      <c r="BB192" s="711">
        <v>0</v>
      </c>
      <c r="BC192" s="712">
        <v>0</v>
      </c>
      <c r="BD192" s="713">
        <v>0</v>
      </c>
      <c r="BE192" s="710">
        <v>0</v>
      </c>
      <c r="BF192" s="711">
        <v>0</v>
      </c>
      <c r="BG192" s="712">
        <v>0</v>
      </c>
      <c r="BH192" s="711">
        <v>0</v>
      </c>
      <c r="BI192" s="712">
        <v>0</v>
      </c>
      <c r="BJ192" s="711">
        <v>0</v>
      </c>
      <c r="BK192" s="712">
        <v>0</v>
      </c>
      <c r="BL192" s="711">
        <v>0</v>
      </c>
      <c r="BM192" s="712">
        <v>0</v>
      </c>
      <c r="BN192" s="711">
        <v>0</v>
      </c>
      <c r="BO192" s="712">
        <v>0</v>
      </c>
      <c r="BP192" s="711">
        <v>0</v>
      </c>
      <c r="BQ192" s="712">
        <v>0</v>
      </c>
      <c r="BR192" s="711">
        <v>0</v>
      </c>
      <c r="BS192" s="712">
        <v>0</v>
      </c>
      <c r="BT192" s="711">
        <v>0</v>
      </c>
      <c r="BU192" s="712">
        <v>0</v>
      </c>
      <c r="BV192" s="711">
        <v>0</v>
      </c>
      <c r="BW192" s="712">
        <v>0</v>
      </c>
      <c r="BX192" s="711">
        <v>0</v>
      </c>
      <c r="BY192" s="712">
        <v>0</v>
      </c>
      <c r="BZ192" s="711">
        <v>0</v>
      </c>
      <c r="CA192" s="712">
        <v>0</v>
      </c>
      <c r="CB192" s="711">
        <v>0</v>
      </c>
      <c r="CC192" s="710">
        <v>0</v>
      </c>
      <c r="CD192" s="713">
        <v>0</v>
      </c>
      <c r="CE192" s="710">
        <v>0</v>
      </c>
      <c r="CF192" s="713">
        <v>0</v>
      </c>
      <c r="CG192" s="710">
        <v>0</v>
      </c>
      <c r="CH192" s="713">
        <v>0</v>
      </c>
      <c r="CI192" s="710">
        <v>0</v>
      </c>
      <c r="CJ192" s="713">
        <v>0</v>
      </c>
      <c r="CK192" s="710">
        <v>0</v>
      </c>
      <c r="CL192" s="713">
        <v>0</v>
      </c>
      <c r="CM192" s="710">
        <v>0</v>
      </c>
      <c r="CN192" s="713">
        <v>0</v>
      </c>
      <c r="CO192" s="710">
        <v>0</v>
      </c>
      <c r="CP192" s="713">
        <v>0</v>
      </c>
      <c r="CQ192" s="710">
        <v>0</v>
      </c>
      <c r="CR192" s="711">
        <v>0</v>
      </c>
      <c r="CS192" s="710">
        <v>0</v>
      </c>
      <c r="CT192" s="711">
        <v>0</v>
      </c>
      <c r="CU192" s="712">
        <v>0</v>
      </c>
      <c r="CV192" s="711">
        <v>0</v>
      </c>
    </row>
    <row r="193" spans="1:100">
      <c r="A193" s="467">
        <v>191</v>
      </c>
      <c r="B193" s="595">
        <v>0</v>
      </c>
      <c r="C193" s="595">
        <v>0</v>
      </c>
      <c r="D193" s="595">
        <v>0</v>
      </c>
      <c r="E193" s="595">
        <v>0</v>
      </c>
      <c r="F193" s="595">
        <v>0</v>
      </c>
      <c r="G193" s="595">
        <v>0</v>
      </c>
      <c r="H193" s="595">
        <v>0</v>
      </c>
      <c r="I193" s="595">
        <v>0</v>
      </c>
      <c r="J193" s="595">
        <v>0</v>
      </c>
      <c r="K193" s="595">
        <v>0</v>
      </c>
      <c r="L193" s="595">
        <v>0</v>
      </c>
      <c r="M193" s="595">
        <v>0</v>
      </c>
      <c r="N193" s="595">
        <v>0</v>
      </c>
      <c r="O193" s="595">
        <v>0</v>
      </c>
      <c r="P193" s="595">
        <v>0</v>
      </c>
      <c r="Q193" s="595">
        <v>0</v>
      </c>
      <c r="R193" s="595">
        <v>0</v>
      </c>
      <c r="S193" s="595">
        <v>0</v>
      </c>
      <c r="T193" s="595">
        <v>0</v>
      </c>
      <c r="U193" s="595">
        <v>0</v>
      </c>
      <c r="V193" s="595">
        <v>0</v>
      </c>
      <c r="W193" s="611">
        <v>0</v>
      </c>
      <c r="X193" s="706"/>
      <c r="Y193" s="706"/>
      <c r="Z193" s="706"/>
      <c r="AA193" s="706"/>
      <c r="AB193" s="706"/>
      <c r="AC193" s="706"/>
      <c r="AD193" s="706"/>
      <c r="AE193" s="703">
        <v>0</v>
      </c>
      <c r="AF193" s="704">
        <v>0</v>
      </c>
      <c r="AG193" s="705">
        <v>0</v>
      </c>
      <c r="AH193" s="706">
        <v>0</v>
      </c>
      <c r="AI193" s="705">
        <v>0</v>
      </c>
      <c r="AJ193" s="703">
        <v>0</v>
      </c>
      <c r="AK193" s="705">
        <v>0</v>
      </c>
      <c r="AL193" s="707">
        <v>0</v>
      </c>
      <c r="AM193" s="703">
        <v>0</v>
      </c>
      <c r="AN193" s="703">
        <v>0</v>
      </c>
      <c r="AO193" s="707">
        <v>0</v>
      </c>
      <c r="AP193" s="708">
        <v>0</v>
      </c>
      <c r="AQ193" s="705">
        <v>0</v>
      </c>
      <c r="AR193" s="703">
        <v>0</v>
      </c>
      <c r="AS193" s="705">
        <v>0</v>
      </c>
      <c r="AT193" s="709">
        <v>0</v>
      </c>
      <c r="AU193" s="703">
        <v>0</v>
      </c>
      <c r="AV193" s="705">
        <v>0</v>
      </c>
      <c r="AW193" s="710">
        <v>0</v>
      </c>
      <c r="AX193" s="711">
        <v>0</v>
      </c>
      <c r="AY193" s="710">
        <v>0</v>
      </c>
      <c r="AZ193" s="711">
        <v>0</v>
      </c>
      <c r="BA193" s="710">
        <v>0</v>
      </c>
      <c r="BB193" s="711">
        <v>0</v>
      </c>
      <c r="BC193" s="712">
        <v>0</v>
      </c>
      <c r="BD193" s="713">
        <v>0</v>
      </c>
      <c r="BE193" s="710">
        <v>0</v>
      </c>
      <c r="BF193" s="711">
        <v>0</v>
      </c>
      <c r="BG193" s="712">
        <v>0</v>
      </c>
      <c r="BH193" s="711">
        <v>0</v>
      </c>
      <c r="BI193" s="712">
        <v>0</v>
      </c>
      <c r="BJ193" s="711">
        <v>0</v>
      </c>
      <c r="BK193" s="712">
        <v>0</v>
      </c>
      <c r="BL193" s="711">
        <v>0</v>
      </c>
      <c r="BM193" s="712">
        <v>0</v>
      </c>
      <c r="BN193" s="711">
        <v>0</v>
      </c>
      <c r="BO193" s="712">
        <v>0</v>
      </c>
      <c r="BP193" s="711">
        <v>0</v>
      </c>
      <c r="BQ193" s="712">
        <v>0</v>
      </c>
      <c r="BR193" s="711">
        <v>0</v>
      </c>
      <c r="BS193" s="712">
        <v>0</v>
      </c>
      <c r="BT193" s="711">
        <v>0</v>
      </c>
      <c r="BU193" s="712">
        <v>0</v>
      </c>
      <c r="BV193" s="711">
        <v>0</v>
      </c>
      <c r="BW193" s="712">
        <v>0</v>
      </c>
      <c r="BX193" s="711">
        <v>0</v>
      </c>
      <c r="BY193" s="712">
        <v>0</v>
      </c>
      <c r="BZ193" s="711">
        <v>0</v>
      </c>
      <c r="CA193" s="712">
        <v>0</v>
      </c>
      <c r="CB193" s="711">
        <v>0</v>
      </c>
      <c r="CC193" s="710">
        <v>0</v>
      </c>
      <c r="CD193" s="713">
        <v>0</v>
      </c>
      <c r="CE193" s="710">
        <v>0</v>
      </c>
      <c r="CF193" s="713">
        <v>0</v>
      </c>
      <c r="CG193" s="710">
        <v>0</v>
      </c>
      <c r="CH193" s="713">
        <v>0</v>
      </c>
      <c r="CI193" s="710">
        <v>0</v>
      </c>
      <c r="CJ193" s="713">
        <v>0</v>
      </c>
      <c r="CK193" s="710">
        <v>0</v>
      </c>
      <c r="CL193" s="713">
        <v>0</v>
      </c>
      <c r="CM193" s="710">
        <v>0</v>
      </c>
      <c r="CN193" s="713">
        <v>0</v>
      </c>
      <c r="CO193" s="710">
        <v>0</v>
      </c>
      <c r="CP193" s="713">
        <v>0</v>
      </c>
      <c r="CQ193" s="710">
        <v>0</v>
      </c>
      <c r="CR193" s="711">
        <v>0</v>
      </c>
      <c r="CS193" s="710">
        <v>0</v>
      </c>
      <c r="CT193" s="711">
        <v>0</v>
      </c>
      <c r="CU193" s="712">
        <v>0</v>
      </c>
      <c r="CV193" s="711">
        <v>0</v>
      </c>
    </row>
    <row r="194" spans="1:100">
      <c r="A194" s="467">
        <v>192</v>
      </c>
      <c r="B194" s="595">
        <v>0</v>
      </c>
      <c r="C194" s="595">
        <v>0</v>
      </c>
      <c r="D194" s="595">
        <v>0</v>
      </c>
      <c r="E194" s="595">
        <v>0</v>
      </c>
      <c r="F194" s="595">
        <v>0</v>
      </c>
      <c r="G194" s="595">
        <v>0</v>
      </c>
      <c r="H194" s="595">
        <v>0</v>
      </c>
      <c r="I194" s="595">
        <v>0</v>
      </c>
      <c r="J194" s="595">
        <v>0</v>
      </c>
      <c r="K194" s="595">
        <v>0</v>
      </c>
      <c r="L194" s="595">
        <v>0</v>
      </c>
      <c r="M194" s="595">
        <v>0</v>
      </c>
      <c r="N194" s="595">
        <v>0</v>
      </c>
      <c r="O194" s="595">
        <v>0</v>
      </c>
      <c r="P194" s="595">
        <v>0</v>
      </c>
      <c r="Q194" s="595">
        <v>0</v>
      </c>
      <c r="R194" s="595">
        <v>0</v>
      </c>
      <c r="S194" s="595">
        <v>0</v>
      </c>
      <c r="T194" s="595">
        <v>0</v>
      </c>
      <c r="U194" s="595">
        <v>0</v>
      </c>
      <c r="V194" s="595">
        <v>0</v>
      </c>
      <c r="W194" s="611">
        <v>0</v>
      </c>
      <c r="X194" s="706"/>
      <c r="Y194" s="706"/>
      <c r="Z194" s="706"/>
      <c r="AA194" s="706"/>
      <c r="AB194" s="706"/>
      <c r="AC194" s="706"/>
      <c r="AD194" s="706"/>
      <c r="AE194" s="703">
        <v>0</v>
      </c>
      <c r="AF194" s="704">
        <v>0</v>
      </c>
      <c r="AG194" s="705">
        <v>0</v>
      </c>
      <c r="AH194" s="706">
        <v>0</v>
      </c>
      <c r="AI194" s="705">
        <v>0</v>
      </c>
      <c r="AJ194" s="703">
        <v>0</v>
      </c>
      <c r="AK194" s="705">
        <v>0</v>
      </c>
      <c r="AL194" s="707">
        <v>0</v>
      </c>
      <c r="AM194" s="703">
        <v>0</v>
      </c>
      <c r="AN194" s="703">
        <v>0</v>
      </c>
      <c r="AO194" s="707">
        <v>0</v>
      </c>
      <c r="AP194" s="708">
        <v>0</v>
      </c>
      <c r="AQ194" s="705">
        <v>0</v>
      </c>
      <c r="AR194" s="703">
        <v>0</v>
      </c>
      <c r="AS194" s="705">
        <v>0</v>
      </c>
      <c r="AT194" s="709">
        <v>0</v>
      </c>
      <c r="AU194" s="703">
        <v>0</v>
      </c>
      <c r="AV194" s="705">
        <v>0</v>
      </c>
      <c r="AW194" s="710">
        <v>0</v>
      </c>
      <c r="AX194" s="711">
        <v>0</v>
      </c>
      <c r="AY194" s="710">
        <v>0</v>
      </c>
      <c r="AZ194" s="711">
        <v>0</v>
      </c>
      <c r="BA194" s="710">
        <v>0</v>
      </c>
      <c r="BB194" s="711">
        <v>0</v>
      </c>
      <c r="BC194" s="712">
        <v>0</v>
      </c>
      <c r="BD194" s="713">
        <v>0</v>
      </c>
      <c r="BE194" s="710">
        <v>0</v>
      </c>
      <c r="BF194" s="711">
        <v>0</v>
      </c>
      <c r="BG194" s="712">
        <v>0</v>
      </c>
      <c r="BH194" s="711">
        <v>0</v>
      </c>
      <c r="BI194" s="712">
        <v>0</v>
      </c>
      <c r="BJ194" s="711">
        <v>0</v>
      </c>
      <c r="BK194" s="712">
        <v>0</v>
      </c>
      <c r="BL194" s="711">
        <v>0</v>
      </c>
      <c r="BM194" s="712">
        <v>0</v>
      </c>
      <c r="BN194" s="711">
        <v>0</v>
      </c>
      <c r="BO194" s="712">
        <v>0</v>
      </c>
      <c r="BP194" s="711">
        <v>0</v>
      </c>
      <c r="BQ194" s="712">
        <v>0</v>
      </c>
      <c r="BR194" s="711">
        <v>0</v>
      </c>
      <c r="BS194" s="712">
        <v>0</v>
      </c>
      <c r="BT194" s="711">
        <v>0</v>
      </c>
      <c r="BU194" s="712">
        <v>0</v>
      </c>
      <c r="BV194" s="711">
        <v>0</v>
      </c>
      <c r="BW194" s="712">
        <v>0</v>
      </c>
      <c r="BX194" s="711">
        <v>0</v>
      </c>
      <c r="BY194" s="712">
        <v>0</v>
      </c>
      <c r="BZ194" s="711">
        <v>0</v>
      </c>
      <c r="CA194" s="712">
        <v>0</v>
      </c>
      <c r="CB194" s="711">
        <v>0</v>
      </c>
      <c r="CC194" s="710">
        <v>0</v>
      </c>
      <c r="CD194" s="713">
        <v>0</v>
      </c>
      <c r="CE194" s="710">
        <v>0</v>
      </c>
      <c r="CF194" s="713">
        <v>0</v>
      </c>
      <c r="CG194" s="710">
        <v>0</v>
      </c>
      <c r="CH194" s="713">
        <v>0</v>
      </c>
      <c r="CI194" s="710">
        <v>0</v>
      </c>
      <c r="CJ194" s="713">
        <v>0</v>
      </c>
      <c r="CK194" s="710">
        <v>0</v>
      </c>
      <c r="CL194" s="713">
        <v>0</v>
      </c>
      <c r="CM194" s="710">
        <v>0</v>
      </c>
      <c r="CN194" s="713">
        <v>0</v>
      </c>
      <c r="CO194" s="710">
        <v>0</v>
      </c>
      <c r="CP194" s="713">
        <v>0</v>
      </c>
      <c r="CQ194" s="710">
        <v>0</v>
      </c>
      <c r="CR194" s="711">
        <v>0</v>
      </c>
      <c r="CS194" s="710">
        <v>0</v>
      </c>
      <c r="CT194" s="711">
        <v>0</v>
      </c>
      <c r="CU194" s="712">
        <v>0</v>
      </c>
      <c r="CV194" s="711">
        <v>0</v>
      </c>
    </row>
    <row r="195" spans="1:100">
      <c r="A195" s="467">
        <v>193</v>
      </c>
      <c r="B195" s="595">
        <v>0</v>
      </c>
      <c r="C195" s="595">
        <v>0</v>
      </c>
      <c r="D195" s="595">
        <v>0</v>
      </c>
      <c r="E195" s="595">
        <v>0</v>
      </c>
      <c r="F195" s="595">
        <v>0</v>
      </c>
      <c r="G195" s="595">
        <v>0</v>
      </c>
      <c r="H195" s="595">
        <v>0</v>
      </c>
      <c r="I195" s="595">
        <v>0</v>
      </c>
      <c r="J195" s="595">
        <v>0</v>
      </c>
      <c r="K195" s="595">
        <v>0</v>
      </c>
      <c r="L195" s="595">
        <v>0</v>
      </c>
      <c r="M195" s="595">
        <v>0</v>
      </c>
      <c r="N195" s="595">
        <v>0</v>
      </c>
      <c r="O195" s="595">
        <v>0</v>
      </c>
      <c r="P195" s="595">
        <v>0</v>
      </c>
      <c r="Q195" s="595">
        <v>0</v>
      </c>
      <c r="R195" s="595">
        <v>0</v>
      </c>
      <c r="S195" s="595">
        <v>0</v>
      </c>
      <c r="T195" s="595">
        <v>0</v>
      </c>
      <c r="U195" s="595">
        <v>0</v>
      </c>
      <c r="V195" s="595">
        <v>0</v>
      </c>
      <c r="W195" s="611">
        <v>0</v>
      </c>
      <c r="X195" s="706"/>
      <c r="Y195" s="706"/>
      <c r="Z195" s="706"/>
      <c r="AA195" s="706"/>
      <c r="AB195" s="706"/>
      <c r="AC195" s="706"/>
      <c r="AD195" s="706"/>
      <c r="AE195" s="703">
        <v>0</v>
      </c>
      <c r="AF195" s="704">
        <v>0</v>
      </c>
      <c r="AG195" s="705">
        <v>0</v>
      </c>
      <c r="AH195" s="706">
        <v>0</v>
      </c>
      <c r="AI195" s="705">
        <v>0</v>
      </c>
      <c r="AJ195" s="703">
        <v>0</v>
      </c>
      <c r="AK195" s="705">
        <v>0</v>
      </c>
      <c r="AL195" s="707">
        <v>0</v>
      </c>
      <c r="AM195" s="703">
        <v>0</v>
      </c>
      <c r="AN195" s="703">
        <v>0</v>
      </c>
      <c r="AO195" s="707">
        <v>0</v>
      </c>
      <c r="AP195" s="708">
        <v>0</v>
      </c>
      <c r="AQ195" s="705">
        <v>0</v>
      </c>
      <c r="AR195" s="703">
        <v>0</v>
      </c>
      <c r="AS195" s="705">
        <v>0</v>
      </c>
      <c r="AT195" s="709">
        <v>0</v>
      </c>
      <c r="AU195" s="703">
        <v>0</v>
      </c>
      <c r="AV195" s="705">
        <v>0</v>
      </c>
      <c r="AW195" s="710">
        <v>0</v>
      </c>
      <c r="AX195" s="711">
        <v>0</v>
      </c>
      <c r="AY195" s="710">
        <v>0</v>
      </c>
      <c r="AZ195" s="711">
        <v>0</v>
      </c>
      <c r="BA195" s="710">
        <v>0</v>
      </c>
      <c r="BB195" s="711">
        <v>0</v>
      </c>
      <c r="BC195" s="712">
        <v>0</v>
      </c>
      <c r="BD195" s="713">
        <v>0</v>
      </c>
      <c r="BE195" s="710">
        <v>0</v>
      </c>
      <c r="BF195" s="711">
        <v>0</v>
      </c>
      <c r="BG195" s="712">
        <v>0</v>
      </c>
      <c r="BH195" s="711">
        <v>0</v>
      </c>
      <c r="BI195" s="712">
        <v>0</v>
      </c>
      <c r="BJ195" s="711">
        <v>0</v>
      </c>
      <c r="BK195" s="712">
        <v>0</v>
      </c>
      <c r="BL195" s="711">
        <v>0</v>
      </c>
      <c r="BM195" s="712">
        <v>0</v>
      </c>
      <c r="BN195" s="711">
        <v>0</v>
      </c>
      <c r="BO195" s="712">
        <v>0</v>
      </c>
      <c r="BP195" s="711">
        <v>0</v>
      </c>
      <c r="BQ195" s="712">
        <v>0</v>
      </c>
      <c r="BR195" s="711">
        <v>0</v>
      </c>
      <c r="BS195" s="712">
        <v>0</v>
      </c>
      <c r="BT195" s="711">
        <v>0</v>
      </c>
      <c r="BU195" s="712">
        <v>0</v>
      </c>
      <c r="BV195" s="711">
        <v>0</v>
      </c>
      <c r="BW195" s="712">
        <v>0</v>
      </c>
      <c r="BX195" s="711">
        <v>0</v>
      </c>
      <c r="BY195" s="712">
        <v>0</v>
      </c>
      <c r="BZ195" s="711">
        <v>0</v>
      </c>
      <c r="CA195" s="712">
        <v>0</v>
      </c>
      <c r="CB195" s="711">
        <v>0</v>
      </c>
      <c r="CC195" s="710">
        <v>0</v>
      </c>
      <c r="CD195" s="713">
        <v>0</v>
      </c>
      <c r="CE195" s="710">
        <v>0</v>
      </c>
      <c r="CF195" s="713">
        <v>0</v>
      </c>
      <c r="CG195" s="710">
        <v>0</v>
      </c>
      <c r="CH195" s="713">
        <v>0</v>
      </c>
      <c r="CI195" s="710">
        <v>0</v>
      </c>
      <c r="CJ195" s="713">
        <v>0</v>
      </c>
      <c r="CK195" s="710">
        <v>0</v>
      </c>
      <c r="CL195" s="713">
        <v>0</v>
      </c>
      <c r="CM195" s="710">
        <v>0</v>
      </c>
      <c r="CN195" s="713">
        <v>0</v>
      </c>
      <c r="CO195" s="710">
        <v>0</v>
      </c>
      <c r="CP195" s="713">
        <v>0</v>
      </c>
      <c r="CQ195" s="710">
        <v>0</v>
      </c>
      <c r="CR195" s="711">
        <v>0</v>
      </c>
      <c r="CS195" s="710">
        <v>0</v>
      </c>
      <c r="CT195" s="711">
        <v>0</v>
      </c>
      <c r="CU195" s="712">
        <v>0</v>
      </c>
      <c r="CV195" s="711">
        <v>0</v>
      </c>
    </row>
    <row r="196" spans="1:100">
      <c r="A196" s="467">
        <v>194</v>
      </c>
      <c r="B196" s="595">
        <v>0</v>
      </c>
      <c r="C196" s="595">
        <v>0</v>
      </c>
      <c r="D196" s="595">
        <v>0</v>
      </c>
      <c r="E196" s="595">
        <v>0</v>
      </c>
      <c r="F196" s="595">
        <v>0</v>
      </c>
      <c r="G196" s="595">
        <v>0</v>
      </c>
      <c r="H196" s="595">
        <v>0</v>
      </c>
      <c r="I196" s="595">
        <v>0</v>
      </c>
      <c r="J196" s="595">
        <v>0</v>
      </c>
      <c r="K196" s="595">
        <v>0</v>
      </c>
      <c r="L196" s="595">
        <v>0</v>
      </c>
      <c r="M196" s="595">
        <v>0</v>
      </c>
      <c r="N196" s="595">
        <v>0</v>
      </c>
      <c r="O196" s="595">
        <v>0</v>
      </c>
      <c r="P196" s="595">
        <v>0</v>
      </c>
      <c r="Q196" s="595">
        <v>0</v>
      </c>
      <c r="R196" s="595">
        <v>0</v>
      </c>
      <c r="S196" s="595">
        <v>0</v>
      </c>
      <c r="T196" s="595">
        <v>0</v>
      </c>
      <c r="U196" s="595">
        <v>0</v>
      </c>
      <c r="V196" s="595">
        <v>0</v>
      </c>
      <c r="W196" s="611">
        <v>0</v>
      </c>
      <c r="X196" s="706"/>
      <c r="Y196" s="706"/>
      <c r="Z196" s="706"/>
      <c r="AA196" s="706"/>
      <c r="AB196" s="706"/>
      <c r="AC196" s="706"/>
      <c r="AD196" s="706"/>
      <c r="AE196" s="703">
        <v>0</v>
      </c>
      <c r="AF196" s="704">
        <v>0</v>
      </c>
      <c r="AG196" s="705">
        <v>0</v>
      </c>
      <c r="AH196" s="706">
        <v>0</v>
      </c>
      <c r="AI196" s="705">
        <v>0</v>
      </c>
      <c r="AJ196" s="703">
        <v>0</v>
      </c>
      <c r="AK196" s="705">
        <v>0</v>
      </c>
      <c r="AL196" s="707">
        <v>0</v>
      </c>
      <c r="AM196" s="703">
        <v>0</v>
      </c>
      <c r="AN196" s="703">
        <v>0</v>
      </c>
      <c r="AO196" s="707">
        <v>0</v>
      </c>
      <c r="AP196" s="708">
        <v>0</v>
      </c>
      <c r="AQ196" s="705">
        <v>0</v>
      </c>
      <c r="AR196" s="703">
        <v>0</v>
      </c>
      <c r="AS196" s="705">
        <v>0</v>
      </c>
      <c r="AT196" s="709">
        <v>0</v>
      </c>
      <c r="AU196" s="703">
        <v>0</v>
      </c>
      <c r="AV196" s="705">
        <v>0</v>
      </c>
      <c r="AW196" s="710">
        <v>0</v>
      </c>
      <c r="AX196" s="711">
        <v>0</v>
      </c>
      <c r="AY196" s="710">
        <v>0</v>
      </c>
      <c r="AZ196" s="711">
        <v>0</v>
      </c>
      <c r="BA196" s="710">
        <v>0</v>
      </c>
      <c r="BB196" s="711">
        <v>0</v>
      </c>
      <c r="BC196" s="712">
        <v>0</v>
      </c>
      <c r="BD196" s="713">
        <v>0</v>
      </c>
      <c r="BE196" s="710">
        <v>0</v>
      </c>
      <c r="BF196" s="711">
        <v>0</v>
      </c>
      <c r="BG196" s="712">
        <v>0</v>
      </c>
      <c r="BH196" s="711">
        <v>0</v>
      </c>
      <c r="BI196" s="712">
        <v>0</v>
      </c>
      <c r="BJ196" s="711">
        <v>0</v>
      </c>
      <c r="BK196" s="712">
        <v>0</v>
      </c>
      <c r="BL196" s="711">
        <v>0</v>
      </c>
      <c r="BM196" s="712">
        <v>0</v>
      </c>
      <c r="BN196" s="711">
        <v>0</v>
      </c>
      <c r="BO196" s="712">
        <v>0</v>
      </c>
      <c r="BP196" s="711">
        <v>0</v>
      </c>
      <c r="BQ196" s="712">
        <v>0</v>
      </c>
      <c r="BR196" s="711">
        <v>0</v>
      </c>
      <c r="BS196" s="712">
        <v>0</v>
      </c>
      <c r="BT196" s="711">
        <v>0</v>
      </c>
      <c r="BU196" s="712">
        <v>0</v>
      </c>
      <c r="BV196" s="711">
        <v>0</v>
      </c>
      <c r="BW196" s="712">
        <v>0</v>
      </c>
      <c r="BX196" s="711">
        <v>0</v>
      </c>
      <c r="BY196" s="712">
        <v>0</v>
      </c>
      <c r="BZ196" s="711">
        <v>0</v>
      </c>
      <c r="CA196" s="712">
        <v>0</v>
      </c>
      <c r="CB196" s="711">
        <v>0</v>
      </c>
      <c r="CC196" s="710">
        <v>0</v>
      </c>
      <c r="CD196" s="713">
        <v>0</v>
      </c>
      <c r="CE196" s="710">
        <v>0</v>
      </c>
      <c r="CF196" s="713">
        <v>0</v>
      </c>
      <c r="CG196" s="710">
        <v>0</v>
      </c>
      <c r="CH196" s="713">
        <v>0</v>
      </c>
      <c r="CI196" s="710">
        <v>0</v>
      </c>
      <c r="CJ196" s="713">
        <v>0</v>
      </c>
      <c r="CK196" s="710">
        <v>0</v>
      </c>
      <c r="CL196" s="713">
        <v>0</v>
      </c>
      <c r="CM196" s="710">
        <v>0</v>
      </c>
      <c r="CN196" s="713">
        <v>0</v>
      </c>
      <c r="CO196" s="710">
        <v>0</v>
      </c>
      <c r="CP196" s="713">
        <v>0</v>
      </c>
      <c r="CQ196" s="710">
        <v>0</v>
      </c>
      <c r="CR196" s="711">
        <v>0</v>
      </c>
      <c r="CS196" s="710">
        <v>0</v>
      </c>
      <c r="CT196" s="711">
        <v>0</v>
      </c>
      <c r="CU196" s="712">
        <v>0</v>
      </c>
      <c r="CV196" s="711">
        <v>0</v>
      </c>
    </row>
    <row r="197" spans="1:100">
      <c r="A197" s="467">
        <v>195</v>
      </c>
      <c r="B197" s="595">
        <v>0</v>
      </c>
      <c r="C197" s="595">
        <v>0</v>
      </c>
      <c r="D197" s="595">
        <v>0</v>
      </c>
      <c r="E197" s="595">
        <v>0</v>
      </c>
      <c r="F197" s="595">
        <v>0</v>
      </c>
      <c r="G197" s="595">
        <v>0</v>
      </c>
      <c r="H197" s="595">
        <v>0</v>
      </c>
      <c r="I197" s="595">
        <v>0</v>
      </c>
      <c r="J197" s="595">
        <v>0</v>
      </c>
      <c r="K197" s="595">
        <v>0</v>
      </c>
      <c r="L197" s="595">
        <v>0</v>
      </c>
      <c r="M197" s="595">
        <v>0</v>
      </c>
      <c r="N197" s="595">
        <v>0</v>
      </c>
      <c r="O197" s="595">
        <v>0</v>
      </c>
      <c r="P197" s="595">
        <v>0</v>
      </c>
      <c r="Q197" s="595">
        <v>0</v>
      </c>
      <c r="R197" s="595">
        <v>0</v>
      </c>
      <c r="S197" s="595">
        <v>0</v>
      </c>
      <c r="T197" s="595">
        <v>0</v>
      </c>
      <c r="U197" s="595">
        <v>0</v>
      </c>
      <c r="V197" s="595">
        <v>0</v>
      </c>
      <c r="W197" s="611">
        <v>0</v>
      </c>
      <c r="X197" s="706"/>
      <c r="Y197" s="706"/>
      <c r="Z197" s="706"/>
      <c r="AA197" s="706"/>
      <c r="AB197" s="706"/>
      <c r="AC197" s="706"/>
      <c r="AD197" s="706"/>
      <c r="AE197" s="703">
        <v>0</v>
      </c>
      <c r="AF197" s="704">
        <v>0</v>
      </c>
      <c r="AG197" s="705">
        <v>0</v>
      </c>
      <c r="AH197" s="706">
        <v>0</v>
      </c>
      <c r="AI197" s="705">
        <v>0</v>
      </c>
      <c r="AJ197" s="703">
        <v>0</v>
      </c>
      <c r="AK197" s="705">
        <v>0</v>
      </c>
      <c r="AL197" s="707">
        <v>0</v>
      </c>
      <c r="AM197" s="703">
        <v>0</v>
      </c>
      <c r="AN197" s="703">
        <v>0</v>
      </c>
      <c r="AO197" s="707">
        <v>0</v>
      </c>
      <c r="AP197" s="708">
        <v>0</v>
      </c>
      <c r="AQ197" s="705">
        <v>0</v>
      </c>
      <c r="AR197" s="703">
        <v>0</v>
      </c>
      <c r="AS197" s="705">
        <v>0</v>
      </c>
      <c r="AT197" s="709">
        <v>0</v>
      </c>
      <c r="AU197" s="703">
        <v>0</v>
      </c>
      <c r="AV197" s="705">
        <v>0</v>
      </c>
      <c r="AW197" s="710">
        <v>0</v>
      </c>
      <c r="AX197" s="711">
        <v>0</v>
      </c>
      <c r="AY197" s="710">
        <v>0</v>
      </c>
      <c r="AZ197" s="711">
        <v>0</v>
      </c>
      <c r="BA197" s="710">
        <v>0</v>
      </c>
      <c r="BB197" s="711">
        <v>0</v>
      </c>
      <c r="BC197" s="712">
        <v>0</v>
      </c>
      <c r="BD197" s="713">
        <v>0</v>
      </c>
      <c r="BE197" s="710">
        <v>0</v>
      </c>
      <c r="BF197" s="711">
        <v>0</v>
      </c>
      <c r="BG197" s="712">
        <v>0</v>
      </c>
      <c r="BH197" s="711">
        <v>0</v>
      </c>
      <c r="BI197" s="712">
        <v>0</v>
      </c>
      <c r="BJ197" s="711">
        <v>0</v>
      </c>
      <c r="BK197" s="712">
        <v>0</v>
      </c>
      <c r="BL197" s="711">
        <v>0</v>
      </c>
      <c r="BM197" s="712">
        <v>0</v>
      </c>
      <c r="BN197" s="711">
        <v>0</v>
      </c>
      <c r="BO197" s="712">
        <v>0</v>
      </c>
      <c r="BP197" s="711">
        <v>0</v>
      </c>
      <c r="BQ197" s="712">
        <v>0</v>
      </c>
      <c r="BR197" s="711">
        <v>0</v>
      </c>
      <c r="BS197" s="712">
        <v>0</v>
      </c>
      <c r="BT197" s="711">
        <v>0</v>
      </c>
      <c r="BU197" s="712">
        <v>0</v>
      </c>
      <c r="BV197" s="711">
        <v>0</v>
      </c>
      <c r="BW197" s="712">
        <v>0</v>
      </c>
      <c r="BX197" s="711">
        <v>0</v>
      </c>
      <c r="BY197" s="712">
        <v>0</v>
      </c>
      <c r="BZ197" s="711">
        <v>0</v>
      </c>
      <c r="CA197" s="712">
        <v>0</v>
      </c>
      <c r="CB197" s="711">
        <v>0</v>
      </c>
      <c r="CC197" s="710">
        <v>0</v>
      </c>
      <c r="CD197" s="713">
        <v>0</v>
      </c>
      <c r="CE197" s="710">
        <v>0</v>
      </c>
      <c r="CF197" s="713">
        <v>0</v>
      </c>
      <c r="CG197" s="710">
        <v>0</v>
      </c>
      <c r="CH197" s="713">
        <v>0</v>
      </c>
      <c r="CI197" s="710">
        <v>0</v>
      </c>
      <c r="CJ197" s="713">
        <v>0</v>
      </c>
      <c r="CK197" s="710">
        <v>0</v>
      </c>
      <c r="CL197" s="713">
        <v>0</v>
      </c>
      <c r="CM197" s="710">
        <v>0</v>
      </c>
      <c r="CN197" s="713">
        <v>0</v>
      </c>
      <c r="CO197" s="710">
        <v>0</v>
      </c>
      <c r="CP197" s="713">
        <v>0</v>
      </c>
      <c r="CQ197" s="710">
        <v>0</v>
      </c>
      <c r="CR197" s="711">
        <v>0</v>
      </c>
      <c r="CS197" s="710">
        <v>0</v>
      </c>
      <c r="CT197" s="711">
        <v>0</v>
      </c>
      <c r="CU197" s="712">
        <v>0</v>
      </c>
      <c r="CV197" s="711">
        <v>0</v>
      </c>
    </row>
    <row r="198" spans="1:100">
      <c r="A198" s="467">
        <v>196</v>
      </c>
      <c r="B198" s="595">
        <v>0</v>
      </c>
      <c r="C198" s="595">
        <v>0</v>
      </c>
      <c r="D198" s="595">
        <v>0</v>
      </c>
      <c r="E198" s="595">
        <v>0</v>
      </c>
      <c r="F198" s="595">
        <v>0</v>
      </c>
      <c r="G198" s="595">
        <v>0</v>
      </c>
      <c r="H198" s="595">
        <v>0</v>
      </c>
      <c r="I198" s="595">
        <v>0</v>
      </c>
      <c r="J198" s="595">
        <v>0</v>
      </c>
      <c r="K198" s="595">
        <v>0</v>
      </c>
      <c r="L198" s="595">
        <v>0</v>
      </c>
      <c r="M198" s="595">
        <v>0</v>
      </c>
      <c r="N198" s="595">
        <v>0</v>
      </c>
      <c r="O198" s="595">
        <v>0</v>
      </c>
      <c r="P198" s="595">
        <v>0</v>
      </c>
      <c r="Q198" s="595">
        <v>0</v>
      </c>
      <c r="R198" s="595">
        <v>0</v>
      </c>
      <c r="S198" s="595">
        <v>0</v>
      </c>
      <c r="T198" s="595">
        <v>0</v>
      </c>
      <c r="U198" s="595">
        <v>0</v>
      </c>
      <c r="V198" s="595">
        <v>0</v>
      </c>
      <c r="W198" s="611">
        <v>0</v>
      </c>
      <c r="X198" s="706"/>
      <c r="Y198" s="706"/>
      <c r="Z198" s="706"/>
      <c r="AA198" s="706"/>
      <c r="AB198" s="706"/>
      <c r="AC198" s="706"/>
      <c r="AD198" s="706"/>
      <c r="AE198" s="703">
        <v>0</v>
      </c>
      <c r="AF198" s="704">
        <v>0</v>
      </c>
      <c r="AG198" s="705">
        <v>0</v>
      </c>
      <c r="AH198" s="706">
        <v>0</v>
      </c>
      <c r="AI198" s="705">
        <v>0</v>
      </c>
      <c r="AJ198" s="703">
        <v>0</v>
      </c>
      <c r="AK198" s="705">
        <v>0</v>
      </c>
      <c r="AL198" s="707">
        <v>0</v>
      </c>
      <c r="AM198" s="703">
        <v>0</v>
      </c>
      <c r="AN198" s="703">
        <v>0</v>
      </c>
      <c r="AO198" s="707">
        <v>0</v>
      </c>
      <c r="AP198" s="708">
        <v>0</v>
      </c>
      <c r="AQ198" s="705">
        <v>0</v>
      </c>
      <c r="AR198" s="703">
        <v>0</v>
      </c>
      <c r="AS198" s="705">
        <v>0</v>
      </c>
      <c r="AT198" s="709">
        <v>0</v>
      </c>
      <c r="AU198" s="703">
        <v>0</v>
      </c>
      <c r="AV198" s="705">
        <v>0</v>
      </c>
      <c r="AW198" s="710">
        <v>0</v>
      </c>
      <c r="AX198" s="711">
        <v>0</v>
      </c>
      <c r="AY198" s="710">
        <v>0</v>
      </c>
      <c r="AZ198" s="711">
        <v>0</v>
      </c>
      <c r="BA198" s="710">
        <v>0</v>
      </c>
      <c r="BB198" s="711">
        <v>0</v>
      </c>
      <c r="BC198" s="712">
        <v>0</v>
      </c>
      <c r="BD198" s="713">
        <v>0</v>
      </c>
      <c r="BE198" s="710">
        <v>0</v>
      </c>
      <c r="BF198" s="711">
        <v>0</v>
      </c>
      <c r="BG198" s="712">
        <v>0</v>
      </c>
      <c r="BH198" s="711">
        <v>0</v>
      </c>
      <c r="BI198" s="712">
        <v>0</v>
      </c>
      <c r="BJ198" s="711">
        <v>0</v>
      </c>
      <c r="BK198" s="712">
        <v>0</v>
      </c>
      <c r="BL198" s="711">
        <v>0</v>
      </c>
      <c r="BM198" s="712">
        <v>0</v>
      </c>
      <c r="BN198" s="711">
        <v>0</v>
      </c>
      <c r="BO198" s="712">
        <v>0</v>
      </c>
      <c r="BP198" s="711">
        <v>0</v>
      </c>
      <c r="BQ198" s="712">
        <v>0</v>
      </c>
      <c r="BR198" s="711">
        <v>0</v>
      </c>
      <c r="BS198" s="712">
        <v>0</v>
      </c>
      <c r="BT198" s="711">
        <v>0</v>
      </c>
      <c r="BU198" s="712">
        <v>0</v>
      </c>
      <c r="BV198" s="711">
        <v>0</v>
      </c>
      <c r="BW198" s="712">
        <v>0</v>
      </c>
      <c r="BX198" s="711">
        <v>0</v>
      </c>
      <c r="BY198" s="712">
        <v>0</v>
      </c>
      <c r="BZ198" s="711">
        <v>0</v>
      </c>
      <c r="CA198" s="712">
        <v>0</v>
      </c>
      <c r="CB198" s="711">
        <v>0</v>
      </c>
      <c r="CC198" s="710">
        <v>0</v>
      </c>
      <c r="CD198" s="713">
        <v>0</v>
      </c>
      <c r="CE198" s="710">
        <v>0</v>
      </c>
      <c r="CF198" s="713">
        <v>0</v>
      </c>
      <c r="CG198" s="710">
        <v>0</v>
      </c>
      <c r="CH198" s="713">
        <v>0</v>
      </c>
      <c r="CI198" s="710">
        <v>0</v>
      </c>
      <c r="CJ198" s="713">
        <v>0</v>
      </c>
      <c r="CK198" s="710">
        <v>0</v>
      </c>
      <c r="CL198" s="713">
        <v>0</v>
      </c>
      <c r="CM198" s="710">
        <v>0</v>
      </c>
      <c r="CN198" s="713">
        <v>0</v>
      </c>
      <c r="CO198" s="710">
        <v>0</v>
      </c>
      <c r="CP198" s="713">
        <v>0</v>
      </c>
      <c r="CQ198" s="710">
        <v>0</v>
      </c>
      <c r="CR198" s="711">
        <v>0</v>
      </c>
      <c r="CS198" s="710">
        <v>0</v>
      </c>
      <c r="CT198" s="711">
        <v>0</v>
      </c>
      <c r="CU198" s="712">
        <v>0</v>
      </c>
      <c r="CV198" s="711">
        <v>0</v>
      </c>
    </row>
    <row r="199" spans="1:100">
      <c r="A199" s="467">
        <v>197</v>
      </c>
      <c r="B199" s="595">
        <v>0</v>
      </c>
      <c r="C199" s="595">
        <v>0</v>
      </c>
      <c r="D199" s="595">
        <v>0</v>
      </c>
      <c r="E199" s="595">
        <v>0</v>
      </c>
      <c r="F199" s="595">
        <v>0</v>
      </c>
      <c r="G199" s="595">
        <v>0</v>
      </c>
      <c r="H199" s="595">
        <v>0</v>
      </c>
      <c r="I199" s="595">
        <v>0</v>
      </c>
      <c r="J199" s="595">
        <v>0</v>
      </c>
      <c r="K199" s="595">
        <v>0</v>
      </c>
      <c r="L199" s="595">
        <v>0</v>
      </c>
      <c r="M199" s="595">
        <v>0</v>
      </c>
      <c r="N199" s="595">
        <v>0</v>
      </c>
      <c r="O199" s="595">
        <v>0</v>
      </c>
      <c r="P199" s="595">
        <v>0</v>
      </c>
      <c r="Q199" s="595">
        <v>0</v>
      </c>
      <c r="R199" s="595">
        <v>0</v>
      </c>
      <c r="S199" s="595">
        <v>0</v>
      </c>
      <c r="T199" s="595">
        <v>0</v>
      </c>
      <c r="U199" s="595">
        <v>0</v>
      </c>
      <c r="V199" s="595">
        <v>0</v>
      </c>
      <c r="W199" s="611">
        <v>0</v>
      </c>
      <c r="X199" s="706"/>
      <c r="Y199" s="706"/>
      <c r="Z199" s="706"/>
      <c r="AA199" s="706"/>
      <c r="AB199" s="706"/>
      <c r="AC199" s="706"/>
      <c r="AD199" s="706"/>
      <c r="AE199" s="703">
        <v>0</v>
      </c>
      <c r="AF199" s="704">
        <v>0</v>
      </c>
      <c r="AG199" s="705">
        <v>0</v>
      </c>
      <c r="AH199" s="706">
        <v>0</v>
      </c>
      <c r="AI199" s="705">
        <v>0</v>
      </c>
      <c r="AJ199" s="703">
        <v>0</v>
      </c>
      <c r="AK199" s="705">
        <v>0</v>
      </c>
      <c r="AL199" s="707">
        <v>0</v>
      </c>
      <c r="AM199" s="703">
        <v>0</v>
      </c>
      <c r="AN199" s="703">
        <v>0</v>
      </c>
      <c r="AO199" s="707">
        <v>0</v>
      </c>
      <c r="AP199" s="708">
        <v>0</v>
      </c>
      <c r="AQ199" s="705">
        <v>0</v>
      </c>
      <c r="AR199" s="703">
        <v>0</v>
      </c>
      <c r="AS199" s="705">
        <v>0</v>
      </c>
      <c r="AT199" s="709">
        <v>0</v>
      </c>
      <c r="AU199" s="703">
        <v>0</v>
      </c>
      <c r="AV199" s="705">
        <v>0</v>
      </c>
      <c r="AW199" s="710">
        <v>0</v>
      </c>
      <c r="AX199" s="711">
        <v>0</v>
      </c>
      <c r="AY199" s="710">
        <v>0</v>
      </c>
      <c r="AZ199" s="711">
        <v>0</v>
      </c>
      <c r="BA199" s="710">
        <v>0</v>
      </c>
      <c r="BB199" s="711">
        <v>0</v>
      </c>
      <c r="BC199" s="712">
        <v>0</v>
      </c>
      <c r="BD199" s="713">
        <v>0</v>
      </c>
      <c r="BE199" s="710">
        <v>0</v>
      </c>
      <c r="BF199" s="711">
        <v>0</v>
      </c>
      <c r="BG199" s="712">
        <v>0</v>
      </c>
      <c r="BH199" s="711">
        <v>0</v>
      </c>
      <c r="BI199" s="712">
        <v>0</v>
      </c>
      <c r="BJ199" s="711">
        <v>0</v>
      </c>
      <c r="BK199" s="712">
        <v>0</v>
      </c>
      <c r="BL199" s="711">
        <v>0</v>
      </c>
      <c r="BM199" s="712">
        <v>0</v>
      </c>
      <c r="BN199" s="711">
        <v>0</v>
      </c>
      <c r="BO199" s="712">
        <v>0</v>
      </c>
      <c r="BP199" s="711">
        <v>0</v>
      </c>
      <c r="BQ199" s="712">
        <v>0</v>
      </c>
      <c r="BR199" s="711">
        <v>0</v>
      </c>
      <c r="BS199" s="712">
        <v>0</v>
      </c>
      <c r="BT199" s="711">
        <v>0</v>
      </c>
      <c r="BU199" s="712">
        <v>0</v>
      </c>
      <c r="BV199" s="711">
        <v>0</v>
      </c>
      <c r="BW199" s="712">
        <v>0</v>
      </c>
      <c r="BX199" s="711">
        <v>0</v>
      </c>
      <c r="BY199" s="712">
        <v>0</v>
      </c>
      <c r="BZ199" s="711">
        <v>0</v>
      </c>
      <c r="CA199" s="712">
        <v>0</v>
      </c>
      <c r="CB199" s="711">
        <v>0</v>
      </c>
      <c r="CC199" s="710">
        <v>0</v>
      </c>
      <c r="CD199" s="713">
        <v>0</v>
      </c>
      <c r="CE199" s="710">
        <v>0</v>
      </c>
      <c r="CF199" s="713">
        <v>0</v>
      </c>
      <c r="CG199" s="710">
        <v>0</v>
      </c>
      <c r="CH199" s="713">
        <v>0</v>
      </c>
      <c r="CI199" s="710">
        <v>0</v>
      </c>
      <c r="CJ199" s="713">
        <v>0</v>
      </c>
      <c r="CK199" s="710">
        <v>0</v>
      </c>
      <c r="CL199" s="713">
        <v>0</v>
      </c>
      <c r="CM199" s="710">
        <v>0</v>
      </c>
      <c r="CN199" s="713">
        <v>0</v>
      </c>
      <c r="CO199" s="710">
        <v>0</v>
      </c>
      <c r="CP199" s="713">
        <v>0</v>
      </c>
      <c r="CQ199" s="710">
        <v>0</v>
      </c>
      <c r="CR199" s="711">
        <v>0</v>
      </c>
      <c r="CS199" s="710">
        <v>0</v>
      </c>
      <c r="CT199" s="711">
        <v>0</v>
      </c>
      <c r="CU199" s="712">
        <v>0</v>
      </c>
      <c r="CV199" s="711">
        <v>0</v>
      </c>
    </row>
    <row r="200" spans="1:100">
      <c r="A200" s="467">
        <v>198</v>
      </c>
      <c r="B200" s="595">
        <v>0</v>
      </c>
      <c r="C200" s="595">
        <v>0</v>
      </c>
      <c r="D200" s="595">
        <v>0</v>
      </c>
      <c r="E200" s="595">
        <v>0</v>
      </c>
      <c r="F200" s="595">
        <v>0</v>
      </c>
      <c r="G200" s="595">
        <v>0</v>
      </c>
      <c r="H200" s="595">
        <v>0</v>
      </c>
      <c r="I200" s="595">
        <v>0</v>
      </c>
      <c r="J200" s="595">
        <v>0</v>
      </c>
      <c r="K200" s="595">
        <v>0</v>
      </c>
      <c r="L200" s="595">
        <v>0</v>
      </c>
      <c r="M200" s="595">
        <v>0</v>
      </c>
      <c r="N200" s="595">
        <v>0</v>
      </c>
      <c r="O200" s="595">
        <v>0</v>
      </c>
      <c r="P200" s="595">
        <v>0</v>
      </c>
      <c r="Q200" s="595">
        <v>0</v>
      </c>
      <c r="R200" s="595">
        <v>0</v>
      </c>
      <c r="S200" s="595">
        <v>0</v>
      </c>
      <c r="T200" s="595">
        <v>0</v>
      </c>
      <c r="U200" s="595">
        <v>0</v>
      </c>
      <c r="V200" s="595">
        <v>0</v>
      </c>
      <c r="W200" s="611">
        <v>0</v>
      </c>
      <c r="X200" s="706"/>
      <c r="Y200" s="706"/>
      <c r="Z200" s="706"/>
      <c r="AA200" s="706"/>
      <c r="AB200" s="706"/>
      <c r="AC200" s="706"/>
      <c r="AD200" s="706"/>
      <c r="AE200" s="703">
        <v>0</v>
      </c>
      <c r="AF200" s="704">
        <v>0</v>
      </c>
      <c r="AG200" s="705">
        <v>0</v>
      </c>
      <c r="AH200" s="706">
        <v>0</v>
      </c>
      <c r="AI200" s="705">
        <v>0</v>
      </c>
      <c r="AJ200" s="703">
        <v>0</v>
      </c>
      <c r="AK200" s="705">
        <v>0</v>
      </c>
      <c r="AL200" s="707">
        <v>0</v>
      </c>
      <c r="AM200" s="703">
        <v>0</v>
      </c>
      <c r="AN200" s="703">
        <v>0</v>
      </c>
      <c r="AO200" s="707">
        <v>0</v>
      </c>
      <c r="AP200" s="708">
        <v>0</v>
      </c>
      <c r="AQ200" s="705">
        <v>0</v>
      </c>
      <c r="AR200" s="703">
        <v>0</v>
      </c>
      <c r="AS200" s="705">
        <v>0</v>
      </c>
      <c r="AT200" s="709">
        <v>0</v>
      </c>
      <c r="AU200" s="703">
        <v>0</v>
      </c>
      <c r="AV200" s="705">
        <v>0</v>
      </c>
      <c r="AW200" s="710">
        <v>0</v>
      </c>
      <c r="AX200" s="711">
        <v>0</v>
      </c>
      <c r="AY200" s="710">
        <v>0</v>
      </c>
      <c r="AZ200" s="711">
        <v>0</v>
      </c>
      <c r="BA200" s="710">
        <v>0</v>
      </c>
      <c r="BB200" s="711">
        <v>0</v>
      </c>
      <c r="BC200" s="712">
        <v>0</v>
      </c>
      <c r="BD200" s="713">
        <v>0</v>
      </c>
      <c r="BE200" s="710">
        <v>0</v>
      </c>
      <c r="BF200" s="711">
        <v>0</v>
      </c>
      <c r="BG200" s="712">
        <v>0</v>
      </c>
      <c r="BH200" s="711">
        <v>0</v>
      </c>
      <c r="BI200" s="712">
        <v>0</v>
      </c>
      <c r="BJ200" s="711">
        <v>0</v>
      </c>
      <c r="BK200" s="712">
        <v>0</v>
      </c>
      <c r="BL200" s="711">
        <v>0</v>
      </c>
      <c r="BM200" s="712">
        <v>0</v>
      </c>
      <c r="BN200" s="711">
        <v>0</v>
      </c>
      <c r="BO200" s="712">
        <v>0</v>
      </c>
      <c r="BP200" s="711">
        <v>0</v>
      </c>
      <c r="BQ200" s="712">
        <v>0</v>
      </c>
      <c r="BR200" s="711">
        <v>0</v>
      </c>
      <c r="BS200" s="712">
        <v>0</v>
      </c>
      <c r="BT200" s="711">
        <v>0</v>
      </c>
      <c r="BU200" s="712">
        <v>0</v>
      </c>
      <c r="BV200" s="711">
        <v>0</v>
      </c>
      <c r="BW200" s="712">
        <v>0</v>
      </c>
      <c r="BX200" s="711">
        <v>0</v>
      </c>
      <c r="BY200" s="712">
        <v>0</v>
      </c>
      <c r="BZ200" s="711">
        <v>0</v>
      </c>
      <c r="CA200" s="712">
        <v>0</v>
      </c>
      <c r="CB200" s="711">
        <v>0</v>
      </c>
      <c r="CC200" s="710">
        <v>0</v>
      </c>
      <c r="CD200" s="713">
        <v>0</v>
      </c>
      <c r="CE200" s="710">
        <v>0</v>
      </c>
      <c r="CF200" s="713">
        <v>0</v>
      </c>
      <c r="CG200" s="710">
        <v>0</v>
      </c>
      <c r="CH200" s="713">
        <v>0</v>
      </c>
      <c r="CI200" s="710">
        <v>0</v>
      </c>
      <c r="CJ200" s="713">
        <v>0</v>
      </c>
      <c r="CK200" s="710">
        <v>0</v>
      </c>
      <c r="CL200" s="713">
        <v>0</v>
      </c>
      <c r="CM200" s="710">
        <v>0</v>
      </c>
      <c r="CN200" s="713">
        <v>0</v>
      </c>
      <c r="CO200" s="710">
        <v>0</v>
      </c>
      <c r="CP200" s="713">
        <v>0</v>
      </c>
      <c r="CQ200" s="710">
        <v>0</v>
      </c>
      <c r="CR200" s="711">
        <v>0</v>
      </c>
      <c r="CS200" s="710">
        <v>0</v>
      </c>
      <c r="CT200" s="711">
        <v>0</v>
      </c>
      <c r="CU200" s="712">
        <v>0</v>
      </c>
      <c r="CV200" s="711">
        <v>0</v>
      </c>
    </row>
    <row r="201" spans="1:100" ht="15.75" thickBot="1">
      <c r="A201" s="467">
        <v>199</v>
      </c>
      <c r="B201" s="595">
        <v>0</v>
      </c>
      <c r="C201" s="595">
        <v>0</v>
      </c>
      <c r="D201" s="595">
        <v>0</v>
      </c>
      <c r="E201" s="595">
        <v>0</v>
      </c>
      <c r="F201" s="595">
        <v>0</v>
      </c>
      <c r="G201" s="595">
        <v>0</v>
      </c>
      <c r="H201" s="595">
        <v>0</v>
      </c>
      <c r="I201" s="595">
        <v>0</v>
      </c>
      <c r="J201" s="595">
        <v>0</v>
      </c>
      <c r="K201" s="595">
        <v>0</v>
      </c>
      <c r="L201" s="595">
        <v>0</v>
      </c>
      <c r="M201" s="595">
        <v>0</v>
      </c>
      <c r="N201" s="595">
        <v>0</v>
      </c>
      <c r="O201" s="595">
        <v>0</v>
      </c>
      <c r="P201" s="595">
        <v>0</v>
      </c>
      <c r="Q201" s="595">
        <v>0</v>
      </c>
      <c r="R201" s="595">
        <v>0</v>
      </c>
      <c r="S201" s="595">
        <v>0</v>
      </c>
      <c r="T201" s="595">
        <v>0</v>
      </c>
      <c r="U201" s="595">
        <v>0</v>
      </c>
      <c r="V201" s="595">
        <v>0</v>
      </c>
      <c r="W201" s="611">
        <v>0</v>
      </c>
      <c r="X201" s="717"/>
      <c r="Y201" s="717"/>
      <c r="Z201" s="717"/>
      <c r="AA201" s="717"/>
      <c r="AB201" s="717"/>
      <c r="AC201" s="717"/>
      <c r="AD201" s="717"/>
      <c r="AE201" s="714">
        <v>0</v>
      </c>
      <c r="AF201" s="715">
        <v>0</v>
      </c>
      <c r="AG201" s="716">
        <v>0</v>
      </c>
      <c r="AH201" s="717">
        <v>0</v>
      </c>
      <c r="AI201" s="716">
        <v>0</v>
      </c>
      <c r="AJ201" s="714">
        <v>0</v>
      </c>
      <c r="AK201" s="716">
        <v>0</v>
      </c>
      <c r="AL201" s="718">
        <v>0</v>
      </c>
      <c r="AM201" s="714">
        <v>0</v>
      </c>
      <c r="AN201" s="714">
        <v>0</v>
      </c>
      <c r="AO201" s="718">
        <v>0</v>
      </c>
      <c r="AP201" s="719">
        <v>0</v>
      </c>
      <c r="AQ201" s="705">
        <v>0</v>
      </c>
      <c r="AR201" s="714">
        <v>0</v>
      </c>
      <c r="AS201" s="716">
        <v>0</v>
      </c>
      <c r="AT201" s="720">
        <v>0</v>
      </c>
      <c r="AU201" s="714">
        <v>0</v>
      </c>
      <c r="AV201" s="716">
        <v>0</v>
      </c>
      <c r="AW201" s="721">
        <v>0</v>
      </c>
      <c r="AX201" s="722">
        <v>0</v>
      </c>
      <c r="AY201" s="721">
        <v>0</v>
      </c>
      <c r="AZ201" s="722">
        <v>0</v>
      </c>
      <c r="BA201" s="721">
        <v>0</v>
      </c>
      <c r="BB201" s="722">
        <v>0</v>
      </c>
      <c r="BC201" s="723">
        <v>0</v>
      </c>
      <c r="BD201" s="724">
        <v>0</v>
      </c>
      <c r="BE201" s="721">
        <v>0</v>
      </c>
      <c r="BF201" s="722">
        <v>0</v>
      </c>
      <c r="BG201" s="723">
        <v>0</v>
      </c>
      <c r="BH201" s="722">
        <v>0</v>
      </c>
      <c r="BI201" s="723">
        <v>0</v>
      </c>
      <c r="BJ201" s="722">
        <v>0</v>
      </c>
      <c r="BK201" s="723">
        <v>0</v>
      </c>
      <c r="BL201" s="722">
        <v>0</v>
      </c>
      <c r="BM201" s="723">
        <v>0</v>
      </c>
      <c r="BN201" s="722">
        <v>0</v>
      </c>
      <c r="BO201" s="723">
        <v>0</v>
      </c>
      <c r="BP201" s="722">
        <v>0</v>
      </c>
      <c r="BQ201" s="723">
        <v>0</v>
      </c>
      <c r="BR201" s="722">
        <v>0</v>
      </c>
      <c r="BS201" s="723">
        <v>0</v>
      </c>
      <c r="BT201" s="722">
        <v>0</v>
      </c>
      <c r="BU201" s="723">
        <v>0</v>
      </c>
      <c r="BV201" s="722">
        <v>0</v>
      </c>
      <c r="BW201" s="723">
        <v>0</v>
      </c>
      <c r="BX201" s="722">
        <v>0</v>
      </c>
      <c r="BY201" s="723">
        <v>0</v>
      </c>
      <c r="BZ201" s="722">
        <v>0</v>
      </c>
      <c r="CA201" s="723">
        <v>0</v>
      </c>
      <c r="CB201" s="722">
        <v>0</v>
      </c>
      <c r="CC201" s="721">
        <v>0</v>
      </c>
      <c r="CD201" s="724">
        <v>0</v>
      </c>
      <c r="CE201" s="721">
        <v>0</v>
      </c>
      <c r="CF201" s="724">
        <v>0</v>
      </c>
      <c r="CG201" s="721">
        <v>0</v>
      </c>
      <c r="CH201" s="724">
        <v>0</v>
      </c>
      <c r="CI201" s="721">
        <v>0</v>
      </c>
      <c r="CJ201" s="724">
        <v>0</v>
      </c>
      <c r="CK201" s="721">
        <v>0</v>
      </c>
      <c r="CL201" s="724">
        <v>0</v>
      </c>
      <c r="CM201" s="721">
        <v>0</v>
      </c>
      <c r="CN201" s="724">
        <v>0</v>
      </c>
      <c r="CO201" s="721">
        <v>0</v>
      </c>
      <c r="CP201" s="724">
        <v>0</v>
      </c>
      <c r="CQ201" s="721">
        <v>0</v>
      </c>
      <c r="CR201" s="722">
        <v>0</v>
      </c>
      <c r="CS201" s="721">
        <v>0</v>
      </c>
      <c r="CT201" s="722">
        <v>0</v>
      </c>
      <c r="CU201" s="723">
        <v>0</v>
      </c>
      <c r="CV201" s="722">
        <v>0</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2BB4-67D9-4051-BA87-FD201D2882C8}">
  <sheetPr>
    <tabColor theme="3"/>
  </sheetPr>
  <dimension ref="A1:H208"/>
  <sheetViews>
    <sheetView topLeftCell="A57" zoomScale="70" zoomScaleNormal="70" workbookViewId="0">
      <selection activeCell="A98" sqref="A98"/>
    </sheetView>
  </sheetViews>
  <sheetFormatPr defaultRowHeight="15"/>
  <cols>
    <col min="1" max="2" width="80.7109375" style="16" customWidth="1"/>
    <col min="3" max="3" width="30.7109375" customWidth="1"/>
    <col min="4" max="4" width="39.140625" style="16" customWidth="1"/>
    <col min="5" max="5" width="56.7109375" customWidth="1"/>
    <col min="6" max="6" width="38.85546875" bestFit="1" customWidth="1"/>
    <col min="7" max="7" width="48.7109375" bestFit="1" customWidth="1"/>
    <col min="8" max="8" width="32.5703125" bestFit="1" customWidth="1"/>
  </cols>
  <sheetData>
    <row r="1" spans="1:8" s="8" customFormat="1" ht="30" customHeight="1">
      <c r="A1" s="464" t="s">
        <v>1331</v>
      </c>
      <c r="B1" s="613" t="s">
        <v>1332</v>
      </c>
      <c r="C1" s="614" t="s">
        <v>1333</v>
      </c>
      <c r="D1" s="612" t="s">
        <v>1334</v>
      </c>
      <c r="E1" s="646" t="s">
        <v>1335</v>
      </c>
      <c r="F1" s="646" t="s">
        <v>1336</v>
      </c>
      <c r="G1" s="643" t="s">
        <v>1337</v>
      </c>
      <c r="H1"/>
    </row>
    <row r="2" spans="1:8">
      <c r="A2" s="227" t="s">
        <v>138</v>
      </c>
      <c r="B2" s="615" t="s">
        <v>1160</v>
      </c>
      <c r="C2" s="227" t="b">
        <f>NOT(ISERROR(MATCH(B2, D:D, 0)))</f>
        <v>1</v>
      </c>
      <c r="D2" s="465" t="str">
        <f>Lifetimes!B1</f>
        <v>AgriculturalFilmsIU</v>
      </c>
      <c r="E2" s="647" t="str" cm="1">
        <f t="array" ref="E2:E96">_xlfn._xlws.FILTER(Compartments!A2:A241, Compartments!B2:B241="stock")</f>
        <v>Agricultural packaging bottles</v>
      </c>
      <c r="F2" s="227" t="str" cm="1">
        <f t="array" ref="F2:F96">_xlfn._xlws.FILTER(Compartments!C2:C241, Compartments!B2:B241="stock")</f>
        <v>AgriculturalPackagingBottles</v>
      </c>
      <c r="G2" s="227" t="b">
        <f>NOT(ISERROR(MATCH(E2, A:A, 0)))</f>
        <v>1</v>
      </c>
      <c r="H2" s="642"/>
    </row>
    <row r="3" spans="1:8">
      <c r="A3" s="227" t="s">
        <v>447</v>
      </c>
      <c r="B3" s="615" t="s">
        <v>1312</v>
      </c>
      <c r="C3" s="227" t="b">
        <f t="shared" ref="C3:C33" si="0">NOT(ISERROR(MATCH(B3, D:D, 0)))</f>
        <v>1</v>
      </c>
      <c r="D3" s="465" t="str">
        <f>Lifetimes!C1</f>
        <v>AgriculturalFilmsDis</v>
      </c>
      <c r="E3" s="227" t="str">
        <v>Agricultural packaging films</v>
      </c>
      <c r="F3" s="227" t="str">
        <v>AgriculturalPackagingFilms</v>
      </c>
      <c r="G3" s="227" t="b">
        <f t="shared" ref="G3:G66" si="1">NOT(ISERROR(MATCH(E3, A:A, 0)))</f>
        <v>1</v>
      </c>
      <c r="H3" s="642"/>
    </row>
    <row r="4" spans="1:8">
      <c r="A4" s="227" t="s">
        <v>449</v>
      </c>
      <c r="B4" s="615" t="s">
        <v>1314</v>
      </c>
      <c r="C4" s="227" t="b">
        <f t="shared" si="0"/>
        <v>1</v>
      </c>
      <c r="D4" s="465" t="str">
        <f>Lifetimes!D1</f>
        <v>AgriculturalPackagingBottles</v>
      </c>
      <c r="E4" s="227" t="str">
        <v>Agricultural pipes (in use)</v>
      </c>
      <c r="F4" s="227" t="str">
        <v>AgriculturalPipesIU</v>
      </c>
      <c r="G4" s="227" t="b">
        <f t="shared" si="1"/>
        <v>1</v>
      </c>
      <c r="H4" s="642"/>
    </row>
    <row r="5" spans="1:8">
      <c r="A5" s="227" t="s">
        <v>448</v>
      </c>
      <c r="B5" s="615" t="s">
        <v>1311</v>
      </c>
      <c r="C5" s="227" t="b">
        <f t="shared" si="0"/>
        <v>1</v>
      </c>
      <c r="D5" s="465" t="str">
        <f>Lifetimes!E1</f>
        <v>AgriculturalPackagingFilms</v>
      </c>
      <c r="E5" s="227" t="str">
        <v>Agricultural greenhouse films (in use)</v>
      </c>
      <c r="F5" s="227" t="str">
        <v>AgriculturalFilmsIU</v>
      </c>
      <c r="G5" s="227" t="b">
        <f t="shared" si="1"/>
        <v>1</v>
      </c>
      <c r="H5" s="642"/>
    </row>
    <row r="6" spans="1:8">
      <c r="A6" s="227" t="s">
        <v>450</v>
      </c>
      <c r="B6" s="615" t="s">
        <v>1313</v>
      </c>
      <c r="C6" s="227" t="b">
        <f t="shared" si="0"/>
        <v>1</v>
      </c>
      <c r="D6" s="465" t="str">
        <f>Lifetimes!F1</f>
        <v>AgriculturalPipesIU</v>
      </c>
      <c r="E6" s="227" t="str">
        <v>Agricultural pipes (discarded)</v>
      </c>
      <c r="F6" s="227" t="str">
        <v>AgriculturalPipesDis</v>
      </c>
      <c r="G6" s="227" t="b">
        <f t="shared" si="1"/>
        <v>1</v>
      </c>
      <c r="H6" s="642"/>
    </row>
    <row r="7" spans="1:8">
      <c r="A7" s="227" t="s">
        <v>455</v>
      </c>
      <c r="B7" s="615" t="s">
        <v>1282</v>
      </c>
      <c r="C7" s="227" t="b">
        <f t="shared" si="0"/>
        <v>1</v>
      </c>
      <c r="D7" s="465" t="str">
        <f>Lifetimes!G1</f>
        <v>AgriculturalPipesDis</v>
      </c>
      <c r="E7" s="227" t="str">
        <v>Agricultural greenhouse films (discarded)</v>
      </c>
      <c r="F7" s="227" t="str">
        <v>AgriculturalFilmsDis</v>
      </c>
      <c r="G7" s="227" t="b">
        <f t="shared" si="1"/>
        <v>1</v>
      </c>
      <c r="H7" s="642"/>
    </row>
    <row r="8" spans="1:8">
      <c r="A8" s="227" t="s">
        <v>456</v>
      </c>
      <c r="B8" s="615" t="s">
        <v>1280</v>
      </c>
      <c r="C8" s="227" t="b">
        <f t="shared" si="0"/>
        <v>1</v>
      </c>
      <c r="D8" s="465" t="str">
        <f>Lifetimes!H1</f>
        <v>AgriculturalPPP</v>
      </c>
      <c r="E8" s="227" t="str">
        <v>Agrotextiles (discarded)</v>
      </c>
      <c r="F8" s="227" t="str">
        <v>AgrotextilesDis</v>
      </c>
      <c r="G8" s="227" t="b">
        <f t="shared" si="1"/>
        <v>1</v>
      </c>
      <c r="H8" s="642"/>
    </row>
    <row r="9" spans="1:8">
      <c r="A9" s="227" t="s">
        <v>454</v>
      </c>
      <c r="B9" s="615" t="s">
        <v>1281</v>
      </c>
      <c r="C9" s="227" t="b">
        <f t="shared" si="0"/>
        <v>1</v>
      </c>
      <c r="D9" s="465" t="str">
        <f>Lifetimes!I1</f>
        <v>BuildingPackagingFilms</v>
      </c>
      <c r="E9" s="227" t="str">
        <v>Agrotextiles (in use)</v>
      </c>
      <c r="F9" s="227" t="str">
        <v>AgrotextilesIU</v>
      </c>
      <c r="G9" s="227" t="b">
        <f t="shared" si="1"/>
        <v>1</v>
      </c>
      <c r="H9" s="642"/>
    </row>
    <row r="10" spans="1:8">
      <c r="A10" s="227" t="s">
        <v>451</v>
      </c>
      <c r="B10" s="615" t="s">
        <v>1279</v>
      </c>
      <c r="C10" s="227" t="b">
        <f t="shared" si="0"/>
        <v>1</v>
      </c>
      <c r="D10" s="465" t="str">
        <f>Lifetimes!J1</f>
        <v>ConsumerBags</v>
      </c>
      <c r="E10" s="227" t="str">
        <v>Building textiles (discarded)</v>
      </c>
      <c r="F10" s="227" t="str">
        <v>BuildingTextilesDis</v>
      </c>
      <c r="G10" s="227" t="b">
        <f t="shared" si="1"/>
        <v>1</v>
      </c>
      <c r="H10" s="642"/>
    </row>
    <row r="11" spans="1:8">
      <c r="A11" s="227" t="s">
        <v>459</v>
      </c>
      <c r="B11" s="615" t="s">
        <v>1290</v>
      </c>
      <c r="C11" s="227" t="b">
        <f t="shared" si="0"/>
        <v>1</v>
      </c>
      <c r="D11" s="465" t="str">
        <f>Lifetimes!K1</f>
        <v>ConsumerBottles</v>
      </c>
      <c r="E11" s="227" t="str">
        <v>Building textiles (in use)</v>
      </c>
      <c r="F11" s="227" t="str">
        <v>BuildingTextilesIU</v>
      </c>
      <c r="G11" s="227" t="b">
        <f t="shared" si="1"/>
        <v>1</v>
      </c>
      <c r="H11" s="642"/>
    </row>
    <row r="12" spans="1:8">
      <c r="A12" s="227" t="s">
        <v>461</v>
      </c>
      <c r="B12" s="615" t="s">
        <v>1288</v>
      </c>
      <c r="C12" s="227" t="b">
        <f t="shared" si="0"/>
        <v>1</v>
      </c>
      <c r="D12" s="465" t="str">
        <f>Lifetimes!L1</f>
        <v>ConsumerFilms</v>
      </c>
      <c r="E12" s="227" t="str">
        <v>Geotextiles (discarded)</v>
      </c>
      <c r="F12" s="227" t="str">
        <v>GeotextilesDis</v>
      </c>
      <c r="G12" s="227" t="b">
        <f t="shared" si="1"/>
        <v>1</v>
      </c>
      <c r="H12" s="642"/>
    </row>
    <row r="13" spans="1:8">
      <c r="A13" s="227" t="s">
        <v>460</v>
      </c>
      <c r="B13" s="615" t="s">
        <v>1289</v>
      </c>
      <c r="C13" s="227" t="b">
        <f t="shared" si="0"/>
        <v>1</v>
      </c>
      <c r="D13" s="465" t="str">
        <f>Lifetimes!M1</f>
        <v>ConsumerOther</v>
      </c>
      <c r="E13" s="227" t="str">
        <v>Geotextiles (in use)</v>
      </c>
      <c r="F13" s="227" t="str">
        <v>GeotextilesIU</v>
      </c>
      <c r="G13" s="227" t="b">
        <f t="shared" si="1"/>
        <v>1</v>
      </c>
    </row>
    <row r="14" spans="1:8">
      <c r="A14" s="227" t="s">
        <v>462</v>
      </c>
      <c r="B14" s="615" t="s">
        <v>1287</v>
      </c>
      <c r="C14" s="227" t="b">
        <f t="shared" si="0"/>
        <v>1</v>
      </c>
      <c r="D14" s="465" t="str">
        <f>Lifetimes!N1</f>
        <v>Cosmetics</v>
      </c>
      <c r="E14" s="227" t="str">
        <v>Consumer bags</v>
      </c>
      <c r="F14" s="227" t="str">
        <v>ConsumerBags</v>
      </c>
      <c r="G14" s="227" t="b">
        <f t="shared" si="1"/>
        <v>1</v>
      </c>
    </row>
    <row r="15" spans="1:8">
      <c r="A15" s="227" t="s">
        <v>466</v>
      </c>
      <c r="B15" s="615" t="s">
        <v>1330</v>
      </c>
      <c r="C15" s="227" t="b">
        <f t="shared" si="0"/>
        <v>1</v>
      </c>
      <c r="D15" s="465" t="str">
        <f>Lifetimes!O1</f>
        <v>Household</v>
      </c>
      <c r="E15" s="227" t="str">
        <v>Consumer bottles</v>
      </c>
      <c r="F15" s="227" t="str">
        <v>ConsumerBottles</v>
      </c>
      <c r="G15" s="227" t="b">
        <f t="shared" si="1"/>
        <v>1</v>
      </c>
    </row>
    <row r="16" spans="1:8">
      <c r="A16" s="227" t="s">
        <v>468</v>
      </c>
      <c r="B16" s="615" t="s">
        <v>1328</v>
      </c>
      <c r="C16" s="227" t="b">
        <f t="shared" si="0"/>
        <v>1</v>
      </c>
      <c r="D16" s="465" t="str">
        <f>Lifetimes!P1</f>
        <v>NonConsumerBags</v>
      </c>
      <c r="E16" s="227" t="str">
        <v>Consumer films</v>
      </c>
      <c r="F16" s="227" t="str">
        <v>ConsumerFilms</v>
      </c>
      <c r="G16" s="227" t="b">
        <f t="shared" si="1"/>
        <v>1</v>
      </c>
    </row>
    <row r="17" spans="1:7">
      <c r="A17" s="227" t="s">
        <v>467</v>
      </c>
      <c r="B17" s="615" t="s">
        <v>1329</v>
      </c>
      <c r="C17" s="227" t="b">
        <f t="shared" si="0"/>
        <v>1</v>
      </c>
      <c r="D17" s="465" t="str">
        <f>Lifetimes!Q1</f>
        <v>NonConsumerOther</v>
      </c>
      <c r="E17" s="227" t="str">
        <v>Other consumer packaging</v>
      </c>
      <c r="F17" s="227" t="str">
        <v>ConsumerOther</v>
      </c>
      <c r="G17" s="227" t="b">
        <f t="shared" si="1"/>
        <v>1</v>
      </c>
    </row>
    <row r="18" spans="1:7">
      <c r="A18" s="227" t="s">
        <v>469</v>
      </c>
      <c r="B18" s="615" t="s">
        <v>1327</v>
      </c>
      <c r="C18" s="227" t="b">
        <f t="shared" si="0"/>
        <v>1</v>
      </c>
      <c r="D18" s="465" t="str">
        <f>Lifetimes!R1</f>
        <v>OtherNonConsumerFilms</v>
      </c>
      <c r="E18" s="227" t="str">
        <v>Home textiles (discarded)</v>
      </c>
      <c r="F18" s="227" t="str">
        <v>HomeTextilesDis</v>
      </c>
      <c r="G18" s="227" t="b">
        <f t="shared" si="1"/>
        <v>1</v>
      </c>
    </row>
    <row r="19" spans="1:7">
      <c r="A19" s="227" t="s">
        <v>473</v>
      </c>
      <c r="B19" s="615" t="s">
        <v>1322</v>
      </c>
      <c r="C19" s="227" t="b">
        <f t="shared" si="0"/>
        <v>1</v>
      </c>
      <c r="D19" s="465" t="str">
        <f>Lifetimes!S1</f>
        <v>OtherOther</v>
      </c>
      <c r="E19" s="227" t="str">
        <v>Home textiles (in use)</v>
      </c>
      <c r="F19" s="227" t="str">
        <v>HomeTextilesIU</v>
      </c>
      <c r="G19" s="227" t="b">
        <f t="shared" si="1"/>
        <v>1</v>
      </c>
    </row>
    <row r="20" spans="1:7">
      <c r="A20" s="227" t="s">
        <v>475</v>
      </c>
      <c r="B20" s="615" t="s">
        <v>1320</v>
      </c>
      <c r="C20" s="227" t="b">
        <f t="shared" si="0"/>
        <v>1</v>
      </c>
      <c r="D20" s="465" t="str">
        <f>Lifetimes!T1</f>
        <v>PipesDucts</v>
      </c>
      <c r="E20" s="227" t="str">
        <v>Non-consumer bags</v>
      </c>
      <c r="F20" s="227" t="str">
        <v>NonConsumerBags</v>
      </c>
      <c r="G20" s="227" t="b">
        <f t="shared" si="1"/>
        <v>1</v>
      </c>
    </row>
    <row r="21" spans="1:7">
      <c r="A21" s="227" t="s">
        <v>474</v>
      </c>
      <c r="B21" s="615" t="s">
        <v>1321</v>
      </c>
      <c r="C21" s="227" t="b">
        <f t="shared" si="0"/>
        <v>1</v>
      </c>
      <c r="D21" s="465" t="str">
        <f>Lifetimes!U1</f>
        <v>OtherOilGas</v>
      </c>
      <c r="E21" s="227" t="str">
        <v>Other non-consumer films</v>
      </c>
      <c r="F21" s="227" t="str">
        <v>OtherNonConsumerFilms</v>
      </c>
      <c r="G21" s="227" t="b">
        <f t="shared" si="1"/>
        <v>1</v>
      </c>
    </row>
    <row r="22" spans="1:7">
      <c r="A22" s="227" t="s">
        <v>476</v>
      </c>
      <c r="B22" s="615" t="s">
        <v>1319</v>
      </c>
      <c r="C22" s="227" t="b">
        <f t="shared" si="0"/>
        <v>1</v>
      </c>
      <c r="D22" s="465" t="str">
        <f>Lifetimes!V1</f>
        <v>InfillSportsFieldDis</v>
      </c>
      <c r="E22" s="227" t="str">
        <v>Other non-consumer packaging</v>
      </c>
      <c r="F22" s="227" t="str">
        <v>NonConsumerOther</v>
      </c>
      <c r="G22" s="227" t="b">
        <f t="shared" si="1"/>
        <v>1</v>
      </c>
    </row>
    <row r="23" spans="1:7">
      <c r="A23" s="227" t="s">
        <v>481</v>
      </c>
      <c r="B23" s="615" t="s">
        <v>1310</v>
      </c>
      <c r="C23" s="227" t="b">
        <f t="shared" si="0"/>
        <v>1</v>
      </c>
      <c r="D23" s="465" t="str">
        <f>Lifetimes!W1</f>
        <v>InfillSportsFieldU</v>
      </c>
      <c r="E23" s="227" t="str">
        <v>Other technical textiles</v>
      </c>
      <c r="F23" s="227" t="str">
        <v>OtherTechnicalTextiles</v>
      </c>
      <c r="G23" s="227" t="b">
        <f t="shared" si="1"/>
        <v>1</v>
      </c>
    </row>
    <row r="24" spans="1:7">
      <c r="A24" s="227" t="s">
        <v>483</v>
      </c>
      <c r="B24" s="615" t="s">
        <v>1308</v>
      </c>
      <c r="C24" s="227" t="b">
        <f t="shared" si="0"/>
        <v>1</v>
      </c>
      <c r="D24" s="465" t="str">
        <f>Lifetimes!AE1</f>
        <v>ClothingDis</v>
      </c>
      <c r="E24" s="227" t="str">
        <v>Technical home textiles (discarded)</v>
      </c>
      <c r="F24" s="227" t="str">
        <v>TechHomeTextilesDis</v>
      </c>
      <c r="G24" s="227" t="b">
        <f t="shared" si="1"/>
        <v>1</v>
      </c>
    </row>
    <row r="25" spans="1:7">
      <c r="A25" s="227" t="s">
        <v>482</v>
      </c>
      <c r="B25" s="615" t="s">
        <v>1309</v>
      </c>
      <c r="C25" s="227" t="b">
        <f t="shared" si="0"/>
        <v>1</v>
      </c>
      <c r="D25" s="465" t="str">
        <f>Lifetimes!AF1</f>
        <v>ClothingIUWearTear</v>
      </c>
      <c r="E25" s="227" t="str">
        <v>Medical textiles</v>
      </c>
      <c r="F25" s="227" t="str">
        <v>MedicalTextiles</v>
      </c>
      <c r="G25" s="227" t="b">
        <f t="shared" si="1"/>
        <v>1</v>
      </c>
    </row>
    <row r="26" spans="1:7">
      <c r="A26" s="227" t="s">
        <v>484</v>
      </c>
      <c r="B26" s="615" t="s">
        <v>1307</v>
      </c>
      <c r="C26" s="227" t="b">
        <f t="shared" si="0"/>
        <v>1</v>
      </c>
      <c r="D26" s="465" t="str">
        <f>Lifetimes!AG1</f>
        <v>ClothingIUWashDry</v>
      </c>
      <c r="E26" s="227" t="str">
        <v>Mobility textiles</v>
      </c>
      <c r="F26" s="227" t="str">
        <v>MobilityTextiles</v>
      </c>
      <c r="G26" s="227" t="b">
        <f t="shared" si="1"/>
        <v>1</v>
      </c>
    </row>
    <row r="27" spans="1:7">
      <c r="A27" s="227" t="s">
        <v>487</v>
      </c>
      <c r="B27" s="615" t="s">
        <v>1298</v>
      </c>
      <c r="C27" s="227" t="b">
        <f t="shared" si="0"/>
        <v>1</v>
      </c>
      <c r="D27" s="465" t="str">
        <f>Lifetimes!AH1</f>
        <v>HomeTextilesDis</v>
      </c>
      <c r="E27" s="227" t="str">
        <v>Textile coating (discarded)</v>
      </c>
      <c r="F27" s="227" t="str">
        <v>TextileCoatingDis</v>
      </c>
      <c r="G27" s="227" t="b">
        <f t="shared" si="1"/>
        <v>1</v>
      </c>
    </row>
    <row r="28" spans="1:7">
      <c r="A28" s="227" t="s">
        <v>488</v>
      </c>
      <c r="B28" s="615" t="s">
        <v>1296</v>
      </c>
      <c r="C28" s="227" t="b">
        <f t="shared" si="0"/>
        <v>1</v>
      </c>
      <c r="D28" s="465" t="str">
        <f>Lifetimes!AI1</f>
        <v>HomeTextilesIU</v>
      </c>
      <c r="E28" s="227" t="str">
        <v>Infill material sports fields (in use)</v>
      </c>
      <c r="F28" s="227" t="str">
        <v>InfillSportsFieldU</v>
      </c>
      <c r="G28" s="227" t="b">
        <f t="shared" si="1"/>
        <v>1</v>
      </c>
    </row>
    <row r="29" spans="1:7">
      <c r="A29" s="227" t="s">
        <v>480</v>
      </c>
      <c r="B29" s="615" t="s">
        <v>1297</v>
      </c>
      <c r="C29" s="227" t="b">
        <f t="shared" si="0"/>
        <v>1</v>
      </c>
      <c r="D29" s="465" t="str">
        <f>Lifetimes!AJ1</f>
        <v>TechHomeTextilesDis</v>
      </c>
      <c r="E29" s="227" t="str">
        <v>Infill material sports fields (discarded)</v>
      </c>
      <c r="F29" s="227" t="str">
        <v>InfillSportsFieldDis</v>
      </c>
      <c r="G29" s="227" t="b">
        <f t="shared" si="1"/>
        <v>1</v>
      </c>
    </row>
    <row r="30" spans="1:7">
      <c r="A30" s="227" t="s">
        <v>477</v>
      </c>
      <c r="B30" s="615" t="s">
        <v>1295</v>
      </c>
      <c r="C30" s="227" t="b">
        <f t="shared" si="0"/>
        <v>1</v>
      </c>
      <c r="D30" s="465" t="str">
        <f>Lifetimes!AK1</f>
        <v>TechHomeTextilesIU</v>
      </c>
      <c r="E30" s="227" t="str">
        <v>Technical home textiles (in use)</v>
      </c>
      <c r="F30" s="227" t="str">
        <v>TechHomeTextilesIU</v>
      </c>
      <c r="G30" s="227" t="b">
        <f t="shared" si="1"/>
        <v>1</v>
      </c>
    </row>
    <row r="31" spans="1:7">
      <c r="A31" s="227" t="s">
        <v>493</v>
      </c>
      <c r="B31" s="615" t="s">
        <v>1302</v>
      </c>
      <c r="C31" s="227" t="b">
        <f t="shared" si="0"/>
        <v>1</v>
      </c>
      <c r="D31" s="465" t="str">
        <f>Lifetimes!AL1</f>
        <v>MedicalTextiles</v>
      </c>
      <c r="E31" s="227" t="str">
        <v>Textile coating (in use)</v>
      </c>
      <c r="F31" s="227" t="str">
        <v>TextileCoatingIU</v>
      </c>
      <c r="G31" s="227" t="b">
        <f t="shared" si="1"/>
        <v>1</v>
      </c>
    </row>
    <row r="32" spans="1:7">
      <c r="A32" s="227" t="s">
        <v>494</v>
      </c>
      <c r="B32" s="615" t="s">
        <v>1300</v>
      </c>
      <c r="C32" s="227" t="b">
        <f t="shared" si="0"/>
        <v>1</v>
      </c>
      <c r="D32" s="465" t="str">
        <f>Lifetimes!AM1</f>
        <v>AgrotextilesDis</v>
      </c>
      <c r="E32" s="227" t="str">
        <v>Ship paint (prof) (in use)</v>
      </c>
      <c r="F32" s="227" t="str">
        <v>ShipProfIU</v>
      </c>
      <c r="G32" s="227" t="b">
        <f t="shared" si="1"/>
        <v>1</v>
      </c>
    </row>
    <row r="33" spans="1:7">
      <c r="A33" s="227" t="s">
        <v>490</v>
      </c>
      <c r="B33" s="615" t="s">
        <v>1301</v>
      </c>
      <c r="C33" s="227" t="b">
        <f t="shared" si="0"/>
        <v>1</v>
      </c>
      <c r="D33" s="465" t="str">
        <f>Lifetimes!AN1</f>
        <v>AgrotextilesIU</v>
      </c>
      <c r="E33" s="227" t="str">
        <v>Ship paint (recr) (in use)</v>
      </c>
      <c r="F33" s="227" t="str">
        <v>ShipDiyIU</v>
      </c>
      <c r="G33" s="227" t="b">
        <f t="shared" si="1"/>
        <v>1</v>
      </c>
    </row>
    <row r="34" spans="1:7">
      <c r="A34" s="227" t="s">
        <v>489</v>
      </c>
      <c r="B34" s="615" t="s">
        <v>1299</v>
      </c>
      <c r="C34" s="227" t="b">
        <f t="shared" ref="C34:C58" si="2">NOT(ISERROR(MATCH(B34, D:D, 0)))</f>
        <v>1</v>
      </c>
      <c r="D34" s="465" t="str">
        <f>Lifetimes!AO1</f>
        <v>MobilityTextiles</v>
      </c>
      <c r="E34" s="227" t="str">
        <v>Ship paint (prof) (discarded)</v>
      </c>
      <c r="F34" s="227" t="str">
        <v>ShipProfDis</v>
      </c>
      <c r="G34" s="227" t="b">
        <f t="shared" si="1"/>
        <v>1</v>
      </c>
    </row>
    <row r="35" spans="1:7">
      <c r="A35" s="227" t="s">
        <v>497</v>
      </c>
      <c r="B35" s="615" t="s">
        <v>1286</v>
      </c>
      <c r="C35" s="227" t="b">
        <f t="shared" si="2"/>
        <v>1</v>
      </c>
      <c r="D35" s="465" t="str">
        <f>Lifetimes!AP1</f>
        <v>GeotextilesDis</v>
      </c>
      <c r="E35" s="227" t="str">
        <v>Ship paint (recr) (discarded)</v>
      </c>
      <c r="F35" s="227" t="str">
        <v>ShipDiyDis</v>
      </c>
      <c r="G35" s="227" t="b">
        <f t="shared" si="1"/>
        <v>1</v>
      </c>
    </row>
    <row r="36" spans="1:7">
      <c r="A36" s="227" t="s">
        <v>499</v>
      </c>
      <c r="B36" s="615" t="s">
        <v>1284</v>
      </c>
      <c r="C36" s="227" t="b">
        <f t="shared" si="2"/>
        <v>1</v>
      </c>
      <c r="D36" s="465" t="str">
        <f>Lifetimes!AQ1</f>
        <v>GeotextilesIU</v>
      </c>
      <c r="E36" s="227" t="str">
        <v>Concrete paint (prof) outdoor (in use)</v>
      </c>
      <c r="F36" s="227" t="str">
        <v>ConcreteProfOutIU</v>
      </c>
      <c r="G36" s="227" t="b">
        <f t="shared" si="1"/>
        <v>1</v>
      </c>
    </row>
    <row r="37" spans="1:7">
      <c r="A37" s="227" t="s">
        <v>498</v>
      </c>
      <c r="B37" s="615" t="s">
        <v>1285</v>
      </c>
      <c r="C37" s="227" t="b">
        <f t="shared" si="2"/>
        <v>1</v>
      </c>
      <c r="D37" s="465" t="str">
        <f>Lifetimes!AR1</f>
        <v>BuildingTextilesDis</v>
      </c>
      <c r="E37" s="227" t="str">
        <v>Concrete paint (prof) indoor (in use)</v>
      </c>
      <c r="F37" s="227" t="str">
        <v>ConcreteProfInIU</v>
      </c>
      <c r="G37" s="227" t="b">
        <f t="shared" si="1"/>
        <v>1</v>
      </c>
    </row>
    <row r="38" spans="1:7">
      <c r="A38" s="227" t="s">
        <v>500</v>
      </c>
      <c r="B38" s="615" t="s">
        <v>1283</v>
      </c>
      <c r="C38" s="227" t="b">
        <f t="shared" si="2"/>
        <v>1</v>
      </c>
      <c r="D38" s="465" t="str">
        <f>Lifetimes!AS1</f>
        <v>BuildingTextilesIU</v>
      </c>
      <c r="E38" s="227" t="str">
        <v>Concrete paint (prof) outdoor (discarded)</v>
      </c>
      <c r="F38" s="227" t="str">
        <v>ConcreteProfOutDis</v>
      </c>
      <c r="G38" s="227" t="b">
        <f t="shared" si="1"/>
        <v>1</v>
      </c>
    </row>
    <row r="39" spans="1:7">
      <c r="A39" s="227" t="s">
        <v>503</v>
      </c>
      <c r="B39" s="615" t="s">
        <v>1326</v>
      </c>
      <c r="C39" s="227" t="b">
        <f t="shared" si="2"/>
        <v>1</v>
      </c>
      <c r="D39" s="465" t="str">
        <f>Lifetimes!AT1</f>
        <v>OtherTechnicalTextiles</v>
      </c>
      <c r="E39" s="227" t="str">
        <v>Concrete paint (prof) indoor (discarded)</v>
      </c>
      <c r="F39" s="227" t="str">
        <v>ConcreteProfInDis</v>
      </c>
      <c r="G39" s="227" t="b">
        <f t="shared" si="1"/>
        <v>1</v>
      </c>
    </row>
    <row r="40" spans="1:7">
      <c r="A40" s="227" t="s">
        <v>505</v>
      </c>
      <c r="B40" s="615" t="s">
        <v>1324</v>
      </c>
      <c r="C40" s="227" t="b">
        <f t="shared" si="2"/>
        <v>1</v>
      </c>
      <c r="D40" s="465" t="str">
        <f>Lifetimes!AU1</f>
        <v>TextileCoatingDis</v>
      </c>
      <c r="E40" s="227" t="str">
        <v>Lacquer (prof) outdoor (in use)</v>
      </c>
      <c r="F40" s="227" t="str">
        <v>LacquerProfOutIU</v>
      </c>
      <c r="G40" s="227" t="b">
        <f t="shared" si="1"/>
        <v>1</v>
      </c>
    </row>
    <row r="41" spans="1:7">
      <c r="A41" s="227" t="s">
        <v>504</v>
      </c>
      <c r="B41" s="615" t="s">
        <v>1325</v>
      </c>
      <c r="C41" s="227" t="b">
        <f t="shared" si="2"/>
        <v>1</v>
      </c>
      <c r="D41" s="465" t="str">
        <f>Lifetimes!AV1</f>
        <v>TextileCoatingIU</v>
      </c>
      <c r="E41" s="227" t="str">
        <v>Lacquer (prof) indoor (in use)</v>
      </c>
      <c r="F41" s="227" t="str">
        <v>LacquerProfInIU</v>
      </c>
      <c r="G41" s="227" t="b">
        <f t="shared" si="1"/>
        <v>1</v>
      </c>
    </row>
    <row r="42" spans="1:7">
      <c r="A42" s="227" t="s">
        <v>506</v>
      </c>
      <c r="B42" s="615" t="s">
        <v>1323</v>
      </c>
      <c r="C42" s="227" t="b">
        <f t="shared" si="2"/>
        <v>1</v>
      </c>
      <c r="D42" s="465" t="str">
        <f>Lifetimes!AW1</f>
        <v>ConcreteProfInDis</v>
      </c>
      <c r="E42" s="227" t="str">
        <v>Lacquer (prof) outdoor (discarded)</v>
      </c>
      <c r="F42" s="227" t="str">
        <v>LacquerProfOutDis</v>
      </c>
      <c r="G42" s="227" t="b">
        <f t="shared" si="1"/>
        <v>1</v>
      </c>
    </row>
    <row r="43" spans="1:7">
      <c r="A43" s="227" t="s">
        <v>510</v>
      </c>
      <c r="B43" s="615" t="s">
        <v>1318</v>
      </c>
      <c r="C43" s="227" t="b">
        <f t="shared" si="2"/>
        <v>1</v>
      </c>
      <c r="D43" s="465" t="str">
        <f>Lifetimes!AX1</f>
        <v>ConcreteProfInIU</v>
      </c>
      <c r="E43" s="227" t="str">
        <v>Lacquer (prof) indoor (discarded)</v>
      </c>
      <c r="F43" s="227" t="str">
        <v>LacquerProfInDis</v>
      </c>
      <c r="G43" s="227" t="b">
        <f t="shared" si="1"/>
        <v>1</v>
      </c>
    </row>
    <row r="44" spans="1:7">
      <c r="A44" s="227" t="s">
        <v>514</v>
      </c>
      <c r="B44" s="615" t="s">
        <v>1316</v>
      </c>
      <c r="C44" s="227" t="b">
        <f t="shared" si="2"/>
        <v>1</v>
      </c>
      <c r="D44" s="465" t="str">
        <f>Lifetimes!AY1</f>
        <v>ConcreteProfOutDis</v>
      </c>
      <c r="E44" s="227" t="str">
        <v>Wood stain (prof) outdoor (in use)</v>
      </c>
      <c r="F44" s="227" t="str">
        <v>WoodStainProfOutIU</v>
      </c>
      <c r="G44" s="227" t="b">
        <f t="shared" si="1"/>
        <v>1</v>
      </c>
    </row>
    <row r="45" spans="1:7">
      <c r="A45" s="227" t="s">
        <v>511</v>
      </c>
      <c r="B45" s="615" t="s">
        <v>1317</v>
      </c>
      <c r="C45" s="227" t="b">
        <f t="shared" si="2"/>
        <v>1</v>
      </c>
      <c r="D45" s="465" t="str">
        <f>Lifetimes!AZ1</f>
        <v>ConcreteProfOutIU</v>
      </c>
      <c r="E45" s="227" t="str">
        <v>Wood stain (prof) indoor (in use)</v>
      </c>
      <c r="F45" s="227" t="str">
        <v>WoodStainProfInIU</v>
      </c>
      <c r="G45" s="227" t="b">
        <f t="shared" si="1"/>
        <v>1</v>
      </c>
    </row>
    <row r="46" spans="1:7">
      <c r="A46" s="227" t="s">
        <v>509</v>
      </c>
      <c r="B46" s="615" t="s">
        <v>1315</v>
      </c>
      <c r="C46" s="227" t="b">
        <f t="shared" si="2"/>
        <v>1</v>
      </c>
      <c r="D46" s="465" t="str">
        <f>Lifetimes!BA1</f>
        <v>LacquerDiyInDis</v>
      </c>
      <c r="E46" s="227" t="str">
        <v>Wood stain (prof) outdoor (discarded)</v>
      </c>
      <c r="F46" s="227" t="str">
        <v>WoodStainProfOutDis</v>
      </c>
      <c r="G46" s="227" t="b">
        <f t="shared" si="1"/>
        <v>1</v>
      </c>
    </row>
    <row r="47" spans="1:7">
      <c r="A47" s="227" t="s">
        <v>517</v>
      </c>
      <c r="B47" s="615" t="s">
        <v>1306</v>
      </c>
      <c r="C47" s="227" t="b">
        <f t="shared" si="2"/>
        <v>1</v>
      </c>
      <c r="D47" s="465" t="str">
        <f>Lifetimes!BB1</f>
        <v>LacquerDiyInIU</v>
      </c>
      <c r="E47" s="227" t="str">
        <v>Wood stain (prof) indoor (discarded)</v>
      </c>
      <c r="F47" s="227" t="str">
        <v>WoodStainProfInDis</v>
      </c>
      <c r="G47" s="227" t="b">
        <f t="shared" si="1"/>
        <v>1</v>
      </c>
    </row>
    <row r="48" spans="1:7">
      <c r="A48" s="227" t="s">
        <v>519</v>
      </c>
      <c r="B48" s="615" t="s">
        <v>1304</v>
      </c>
      <c r="C48" s="227" t="b">
        <f t="shared" si="2"/>
        <v>1</v>
      </c>
      <c r="D48" s="465" t="str">
        <f>Lifetimes!BC1</f>
        <v>LacquerDiyOutDis</v>
      </c>
      <c r="E48" s="227" t="str">
        <v>Wall paint (prof) outdoor (in use)</v>
      </c>
      <c r="F48" s="227" t="str">
        <v>WallPaintProfOutIU</v>
      </c>
      <c r="G48" s="227" t="b">
        <f t="shared" si="1"/>
        <v>1</v>
      </c>
    </row>
    <row r="49" spans="1:7">
      <c r="A49" s="227" t="s">
        <v>518</v>
      </c>
      <c r="B49" s="615" t="s">
        <v>1305</v>
      </c>
      <c r="C49" s="227" t="b">
        <f t="shared" si="2"/>
        <v>1</v>
      </c>
      <c r="D49" s="465" t="str">
        <f>Lifetimes!BD1</f>
        <v>LacquerDiyOutIU</v>
      </c>
      <c r="E49" s="227" t="str">
        <v>Wall paint (prof) indoor (in use)</v>
      </c>
      <c r="F49" s="227" t="str">
        <v>WallPaintProfInIU</v>
      </c>
      <c r="G49" s="227" t="b">
        <f t="shared" si="1"/>
        <v>1</v>
      </c>
    </row>
    <row r="50" spans="1:7">
      <c r="A50" s="227" t="s">
        <v>520</v>
      </c>
      <c r="B50" s="615" t="s">
        <v>1303</v>
      </c>
      <c r="C50" s="227" t="b">
        <f t="shared" si="2"/>
        <v>1</v>
      </c>
      <c r="D50" s="465" t="str">
        <f>Lifetimes!BE1</f>
        <v>LacquerProfInDis</v>
      </c>
      <c r="E50" s="227" t="str">
        <v>Wall paint (prof) outdoor (discarded)</v>
      </c>
      <c r="F50" s="227" t="str">
        <v>WallPaintProfOutDis</v>
      </c>
      <c r="G50" s="227" t="b">
        <f t="shared" si="1"/>
        <v>1</v>
      </c>
    </row>
    <row r="51" spans="1:7">
      <c r="A51" s="227" t="s">
        <v>523</v>
      </c>
      <c r="B51" s="615" t="s">
        <v>1294</v>
      </c>
      <c r="C51" s="227" t="b">
        <f t="shared" si="2"/>
        <v>1</v>
      </c>
      <c r="D51" s="465" t="str">
        <f>Lifetimes!BF1</f>
        <v>LacquerProfInIU</v>
      </c>
      <c r="E51" s="227" t="str">
        <v>Wall paint (prof) indoor (discarded)</v>
      </c>
      <c r="F51" s="227" t="str">
        <v>WallPaintProfInDis</v>
      </c>
      <c r="G51" s="227" t="b">
        <f t="shared" si="1"/>
        <v>1</v>
      </c>
    </row>
    <row r="52" spans="1:7">
      <c r="A52" s="227" t="s">
        <v>524</v>
      </c>
      <c r="B52" s="615" t="s">
        <v>1292</v>
      </c>
      <c r="C52" s="227" t="b">
        <f t="shared" si="2"/>
        <v>1</v>
      </c>
      <c r="D52" s="465" t="str">
        <f>Lifetimes!BG1</f>
        <v>LacquerProfOutDis</v>
      </c>
      <c r="E52" s="227" t="str">
        <v>Plaster (prof) outdoor (in use)</v>
      </c>
      <c r="F52" s="227" t="str">
        <v>PlasterProfOutIU</v>
      </c>
      <c r="G52" s="227" t="b">
        <f t="shared" si="1"/>
        <v>1</v>
      </c>
    </row>
    <row r="53" spans="1:7">
      <c r="A53" s="227" t="s">
        <v>472</v>
      </c>
      <c r="B53" s="615" t="s">
        <v>1293</v>
      </c>
      <c r="C53" s="227" t="b">
        <f t="shared" si="2"/>
        <v>1</v>
      </c>
      <c r="D53" s="465" t="str">
        <f>Lifetimes!BH1</f>
        <v>LacquerProfOutIU</v>
      </c>
      <c r="E53" s="227" t="str">
        <v>Plaster (prof) indoor (in use)</v>
      </c>
      <c r="F53" s="227" t="str">
        <v>PlasterProfInIU</v>
      </c>
      <c r="G53" s="227" t="b">
        <f t="shared" si="1"/>
        <v>1</v>
      </c>
    </row>
    <row r="54" spans="1:7">
      <c r="A54" s="227" t="s">
        <v>465</v>
      </c>
      <c r="B54" s="615" t="s">
        <v>1291</v>
      </c>
      <c r="C54" s="227" t="b">
        <f t="shared" si="2"/>
        <v>1</v>
      </c>
      <c r="D54" s="465" t="str">
        <f>Lifetimes!BI1</f>
        <v>OtherPaintUsesDiyInDis</v>
      </c>
      <c r="E54" s="227" t="str">
        <v>Plaster (prof) outdoor (discarded)</v>
      </c>
      <c r="F54" s="227" t="str">
        <v>PlasterProfOutDis</v>
      </c>
      <c r="G54" s="227" t="b">
        <f t="shared" si="1"/>
        <v>1</v>
      </c>
    </row>
    <row r="55" spans="1:7">
      <c r="A55" s="227" t="s">
        <v>969</v>
      </c>
      <c r="B55" s="615" t="s">
        <v>979</v>
      </c>
      <c r="C55" s="227" t="b">
        <f t="shared" si="2"/>
        <v>1</v>
      </c>
      <c r="D55" s="465" t="str">
        <f>Lifetimes!BJ1</f>
        <v>OtherPaintUsesDiyInIU</v>
      </c>
      <c r="E55" s="227" t="str">
        <v>Plaster (prof) indoor (discarded)</v>
      </c>
      <c r="F55" s="227" t="str">
        <v>PlasterProfInDis</v>
      </c>
      <c r="G55" s="227" t="b">
        <f t="shared" si="1"/>
        <v>1</v>
      </c>
    </row>
    <row r="56" spans="1:7">
      <c r="A56" s="227" t="s">
        <v>968</v>
      </c>
      <c r="B56" s="615" t="s">
        <v>984</v>
      </c>
      <c r="C56" s="227" t="b">
        <f t="shared" si="2"/>
        <v>1</v>
      </c>
      <c r="D56" s="465" t="str">
        <f>Lifetimes!BK1</f>
        <v>OtherPaintUsesDiyOutDis</v>
      </c>
      <c r="E56" s="227" t="str">
        <v>Other paint uses (prof) outdoor (in use)</v>
      </c>
      <c r="F56" s="227" t="str">
        <v>OtherPaintUsesProfOutIU</v>
      </c>
      <c r="G56" s="227" t="b">
        <f t="shared" si="1"/>
        <v>1</v>
      </c>
    </row>
    <row r="57" spans="1:7">
      <c r="A57" s="227" t="s">
        <v>964</v>
      </c>
      <c r="B57" s="615" t="s">
        <v>1254</v>
      </c>
      <c r="C57" s="227" t="b">
        <f t="shared" si="2"/>
        <v>1</v>
      </c>
      <c r="D57" s="465" t="str">
        <f>Lifetimes!BL1</f>
        <v>OtherPaintUsesDiyOutIU</v>
      </c>
      <c r="E57" s="227" t="str">
        <v>Other paint uses (prof) indoor (in use)</v>
      </c>
      <c r="F57" s="227" t="str">
        <v>OtherPaintUsesProfInIU</v>
      </c>
      <c r="G57" s="227" t="b">
        <f t="shared" si="1"/>
        <v>1</v>
      </c>
    </row>
    <row r="58" spans="1:7">
      <c r="A58" s="227" t="s">
        <v>970</v>
      </c>
      <c r="B58" s="615" t="s">
        <v>1253</v>
      </c>
      <c r="C58" s="227" t="b">
        <f t="shared" si="2"/>
        <v>1</v>
      </c>
      <c r="D58" s="465" t="str">
        <f>Lifetimes!BM1</f>
        <v>OtherPaintUsesProfInDis</v>
      </c>
      <c r="E58" s="227" t="str">
        <v>Other paint uses (prof) outdoor (discarded)</v>
      </c>
      <c r="F58" s="227" t="str">
        <v>OtherPaintUsesProfOutDis</v>
      </c>
      <c r="G58" s="227" t="b">
        <f t="shared" si="1"/>
        <v>1</v>
      </c>
    </row>
    <row r="59" spans="1:7">
      <c r="A59" s="227" t="s">
        <v>194</v>
      </c>
      <c r="B59" s="615" t="s">
        <v>1261</v>
      </c>
      <c r="C59" s="227" t="b">
        <f t="shared" ref="C59:C100" si="3">NOT(ISERROR(MATCH(B59, D:D, 0)))</f>
        <v>1</v>
      </c>
      <c r="D59" s="465" t="str">
        <f>Lifetimes!BN1</f>
        <v>OtherPaintUsesProfInIU</v>
      </c>
      <c r="E59" s="227" t="str">
        <v>Other paint uses (prof) indoor (discarded)</v>
      </c>
      <c r="F59" s="227" t="str">
        <v>OtherPaintUsesProfInDis</v>
      </c>
      <c r="G59" s="227" t="b">
        <f t="shared" si="1"/>
        <v>1</v>
      </c>
    </row>
    <row r="60" spans="1:7">
      <c r="A60" s="227" t="s">
        <v>191</v>
      </c>
      <c r="B60" s="615" t="s">
        <v>1265</v>
      </c>
      <c r="C60" s="227" t="b">
        <f t="shared" si="3"/>
        <v>1</v>
      </c>
      <c r="D60" s="465" t="str">
        <f>Lifetimes!BO1</f>
        <v>OtherPaintUsesProfOutDis</v>
      </c>
      <c r="E60" s="227" t="str">
        <v>Paints used in pre-made wooden products outdoor (in use)</v>
      </c>
      <c r="F60" s="227" t="str">
        <v>PaintsPreMadeWoodOutIU</v>
      </c>
      <c r="G60" s="227" t="b">
        <f t="shared" si="1"/>
        <v>1</v>
      </c>
    </row>
    <row r="61" spans="1:7">
      <c r="A61" s="227" t="s">
        <v>190</v>
      </c>
      <c r="B61" s="615" t="s">
        <v>1264</v>
      </c>
      <c r="C61" s="227" t="b">
        <f t="shared" si="3"/>
        <v>1</v>
      </c>
      <c r="D61" s="465" t="str">
        <f>Lifetimes!BP1</f>
        <v>OtherPaintUsesProfOutIU</v>
      </c>
      <c r="E61" s="227" t="str">
        <v>Paints used in pre-made wooden products indoor (in use)</v>
      </c>
      <c r="F61" s="227" t="str">
        <v>PaintsPreMadeWoodInIU</v>
      </c>
      <c r="G61" s="227" t="b">
        <f t="shared" si="1"/>
        <v>1</v>
      </c>
    </row>
    <row r="62" spans="1:7">
      <c r="A62" s="227" t="s">
        <v>356</v>
      </c>
      <c r="B62" s="615" t="s">
        <v>1267</v>
      </c>
      <c r="C62" s="227" t="b">
        <f t="shared" si="3"/>
        <v>1</v>
      </c>
      <c r="D62" s="465" t="str">
        <f>Lifetimes!BQ1</f>
        <v>PaintsPreMadeWoodInDis</v>
      </c>
      <c r="E62" s="227" t="str">
        <v>Paints used in pre-made wooden products outdoor (discarded)</v>
      </c>
      <c r="F62" s="227" t="str">
        <v>PaintsPreMadeWoodOutDis</v>
      </c>
      <c r="G62" s="227" t="b">
        <f t="shared" si="1"/>
        <v>1</v>
      </c>
    </row>
    <row r="63" spans="1:7">
      <c r="A63" s="227" t="s">
        <v>242</v>
      </c>
      <c r="B63" s="615" t="s">
        <v>1266</v>
      </c>
      <c r="C63" s="227" t="b">
        <f t="shared" si="3"/>
        <v>1</v>
      </c>
      <c r="D63" s="465" t="str">
        <f>Lifetimes!BR1</f>
        <v>PaintsPreMadeWoodInIU</v>
      </c>
      <c r="E63" s="227" t="str">
        <v>Paints used in pre-made wooden products indoor (discarded)</v>
      </c>
      <c r="F63" s="227" t="str">
        <v>PaintsPreMadeWoodInDis</v>
      </c>
      <c r="G63" s="227" t="b">
        <f t="shared" si="1"/>
        <v>1</v>
      </c>
    </row>
    <row r="64" spans="1:7">
      <c r="A64" s="227" t="s">
        <v>172</v>
      </c>
      <c r="B64" s="615" t="s">
        <v>1275</v>
      </c>
      <c r="C64" s="227" t="b">
        <f t="shared" si="3"/>
        <v>1</v>
      </c>
      <c r="D64" s="465" t="str">
        <f>Lifetimes!BS1</f>
        <v>PaintsPreMadeWoodOutDis</v>
      </c>
      <c r="E64" s="227" t="str">
        <v>Lacquer (DIY) outdoor (in use)</v>
      </c>
      <c r="F64" s="227" t="str">
        <v>LacquerDiyOutIU</v>
      </c>
      <c r="G64" s="227" t="b">
        <f t="shared" si="1"/>
        <v>1</v>
      </c>
    </row>
    <row r="65" spans="1:7">
      <c r="A65" s="227" t="s">
        <v>171</v>
      </c>
      <c r="B65" s="615" t="s">
        <v>1274</v>
      </c>
      <c r="C65" s="227" t="b">
        <f t="shared" si="3"/>
        <v>1</v>
      </c>
      <c r="D65" s="465" t="str">
        <f>Lifetimes!BT1</f>
        <v>PaintsPreMadeWoodOutIU</v>
      </c>
      <c r="E65" s="227" t="str">
        <v>Lacquer (DIY) indoor (in use)</v>
      </c>
      <c r="F65" s="227" t="str">
        <v>LacquerDiyInIU</v>
      </c>
      <c r="G65" s="227" t="b">
        <f t="shared" si="1"/>
        <v>1</v>
      </c>
    </row>
    <row r="66" spans="1:7">
      <c r="A66" s="227" t="s">
        <v>162</v>
      </c>
      <c r="B66" s="615" t="s">
        <v>1270</v>
      </c>
      <c r="C66" s="227" t="b">
        <f t="shared" si="3"/>
        <v>1</v>
      </c>
      <c r="D66" s="465" t="str">
        <f>Lifetimes!BU1</f>
        <v>PlasterDiyInDis</v>
      </c>
      <c r="E66" s="227" t="str">
        <v>Lacquer (DIY) outdoor (discarded)</v>
      </c>
      <c r="F66" s="227" t="str">
        <v>LacquerDiyOutDis</v>
      </c>
      <c r="G66" s="227" t="b">
        <f t="shared" si="1"/>
        <v>1</v>
      </c>
    </row>
    <row r="67" spans="1:7">
      <c r="A67" s="227" t="s">
        <v>153</v>
      </c>
      <c r="B67" s="615" t="s">
        <v>1269</v>
      </c>
      <c r="C67" s="227" t="b">
        <f t="shared" si="3"/>
        <v>1</v>
      </c>
      <c r="D67" s="465" t="str">
        <f>Lifetimes!BV1</f>
        <v>PlasterDiyInIU</v>
      </c>
      <c r="E67" s="227" t="str">
        <v>Lacquer (DIY) indoor (discarded)</v>
      </c>
      <c r="F67" s="227" t="str">
        <v>LacquerDiyInDis</v>
      </c>
      <c r="G67" s="227" t="b">
        <f t="shared" ref="G67:G99" si="4">NOT(ISERROR(MATCH(E67, A:A, 0)))</f>
        <v>1</v>
      </c>
    </row>
    <row r="68" spans="1:7">
      <c r="A68" s="227" t="s">
        <v>187</v>
      </c>
      <c r="B68" s="615" t="s">
        <v>1273</v>
      </c>
      <c r="C68" s="227" t="b">
        <f t="shared" si="3"/>
        <v>1</v>
      </c>
      <c r="D68" s="465" t="str">
        <f>Lifetimes!BW1</f>
        <v>PlasterDiyOutDis</v>
      </c>
      <c r="E68" s="227" t="str">
        <v>Wood stain (DIY) outdoor (in use)</v>
      </c>
      <c r="F68" s="227" t="str">
        <v>WoodStainDiyOutIU</v>
      </c>
      <c r="G68" s="227" t="b">
        <f t="shared" si="4"/>
        <v>1</v>
      </c>
    </row>
    <row r="69" spans="1:7">
      <c r="A69" s="227" t="s">
        <v>186</v>
      </c>
      <c r="B69" s="615" t="s">
        <v>1272</v>
      </c>
      <c r="C69" s="227" t="b">
        <f t="shared" si="3"/>
        <v>1</v>
      </c>
      <c r="D69" s="465" t="str">
        <f>Lifetimes!BX1</f>
        <v>PlasterDiyOutIU</v>
      </c>
      <c r="E69" s="227" t="str">
        <v>Wood stain (DIY) indoor (in use)</v>
      </c>
      <c r="F69" s="227" t="str">
        <v>WoodStainDiyInIU</v>
      </c>
      <c r="G69" s="227" t="b">
        <f t="shared" si="4"/>
        <v>1</v>
      </c>
    </row>
    <row r="70" spans="1:7">
      <c r="A70" s="227" t="s">
        <v>360</v>
      </c>
      <c r="B70" s="615" t="s">
        <v>1278</v>
      </c>
      <c r="C70" s="227" t="b">
        <f t="shared" si="3"/>
        <v>1</v>
      </c>
      <c r="D70" s="465" t="str">
        <f>Lifetimes!BY1</f>
        <v>PlasterProfInDis</v>
      </c>
      <c r="E70" s="227" t="str">
        <v>Wood stain (DIY) outdoor (discarded)</v>
      </c>
      <c r="F70" s="227" t="str">
        <v>WoodStainDiyOutDis</v>
      </c>
      <c r="G70" s="227" t="b">
        <f t="shared" si="4"/>
        <v>1</v>
      </c>
    </row>
    <row r="71" spans="1:7">
      <c r="A71" s="227" t="s">
        <v>350</v>
      </c>
      <c r="B71" s="615" t="s">
        <v>1277</v>
      </c>
      <c r="C71" s="227" t="b">
        <f t="shared" si="3"/>
        <v>1</v>
      </c>
      <c r="D71" s="465" t="str">
        <f>Lifetimes!BZ1</f>
        <v>PlasterProfInIU</v>
      </c>
      <c r="E71" s="227" t="str">
        <v>Wood stain (DIY) indoor (discarded)</v>
      </c>
      <c r="F71" s="227" t="str">
        <v>WoodStainDiyInDis</v>
      </c>
      <c r="G71" s="227" t="b">
        <f t="shared" si="4"/>
        <v>1</v>
      </c>
    </row>
    <row r="72" spans="1:7">
      <c r="A72" s="230" t="s">
        <v>311</v>
      </c>
      <c r="B72" s="466" t="s">
        <v>1259</v>
      </c>
      <c r="C72" s="227" t="b">
        <f t="shared" si="3"/>
        <v>1</v>
      </c>
      <c r="D72" s="465" t="str">
        <f>Lifetimes!CA1</f>
        <v>PlasterProfOutDis</v>
      </c>
      <c r="E72" s="227" t="str">
        <v>Wall paint (DIY) outdoor (in use)</v>
      </c>
      <c r="F72" s="227" t="str">
        <v>WallPaintDiyOutIU</v>
      </c>
      <c r="G72" s="227" t="b">
        <f t="shared" si="4"/>
        <v>1</v>
      </c>
    </row>
    <row r="73" spans="1:7">
      <c r="A73" s="230" t="s">
        <v>312</v>
      </c>
      <c r="B73" s="466" t="s">
        <v>1260</v>
      </c>
      <c r="C73" s="227" t="b">
        <f t="shared" si="3"/>
        <v>1</v>
      </c>
      <c r="D73" s="465" t="str">
        <f>Lifetimes!CB1</f>
        <v>PlasterProfOutIU</v>
      </c>
      <c r="E73" s="227" t="str">
        <v>Wall paint (DIY) indoor applied (in use)</v>
      </c>
      <c r="F73" s="227" t="str">
        <v>WallPaintDiyIndoorAppliedIU</v>
      </c>
      <c r="G73" s="227" t="b">
        <f t="shared" si="4"/>
        <v>1</v>
      </c>
    </row>
    <row r="74" spans="1:7">
      <c r="A74" s="291" t="s">
        <v>200</v>
      </c>
      <c r="B74" s="312" t="s">
        <v>1165</v>
      </c>
      <c r="C74" s="227" t="b">
        <f t="shared" si="3"/>
        <v>1</v>
      </c>
      <c r="D74" s="465" t="str">
        <f>Lifetimes!CC1</f>
        <v>ShipProfDis</v>
      </c>
      <c r="E74" s="227" t="str">
        <v>Wall paint (DIY) outdoor (discarded)</v>
      </c>
      <c r="F74" s="227" t="str">
        <v>WallPaintDiyOutDis</v>
      </c>
      <c r="G74" s="227" t="b">
        <f t="shared" si="4"/>
        <v>1</v>
      </c>
    </row>
    <row r="75" spans="1:7">
      <c r="A75" s="291" t="s">
        <v>201</v>
      </c>
      <c r="B75" s="312" t="s">
        <v>1255</v>
      </c>
      <c r="C75" s="227" t="b">
        <f t="shared" si="3"/>
        <v>1</v>
      </c>
      <c r="D75" s="465" t="str">
        <f>Lifetimes!CD1</f>
        <v>ShipProfIU</v>
      </c>
      <c r="E75" s="227" t="str">
        <v>Wall paint (DIY) indoor applied (discarded)</v>
      </c>
      <c r="F75" s="227" t="str">
        <v>WallPaintDiyIndoorAppliedDis</v>
      </c>
      <c r="G75" s="227" t="b">
        <f t="shared" si="4"/>
        <v>1</v>
      </c>
    </row>
    <row r="76" spans="1:7">
      <c r="A76" s="291" t="s">
        <v>202</v>
      </c>
      <c r="B76" s="312" t="s">
        <v>1166</v>
      </c>
      <c r="C76" s="227" t="b">
        <f t="shared" si="3"/>
        <v>1</v>
      </c>
      <c r="D76" s="465" t="str">
        <f>Lifetimes!CE1</f>
        <v>ShipDiyDis</v>
      </c>
      <c r="E76" s="227" t="str">
        <v>Plaster (DIY) outdoor (in use)</v>
      </c>
      <c r="F76" s="227" t="str">
        <v>PlasterDiyOutIU</v>
      </c>
      <c r="G76" s="227" t="b">
        <f t="shared" si="4"/>
        <v>1</v>
      </c>
    </row>
    <row r="77" spans="1:7">
      <c r="A77" s="291" t="s">
        <v>235</v>
      </c>
      <c r="B77" s="312" t="s">
        <v>1167</v>
      </c>
      <c r="C77" s="227" t="b">
        <f t="shared" si="3"/>
        <v>1</v>
      </c>
      <c r="D77" s="465" t="str">
        <f>Lifetimes!CF1</f>
        <v>ShipDiyIU</v>
      </c>
      <c r="E77" s="227" t="str">
        <v>Plaster (DIY) indoor (in use)</v>
      </c>
      <c r="F77" s="227" t="str">
        <v>PlasterDiyInIU</v>
      </c>
      <c r="G77" s="227" t="b">
        <f t="shared" si="4"/>
        <v>1</v>
      </c>
    </row>
    <row r="78" spans="1:7">
      <c r="A78" s="291" t="s">
        <v>203</v>
      </c>
      <c r="B78" s="312" t="s">
        <v>1075</v>
      </c>
      <c r="C78" s="227" t="b">
        <f t="shared" si="3"/>
        <v>1</v>
      </c>
      <c r="D78" s="465" t="str">
        <f>Lifetimes!CG1</f>
        <v>WallPaintDiyIndoorAppliedDis</v>
      </c>
      <c r="E78" s="227" t="str">
        <v>Plaster (DIY) outdoor (discarded)</v>
      </c>
      <c r="F78" s="227" t="str">
        <v>PlasterDiyOutDis</v>
      </c>
      <c r="G78" s="227" t="b">
        <f t="shared" si="4"/>
        <v>1</v>
      </c>
    </row>
    <row r="79" spans="1:7">
      <c r="A79" s="291" t="s">
        <v>236</v>
      </c>
      <c r="B79" s="312" t="s">
        <v>1169</v>
      </c>
      <c r="C79" s="227" t="b">
        <f t="shared" si="3"/>
        <v>1</v>
      </c>
      <c r="D79" s="465" t="str">
        <f>Lifetimes!CH1</f>
        <v>WallPaintDiyIndoorAppliedIU</v>
      </c>
      <c r="E79" s="227" t="str">
        <v>Plaster (DIY) indoor (discarded)</v>
      </c>
      <c r="F79" s="227" t="str">
        <v>PlasterDiyInDis</v>
      </c>
      <c r="G79" s="227" t="b">
        <f t="shared" si="4"/>
        <v>1</v>
      </c>
    </row>
    <row r="80" spans="1:7">
      <c r="A80" s="291" t="s">
        <v>237</v>
      </c>
      <c r="B80" s="312" t="s">
        <v>1168</v>
      </c>
      <c r="C80" s="227" t="b">
        <f t="shared" si="3"/>
        <v>1</v>
      </c>
      <c r="D80" s="465" t="str">
        <f>Lifetimes!CI1</f>
        <v>WallPaintDiyOutDis</v>
      </c>
      <c r="E80" s="227" t="str">
        <v>Other paint uses (DIY) outdoor (in use)</v>
      </c>
      <c r="F80" s="227" t="str">
        <v>OtherPaintUsesDiyOutIU</v>
      </c>
      <c r="G80" s="227" t="b">
        <f t="shared" si="4"/>
        <v>1</v>
      </c>
    </row>
    <row r="81" spans="1:7">
      <c r="A81" s="227" t="s">
        <v>142</v>
      </c>
      <c r="B81" s="644" t="s">
        <v>1163</v>
      </c>
      <c r="C81" s="227" t="b">
        <f t="shared" si="3"/>
        <v>1</v>
      </c>
      <c r="D81" s="465" t="str">
        <f>Lifetimes!CJ1</f>
        <v>WallPaintDiyOutIU</v>
      </c>
      <c r="E81" s="227" t="str">
        <v>Other paint uses (DIY) indoor (in use)</v>
      </c>
      <c r="F81" s="227" t="str">
        <v>OtherPaintUsesDiyInIU</v>
      </c>
      <c r="G81" s="227" t="b">
        <f t="shared" si="4"/>
        <v>1</v>
      </c>
    </row>
    <row r="82" spans="1:7">
      <c r="A82" s="645" t="s">
        <v>198</v>
      </c>
      <c r="B82" s="644" t="s">
        <v>1262</v>
      </c>
      <c r="C82" s="227" t="b">
        <f t="shared" si="3"/>
        <v>1</v>
      </c>
      <c r="D82" s="465" t="str">
        <f>Lifetimes!CK1</f>
        <v>WallPaintProfInDis</v>
      </c>
      <c r="E82" s="227" t="str">
        <v>Other paint uses (DIY) outdoor (discarded)</v>
      </c>
      <c r="F82" s="227" t="str">
        <v>OtherPaintUsesDiyOutDis</v>
      </c>
      <c r="G82" s="227" t="b">
        <f t="shared" si="4"/>
        <v>1</v>
      </c>
    </row>
    <row r="83" spans="1:7">
      <c r="A83" s="645" t="s">
        <v>190</v>
      </c>
      <c r="B83" s="644" t="s">
        <v>1264</v>
      </c>
      <c r="C83" s="227" t="b">
        <f t="shared" si="3"/>
        <v>1</v>
      </c>
      <c r="D83" s="465" t="str">
        <f>Lifetimes!CL1</f>
        <v>WallPaintProfInIU</v>
      </c>
      <c r="E83" s="227" t="str">
        <v>Other paint uses (DIY) indoor (discarded)</v>
      </c>
      <c r="F83" s="227" t="str">
        <v>OtherPaintUsesDiyInDis</v>
      </c>
      <c r="G83" s="227" t="b">
        <f t="shared" si="4"/>
        <v>1</v>
      </c>
    </row>
    <row r="84" spans="1:7">
      <c r="A84" s="645" t="s">
        <v>346</v>
      </c>
      <c r="B84" s="644" t="s">
        <v>1268</v>
      </c>
      <c r="C84" s="227" t="b">
        <f t="shared" si="3"/>
        <v>1</v>
      </c>
      <c r="D84" s="465" t="str">
        <f>Lifetimes!CM1</f>
        <v>WallPaintProfOutDis</v>
      </c>
      <c r="E84" s="227" t="str">
        <v>Apparel accessories</v>
      </c>
      <c r="F84" s="227" t="str">
        <v>ApparelAccessories</v>
      </c>
      <c r="G84" s="227" t="b">
        <f t="shared" si="4"/>
        <v>1</v>
      </c>
    </row>
    <row r="85" spans="1:7">
      <c r="A85" s="645" t="s">
        <v>348</v>
      </c>
      <c r="B85" s="644" t="s">
        <v>1271</v>
      </c>
      <c r="C85" s="227" t="b">
        <f t="shared" si="3"/>
        <v>1</v>
      </c>
      <c r="D85" s="956" t="str">
        <f>Lifetimes!CN1</f>
        <v>WallPaintProfOutIU</v>
      </c>
      <c r="E85" s="227" t="str">
        <v>Boots</v>
      </c>
      <c r="F85" s="227" t="str">
        <v>Boots</v>
      </c>
      <c r="G85" s="227" t="b">
        <f t="shared" si="4"/>
        <v>1</v>
      </c>
    </row>
    <row r="86" spans="1:7">
      <c r="A86" s="645" t="s">
        <v>238</v>
      </c>
      <c r="B86" s="644" t="s">
        <v>1276</v>
      </c>
      <c r="C86" s="227" t="b">
        <f t="shared" si="3"/>
        <v>1</v>
      </c>
      <c r="D86" s="956" t="str">
        <f>Lifetimes!CO1</f>
        <v>WoodStainDiyInDis</v>
      </c>
      <c r="E86" s="227" t="str">
        <v>Closed-toed shoes</v>
      </c>
      <c r="F86" s="227" t="str">
        <v>CloseToedShoes</v>
      </c>
      <c r="G86" s="227" t="b">
        <f t="shared" si="4"/>
        <v>1</v>
      </c>
    </row>
    <row r="87" spans="1:7">
      <c r="A87" s="645" t="s">
        <v>197</v>
      </c>
      <c r="B87" s="644" t="s">
        <v>1263</v>
      </c>
      <c r="C87" s="227" t="b">
        <f t="shared" si="3"/>
        <v>1</v>
      </c>
      <c r="D87" s="956" t="str">
        <f>Lifetimes!CP1</f>
        <v>WoodStainDiyInIU</v>
      </c>
      <c r="E87" s="227" t="str">
        <v>Jackets and coats</v>
      </c>
      <c r="F87" s="227" t="str">
        <v>JacketsCoats</v>
      </c>
      <c r="G87" s="227" t="b">
        <f t="shared" si="4"/>
        <v>1</v>
      </c>
    </row>
    <row r="88" spans="1:7">
      <c r="A88" s="315" t="s">
        <v>2054</v>
      </c>
      <c r="B88" s="227" t="s">
        <v>1261</v>
      </c>
      <c r="C88" s="227" t="b">
        <f t="shared" si="3"/>
        <v>1</v>
      </c>
      <c r="D88" s="956" t="str">
        <f>Lifetimes!CQ1</f>
        <v>WoodStainDiyOutDis</v>
      </c>
      <c r="E88" s="227" t="str">
        <v>Open-toed shoes</v>
      </c>
      <c r="F88" s="227" t="str">
        <v>OpenToedShoes</v>
      </c>
      <c r="G88" s="227" t="b">
        <f t="shared" si="4"/>
        <v>1</v>
      </c>
    </row>
    <row r="89" spans="1:7">
      <c r="A89" s="315" t="s">
        <v>2056</v>
      </c>
      <c r="B89" s="227" t="s">
        <v>1261</v>
      </c>
      <c r="C89" s="227" t="b">
        <f t="shared" si="3"/>
        <v>1</v>
      </c>
      <c r="D89" s="956" t="str">
        <f>Lifetimes!CR1</f>
        <v>WoodStainDiyOutIU</v>
      </c>
      <c r="E89" s="227" t="str">
        <v>Dresses skirts and jumpsuits</v>
      </c>
      <c r="F89" s="227" t="str">
        <v>DressesSkirtsJumpsuits</v>
      </c>
      <c r="G89" s="227" t="b">
        <f t="shared" si="4"/>
        <v>1</v>
      </c>
    </row>
    <row r="90" spans="1:7">
      <c r="A90" s="315" t="s">
        <v>2057</v>
      </c>
      <c r="B90" s="227" t="s">
        <v>1261</v>
      </c>
      <c r="C90" s="227" t="b">
        <f t="shared" si="3"/>
        <v>1</v>
      </c>
      <c r="D90" s="956" t="str">
        <f>Lifetimes!CS1</f>
        <v>WoodStainProfInDis</v>
      </c>
      <c r="E90" s="227" t="str">
        <v>Leggings stockings tights and socks</v>
      </c>
      <c r="F90" s="227" t="str">
        <v>LeggingsStockingsTightsSocks</v>
      </c>
      <c r="G90" s="227" t="b">
        <f t="shared" si="4"/>
        <v>1</v>
      </c>
    </row>
    <row r="91" spans="1:7">
      <c r="A91" s="645" t="s">
        <v>2199</v>
      </c>
      <c r="B91" s="227" t="s">
        <v>1261</v>
      </c>
      <c r="C91" s="227" t="b">
        <f t="shared" si="3"/>
        <v>1</v>
      </c>
      <c r="D91" s="956" t="str">
        <f>Lifetimes!CT1</f>
        <v>WoodStainProfInIU</v>
      </c>
      <c r="E91" s="227" t="str">
        <v>Pants and shorts</v>
      </c>
      <c r="F91" s="227" t="str">
        <v>PantsShorts</v>
      </c>
      <c r="G91" s="227" t="b">
        <f t="shared" si="4"/>
        <v>1</v>
      </c>
    </row>
    <row r="92" spans="1:7">
      <c r="A92" s="645" t="s">
        <v>2061</v>
      </c>
      <c r="B92" s="227" t="s">
        <v>1261</v>
      </c>
      <c r="C92" s="227" t="b">
        <f t="shared" si="3"/>
        <v>1</v>
      </c>
      <c r="D92" s="956" t="str">
        <f>Lifetimes!CU1</f>
        <v>WoodStainProfOutDis</v>
      </c>
      <c r="E92" s="227" t="str">
        <v>Shirts and blouses</v>
      </c>
      <c r="F92" s="227" t="str">
        <v>ShirtsBlouses</v>
      </c>
      <c r="G92" s="227" t="b">
        <f t="shared" si="4"/>
        <v>1</v>
      </c>
    </row>
    <row r="93" spans="1:7">
      <c r="A93" s="645" t="s">
        <v>2198</v>
      </c>
      <c r="B93" s="227" t="s">
        <v>1261</v>
      </c>
      <c r="C93" s="227" t="b">
        <f t="shared" si="3"/>
        <v>1</v>
      </c>
      <c r="D93" s="956" t="str">
        <f>Lifetimes!CV1</f>
        <v>WoodStainProfOutIU</v>
      </c>
      <c r="E93" s="227" t="str">
        <v>Sweaters and midlayers</v>
      </c>
      <c r="F93" s="227" t="str">
        <v>SweatersMidlayers</v>
      </c>
      <c r="G93" s="227" t="b">
        <f t="shared" si="4"/>
        <v>1</v>
      </c>
    </row>
    <row r="94" spans="1:7">
      <c r="A94" s="645" t="s">
        <v>2200</v>
      </c>
      <c r="B94" s="227" t="s">
        <v>1261</v>
      </c>
      <c r="C94" s="227" t="b">
        <f t="shared" si="3"/>
        <v>1</v>
      </c>
      <c r="D94"/>
      <c r="E94" s="227" t="str">
        <v>Swimwear</v>
      </c>
      <c r="F94" s="227" t="str">
        <v>Swimwear</v>
      </c>
      <c r="G94" s="227" t="b">
        <f t="shared" si="4"/>
        <v>1</v>
      </c>
    </row>
    <row r="95" spans="1:7">
      <c r="A95" s="645" t="s">
        <v>2201</v>
      </c>
      <c r="B95" s="227" t="s">
        <v>1261</v>
      </c>
      <c r="C95" s="227" t="b">
        <f t="shared" si="3"/>
        <v>1</v>
      </c>
      <c r="D95"/>
      <c r="E95" s="227" t="str">
        <v>T-shirts</v>
      </c>
      <c r="F95" s="227" t="str">
        <v>Tshirts</v>
      </c>
      <c r="G95" s="227" t="b">
        <f t="shared" si="4"/>
        <v>1</v>
      </c>
    </row>
    <row r="96" spans="1:7">
      <c r="A96" s="315" t="s">
        <v>2202</v>
      </c>
      <c r="B96" s="227" t="s">
        <v>1261</v>
      </c>
      <c r="C96" s="227" t="b">
        <f t="shared" si="3"/>
        <v>1</v>
      </c>
      <c r="D96"/>
      <c r="E96" s="227" t="str">
        <v>Underwear</v>
      </c>
      <c r="F96" s="227" t="str">
        <v>Underwear</v>
      </c>
      <c r="G96" s="227" t="b">
        <f t="shared" si="4"/>
        <v>1</v>
      </c>
    </row>
    <row r="97" spans="1:7">
      <c r="A97" s="315" t="s">
        <v>2203</v>
      </c>
      <c r="B97" s="227" t="s">
        <v>1261</v>
      </c>
      <c r="C97" s="227" t="b">
        <f t="shared" si="3"/>
        <v>1</v>
      </c>
      <c r="D97"/>
      <c r="G97" s="227" t="b">
        <f t="shared" si="4"/>
        <v>0</v>
      </c>
    </row>
    <row r="98" spans="1:7">
      <c r="A98" s="315" t="s">
        <v>2065</v>
      </c>
      <c r="B98" s="227" t="s">
        <v>1261</v>
      </c>
      <c r="C98" s="227" t="b">
        <f t="shared" si="3"/>
        <v>1</v>
      </c>
      <c r="D98"/>
      <c r="G98" s="227" t="b">
        <f t="shared" si="4"/>
        <v>0</v>
      </c>
    </row>
    <row r="99" spans="1:7">
      <c r="A99" s="315" t="s">
        <v>2066</v>
      </c>
      <c r="B99" s="227" t="s">
        <v>1261</v>
      </c>
      <c r="C99" s="227" t="b">
        <f t="shared" si="3"/>
        <v>1</v>
      </c>
      <c r="D99"/>
      <c r="G99" s="227" t="b">
        <f t="shared" si="4"/>
        <v>0</v>
      </c>
    </row>
    <row r="100" spans="1:7">
      <c r="A100" s="315" t="s">
        <v>2067</v>
      </c>
      <c r="B100" s="227" t="s">
        <v>1261</v>
      </c>
      <c r="C100" s="227" t="b">
        <f t="shared" si="3"/>
        <v>1</v>
      </c>
      <c r="D100"/>
    </row>
    <row r="101" spans="1:7">
      <c r="D101"/>
    </row>
    <row r="102" spans="1:7">
      <c r="D102"/>
    </row>
    <row r="103" spans="1:7">
      <c r="D103"/>
    </row>
    <row r="104" spans="1:7">
      <c r="D104"/>
    </row>
    <row r="105" spans="1:7">
      <c r="D105"/>
    </row>
    <row r="106" spans="1:7">
      <c r="D106"/>
    </row>
    <row r="107" spans="1:7">
      <c r="D107"/>
    </row>
    <row r="108" spans="1:7">
      <c r="D108"/>
    </row>
    <row r="109" spans="1:7">
      <c r="D109"/>
    </row>
    <row r="110" spans="1:7">
      <c r="D110"/>
    </row>
    <row r="111" spans="1:7">
      <c r="D111"/>
    </row>
    <row r="112" spans="1:7">
      <c r="D112"/>
    </row>
    <row r="113" spans="4:4">
      <c r="D113"/>
    </row>
    <row r="114" spans="4:4">
      <c r="D114"/>
    </row>
    <row r="115" spans="4:4">
      <c r="D115"/>
    </row>
    <row r="116" spans="4:4">
      <c r="D116"/>
    </row>
    <row r="117" spans="4:4">
      <c r="D117"/>
    </row>
    <row r="118" spans="4:4">
      <c r="D118"/>
    </row>
    <row r="119" spans="4:4">
      <c r="D119"/>
    </row>
    <row r="120" spans="4:4">
      <c r="D120"/>
    </row>
    <row r="121" spans="4:4">
      <c r="D121"/>
    </row>
    <row r="122" spans="4:4">
      <c r="D122"/>
    </row>
    <row r="123" spans="4:4">
      <c r="D123"/>
    </row>
    <row r="124" spans="4:4">
      <c r="D124"/>
    </row>
    <row r="125" spans="4:4">
      <c r="D125"/>
    </row>
    <row r="126" spans="4:4">
      <c r="D126"/>
    </row>
    <row r="127" spans="4:4">
      <c r="D127"/>
    </row>
    <row r="128" spans="4:4">
      <c r="D128"/>
    </row>
    <row r="129" spans="4:4">
      <c r="D129"/>
    </row>
    <row r="130" spans="4:4">
      <c r="D130"/>
    </row>
    <row r="131" spans="4:4">
      <c r="D131"/>
    </row>
    <row r="132" spans="4:4">
      <c r="D132"/>
    </row>
    <row r="133" spans="4:4">
      <c r="D133"/>
    </row>
    <row r="134" spans="4:4">
      <c r="D134"/>
    </row>
    <row r="135" spans="4:4">
      <c r="D135"/>
    </row>
    <row r="136" spans="4:4">
      <c r="D136"/>
    </row>
    <row r="137" spans="4:4">
      <c r="D137"/>
    </row>
    <row r="138" spans="4:4">
      <c r="D138"/>
    </row>
    <row r="139" spans="4:4">
      <c r="D139"/>
    </row>
    <row r="140" spans="4:4">
      <c r="D140"/>
    </row>
    <row r="141" spans="4:4">
      <c r="D141"/>
    </row>
    <row r="142" spans="4:4">
      <c r="D142"/>
    </row>
    <row r="143" spans="4:4">
      <c r="D143"/>
    </row>
    <row r="144" spans="4:4">
      <c r="D144"/>
    </row>
    <row r="145" spans="4:4">
      <c r="D145"/>
    </row>
    <row r="146" spans="4:4">
      <c r="D146"/>
    </row>
    <row r="147" spans="4:4">
      <c r="D147"/>
    </row>
    <row r="148" spans="4:4">
      <c r="D148"/>
    </row>
    <row r="149" spans="4:4">
      <c r="D149"/>
    </row>
    <row r="150" spans="4:4">
      <c r="D150"/>
    </row>
    <row r="151" spans="4:4">
      <c r="D151"/>
    </row>
    <row r="152" spans="4:4">
      <c r="D152"/>
    </row>
    <row r="153" spans="4:4">
      <c r="D153"/>
    </row>
    <row r="154" spans="4:4">
      <c r="D154"/>
    </row>
    <row r="155" spans="4:4">
      <c r="D155"/>
    </row>
    <row r="156" spans="4:4">
      <c r="D156"/>
    </row>
    <row r="157" spans="4:4">
      <c r="D157"/>
    </row>
    <row r="158" spans="4:4">
      <c r="D158"/>
    </row>
    <row r="159" spans="4:4">
      <c r="D159"/>
    </row>
    <row r="160" spans="4:4">
      <c r="D160"/>
    </row>
    <row r="161" spans="4:4">
      <c r="D161"/>
    </row>
    <row r="162" spans="4:4">
      <c r="D162"/>
    </row>
    <row r="163" spans="4:4">
      <c r="D163"/>
    </row>
    <row r="164" spans="4:4">
      <c r="D164"/>
    </row>
    <row r="165" spans="4:4">
      <c r="D165"/>
    </row>
    <row r="166" spans="4:4">
      <c r="D166"/>
    </row>
    <row r="167" spans="4:4">
      <c r="D167"/>
    </row>
    <row r="168" spans="4:4">
      <c r="D168"/>
    </row>
    <row r="169" spans="4:4">
      <c r="D169"/>
    </row>
    <row r="170" spans="4:4">
      <c r="D170"/>
    </row>
    <row r="171" spans="4:4">
      <c r="D171"/>
    </row>
    <row r="172" spans="4:4">
      <c r="D172"/>
    </row>
    <row r="173" spans="4:4">
      <c r="D173"/>
    </row>
    <row r="174" spans="4:4">
      <c r="D174"/>
    </row>
    <row r="175" spans="4:4">
      <c r="D175"/>
    </row>
    <row r="176" spans="4:4">
      <c r="D176"/>
    </row>
    <row r="177" spans="4:4">
      <c r="D177"/>
    </row>
    <row r="178" spans="4:4">
      <c r="D178"/>
    </row>
    <row r="179" spans="4:4">
      <c r="D179"/>
    </row>
    <row r="180" spans="4:4">
      <c r="D180"/>
    </row>
    <row r="181" spans="4:4">
      <c r="D181"/>
    </row>
    <row r="182" spans="4:4">
      <c r="D182"/>
    </row>
    <row r="183" spans="4:4">
      <c r="D183"/>
    </row>
    <row r="184" spans="4:4">
      <c r="D184"/>
    </row>
    <row r="185" spans="4:4">
      <c r="D185"/>
    </row>
    <row r="186" spans="4:4">
      <c r="D186"/>
    </row>
    <row r="187" spans="4:4">
      <c r="D187"/>
    </row>
    <row r="188" spans="4:4">
      <c r="D188"/>
    </row>
    <row r="189" spans="4:4">
      <c r="D189"/>
    </row>
    <row r="190" spans="4:4">
      <c r="D190"/>
    </row>
    <row r="191" spans="4:4">
      <c r="D191"/>
    </row>
    <row r="192" spans="4:4">
      <c r="D192"/>
    </row>
    <row r="193" spans="4:4">
      <c r="D193"/>
    </row>
    <row r="194" spans="4:4">
      <c r="D194"/>
    </row>
    <row r="195" spans="4:4">
      <c r="D195"/>
    </row>
    <row r="196" spans="4:4">
      <c r="D196"/>
    </row>
    <row r="197" spans="4:4">
      <c r="D197"/>
    </row>
    <row r="198" spans="4:4">
      <c r="D198"/>
    </row>
    <row r="199" spans="4:4">
      <c r="D199"/>
    </row>
    <row r="200" spans="4:4">
      <c r="D200"/>
    </row>
    <row r="201" spans="4:4">
      <c r="D201"/>
    </row>
    <row r="202" spans="4:4">
      <c r="D202"/>
    </row>
    <row r="203" spans="4:4">
      <c r="D203"/>
    </row>
    <row r="204" spans="4:4">
      <c r="D204"/>
    </row>
    <row r="205" spans="4:4">
      <c r="D205"/>
    </row>
    <row r="206" spans="4:4">
      <c r="D206"/>
    </row>
    <row r="207" spans="4:4">
      <c r="D207"/>
    </row>
    <row r="208" spans="4:4">
      <c r="D208"/>
    </row>
  </sheetData>
  <autoFilter ref="A1:B93" xr:uid="{990E2BB4-67D9-4051-BA87-FD201D2882C8}"/>
  <conditionalFormatting sqref="C2:C100">
    <cfRule type="containsText" dxfId="17" priority="2" operator="containsText" text="true">
      <formula>NOT(ISERROR(SEARCH("true",C2)))</formula>
    </cfRule>
  </conditionalFormatting>
  <conditionalFormatting sqref="G2:G99">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4A13-8F7E-4B93-B48F-573BE1A75152}">
  <sheetPr>
    <tabColor theme="3"/>
  </sheetPr>
  <dimension ref="A1:D79"/>
  <sheetViews>
    <sheetView topLeftCell="A48" workbookViewId="0">
      <selection activeCell="C81" sqref="C81"/>
    </sheetView>
  </sheetViews>
  <sheetFormatPr defaultColWidth="8.85546875" defaultRowHeight="15"/>
  <cols>
    <col min="1" max="1" width="70.7109375" style="598" customWidth="1"/>
    <col min="2" max="2" width="30.7109375" style="598" customWidth="1"/>
    <col min="3" max="3" width="100.7109375" style="598" customWidth="1"/>
    <col min="4" max="4" width="200.7109375" style="600" customWidth="1"/>
    <col min="5" max="16384" width="8.85546875" style="598"/>
  </cols>
  <sheetData>
    <row r="1" spans="1:4" s="599" customFormat="1" ht="15.75" thickBot="1">
      <c r="A1" s="601" t="s">
        <v>1338</v>
      </c>
      <c r="B1" s="601" t="s">
        <v>1339</v>
      </c>
      <c r="C1" s="601" t="s">
        <v>1340</v>
      </c>
      <c r="D1" s="601" t="s">
        <v>1341</v>
      </c>
    </row>
    <row r="2" spans="1:4" s="600" customFormat="1">
      <c r="A2" s="725" t="s">
        <v>194</v>
      </c>
      <c r="B2" s="726" t="s">
        <v>1261</v>
      </c>
      <c r="C2" s="726" t="s">
        <v>1342</v>
      </c>
      <c r="D2" s="727" t="s">
        <v>45</v>
      </c>
    </row>
    <row r="3" spans="1:4" s="600" customFormat="1" ht="90">
      <c r="A3" s="728" t="s">
        <v>1343</v>
      </c>
      <c r="B3" s="729" t="s">
        <v>1262</v>
      </c>
      <c r="C3" s="730" t="s">
        <v>1344</v>
      </c>
      <c r="D3" s="731" t="s">
        <v>1345</v>
      </c>
    </row>
    <row r="4" spans="1:4" s="600" customFormat="1" ht="210" customHeight="1" thickBot="1">
      <c r="A4" s="732" t="s">
        <v>1346</v>
      </c>
      <c r="B4" s="733" t="s">
        <v>1263</v>
      </c>
      <c r="C4" s="734" t="s">
        <v>1347</v>
      </c>
      <c r="D4" s="735" t="s">
        <v>1348</v>
      </c>
    </row>
    <row r="5" spans="1:4" s="600" customFormat="1">
      <c r="A5" s="736" t="s">
        <v>190</v>
      </c>
      <c r="B5" s="737" t="s">
        <v>1264</v>
      </c>
      <c r="C5" s="737" t="s">
        <v>1349</v>
      </c>
      <c r="D5" s="738" t="s">
        <v>45</v>
      </c>
    </row>
    <row r="6" spans="1:4" s="600" customFormat="1" ht="15.75" thickBot="1">
      <c r="A6" s="732" t="s">
        <v>191</v>
      </c>
      <c r="B6" s="733" t="s">
        <v>1265</v>
      </c>
      <c r="C6" s="733" t="s">
        <v>1350</v>
      </c>
      <c r="D6" s="602" t="s">
        <v>1351</v>
      </c>
    </row>
    <row r="7" spans="1:4" s="600" customFormat="1">
      <c r="A7" s="725" t="s">
        <v>242</v>
      </c>
      <c r="B7" s="726" t="s">
        <v>1266</v>
      </c>
      <c r="C7" s="726" t="s">
        <v>1352</v>
      </c>
      <c r="D7" s="727" t="s">
        <v>45</v>
      </c>
    </row>
    <row r="8" spans="1:4" s="600" customFormat="1" ht="15.75" thickBot="1">
      <c r="A8" s="732" t="s">
        <v>356</v>
      </c>
      <c r="B8" s="733" t="s">
        <v>1267</v>
      </c>
      <c r="C8" s="733" t="s">
        <v>1350</v>
      </c>
      <c r="D8" s="602" t="s">
        <v>1351</v>
      </c>
    </row>
    <row r="9" spans="1:4" s="600" customFormat="1" ht="15.75" thickBot="1">
      <c r="A9" s="739" t="s">
        <v>346</v>
      </c>
      <c r="B9" s="740" t="s">
        <v>1268</v>
      </c>
      <c r="C9" s="740" t="s">
        <v>1353</v>
      </c>
      <c r="D9" s="741" t="s">
        <v>45</v>
      </c>
    </row>
    <row r="10" spans="1:4" s="600" customFormat="1">
      <c r="A10" s="725" t="s">
        <v>153</v>
      </c>
      <c r="B10" s="726" t="s">
        <v>1269</v>
      </c>
      <c r="C10" s="726" t="s">
        <v>1354</v>
      </c>
      <c r="D10" s="727" t="s">
        <v>45</v>
      </c>
    </row>
    <row r="11" spans="1:4" s="600" customFormat="1" ht="15.75" thickBot="1">
      <c r="A11" s="732" t="s">
        <v>162</v>
      </c>
      <c r="B11" s="733" t="s">
        <v>1270</v>
      </c>
      <c r="C11" s="742" t="s">
        <v>1350</v>
      </c>
      <c r="D11" s="743" t="s">
        <v>1351</v>
      </c>
    </row>
    <row r="12" spans="1:4" s="600" customFormat="1" ht="15.75" thickBot="1">
      <c r="A12" s="744" t="s">
        <v>348</v>
      </c>
      <c r="B12" s="745" t="s">
        <v>1271</v>
      </c>
      <c r="C12" s="745" t="s">
        <v>1355</v>
      </c>
      <c r="D12" s="746" t="s">
        <v>45</v>
      </c>
    </row>
    <row r="13" spans="1:4" s="600" customFormat="1">
      <c r="A13" s="725" t="s">
        <v>186</v>
      </c>
      <c r="B13" s="726" t="s">
        <v>1272</v>
      </c>
      <c r="C13" s="726" t="s">
        <v>1356</v>
      </c>
      <c r="D13" s="727" t="s">
        <v>45</v>
      </c>
    </row>
    <row r="14" spans="1:4" s="600" customFormat="1" ht="15.75" thickBot="1">
      <c r="A14" s="747" t="s">
        <v>187</v>
      </c>
      <c r="B14" s="748" t="s">
        <v>1273</v>
      </c>
      <c r="C14" s="733" t="s">
        <v>1350</v>
      </c>
      <c r="D14" s="602" t="s">
        <v>1351</v>
      </c>
    </row>
    <row r="15" spans="1:4" s="600" customFormat="1">
      <c r="A15" s="725" t="s">
        <v>171</v>
      </c>
      <c r="B15" s="726" t="s">
        <v>1274</v>
      </c>
      <c r="C15" s="726" t="s">
        <v>1357</v>
      </c>
      <c r="D15" s="727" t="s">
        <v>45</v>
      </c>
    </row>
    <row r="16" spans="1:4" s="600" customFormat="1" ht="15.75" thickBot="1">
      <c r="A16" s="732" t="s">
        <v>172</v>
      </c>
      <c r="B16" s="733" t="s">
        <v>1275</v>
      </c>
      <c r="C16" s="742" t="s">
        <v>1350</v>
      </c>
      <c r="D16" s="743" t="s">
        <v>1351</v>
      </c>
    </row>
    <row r="17" spans="1:4" s="600" customFormat="1" ht="15.75" thickBot="1">
      <c r="A17" s="739" t="s">
        <v>238</v>
      </c>
      <c r="B17" s="740" t="s">
        <v>1358</v>
      </c>
      <c r="C17" s="740" t="s">
        <v>1359</v>
      </c>
      <c r="D17" s="741" t="s">
        <v>45</v>
      </c>
    </row>
    <row r="18" spans="1:4" s="600" customFormat="1">
      <c r="A18" s="725" t="s">
        <v>350</v>
      </c>
      <c r="B18" s="726" t="s">
        <v>1277</v>
      </c>
      <c r="C18" s="726" t="s">
        <v>1360</v>
      </c>
      <c r="D18" s="727" t="s">
        <v>45</v>
      </c>
    </row>
    <row r="19" spans="1:4" s="600" customFormat="1" ht="15.75" thickBot="1">
      <c r="A19" s="732" t="s">
        <v>360</v>
      </c>
      <c r="B19" s="733" t="s">
        <v>1278</v>
      </c>
      <c r="C19" s="733" t="s">
        <v>1350</v>
      </c>
      <c r="D19" s="602" t="s">
        <v>1351</v>
      </c>
    </row>
    <row r="20" spans="1:4" s="600" customFormat="1">
      <c r="A20" s="749" t="s">
        <v>451</v>
      </c>
      <c r="B20" s="750" t="s">
        <v>1279</v>
      </c>
      <c r="C20" s="750" t="s">
        <v>1361</v>
      </c>
      <c r="D20" s="603" t="s">
        <v>1362</v>
      </c>
    </row>
    <row r="21" spans="1:4" s="600" customFormat="1">
      <c r="A21" s="751" t="s">
        <v>456</v>
      </c>
      <c r="B21" s="752" t="s">
        <v>1280</v>
      </c>
      <c r="C21" s="752" t="s">
        <v>1350</v>
      </c>
      <c r="D21" s="604" t="s">
        <v>1351</v>
      </c>
    </row>
    <row r="22" spans="1:4" s="600" customFormat="1">
      <c r="A22" s="728" t="s">
        <v>454</v>
      </c>
      <c r="B22" s="729" t="s">
        <v>1281</v>
      </c>
      <c r="C22" s="729" t="s">
        <v>1363</v>
      </c>
      <c r="D22" s="605" t="s">
        <v>1364</v>
      </c>
    </row>
    <row r="23" spans="1:4" s="600" customFormat="1" ht="15.75" thickBot="1">
      <c r="A23" s="732" t="s">
        <v>455</v>
      </c>
      <c r="B23" s="733" t="s">
        <v>1282</v>
      </c>
      <c r="C23" s="733" t="s">
        <v>1350</v>
      </c>
      <c r="D23" s="602" t="s">
        <v>1351</v>
      </c>
    </row>
    <row r="24" spans="1:4" s="600" customFormat="1">
      <c r="A24" s="749" t="s">
        <v>500</v>
      </c>
      <c r="B24" s="750" t="s">
        <v>1283</v>
      </c>
      <c r="C24" s="750" t="s">
        <v>1365</v>
      </c>
      <c r="D24" s="603" t="s">
        <v>1362</v>
      </c>
    </row>
    <row r="25" spans="1:4" s="600" customFormat="1">
      <c r="A25" s="751" t="s">
        <v>499</v>
      </c>
      <c r="B25" s="752" t="s">
        <v>1284</v>
      </c>
      <c r="C25" s="752" t="s">
        <v>1350</v>
      </c>
      <c r="D25" s="604" t="s">
        <v>1351</v>
      </c>
    </row>
    <row r="26" spans="1:4" s="600" customFormat="1">
      <c r="A26" s="728" t="s">
        <v>498</v>
      </c>
      <c r="B26" s="729" t="s">
        <v>1285</v>
      </c>
      <c r="C26" s="729" t="s">
        <v>1366</v>
      </c>
      <c r="D26" s="605" t="s">
        <v>1367</v>
      </c>
    </row>
    <row r="27" spans="1:4" s="600" customFormat="1" ht="15.75" thickBot="1">
      <c r="A27" s="728" t="s">
        <v>497</v>
      </c>
      <c r="B27" s="729" t="s">
        <v>1286</v>
      </c>
      <c r="C27" s="729" t="s">
        <v>1350</v>
      </c>
      <c r="D27" s="606" t="s">
        <v>1351</v>
      </c>
    </row>
    <row r="28" spans="1:4" s="600" customFormat="1">
      <c r="A28" s="751" t="s">
        <v>462</v>
      </c>
      <c r="B28" s="752" t="s">
        <v>1287</v>
      </c>
      <c r="C28" s="750" t="s">
        <v>1368</v>
      </c>
      <c r="D28" s="603" t="s">
        <v>1362</v>
      </c>
    </row>
    <row r="29" spans="1:4" s="600" customFormat="1">
      <c r="A29" s="751" t="s">
        <v>461</v>
      </c>
      <c r="B29" s="752" t="s">
        <v>1288</v>
      </c>
      <c r="C29" s="752" t="s">
        <v>1350</v>
      </c>
      <c r="D29" s="604" t="s">
        <v>1351</v>
      </c>
    </row>
    <row r="30" spans="1:4" s="600" customFormat="1">
      <c r="A30" s="728" t="s">
        <v>460</v>
      </c>
      <c r="B30" s="729" t="s">
        <v>1289</v>
      </c>
      <c r="C30" s="729" t="s">
        <v>1369</v>
      </c>
      <c r="D30" s="605" t="s">
        <v>1367</v>
      </c>
    </row>
    <row r="31" spans="1:4" s="600" customFormat="1" ht="15.75" thickBot="1">
      <c r="A31" s="732" t="s">
        <v>459</v>
      </c>
      <c r="B31" s="733" t="s">
        <v>1290</v>
      </c>
      <c r="C31" s="733" t="s">
        <v>1350</v>
      </c>
      <c r="D31" s="602" t="s">
        <v>1351</v>
      </c>
    </row>
    <row r="32" spans="1:4" s="600" customFormat="1">
      <c r="A32" s="749" t="s">
        <v>465</v>
      </c>
      <c r="B32" s="750" t="s">
        <v>1291</v>
      </c>
      <c r="C32" s="750" t="s">
        <v>1370</v>
      </c>
      <c r="D32" s="603" t="s">
        <v>1362</v>
      </c>
    </row>
    <row r="33" spans="1:4" s="600" customFormat="1">
      <c r="A33" s="751" t="s">
        <v>524</v>
      </c>
      <c r="B33" s="752" t="s">
        <v>1292</v>
      </c>
      <c r="C33" s="752" t="s">
        <v>1350</v>
      </c>
      <c r="D33" s="604" t="s">
        <v>1351</v>
      </c>
    </row>
    <row r="34" spans="1:4" s="600" customFormat="1">
      <c r="A34" s="728" t="s">
        <v>472</v>
      </c>
      <c r="B34" s="729" t="s">
        <v>1293</v>
      </c>
      <c r="C34" s="729" t="s">
        <v>1371</v>
      </c>
      <c r="D34" s="605" t="s">
        <v>1372</v>
      </c>
    </row>
    <row r="35" spans="1:4" s="600" customFormat="1">
      <c r="A35" s="728" t="s">
        <v>523</v>
      </c>
      <c r="B35" s="729" t="s">
        <v>1294</v>
      </c>
      <c r="C35" s="729" t="s">
        <v>1350</v>
      </c>
      <c r="D35" s="606" t="s">
        <v>1351</v>
      </c>
    </row>
    <row r="36" spans="1:4" s="600" customFormat="1">
      <c r="A36" s="751" t="s">
        <v>477</v>
      </c>
      <c r="B36" s="752" t="s">
        <v>1295</v>
      </c>
      <c r="C36" s="752" t="s">
        <v>1370</v>
      </c>
      <c r="D36" s="607" t="s">
        <v>1362</v>
      </c>
    </row>
    <row r="37" spans="1:4" s="600" customFormat="1">
      <c r="A37" s="751" t="s">
        <v>488</v>
      </c>
      <c r="B37" s="752" t="s">
        <v>1296</v>
      </c>
      <c r="C37" s="752" t="s">
        <v>1350</v>
      </c>
      <c r="D37" s="604" t="s">
        <v>1351</v>
      </c>
    </row>
    <row r="38" spans="1:4" s="600" customFormat="1">
      <c r="A38" s="728" t="s">
        <v>480</v>
      </c>
      <c r="B38" s="729" t="s">
        <v>1297</v>
      </c>
      <c r="C38" s="729" t="s">
        <v>1371</v>
      </c>
      <c r="D38" s="605" t="s">
        <v>1372</v>
      </c>
    </row>
    <row r="39" spans="1:4" s="600" customFormat="1" ht="15.75" thickBot="1">
      <c r="A39" s="747" t="s">
        <v>487</v>
      </c>
      <c r="B39" s="748" t="s">
        <v>1298</v>
      </c>
      <c r="C39" s="748" t="s">
        <v>1350</v>
      </c>
      <c r="D39" s="608" t="s">
        <v>1351</v>
      </c>
    </row>
    <row r="40" spans="1:4" s="600" customFormat="1">
      <c r="A40" s="749" t="s">
        <v>489</v>
      </c>
      <c r="B40" s="750" t="s">
        <v>1299</v>
      </c>
      <c r="C40" s="750" t="s">
        <v>1373</v>
      </c>
      <c r="D40" s="603" t="s">
        <v>1374</v>
      </c>
    </row>
    <row r="41" spans="1:4" s="600" customFormat="1">
      <c r="A41" s="751" t="s">
        <v>494</v>
      </c>
      <c r="B41" s="752" t="s">
        <v>1300</v>
      </c>
      <c r="C41" s="752" t="s">
        <v>1350</v>
      </c>
      <c r="D41" s="604" t="s">
        <v>1351</v>
      </c>
    </row>
    <row r="42" spans="1:4" s="600" customFormat="1">
      <c r="A42" s="728" t="s">
        <v>490</v>
      </c>
      <c r="B42" s="729" t="s">
        <v>1301</v>
      </c>
      <c r="C42" s="729" t="s">
        <v>1375</v>
      </c>
      <c r="D42" s="607" t="s">
        <v>1374</v>
      </c>
    </row>
    <row r="43" spans="1:4" s="600" customFormat="1" ht="15.75" thickBot="1">
      <c r="A43" s="747" t="s">
        <v>493</v>
      </c>
      <c r="B43" s="748" t="s">
        <v>1302</v>
      </c>
      <c r="C43" s="748" t="s">
        <v>1350</v>
      </c>
      <c r="D43" s="608" t="s">
        <v>1351</v>
      </c>
    </row>
    <row r="44" spans="1:4" s="600" customFormat="1">
      <c r="A44" s="749" t="s">
        <v>520</v>
      </c>
      <c r="B44" s="750" t="s">
        <v>1303</v>
      </c>
      <c r="C44" s="750" t="s">
        <v>1376</v>
      </c>
      <c r="D44" s="609" t="s">
        <v>1351</v>
      </c>
    </row>
    <row r="45" spans="1:4" s="600" customFormat="1">
      <c r="A45" s="751" t="s">
        <v>519</v>
      </c>
      <c r="B45" s="752" t="s">
        <v>1304</v>
      </c>
      <c r="C45" s="752" t="s">
        <v>1350</v>
      </c>
      <c r="D45" s="604" t="s">
        <v>1351</v>
      </c>
    </row>
    <row r="46" spans="1:4" s="600" customFormat="1">
      <c r="A46" s="728" t="s">
        <v>518</v>
      </c>
      <c r="B46" s="729" t="s">
        <v>1305</v>
      </c>
      <c r="C46" s="729" t="s">
        <v>1377</v>
      </c>
      <c r="D46" s="606" t="s">
        <v>1351</v>
      </c>
    </row>
    <row r="47" spans="1:4" s="600" customFormat="1">
      <c r="A47" s="728" t="s">
        <v>517</v>
      </c>
      <c r="B47" s="729" t="s">
        <v>1306</v>
      </c>
      <c r="C47" s="729" t="s">
        <v>1350</v>
      </c>
      <c r="D47" s="606" t="s">
        <v>1351</v>
      </c>
    </row>
    <row r="48" spans="1:4" s="600" customFormat="1">
      <c r="A48" s="751" t="s">
        <v>484</v>
      </c>
      <c r="B48" s="752" t="s">
        <v>1307</v>
      </c>
      <c r="C48" s="752" t="s">
        <v>1378</v>
      </c>
      <c r="D48" s="753" t="s">
        <v>1351</v>
      </c>
    </row>
    <row r="49" spans="1:4" s="600" customFormat="1">
      <c r="A49" s="751" t="s">
        <v>483</v>
      </c>
      <c r="B49" s="752" t="s">
        <v>1308</v>
      </c>
      <c r="C49" s="752" t="s">
        <v>1350</v>
      </c>
      <c r="D49" s="604" t="s">
        <v>1351</v>
      </c>
    </row>
    <row r="50" spans="1:4" s="600" customFormat="1">
      <c r="A50" s="728" t="s">
        <v>482</v>
      </c>
      <c r="B50" s="729" t="s">
        <v>1309</v>
      </c>
      <c r="C50" s="729" t="s">
        <v>1376</v>
      </c>
      <c r="D50" s="754" t="s">
        <v>1351</v>
      </c>
    </row>
    <row r="51" spans="1:4" s="600" customFormat="1" ht="15.75" thickBot="1">
      <c r="A51" s="732" t="s">
        <v>481</v>
      </c>
      <c r="B51" s="733" t="s">
        <v>1310</v>
      </c>
      <c r="C51" s="733" t="s">
        <v>1350</v>
      </c>
      <c r="D51" s="602" t="s">
        <v>1351</v>
      </c>
    </row>
    <row r="52" spans="1:4" s="600" customFormat="1">
      <c r="A52" s="725" t="s">
        <v>448</v>
      </c>
      <c r="B52" s="726" t="s">
        <v>1311</v>
      </c>
      <c r="C52" s="726" t="s">
        <v>1379</v>
      </c>
      <c r="D52" s="754" t="s">
        <v>1380</v>
      </c>
    </row>
    <row r="53" spans="1:4" s="600" customFormat="1">
      <c r="A53" s="728" t="s">
        <v>447</v>
      </c>
      <c r="B53" s="729" t="s">
        <v>1312</v>
      </c>
      <c r="C53" s="729" t="s">
        <v>1350</v>
      </c>
      <c r="D53" s="606" t="s">
        <v>1351</v>
      </c>
    </row>
    <row r="54" spans="1:4" s="600" customFormat="1">
      <c r="A54" s="728" t="s">
        <v>450</v>
      </c>
      <c r="B54" s="729" t="s">
        <v>1313</v>
      </c>
      <c r="C54" s="729" t="s">
        <v>1381</v>
      </c>
      <c r="D54" s="754" t="s">
        <v>1380</v>
      </c>
    </row>
    <row r="55" spans="1:4" s="600" customFormat="1" ht="15.75" thickBot="1">
      <c r="A55" s="732" t="s">
        <v>449</v>
      </c>
      <c r="B55" s="733" t="s">
        <v>1314</v>
      </c>
      <c r="C55" s="733" t="s">
        <v>1350</v>
      </c>
      <c r="D55" s="602" t="s">
        <v>1351</v>
      </c>
    </row>
    <row r="56" spans="1:4" s="600" customFormat="1">
      <c r="A56" s="749" t="s">
        <v>509</v>
      </c>
      <c r="B56" s="750" t="s">
        <v>1315</v>
      </c>
      <c r="C56" s="750" t="s">
        <v>1382</v>
      </c>
      <c r="D56" s="603" t="s">
        <v>1383</v>
      </c>
    </row>
    <row r="57" spans="1:4" s="600" customFormat="1">
      <c r="A57" s="751" t="s">
        <v>514</v>
      </c>
      <c r="B57" s="752" t="s">
        <v>1316</v>
      </c>
      <c r="C57" s="752" t="s">
        <v>1350</v>
      </c>
      <c r="D57" s="604" t="s">
        <v>1351</v>
      </c>
    </row>
    <row r="58" spans="1:4" s="600" customFormat="1">
      <c r="A58" s="728" t="s">
        <v>511</v>
      </c>
      <c r="B58" s="729" t="s">
        <v>1317</v>
      </c>
      <c r="C58" s="729" t="s">
        <v>1384</v>
      </c>
      <c r="D58" s="605" t="s">
        <v>1383</v>
      </c>
    </row>
    <row r="59" spans="1:4" s="600" customFormat="1">
      <c r="A59" s="728" t="s">
        <v>510</v>
      </c>
      <c r="B59" s="729" t="s">
        <v>1318</v>
      </c>
      <c r="C59" s="729" t="s">
        <v>1350</v>
      </c>
      <c r="D59" s="606" t="s">
        <v>1351</v>
      </c>
    </row>
    <row r="60" spans="1:4" s="600" customFormat="1">
      <c r="A60" s="751" t="s">
        <v>476</v>
      </c>
      <c r="B60" s="752" t="s">
        <v>1319</v>
      </c>
      <c r="C60" s="752" t="s">
        <v>1385</v>
      </c>
      <c r="D60" s="607" t="s">
        <v>1383</v>
      </c>
    </row>
    <row r="61" spans="1:4" s="600" customFormat="1">
      <c r="A61" s="751" t="s">
        <v>475</v>
      </c>
      <c r="B61" s="752" t="s">
        <v>1320</v>
      </c>
      <c r="C61" s="752" t="s">
        <v>1350</v>
      </c>
      <c r="D61" s="604" t="s">
        <v>1351</v>
      </c>
    </row>
    <row r="62" spans="1:4" s="600" customFormat="1">
      <c r="A62" s="728" t="s">
        <v>474</v>
      </c>
      <c r="B62" s="729" t="s">
        <v>1321</v>
      </c>
      <c r="C62" s="729" t="s">
        <v>1386</v>
      </c>
      <c r="D62" s="605" t="s">
        <v>1383</v>
      </c>
    </row>
    <row r="63" spans="1:4" s="600" customFormat="1" ht="15.75" thickBot="1">
      <c r="A63" s="732" t="s">
        <v>473</v>
      </c>
      <c r="B63" s="733" t="s">
        <v>1322</v>
      </c>
      <c r="C63" s="733" t="s">
        <v>1350</v>
      </c>
      <c r="D63" s="602" t="s">
        <v>1351</v>
      </c>
    </row>
    <row r="64" spans="1:4" s="600" customFormat="1" ht="30">
      <c r="A64" s="749" t="s">
        <v>506</v>
      </c>
      <c r="B64" s="750" t="s">
        <v>1323</v>
      </c>
      <c r="C64" s="755" t="s">
        <v>1387</v>
      </c>
      <c r="D64" s="603" t="s">
        <v>1383</v>
      </c>
    </row>
    <row r="65" spans="1:4" s="600" customFormat="1">
      <c r="A65" s="751" t="s">
        <v>505</v>
      </c>
      <c r="B65" s="752" t="s">
        <v>1324</v>
      </c>
      <c r="C65" s="752" t="s">
        <v>1350</v>
      </c>
      <c r="D65" s="604" t="s">
        <v>1351</v>
      </c>
    </row>
    <row r="66" spans="1:4" s="600" customFormat="1" ht="30">
      <c r="A66" s="728" t="s">
        <v>504</v>
      </c>
      <c r="B66" s="729" t="s">
        <v>1325</v>
      </c>
      <c r="C66" s="730" t="s">
        <v>1388</v>
      </c>
      <c r="D66" s="605" t="s">
        <v>1383</v>
      </c>
    </row>
    <row r="67" spans="1:4" s="600" customFormat="1">
      <c r="A67" s="728" t="s">
        <v>503</v>
      </c>
      <c r="B67" s="729" t="s">
        <v>1326</v>
      </c>
      <c r="C67" s="729" t="s">
        <v>1350</v>
      </c>
      <c r="D67" s="606" t="s">
        <v>1351</v>
      </c>
    </row>
    <row r="68" spans="1:4" s="600" customFormat="1" ht="30">
      <c r="A68" s="751" t="s">
        <v>469</v>
      </c>
      <c r="B68" s="752" t="s">
        <v>1327</v>
      </c>
      <c r="C68" s="756" t="s">
        <v>1389</v>
      </c>
      <c r="D68" s="607" t="s">
        <v>1383</v>
      </c>
    </row>
    <row r="69" spans="1:4" s="600" customFormat="1">
      <c r="A69" s="751" t="s">
        <v>468</v>
      </c>
      <c r="B69" s="752" t="s">
        <v>1328</v>
      </c>
      <c r="C69" s="752" t="s">
        <v>1350</v>
      </c>
      <c r="D69" s="604" t="s">
        <v>1351</v>
      </c>
    </row>
    <row r="70" spans="1:4" s="600" customFormat="1" ht="30">
      <c r="A70" s="728" t="s">
        <v>467</v>
      </c>
      <c r="B70" s="729" t="s">
        <v>1329</v>
      </c>
      <c r="C70" s="730" t="s">
        <v>1390</v>
      </c>
      <c r="D70" s="605" t="s">
        <v>1383</v>
      </c>
    </row>
    <row r="71" spans="1:4" s="600" customFormat="1">
      <c r="A71" s="747" t="s">
        <v>466</v>
      </c>
      <c r="B71" s="748" t="s">
        <v>1330</v>
      </c>
      <c r="C71" s="748" t="s">
        <v>1350</v>
      </c>
      <c r="D71" s="608" t="s">
        <v>1351</v>
      </c>
    </row>
    <row r="72" spans="1:4" s="902" customFormat="1">
      <c r="A72" s="904" t="s">
        <v>311</v>
      </c>
      <c r="B72" s="905" t="s">
        <v>1260</v>
      </c>
      <c r="C72" s="905" t="s">
        <v>1391</v>
      </c>
      <c r="D72" s="906" t="s">
        <v>1392</v>
      </c>
    </row>
    <row r="73" spans="1:4" s="902" customFormat="1" ht="15.75" thickBot="1">
      <c r="A73" s="907" t="s">
        <v>312</v>
      </c>
      <c r="B73" s="908" t="s">
        <v>1259</v>
      </c>
      <c r="C73" s="908" t="s">
        <v>1393</v>
      </c>
      <c r="D73" s="909" t="s">
        <v>1394</v>
      </c>
    </row>
    <row r="74" spans="1:4">
      <c r="A74" s="227" t="s">
        <v>964</v>
      </c>
      <c r="B74" s="227" t="s">
        <v>1254</v>
      </c>
      <c r="C74" s="911" t="s">
        <v>2010</v>
      </c>
      <c r="D74" s="912" t="s">
        <v>45</v>
      </c>
    </row>
    <row r="75" spans="1:4">
      <c r="A75" s="890" t="s">
        <v>969</v>
      </c>
      <c r="B75" s="890" t="s">
        <v>979</v>
      </c>
      <c r="C75" s="910" t="s">
        <v>2011</v>
      </c>
      <c r="D75" s="737" t="s">
        <v>1351</v>
      </c>
    </row>
    <row r="76" spans="1:4" s="902" customFormat="1">
      <c r="A76" s="903" t="s">
        <v>970</v>
      </c>
      <c r="B76" s="903" t="s">
        <v>1253</v>
      </c>
      <c r="C76" s="905" t="s">
        <v>2013</v>
      </c>
      <c r="D76" s="901" t="s">
        <v>45</v>
      </c>
    </row>
    <row r="77" spans="1:4" s="902" customFormat="1">
      <c r="A77" s="903" t="s">
        <v>968</v>
      </c>
      <c r="B77" s="903" t="s">
        <v>984</v>
      </c>
      <c r="C77" s="905" t="s">
        <v>2012</v>
      </c>
      <c r="D77" s="913" t="s">
        <v>1351</v>
      </c>
    </row>
    <row r="79" spans="1:4">
      <c r="A79"/>
      <c r="B79"/>
      <c r="C79"/>
      <c r="D79"/>
    </row>
  </sheetData>
  <hyperlinks>
    <hyperlink ref="D30" r:id="rId1" xr:uid="{B26EF0B2-4B4F-42BC-8E1C-4FC0BA34A0C9}"/>
    <hyperlink ref="D26" r:id="rId2" xr:uid="{2EADB0CF-90BA-4E7C-9410-4838676961CF}"/>
    <hyperlink ref="D56" r:id="rId3" xr:uid="{B386FA9C-CB59-4AE7-8853-2470FFA7F742}"/>
    <hyperlink ref="D58" r:id="rId4" xr:uid="{9DF210C6-4BC4-4AD8-9514-0E23F296AA6C}"/>
    <hyperlink ref="D60" r:id="rId5" xr:uid="{71DCC544-0AF1-4318-9DCA-E1B1A62C5692}"/>
    <hyperlink ref="D62" r:id="rId6" xr:uid="{E95CB3CD-4F24-41B7-A5C0-A2931DADCEDD}"/>
    <hyperlink ref="D64" r:id="rId7" xr:uid="{DBDBBF85-6E7F-44CC-9CED-A375BE7F49AC}"/>
    <hyperlink ref="D66" r:id="rId8" xr:uid="{BD59FC2D-9BD7-41EE-B693-AB1AB7AA24FB}"/>
    <hyperlink ref="D68" r:id="rId9" xr:uid="{329A667B-9875-4D21-808D-4FFB5820EFF1}"/>
    <hyperlink ref="D70" r:id="rId10" xr:uid="{6F4475A9-96FF-4B32-B39F-23C06564BA1A}"/>
    <hyperlink ref="D22" r:id="rId11" xr:uid="{ACC5F4E4-47AF-4900-9B8C-EE301DB1DD0A}"/>
    <hyperlink ref="D34" r:id="rId12" xr:uid="{42B113BA-9C6E-4AAE-948B-E14C08443591}"/>
    <hyperlink ref="D38" r:id="rId13" xr:uid="{6641C875-06B7-4B94-B4F8-8810BCCA8D09}"/>
    <hyperlink ref="D20" r:id="rId14" xr:uid="{01594652-8736-4D3F-BEA9-BAB1B05CA7EC}"/>
    <hyperlink ref="D24" r:id="rId15" xr:uid="{DEFA5388-9F05-469F-8E49-60D39597D50B}"/>
    <hyperlink ref="D28" r:id="rId16" xr:uid="{A4C86924-5D7E-48DC-B8EE-5F71D479FE76}"/>
    <hyperlink ref="D40" r:id="rId17" display="https://woodmodo.com/blogs/style-blog/how-long-does-wood-furniture-last-a-comprehensive-guide" xr:uid="{69B8F3E5-D4E0-43FE-9FF4-A7E8F8AEA7FD}"/>
    <hyperlink ref="D42" r:id="rId18" display="https://woodmodo.com/blogs/style-blog/how-long-does-wood-furniture-last-a-comprehensive-guide" xr:uid="{708F31AF-4AB5-4AD1-A187-0597DD932F4A}"/>
  </hyperlinks>
  <pageMargins left="0.7" right="0.7" top="0.75" bottom="0.75" header="0.3" footer="0.3"/>
  <pageSetup orientation="portrait" r:id="rId19"/>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40FB-1C2B-4C64-903E-4B2EB04F7F3C}">
  <sheetPr>
    <tabColor rgb="FF92D050"/>
  </sheetPr>
  <dimension ref="A1:K626"/>
  <sheetViews>
    <sheetView topLeftCell="E214" zoomScale="80" zoomScaleNormal="80" zoomScaleSheetLayoutView="104" workbookViewId="0">
      <selection activeCell="I230" sqref="I230"/>
    </sheetView>
  </sheetViews>
  <sheetFormatPr defaultRowHeight="15"/>
  <cols>
    <col min="1" max="1" width="50.7109375" style="17" customWidth="1"/>
    <col min="2" max="2" width="20.7109375" customWidth="1"/>
    <col min="3" max="3" width="50.7109375" customWidth="1"/>
    <col min="4" max="4" width="80.7109375" customWidth="1"/>
    <col min="5" max="5" width="5.7109375" customWidth="1"/>
    <col min="6" max="9" width="60.7109375" customWidth="1"/>
    <col min="10" max="10" width="65.28515625" bestFit="1" customWidth="1"/>
  </cols>
  <sheetData>
    <row r="1" spans="1:11" ht="30" customHeight="1" thickBot="1">
      <c r="A1" s="144" t="s">
        <v>1395</v>
      </c>
      <c r="B1" s="65" t="s">
        <v>1396</v>
      </c>
      <c r="C1" s="65" t="s">
        <v>1397</v>
      </c>
      <c r="D1" s="145" t="s">
        <v>1398</v>
      </c>
      <c r="F1" s="593" t="s">
        <v>1399</v>
      </c>
      <c r="G1" s="1153" t="s">
        <v>1400</v>
      </c>
      <c r="H1" s="1154"/>
      <c r="I1" s="592" t="s">
        <v>1401</v>
      </c>
      <c r="J1" s="592" t="s">
        <v>1401</v>
      </c>
      <c r="K1" s="592"/>
    </row>
    <row r="2" spans="1:11" ht="15.75" thickBot="1">
      <c r="A2" s="73" t="str" cm="1">
        <f t="array" ref="A2:A273">_xlfn._xlws.FILTER(_xlfn.UNIQUE(I3:I462),ISTEXT(_xlfn.UNIQUE(I3:I462)))</f>
        <v>Agriculture</v>
      </c>
      <c r="B2" s="448" t="str">
        <f>IFERROR(VLOOKUP(A2,'Compartments_Kawecki&amp;Nowack19'!A:C,2,FALSE), IFERROR(VLOOKUP(A2,Compartments_Added!A:C,2,FALSE), "Not found"))</f>
        <v>Flow</v>
      </c>
      <c r="C2" s="448" t="str">
        <f>IFERROR(VLOOKUP(A2,'Compartments_Kawecki&amp;Nowack19'!A:C,3,FALSE), IFERROR(VLOOKUP(A2,Compartments_Added!A:C,3,FALSE), "Not found"))</f>
        <v>Agriculture</v>
      </c>
      <c r="D2" s="95" t="str">
        <f>IFERROR(IF(VLOOKUP(A2,'Compartments_Kawecki&amp;Nowack19'!A:C,1,FALSE)=A2, "Kawecki","what?"),"Added/changed")</f>
        <v>Kawecki</v>
      </c>
      <c r="F2" s="48" t="str" cm="1">
        <f t="array" ref="F2:F13">_xlfn.UNIQUE(_xlfn._xlws.FILTER(Input_NL!A:A, Input_NL!A:A &lt;&gt; ""))</f>
        <v>Compartment</v>
      </c>
      <c r="G2" s="32" t="str" cm="1">
        <f t="array" ref="G2:G254">_xlfn.UNIQUE(_xlfn._xlws.FILTER('Transfer coefficients'!A:A,'Transfer coefficients'!A:A &lt;&gt; ""))</f>
        <v>From</v>
      </c>
      <c r="H2" s="32" t="str" cm="1">
        <f t="array" ref="H2:H261">_xlfn.UNIQUE(_xlfn._xlws.FILTER('Transfer coefficients'!B:B,'Transfer coefficients'!B:B &lt;&gt; ""))</f>
        <v>To</v>
      </c>
      <c r="I2" s="32" t="s">
        <v>955</v>
      </c>
      <c r="J2" t="s">
        <v>1402</v>
      </c>
      <c r="K2" s="32"/>
    </row>
    <row r="3" spans="1:11" ht="15.75" thickBot="1">
      <c r="A3" s="74" t="str">
        <v>Domestic primary plastic production</v>
      </c>
      <c r="B3" s="340" t="str">
        <f>IFERROR(VLOOKUP(A3,'Compartments_Kawecki&amp;Nowack19'!A:C,2,FALSE), IFERROR(VLOOKUP(A3,Compartments_Added!A:C,2,FALSE), "Not found"))</f>
        <v>Flow</v>
      </c>
      <c r="C3" s="340" t="str">
        <f>IFERROR(VLOOKUP(A3,'Compartments_Kawecki&amp;Nowack19'!A:C,3,FALSE), IFERROR(VLOOKUP(A3,Compartments_Added!A:C,3,FALSE), "Not found"))</f>
        <v>DomPrimaryProd</v>
      </c>
      <c r="D3" s="95" t="str">
        <f>IFERROR(IF(VLOOKUP(A3,'Compartments_Kawecki&amp;Nowack19'!A:C,1,FALSE)=A3, "Kawecki","what?"),"Added/changed")</f>
        <v>Added/changed</v>
      </c>
      <c r="F3" s="73" t="str">
        <v>Agriculture</v>
      </c>
      <c r="G3" s="444" t="str">
        <v>Agriculture</v>
      </c>
      <c r="H3" s="444" t="str">
        <v>Agricultural greenhouse films (discarded)</v>
      </c>
      <c r="I3" s="440" t="str" cm="1">
        <f t="array" ref="I3:I276">_xlfn.UNIQUE(J3:J650)</f>
        <v>Agriculture</v>
      </c>
      <c r="J3" t="str" cm="1">
        <f t="array" ref="J3:J626">_xlfn.VSTACK(F3:F30,G3:G300,H3:H300)</f>
        <v>Agriculture</v>
      </c>
    </row>
    <row r="4" spans="1:11" ht="15.75" thickBot="1">
      <c r="A4" s="74" t="str">
        <v>Household textiles (product sector)</v>
      </c>
      <c r="B4" s="340" t="str">
        <f>IFERROR(VLOOKUP(A4,'Compartments_Kawecki&amp;Nowack19'!A:C,2,FALSE), IFERROR(VLOOKUP(A4,Compartments_Added!A:C,2,FALSE), "Not found"))</f>
        <v>Flow</v>
      </c>
      <c r="C4" s="340" t="str">
        <f>IFERROR(VLOOKUP(A4,'Compartments_Kawecki&amp;Nowack19'!A:C,3,FALSE), IFERROR(VLOOKUP(A4,Compartments_Added!A:C,3,FALSE), "Not found"))</f>
        <v>HouseholdTextilesPC</v>
      </c>
      <c r="D4" s="95" t="str">
        <f>IFERROR(IF(VLOOKUP(A4,'Compartments_Kawecki&amp;Nowack19'!A:C,1,FALSE)=A4, "Kawecki","what?"),"Added/changed")</f>
        <v>Kawecki</v>
      </c>
      <c r="F4" s="74" t="str">
        <v>Domestic primary plastic production</v>
      </c>
      <c r="G4" s="503" t="str">
        <v>Packaging</v>
      </c>
      <c r="H4" s="318" t="str">
        <v>Agricultural greenhouse films (in use)</v>
      </c>
      <c r="I4" s="508" t="str">
        <v>Domestic primary plastic production</v>
      </c>
      <c r="J4" t="str">
        <v>Domestic primary plastic production</v>
      </c>
    </row>
    <row r="5" spans="1:11" ht="15.75" thickBot="1">
      <c r="A5" s="74" t="str">
        <v>Import of primary plastics</v>
      </c>
      <c r="B5" s="340" t="str">
        <f>IFERROR(VLOOKUP(A5,'Compartments_Kawecki&amp;Nowack19'!A:C,2,FALSE), IFERROR(VLOOKUP(A5,Compartments_Added!A:C,2,FALSE), "Not found"))</f>
        <v>Flow</v>
      </c>
      <c r="C5" s="340" t="str">
        <f>IFERROR(VLOOKUP(A5,'Compartments_Kawecki&amp;Nowack19'!A:C,3,FALSE), IFERROR(VLOOKUP(A5,Compartments_Added!A:C,3,FALSE), "Not found"))</f>
        <v>ImpPrimaryProd</v>
      </c>
      <c r="D5" s="95" t="str">
        <f>IFERROR(IF(VLOOKUP(A5,'Compartments_Kawecki&amp;Nowack19'!A:C,1,FALSE)=A5, "Kawecki","what?"),"Added/changed")</f>
        <v>Added/changed</v>
      </c>
      <c r="F5" s="74" t="str">
        <v>Household textiles (product sector)</v>
      </c>
      <c r="G5" s="503" t="str">
        <v>Agricultural waste collection</v>
      </c>
      <c r="H5" s="318" t="str">
        <v>Agricultural mulching films</v>
      </c>
      <c r="I5" s="508" t="str">
        <v>Household textiles (product sector)</v>
      </c>
      <c r="J5" t="str">
        <v>Household textiles (product sector)</v>
      </c>
    </row>
    <row r="6" spans="1:11" ht="15.75" thickBot="1">
      <c r="A6" s="74" t="str">
        <v>Intentionally produced microparticles</v>
      </c>
      <c r="B6" s="340" t="str">
        <f>IFERROR(VLOOKUP(A6,'Compartments_Kawecki&amp;Nowack19'!A:C,2,FALSE), IFERROR(VLOOKUP(A6,Compartments_Added!A:C,2,FALSE), "Not found"))</f>
        <v>Flow</v>
      </c>
      <c r="C6" s="340" t="str">
        <f>IFERROR(VLOOKUP(A6,'Compartments_Kawecki&amp;Nowack19'!A:C,3,FALSE), IFERROR(VLOOKUP(A6,Compartments_Added!A:C,3,FALSE), "Not found"))</f>
        <v>IntProdMP</v>
      </c>
      <c r="D6" s="95" t="str">
        <f>IFERROR(IF(VLOOKUP(A6,'Compartments_Kawecki&amp;Nowack19'!A:C,1,FALSE)=A6, "Kawecki","what?"),"Added/changed")</f>
        <v>Added/changed</v>
      </c>
      <c r="F6" s="74" t="str">
        <v>Import of primary plastics</v>
      </c>
      <c r="G6" s="503" t="str">
        <v>Agricultural waste collection (micro)</v>
      </c>
      <c r="H6" s="318" t="str">
        <v>Agricultural other</v>
      </c>
      <c r="I6" s="508" t="str">
        <v>Import of primary plastics</v>
      </c>
      <c r="J6" t="str">
        <v>Import of primary plastics</v>
      </c>
    </row>
    <row r="7" spans="1:11" ht="15.75" thickBot="1">
      <c r="A7" s="74" t="str">
        <v>Packaging</v>
      </c>
      <c r="B7" s="340" t="str">
        <f>IFERROR(VLOOKUP(A7,'Compartments_Kawecki&amp;Nowack19'!A:C,2,FALSE), IFERROR(VLOOKUP(A7,Compartments_Added!A:C,2,FALSE), "Not found"))</f>
        <v>Flow</v>
      </c>
      <c r="C7" s="340" t="str">
        <f>IFERROR(VLOOKUP(A7,'Compartments_Kawecki&amp;Nowack19'!A:C,3,FALSE), IFERROR(VLOOKUP(A7,Compartments_Added!A:C,3,FALSE), "Not found"))</f>
        <v>Packaging</v>
      </c>
      <c r="D7" s="95" t="str">
        <f>IFERROR(IF(VLOOKUP(A7,'Compartments_Kawecki&amp;Nowack19'!A:C,1,FALSE)=A7, "Kawecki","what?"),"Added/changed")</f>
        <v>Kawecki</v>
      </c>
      <c r="F7" s="74" t="str">
        <v>Intentionally produced microparticles</v>
      </c>
      <c r="G7" s="503" t="str">
        <v>Agricultural packaging bottles</v>
      </c>
      <c r="H7" s="318" t="str">
        <v>Agricultural packaging bottles</v>
      </c>
      <c r="I7" s="508" t="str">
        <v>Intentionally produced microparticles</v>
      </c>
      <c r="J7" t="str">
        <v>Intentionally produced microparticles</v>
      </c>
    </row>
    <row r="8" spans="1:11" ht="15.75" thickBot="1">
      <c r="A8" s="74" t="str">
        <v>Paint</v>
      </c>
      <c r="B8" s="340" t="str">
        <f>IFERROR(VLOOKUP(A8,'Compartments_Kawecki&amp;Nowack19'!A:C,2,FALSE), IFERROR(VLOOKUP(A8,Compartments_Added!A:C,2,FALSE), "Not found"))</f>
        <v>Flow</v>
      </c>
      <c r="C8" s="340" t="str">
        <f>IFERROR(VLOOKUP(A8,'Compartments_Kawecki&amp;Nowack19'!A:C,3,FALSE), IFERROR(VLOOKUP(A8,Compartments_Added!A:C,3,FALSE), "Not found"))</f>
        <v>Paint</v>
      </c>
      <c r="D8" s="95" t="str">
        <f>IFERROR(IF(VLOOKUP(A8,'Compartments_Kawecki&amp;Nowack19'!A:C,1,FALSE)=A8, "Kawecki","what?"),"Added/changed")</f>
        <v>Added/changed</v>
      </c>
      <c r="F8" s="74" t="str">
        <v>Packaging</v>
      </c>
      <c r="G8" s="503" t="str">
        <v>Agricultural packaging films</v>
      </c>
      <c r="H8" s="318" t="str">
        <v>Agricultural packaging films</v>
      </c>
      <c r="I8" s="508" t="str">
        <v>Packaging</v>
      </c>
      <c r="J8" t="str">
        <v>Packaging</v>
      </c>
    </row>
    <row r="9" spans="1:11" ht="15.75" thickBot="1">
      <c r="A9" s="74" t="str">
        <v>Technical textiles</v>
      </c>
      <c r="B9" s="340" t="str">
        <f>IFERROR(VLOOKUP(A9,'Compartments_Kawecki&amp;Nowack19'!A:C,2,FALSE), IFERROR(VLOOKUP(A9,Compartments_Added!A:C,2,FALSE), "Not found"))</f>
        <v>Flow</v>
      </c>
      <c r="C9" s="340" t="str">
        <f>IFERROR(VLOOKUP(A9,'Compartments_Kawecki&amp;Nowack19'!A:C,3,FALSE), IFERROR(VLOOKUP(A9,Compartments_Added!A:C,3,FALSE), "Not found"))</f>
        <v>TechnicalTextiles</v>
      </c>
      <c r="D9" s="95" t="str">
        <f>IFERROR(IF(VLOOKUP(A9,'Compartments_Kawecki&amp;Nowack19'!A:C,1,FALSE)=A9, "Kawecki","what?"),"Added/changed")</f>
        <v>Kawecki</v>
      </c>
      <c r="F9" s="74" t="str">
        <v>Paint</v>
      </c>
      <c r="G9" s="503" t="str">
        <v>Compost (macro)</v>
      </c>
      <c r="H9" s="318" t="str">
        <v>Agricultural pipes (discarded)</v>
      </c>
      <c r="I9" s="508" t="str">
        <v>Paint</v>
      </c>
      <c r="J9" t="str">
        <v>Paint</v>
      </c>
    </row>
    <row r="10" spans="1:11" ht="15.75" thickBot="1">
      <c r="A10" s="74" t="str">
        <v>Tyre wear</v>
      </c>
      <c r="B10" s="340" t="str">
        <f>IFERROR(VLOOKUP(A10,'Compartments_Kawecki&amp;Nowack19'!A:C,2,FALSE), IFERROR(VLOOKUP(A10,Compartments_Added!A:C,2,FALSE), "Not found"))</f>
        <v>Flow</v>
      </c>
      <c r="C10" s="340" t="str">
        <f>IFERROR(VLOOKUP(A10,'Compartments_Kawecki&amp;Nowack19'!A:C,3,FALSE), IFERROR(VLOOKUP(A10,Compartments_Added!A:C,3,FALSE), "Not found"))</f>
        <v>TyreWear</v>
      </c>
      <c r="D10" s="95" t="str">
        <f>IFERROR(IF(VLOOKUP(A10,'Compartments_Kawecki&amp;Nowack19'!A:C,1,FALSE)=A10, "Kawecki","what?"),"Added/changed")</f>
        <v>Added/changed</v>
      </c>
      <c r="F10" s="74" t="str">
        <v>Technical textiles</v>
      </c>
      <c r="G10" s="503" t="str">
        <v>Agrotextiles</v>
      </c>
      <c r="H10" s="318" t="str">
        <v>Agricultural pipes (in use)</v>
      </c>
      <c r="I10" s="508" t="str">
        <v>Technical textiles</v>
      </c>
      <c r="J10" t="str">
        <v>Technical textiles</v>
      </c>
    </row>
    <row r="11" spans="1:11" ht="15.75" thickBot="1">
      <c r="A11" s="74" t="str">
        <v>Import of clothing (EU)</v>
      </c>
      <c r="B11" s="340" t="str">
        <f>IFERROR(VLOOKUP(A11,'Compartments_Kawecki&amp;Nowack19'!A:C,2,FALSE), IFERROR(VLOOKUP(A11,Compartments_Added!A:C,2,FALSE), "Not found"))</f>
        <v>Flow</v>
      </c>
      <c r="C11" s="340" t="str">
        <f>IFERROR(VLOOKUP(A11,'Compartments_Kawecki&amp;Nowack19'!A:C,3,FALSE), IFERROR(VLOOKUP(A11,Compartments_Added!A:C,3,FALSE), "Not found"))</f>
        <v>ImportClothingEU</v>
      </c>
      <c r="D11" s="95" t="str">
        <f>IFERROR(IF(VLOOKUP(A11,'Compartments_Kawecki&amp;Nowack19'!A:C,1,FALSE)=A11, "Kawecki","what?"),"Added/changed")</f>
        <v>Added/changed</v>
      </c>
      <c r="F11" s="329" t="str">
        <v>Tyre wear</v>
      </c>
      <c r="G11" s="503" t="str">
        <v>Agricultural mulching films</v>
      </c>
      <c r="H11" s="318" t="str">
        <v>Agricultural plastic recycling</v>
      </c>
      <c r="I11" s="508" t="str">
        <v>Tyre wear</v>
      </c>
      <c r="J11" t="str">
        <v>Tyre wear</v>
      </c>
    </row>
    <row r="12" spans="1:11" ht="15.75" thickBot="1">
      <c r="A12" s="74" t="str">
        <v>Import of clothing (Global)</v>
      </c>
      <c r="B12" s="340" t="str">
        <f>IFERROR(VLOOKUP(A12,'Compartments_Kawecki&amp;Nowack19'!A:C,2,FALSE), IFERROR(VLOOKUP(A12,Compartments_Added!A:C,2,FALSE), "Not found"))</f>
        <v>Flow</v>
      </c>
      <c r="C12" s="340" t="str">
        <f>IFERROR(VLOOKUP(A12,'Compartments_Kawecki&amp;Nowack19'!A:C,3,FALSE), IFERROR(VLOOKUP(A12,Compartments_Added!A:C,3,FALSE), "Not found"))</f>
        <v>ImportClothingGlobal</v>
      </c>
      <c r="D12" s="95" t="str">
        <f>IFERROR(IF(VLOOKUP(A12,'Compartments_Kawecki&amp;Nowack19'!A:C,1,FALSE)=A12, "Kawecki","what?"),"Added/changed")</f>
        <v>Added/changed</v>
      </c>
      <c r="F12" s="75" t="str">
        <v>Import of clothing (EU)</v>
      </c>
      <c r="G12" s="503" t="str">
        <v>Agricultural other</v>
      </c>
      <c r="H12" s="318" t="str">
        <v>Incineration</v>
      </c>
      <c r="I12" s="508" t="str">
        <v>Import of clothing (EU)</v>
      </c>
      <c r="J12" t="str">
        <v>Import of clothing (EU)</v>
      </c>
    </row>
    <row r="13" spans="1:11" ht="15.75" thickBot="1">
      <c r="A13" s="74" t="str">
        <v>Agricultural waste collection</v>
      </c>
      <c r="B13" s="340" t="str">
        <f>IFERROR(VLOOKUP(A13,'Compartments_Kawecki&amp;Nowack19'!A:C,2,FALSE), IFERROR(VLOOKUP(A13,Compartments_Added!A:C,2,FALSE), "Not found"))</f>
        <v>Flow</v>
      </c>
      <c r="C13" s="340" t="str">
        <f>IFERROR(VLOOKUP(A13,'Compartments_Kawecki&amp;Nowack19'!A:C,3,FALSE), IFERROR(VLOOKUP(A13,Compartments_Added!A:C,3,FALSE), "Not found"))</f>
        <v>AgricultureCollection</v>
      </c>
      <c r="D13" s="95" t="str">
        <f>IFERROR(IF(VLOOKUP(A13,'Compartments_Kawecki&amp;Nowack19'!A:C,1,FALSE)=A13, "Kawecki","what?"),"Added/changed")</f>
        <v>Kawecki</v>
      </c>
      <c r="F13" s="17" t="str">
        <v>Import of clothing (Global)</v>
      </c>
      <c r="G13" s="503" t="str">
        <v>Agricultural pipes (in use)</v>
      </c>
      <c r="H13" s="318" t="str">
        <v>Landfill</v>
      </c>
      <c r="I13" s="508" t="str">
        <v>Import of clothing (Global)</v>
      </c>
      <c r="J13" t="str">
        <v>Import of clothing (Global)</v>
      </c>
    </row>
    <row r="14" spans="1:11" ht="15.75" thickBot="1">
      <c r="A14" s="74" t="str">
        <v>Agricultural waste collection (micro)</v>
      </c>
      <c r="B14" s="340" t="str">
        <f>IFERROR(VLOOKUP(A14,'Compartments_Kawecki&amp;Nowack19'!A:C,2,FALSE), IFERROR(VLOOKUP(A14,Compartments_Added!A:C,2,FALSE), "Not found"))</f>
        <v>Flow</v>
      </c>
      <c r="C14" s="340" t="str">
        <f>IFERROR(VLOOKUP(A14,'Compartments_Kawecki&amp;Nowack19'!A:C,3,FALSE), IFERROR(VLOOKUP(A14,Compartments_Added!A:C,3,FALSE), "Not found"))</f>
        <v>AgriculturalWasteCollectionMicro</v>
      </c>
      <c r="D14" s="95" t="str">
        <f>IFERROR(IF(VLOOKUP(A14,'Compartments_Kawecki&amp;Nowack19'!A:C,1,FALSE)=A14, "Kawecki","what?"),"Added/changed")</f>
        <v>Added/changed</v>
      </c>
      <c r="F14" s="17"/>
      <c r="G14" s="503" t="str">
        <v>Agricultural greenhouse films (in use)</v>
      </c>
      <c r="H14" s="318" t="str">
        <v>Residential soil (macro)</v>
      </c>
      <c r="I14" s="508">
        <v>0</v>
      </c>
      <c r="J14">
        <v>0</v>
      </c>
    </row>
    <row r="15" spans="1:11" ht="15.75" thickBot="1">
      <c r="A15" s="74" t="str">
        <v>Agricultural packaging bottles</v>
      </c>
      <c r="B15" s="340" t="str">
        <f>IFERROR(VLOOKUP(A15,'Compartments_Kawecki&amp;Nowack19'!A:C,2,FALSE), IFERROR(VLOOKUP(A15,Compartments_Added!A:C,2,FALSE), "Not found"))</f>
        <v>Stock</v>
      </c>
      <c r="C15" s="340" t="str">
        <f>IFERROR(VLOOKUP(A15,'Compartments_Kawecki&amp;Nowack19'!A:C,3,FALSE), IFERROR(VLOOKUP(A15,Compartments_Added!A:C,3,FALSE), "Not found"))</f>
        <v>AgriculturalPackagingBottles</v>
      </c>
      <c r="D15" s="95" t="str">
        <f>IFERROR(IF(VLOOKUP(A15,'Compartments_Kawecki&amp;Nowack19'!A:C,1,FALSE)=A15, "Kawecki","what?"),"Added/changed")</f>
        <v>Kawecki</v>
      </c>
      <c r="F15" s="17"/>
      <c r="G15" s="503" t="str">
        <v>Compost (micro)</v>
      </c>
      <c r="H15" s="318" t="str">
        <v>Agricultural soil (macro)</v>
      </c>
      <c r="I15" s="508" t="str">
        <v>Agricultural waste collection</v>
      </c>
      <c r="J15">
        <v>0</v>
      </c>
    </row>
    <row r="16" spans="1:11" ht="15.75" thickBot="1">
      <c r="A16" s="74" t="str">
        <v>Agricultural packaging films</v>
      </c>
      <c r="B16" s="340" t="str">
        <f>IFERROR(VLOOKUP(A16,'Compartments_Kawecki&amp;Nowack19'!A:C,2,FALSE), IFERROR(VLOOKUP(A16,Compartments_Added!A:C,2,FALSE), "Not found"))</f>
        <v>Stock</v>
      </c>
      <c r="C16" s="340" t="str">
        <f>IFERROR(VLOOKUP(A16,'Compartments_Kawecki&amp;Nowack19'!A:C,3,FALSE), IFERROR(VLOOKUP(A16,Compartments_Added!A:C,3,FALSE), "Not found"))</f>
        <v>AgriculturalPackagingFilms</v>
      </c>
      <c r="D16" s="95" t="str">
        <f>IFERROR(IF(VLOOKUP(A16,'Compartments_Kawecki&amp;Nowack19'!A:C,1,FALSE)=A16, "Kawecki","what?"),"Added/changed")</f>
        <v>Kawecki</v>
      </c>
      <c r="F16" s="17"/>
      <c r="G16" s="503" t="str">
        <v>Controlled release fertilizer</v>
      </c>
      <c r="H16" s="318" t="str">
        <v>Agrotextiles (discarded)</v>
      </c>
      <c r="I16" s="508" t="str">
        <v>Agricultural waste collection (micro)</v>
      </c>
      <c r="J16">
        <v>0</v>
      </c>
    </row>
    <row r="17" spans="1:10" ht="15.75" thickBot="1">
      <c r="A17" s="74" t="str">
        <v>Compost (macro)</v>
      </c>
      <c r="B17" s="340" t="str">
        <f>IFERROR(VLOOKUP(A17,'Compartments_Kawecki&amp;Nowack19'!A:C,2,FALSE), IFERROR(VLOOKUP(A17,Compartments_Added!A:C,2,FALSE), "Not found"))</f>
        <v>Flow</v>
      </c>
      <c r="C17" s="340" t="str">
        <f>IFERROR(VLOOKUP(A17,'Compartments_Kawecki&amp;Nowack19'!A:C,3,FALSE), IFERROR(VLOOKUP(A17,Compartments_Added!A:C,3,FALSE), "Not found"))</f>
        <v>CompostMacro</v>
      </c>
      <c r="D17" s="95" t="str">
        <f>IFERROR(IF(VLOOKUP(A17,'Compartments_Kawecki&amp;Nowack19'!A:C,1,FALSE)=A17, "Kawecki","what?"),"Added/changed")</f>
        <v>Kawecki</v>
      </c>
      <c r="F17" s="17"/>
      <c r="G17" s="503" t="str">
        <v>Fertilizer additives</v>
      </c>
      <c r="H17" s="318" t="str">
        <v>Agricultural soil (micro)</v>
      </c>
      <c r="I17" s="508" t="str">
        <v>Agricultural packaging bottles</v>
      </c>
      <c r="J17">
        <v>0</v>
      </c>
    </row>
    <row r="18" spans="1:10" ht="15.75" thickBot="1">
      <c r="A18" s="74" t="str">
        <v>Agrotextiles</v>
      </c>
      <c r="B18" s="340" t="str">
        <f>IFERROR(VLOOKUP(A18,'Compartments_Kawecki&amp;Nowack19'!A:C,2,FALSE), IFERROR(VLOOKUP(A18,Compartments_Added!A:C,2,FALSE), "Not found"))</f>
        <v>Flow</v>
      </c>
      <c r="C18" s="340" t="str">
        <f>IFERROR(VLOOKUP(A18,'Compartments_Kawecki&amp;Nowack19'!A:C,3,FALSE), IFERROR(VLOOKUP(A18,Compartments_Added!A:C,3,FALSE), "Not found"))</f>
        <v>Agrotextiles</v>
      </c>
      <c r="D18" s="95" t="str">
        <f>IFERROR(IF(VLOOKUP(A18,'Compartments_Kawecki&amp;Nowack19'!A:C,1,FALSE)=A18, "Kawecki","what?"),"Added/changed")</f>
        <v>Kawecki</v>
      </c>
      <c r="F18" s="17"/>
      <c r="G18" s="503" t="str">
        <v>Plant protection products</v>
      </c>
      <c r="H18" s="318" t="str">
        <v>Agrotextiles (in use)</v>
      </c>
      <c r="I18" s="508" t="str">
        <v>Agricultural packaging films</v>
      </c>
      <c r="J18">
        <v>0</v>
      </c>
    </row>
    <row r="19" spans="1:10" ht="15.75" thickBot="1">
      <c r="A19" s="74" t="str">
        <v>Agricultural mulching films</v>
      </c>
      <c r="B19" s="340" t="str">
        <f>IFERROR(VLOOKUP(A19,'Compartments_Kawecki&amp;Nowack19'!A:C,2,FALSE), IFERROR(VLOOKUP(A19,Compartments_Added!A:C,2,FALSE), "Not found"))</f>
        <v>Flow</v>
      </c>
      <c r="C19" s="340" t="str">
        <f>IFERROR(VLOOKUP(A19,'Compartments_Kawecki&amp;Nowack19'!A:C,3,FALSE), IFERROR(VLOOKUP(A19,Compartments_Added!A:C,3,FALSE), "Not found"))</f>
        <v>AgriMulching</v>
      </c>
      <c r="D19" s="95" t="str">
        <f>IFERROR(IF(VLOOKUP(A19,'Compartments_Kawecki&amp;Nowack19'!A:C,1,FALSE)=A19, "Kawecki","what?"),"Added/changed")</f>
        <v>Added/changed</v>
      </c>
      <c r="F19" s="17"/>
      <c r="G19" s="503" t="str">
        <v>Seed coating</v>
      </c>
      <c r="H19" s="318" t="str">
        <v>Agricultural waste collection</v>
      </c>
      <c r="I19" s="508" t="str">
        <v>Compost (macro)</v>
      </c>
      <c r="J19">
        <v>0</v>
      </c>
    </row>
    <row r="20" spans="1:10" ht="15.75" thickBot="1">
      <c r="A20" s="74" t="str">
        <v>Agricultural other</v>
      </c>
      <c r="B20" s="340" t="str">
        <f>IFERROR(VLOOKUP(A20,'Compartments_Kawecki&amp;Nowack19'!A:C,2,FALSE), IFERROR(VLOOKUP(A20,Compartments_Added!A:C,2,FALSE), "Not found"))</f>
        <v>Flow</v>
      </c>
      <c r="C20" s="340" t="str">
        <f>IFERROR(VLOOKUP(A20,'Compartments_Kawecki&amp;Nowack19'!A:C,3,FALSE), IFERROR(VLOOKUP(A20,Compartments_Added!A:C,3,FALSE), "Not found"))</f>
        <v>AgriculturalOther</v>
      </c>
      <c r="D20" s="95" t="str">
        <f>IFERROR(IF(VLOOKUP(A20,'Compartments_Kawecki&amp;Nowack19'!A:C,1,FALSE)=A20, "Kawecki","what?"),"Added/changed")</f>
        <v>Kawecki</v>
      </c>
      <c r="F20" s="17"/>
      <c r="G20" s="503" t="str">
        <v>Agricultural pipes (discarded)</v>
      </c>
      <c r="H20" s="318" t="str">
        <v>Agricultural waste collection (micro)</v>
      </c>
      <c r="I20" s="508" t="str">
        <v>Agrotextiles</v>
      </c>
      <c r="J20">
        <v>0</v>
      </c>
    </row>
    <row r="21" spans="1:10" ht="15.75" thickBot="1">
      <c r="A21" s="74" t="str">
        <v>Agricultural pipes (in use)</v>
      </c>
      <c r="B21" s="340" t="str">
        <f>IFERROR(VLOOKUP(A21,'Compartments_Kawecki&amp;Nowack19'!A:C,2,FALSE), IFERROR(VLOOKUP(A21,Compartments_Added!A:C,2,FALSE), "Not found"))</f>
        <v>Stock</v>
      </c>
      <c r="C21" s="340" t="str">
        <f>IFERROR(VLOOKUP(A21,'Compartments_Kawecki&amp;Nowack19'!A:C,3,FALSE), IFERROR(VLOOKUP(A21,Compartments_Added!A:C,3,FALSE), "Not found"))</f>
        <v>AgriculturalPipesIU</v>
      </c>
      <c r="D21" s="95" t="str">
        <f>IFERROR(IF(VLOOKUP(A21,'Compartments_Kawecki&amp;Nowack19'!A:C,1,FALSE)=A21, "Kawecki","what?"),"Added/changed")</f>
        <v>Added/changed</v>
      </c>
      <c r="F21" s="17"/>
      <c r="G21" s="503" t="str">
        <v>Agricultural greenhouse films (discarded)</v>
      </c>
      <c r="H21" s="318" t="str">
        <v>Collected organic waste</v>
      </c>
      <c r="I21" s="508" t="str">
        <v>Agricultural mulching films</v>
      </c>
      <c r="J21">
        <v>0</v>
      </c>
    </row>
    <row r="22" spans="1:10" ht="15.75" thickBot="1">
      <c r="A22" s="74" t="str">
        <v>Agricultural greenhouse films (in use)</v>
      </c>
      <c r="B22" s="340" t="str">
        <f>IFERROR(VLOOKUP(A22,'Compartments_Kawecki&amp;Nowack19'!A:C,2,FALSE), IFERROR(VLOOKUP(A22,Compartments_Added!A:C,2,FALSE), "Not found"))</f>
        <v>Stock</v>
      </c>
      <c r="C22" s="340" t="str">
        <f>IFERROR(VLOOKUP(A22,'Compartments_Kawecki&amp;Nowack19'!A:C,3,FALSE), IFERROR(VLOOKUP(A22,Compartments_Added!A:C,3,FALSE), "Not found"))</f>
        <v>AgriculturalFilmsIU</v>
      </c>
      <c r="D22" s="95" t="str">
        <f>IFERROR(IF(VLOOKUP(A22,'Compartments_Kawecki&amp;Nowack19'!A:C,1,FALSE)=A22, "Kawecki","what?"),"Added/changed")</f>
        <v>Added/changed</v>
      </c>
      <c r="F22" s="17"/>
      <c r="G22" s="503" t="str">
        <v>Agrotextiles (discarded)</v>
      </c>
      <c r="H22" s="318" t="str">
        <v>Dumping</v>
      </c>
      <c r="I22" s="508" t="str">
        <v>Agricultural other</v>
      </c>
      <c r="J22">
        <v>0</v>
      </c>
    </row>
    <row r="23" spans="1:10" ht="15.75" thickBot="1">
      <c r="A23" s="74" t="str">
        <v>Compost (micro)</v>
      </c>
      <c r="B23" s="340" t="str">
        <f>IFERROR(VLOOKUP(A23,'Compartments_Kawecki&amp;Nowack19'!A:C,2,FALSE), IFERROR(VLOOKUP(A23,Compartments_Added!A:C,2,FALSE), "Not found"))</f>
        <v>Flow</v>
      </c>
      <c r="C23" s="340" t="str">
        <f>IFERROR(VLOOKUP(A23,'Compartments_Kawecki&amp;Nowack19'!A:C,3,FALSE), IFERROR(VLOOKUP(A23,Compartments_Added!A:C,3,FALSE), "Not found"))</f>
        <v>CompostMicro</v>
      </c>
      <c r="D23" s="95" t="str">
        <f>IFERROR(IF(VLOOKUP(A23,'Compartments_Kawecki&amp;Nowack19'!A:C,1,FALSE)=A23, "Kawecki","what?"),"Added/changed")</f>
        <v>Kawecki</v>
      </c>
      <c r="F23" s="17"/>
      <c r="G23" s="503" t="str">
        <v>Agrotextiles (in use)</v>
      </c>
      <c r="H23" s="318" t="str">
        <v>Building textiles (discarded)</v>
      </c>
      <c r="I23" s="508" t="str">
        <v>Agricultural pipes (in use)</v>
      </c>
      <c r="J23">
        <v>0</v>
      </c>
    </row>
    <row r="24" spans="1:10" ht="15.75" thickBot="1">
      <c r="A24" s="74" t="str">
        <v>Controlled release fertilizer</v>
      </c>
      <c r="B24" s="340" t="str">
        <f>IFERROR(VLOOKUP(A24,'Compartments_Kawecki&amp;Nowack19'!A:C,2,FALSE), IFERROR(VLOOKUP(A24,Compartments_Added!A:C,2,FALSE), "Not found"))</f>
        <v>Flow</v>
      </c>
      <c r="C24" s="340" t="str">
        <f>IFERROR(VLOOKUP(A24,'Compartments_Kawecki&amp;Nowack19'!A:C,3,FALSE), IFERROR(VLOOKUP(A24,Compartments_Added!A:C,3,FALSE), "Not found"))</f>
        <v>ControlledFertilizer</v>
      </c>
      <c r="D24" s="95" t="str">
        <f>IFERROR(IF(VLOOKUP(A24,'Compartments_Kawecki&amp;Nowack19'!A:C,1,FALSE)=A24, "Kawecki","what?"),"Added/changed")</f>
        <v>Added/changed</v>
      </c>
      <c r="F24" s="17"/>
      <c r="G24" s="503" t="str">
        <v>Building textiles</v>
      </c>
      <c r="H24" s="318" t="str">
        <v>Building textiles (in use)</v>
      </c>
      <c r="I24" s="508" t="str">
        <v>Agricultural greenhouse films (in use)</v>
      </c>
      <c r="J24">
        <v>0</v>
      </c>
    </row>
    <row r="25" spans="1:10" ht="15.75" thickBot="1">
      <c r="A25" s="74" t="str">
        <v>Fertilizer additives</v>
      </c>
      <c r="B25" s="340" t="str">
        <f>IFERROR(VLOOKUP(A25,'Compartments_Kawecki&amp;Nowack19'!A:C,2,FALSE), IFERROR(VLOOKUP(A25,Compartments_Added!A:C,2,FALSE), "Not found"))</f>
        <v>Flow</v>
      </c>
      <c r="C25" s="340" t="str">
        <f>IFERROR(VLOOKUP(A25,'Compartments_Kawecki&amp;Nowack19'!A:C,3,FALSE), IFERROR(VLOOKUP(A25,Compartments_Added!A:C,3,FALSE), "Not found"))</f>
        <v>FertilizerAdditive</v>
      </c>
      <c r="D25" s="95" t="str">
        <f>IFERROR(IF(VLOOKUP(A25,'Compartments_Kawecki&amp;Nowack19'!A:C,1,FALSE)=A25, "Kawecki","what?"),"Added/changed")</f>
        <v>Added/changed</v>
      </c>
      <c r="F25" s="17"/>
      <c r="G25" s="503" t="str">
        <v>Building textiles (discarded)</v>
      </c>
      <c r="H25" s="318" t="str">
        <v>Construction and demolition incinerable waste collection</v>
      </c>
      <c r="I25" s="508" t="str">
        <v>Compost (micro)</v>
      </c>
      <c r="J25">
        <v>0</v>
      </c>
    </row>
    <row r="26" spans="1:10" ht="15.75" thickBot="1">
      <c r="A26" s="368" t="str">
        <v>Plant protection products</v>
      </c>
      <c r="B26" s="340" t="str">
        <f>IFERROR(VLOOKUP(A26,'Compartments_Kawecki&amp;Nowack19'!A:C,2,FALSE), IFERROR(VLOOKUP(A26,Compartments_Added!A:C,2,FALSE), "Not found"))</f>
        <v>Flow</v>
      </c>
      <c r="C26" s="625" t="str">
        <f>IFERROR(VLOOKUP(A26,'Compartments_Kawecki&amp;Nowack19'!A:C,3,FALSE), IFERROR(VLOOKUP(A26,Compartments_Added!A:C,3,FALSE), "Not found"))</f>
        <v>PlantProtection</v>
      </c>
      <c r="D26" s="95" t="str">
        <f>IFERROR(IF(VLOOKUP(A26,'Compartments_Kawecki&amp;Nowack19'!A:C,1,FALSE)=A26, "Kawecki","what?"),"Added/changed")</f>
        <v>Added/changed</v>
      </c>
      <c r="F26" s="17"/>
      <c r="G26" s="503" t="str">
        <v>Building textiles (in use)</v>
      </c>
      <c r="H26" s="318" t="str">
        <v>Building packaging films</v>
      </c>
      <c r="I26" s="508" t="str">
        <v>Controlled release fertilizer</v>
      </c>
      <c r="J26">
        <v>0</v>
      </c>
    </row>
    <row r="27" spans="1:10" ht="15.75" thickBot="1">
      <c r="A27" s="368" t="str">
        <v>Seed coating</v>
      </c>
      <c r="B27" s="340" t="str">
        <f>IFERROR(VLOOKUP(A27,'Compartments_Kawecki&amp;Nowack19'!A:C,2,FALSE), IFERROR(VLOOKUP(A27,Compartments_Added!A:C,2,FALSE), "Not found"))</f>
        <v>Flow</v>
      </c>
      <c r="C27" s="625" t="str">
        <f>IFERROR(VLOOKUP(A27,'Compartments_Kawecki&amp;Nowack19'!A:C,3,FALSE), IFERROR(VLOOKUP(A27,Compartments_Added!A:C,3,FALSE), "Not found"))</f>
        <v>SeedCoating</v>
      </c>
      <c r="D27" s="95" t="str">
        <f>IFERROR(IF(VLOOKUP(A27,'Compartments_Kawecki&amp;Nowack19'!A:C,1,FALSE)=A27, "Kawecki","what?"),"Added/changed")</f>
        <v>Added/changed</v>
      </c>
      <c r="F27" s="17"/>
      <c r="G27" s="503" t="str">
        <v>ELV textiles collection</v>
      </c>
      <c r="H27" s="318" t="str">
        <v>Geotextiles (discarded)</v>
      </c>
      <c r="I27" s="508" t="str">
        <v>Fertilizer additives</v>
      </c>
      <c r="J27">
        <v>0</v>
      </c>
    </row>
    <row r="28" spans="1:10" ht="15.75" thickBot="1">
      <c r="A28" s="368" t="str">
        <v>Agricultural pipes (discarded)</v>
      </c>
      <c r="B28" s="340" t="str">
        <f>IFERROR(VLOOKUP(A28,'Compartments_Kawecki&amp;Nowack19'!A:C,2,FALSE), IFERROR(VLOOKUP(A28,Compartments_Added!A:C,2,FALSE), "Not found"))</f>
        <v>Stock</v>
      </c>
      <c r="C28" s="340" t="str">
        <f>IFERROR(VLOOKUP(A28,'Compartments_Kawecki&amp;Nowack19'!A:C,3,FALSE), IFERROR(VLOOKUP(A28,Compartments_Added!A:C,3,FALSE), "Not found"))</f>
        <v>AgriculturalPipesDis</v>
      </c>
      <c r="D28" s="95" t="str">
        <f>IFERROR(IF(VLOOKUP(A28,'Compartments_Kawecki&amp;Nowack19'!A:C,1,FALSE)=A28, "Kawecki","what?"),"Added/changed")</f>
        <v>Added/changed</v>
      </c>
      <c r="F28" s="17"/>
      <c r="G28" s="503" t="str">
        <v>Geotextiles</v>
      </c>
      <c r="H28" s="318" t="str">
        <v>Geotextiles (in use)</v>
      </c>
      <c r="I28" s="508" t="str">
        <v>Plant protection products</v>
      </c>
      <c r="J28">
        <v>0</v>
      </c>
    </row>
    <row r="29" spans="1:10" ht="15.75" thickBot="1">
      <c r="A29" s="74" t="str">
        <v>Agricultural greenhouse films (discarded)</v>
      </c>
      <c r="B29" s="340" t="str">
        <f>IFERROR(VLOOKUP(A29,'Compartments_Kawecki&amp;Nowack19'!A:C,2,FALSE), IFERROR(VLOOKUP(A29,Compartments_Added!A:C,2,FALSE), "Not found"))</f>
        <v>Stock</v>
      </c>
      <c r="C29" s="340" t="str">
        <f>IFERROR(VLOOKUP(A29,'Compartments_Kawecki&amp;Nowack19'!A:C,3,FALSE), IFERROR(VLOOKUP(A29,Compartments_Added!A:C,3,FALSE), "Not found"))</f>
        <v>AgriculturalFilmsDis</v>
      </c>
      <c r="D29" s="95" t="str">
        <f>IFERROR(IF(VLOOKUP(A29,'Compartments_Kawecki&amp;Nowack19'!A:C,1,FALSE)=A29, "Kawecki","what?"),"Added/changed")</f>
        <v>Added/changed</v>
      </c>
      <c r="F29" s="17"/>
      <c r="G29" s="503" t="str">
        <v>Geotextiles (discarded)</v>
      </c>
      <c r="H29" s="318" t="str">
        <v>Sub-surface soil (micro)</v>
      </c>
      <c r="I29" s="508" t="str">
        <v>Seed coating</v>
      </c>
      <c r="J29">
        <v>0</v>
      </c>
    </row>
    <row r="30" spans="1:10" ht="15.75" thickBot="1">
      <c r="A30" s="74" t="str">
        <v>Agrotextiles (discarded)</v>
      </c>
      <c r="B30" s="340" t="str">
        <f>IFERROR(VLOOKUP(A30,'Compartments_Kawecki&amp;Nowack19'!A:C,2,FALSE), IFERROR(VLOOKUP(A30,Compartments_Added!A:C,2,FALSE), "Not found"))</f>
        <v>Stock</v>
      </c>
      <c r="C30" s="340" t="str">
        <f>IFERROR(VLOOKUP(A30,'Compartments_Kawecki&amp;Nowack19'!A:C,3,FALSE), IFERROR(VLOOKUP(A30,Compartments_Added!A:C,3,FALSE), "Not found"))</f>
        <v>AgrotextilesDis</v>
      </c>
      <c r="D30" s="95" t="str">
        <f>IFERROR(IF(VLOOKUP(A30,'Compartments_Kawecki&amp;Nowack19'!A:C,1,FALSE)=A30, "Kawecki","what?"),"Added/changed")</f>
        <v>Added/changed</v>
      </c>
      <c r="F30" s="17"/>
      <c r="G30" s="503" t="str">
        <v>Geotextiles (in use)</v>
      </c>
      <c r="H30" s="318" t="str">
        <v>Home textiles (discarded)</v>
      </c>
      <c r="I30" s="508" t="str">
        <v>Agricultural pipes (discarded)</v>
      </c>
      <c r="J30">
        <v>0</v>
      </c>
    </row>
    <row r="31" spans="1:10" ht="15.75" thickBot="1">
      <c r="A31" s="74" t="str">
        <v>Agrotextiles (in use)</v>
      </c>
      <c r="B31" s="340" t="str">
        <f>IFERROR(VLOOKUP(A31,'Compartments_Kawecki&amp;Nowack19'!A:C,2,FALSE), IFERROR(VLOOKUP(A31,Compartments_Added!A:C,2,FALSE), "Not found"))</f>
        <v>Stock</v>
      </c>
      <c r="C31" s="340" t="str">
        <f>IFERROR(VLOOKUP(A31,'Compartments_Kawecki&amp;Nowack19'!A:C,3,FALSE), IFERROR(VLOOKUP(A31,Compartments_Added!A:C,3,FALSE), "Not found"))</f>
        <v>AgrotextilesIU</v>
      </c>
      <c r="D31" s="95" t="str">
        <f>IFERROR(IF(VLOOKUP(A31,'Compartments_Kawecki&amp;Nowack19'!A:C,1,FALSE)=A31, "Kawecki","what?"),"Added/changed")</f>
        <v>Added/changed</v>
      </c>
      <c r="F31" s="17"/>
      <c r="G31" s="503" t="str">
        <v>Home textiles</v>
      </c>
      <c r="H31" s="318" t="str">
        <v>Home textiles (in use)</v>
      </c>
      <c r="I31" s="508" t="str">
        <v>Agricultural greenhouse films (discarded)</v>
      </c>
      <c r="J31" t="str">
        <v>Agriculture</v>
      </c>
    </row>
    <row r="32" spans="1:10" ht="15.75" thickBot="1">
      <c r="A32" s="74" t="str">
        <v>Building textiles</v>
      </c>
      <c r="B32" s="340" t="str">
        <f>IFERROR(VLOOKUP(A32,'Compartments_Kawecki&amp;Nowack19'!A:C,2,FALSE), IFERROR(VLOOKUP(A32,Compartments_Added!A:C,2,FALSE), "Not found"))</f>
        <v>Flow</v>
      </c>
      <c r="C32" s="340" t="str">
        <f>IFERROR(VLOOKUP(A32,'Compartments_Kawecki&amp;Nowack19'!A:C,3,FALSE), IFERROR(VLOOKUP(A32,Compartments_Added!A:C,3,FALSE), "Not found"))</f>
        <v>BuildingTextiles</v>
      </c>
      <c r="D32" s="95" t="str">
        <f>IFERROR(IF(VLOOKUP(A32,'Compartments_Kawecki&amp;Nowack19'!A:C,1,FALSE)=A32, "Kawecki","what?"),"Added/changed")</f>
        <v>Kawecki</v>
      </c>
      <c r="F32" s="17"/>
      <c r="G32" s="503" t="str">
        <v>Consumer bags</v>
      </c>
      <c r="H32" s="318" t="str">
        <v>Collected organic waste (larger than 1 mm)</v>
      </c>
      <c r="I32" s="508" t="str">
        <v>Agrotextiles (discarded)</v>
      </c>
      <c r="J32" t="str">
        <v>Packaging</v>
      </c>
    </row>
    <row r="33" spans="1:10" ht="15.75" thickBot="1">
      <c r="A33" s="74" t="str">
        <v>Building textiles (discarded)</v>
      </c>
      <c r="B33" s="340" t="str">
        <f>IFERROR(VLOOKUP(A33,'Compartments_Kawecki&amp;Nowack19'!A:C,2,FALSE), IFERROR(VLOOKUP(A33,Compartments_Added!A:C,2,FALSE), "Not found"))</f>
        <v>Stock</v>
      </c>
      <c r="C33" s="340" t="str">
        <f>IFERROR(VLOOKUP(A33,'Compartments_Kawecki&amp;Nowack19'!A:C,3,FALSE), IFERROR(VLOOKUP(A33,Compartments_Added!A:C,3,FALSE), "Not found"))</f>
        <v>BuildingTextilesDis</v>
      </c>
      <c r="D33" s="95" t="str">
        <f>IFERROR(IF(VLOOKUP(A33,'Compartments_Kawecki&amp;Nowack19'!A:C,1,FALSE)=A33, "Kawecki","what?"),"Added/changed")</f>
        <v>Added/changed</v>
      </c>
      <c r="F33" s="17"/>
      <c r="G33" s="503" t="str">
        <v>Consumer bottles</v>
      </c>
      <c r="H33" s="318" t="str">
        <v>Collected organic waste (smaller than 1 mm)</v>
      </c>
      <c r="I33" s="508" t="str">
        <v>Agrotextiles (in use)</v>
      </c>
      <c r="J33" t="str">
        <v>Agricultural waste collection</v>
      </c>
    </row>
    <row r="34" spans="1:10" ht="15.75" thickBot="1">
      <c r="A34" s="74" t="str">
        <v>Building textiles (in use)</v>
      </c>
      <c r="B34" s="340" t="str">
        <f>IFERROR(VLOOKUP(A34,'Compartments_Kawecki&amp;Nowack19'!A:C,2,FALSE), IFERROR(VLOOKUP(A34,Compartments_Added!A:C,2,FALSE), "Not found"))</f>
        <v>Stock</v>
      </c>
      <c r="C34" s="340" t="str">
        <f>IFERROR(VLOOKUP(A34,'Compartments_Kawecki&amp;Nowack19'!A:C,3,FALSE), IFERROR(VLOOKUP(A34,Compartments_Added!A:C,3,FALSE), "Not found"))</f>
        <v>BuildingTextilesIU</v>
      </c>
      <c r="D34" s="95" t="str">
        <f>IFERROR(IF(VLOOKUP(A34,'Compartments_Kawecki&amp;Nowack19'!A:C,1,FALSE)=A34, "Kawecki","what?"),"Added/changed")</f>
        <v>Added/changed</v>
      </c>
      <c r="F34" s="17"/>
      <c r="G34" s="503" t="str">
        <v>Consumer films</v>
      </c>
      <c r="H34" s="318" t="str">
        <v>Combined sewer overflow (macro)</v>
      </c>
      <c r="I34" s="508" t="str">
        <v>Building textiles</v>
      </c>
      <c r="J34" t="str">
        <v>Agricultural waste collection (micro)</v>
      </c>
    </row>
    <row r="35" spans="1:10" ht="15.75" thickBot="1">
      <c r="A35" s="74" t="str">
        <v>ELV textiles collection</v>
      </c>
      <c r="B35" s="340" t="str">
        <f>IFERROR(VLOOKUP(A35,'Compartments_Kawecki&amp;Nowack19'!A:C,2,FALSE), IFERROR(VLOOKUP(A35,Compartments_Added!A:C,2,FALSE), "Not found"))</f>
        <v>Flow</v>
      </c>
      <c r="C35" s="340" t="str">
        <f>IFERROR(VLOOKUP(A35,'Compartments_Kawecki&amp;Nowack19'!A:C,3,FALSE), IFERROR(VLOOKUP(A35,Compartments_Added!A:C,3,FALSE), "Not found"))</f>
        <v>ELVTextilesCollection</v>
      </c>
      <c r="D35" s="95" t="str">
        <f>IFERROR(IF(VLOOKUP(A35,'Compartments_Kawecki&amp;Nowack19'!A:C,1,FALSE)=A35, "Kawecki","what?"),"Added/changed")</f>
        <v>Kawecki</v>
      </c>
      <c r="F35" s="17"/>
      <c r="G35" s="503" t="str">
        <v>Other consumer packaging</v>
      </c>
      <c r="H35" s="318" t="str">
        <v>Combined sewer overflow (micro)</v>
      </c>
      <c r="I35" s="508" t="str">
        <v>Building textiles (discarded)</v>
      </c>
      <c r="J35" t="str">
        <v>Agricultural packaging bottles</v>
      </c>
    </row>
    <row r="36" spans="1:10" ht="15.75" thickBot="1">
      <c r="A36" s="74" t="str">
        <v>Geotextiles</v>
      </c>
      <c r="B36" s="340" t="str">
        <f>IFERROR(VLOOKUP(A36,'Compartments_Kawecki&amp;Nowack19'!A:C,2,FALSE), IFERROR(VLOOKUP(A36,Compartments_Added!A:C,2,FALSE), "Not found"))</f>
        <v>Flow</v>
      </c>
      <c r="C36" s="340" t="str">
        <f>IFERROR(VLOOKUP(A36,'Compartments_Kawecki&amp;Nowack19'!A:C,3,FALSE), IFERROR(VLOOKUP(A36,Compartments_Added!A:C,3,FALSE), "Not found"))</f>
        <v>Geotextiles</v>
      </c>
      <c r="D36" s="95" t="str">
        <f>IFERROR(IF(VLOOKUP(A36,'Compartments_Kawecki&amp;Nowack19'!A:C,1,FALSE)=A36, "Kawecki","what?"),"Added/changed")</f>
        <v>Kawecki</v>
      </c>
      <c r="F36" s="17"/>
      <c r="G36" s="503" t="str">
        <v>Collected organic waste</v>
      </c>
      <c r="H36" s="318" t="str">
        <v>Compost (macro)</v>
      </c>
      <c r="I36" s="508" t="str">
        <v>Building textiles (in use)</v>
      </c>
      <c r="J36" t="str">
        <v>Agricultural packaging films</v>
      </c>
    </row>
    <row r="37" spans="1:10" ht="15.75" thickBot="1">
      <c r="A37" s="74" t="str">
        <v>Geotextiles (discarded)</v>
      </c>
      <c r="B37" s="340" t="str">
        <f>IFERROR(VLOOKUP(A37,'Compartments_Kawecki&amp;Nowack19'!A:C,2,FALSE), IFERROR(VLOOKUP(A37,Compartments_Added!A:C,2,FALSE), "Not found"))</f>
        <v>Stock</v>
      </c>
      <c r="C37" s="340" t="str">
        <f>IFERROR(VLOOKUP(A37,'Compartments_Kawecki&amp;Nowack19'!A:C,3,FALSE), IFERROR(VLOOKUP(A37,Compartments_Added!A:C,3,FALSE), "Not found"))</f>
        <v>GeotextilesDis</v>
      </c>
      <c r="D37" s="95" t="str">
        <f>IFERROR(IF(VLOOKUP(A37,'Compartments_Kawecki&amp;Nowack19'!A:C,1,FALSE)=A37, "Kawecki","what?"),"Added/changed")</f>
        <v>Added/changed</v>
      </c>
      <c r="F37" s="17"/>
      <c r="G37" s="503" t="str">
        <v>Wastewater treatment plant (macro)</v>
      </c>
      <c r="H37" s="318" t="str">
        <v>Compost (micro)</v>
      </c>
      <c r="I37" s="508" t="str">
        <v>ELV textiles collection</v>
      </c>
      <c r="J37" t="str">
        <v>Compost (macro)</v>
      </c>
    </row>
    <row r="38" spans="1:10" ht="15.75" thickBot="1">
      <c r="A38" s="74" t="str">
        <v>Geotextiles (in use)</v>
      </c>
      <c r="B38" s="340" t="str">
        <f>IFERROR(VLOOKUP(A38,'Compartments_Kawecki&amp;Nowack19'!A:C,2,FALSE), IFERROR(VLOOKUP(A38,Compartments_Added!A:C,2,FALSE), "Not found"))</f>
        <v>Stock</v>
      </c>
      <c r="C38" s="340" t="str">
        <f>IFERROR(VLOOKUP(A38,'Compartments_Kawecki&amp;Nowack19'!A:C,3,FALSE), IFERROR(VLOOKUP(A38,Compartments_Added!A:C,3,FALSE), "Not found"))</f>
        <v>GeotextilesIU</v>
      </c>
      <c r="D38" s="95" t="str">
        <f>IFERROR(IF(VLOOKUP(A38,'Compartments_Kawecki&amp;Nowack19'!A:C,1,FALSE)=A38, "Kawecki","what?"),"Added/changed")</f>
        <v>Added/changed</v>
      </c>
      <c r="F38" s="17"/>
      <c r="G38" s="503" t="str">
        <v>Wastewater treatment plant (micro)</v>
      </c>
      <c r="H38" s="318" t="str">
        <v>Compost size separation (fictional process)</v>
      </c>
      <c r="I38" s="508" t="str">
        <v>Geotextiles</v>
      </c>
      <c r="J38" t="str">
        <v>Agrotextiles</v>
      </c>
    </row>
    <row r="39" spans="1:10" ht="15.75" thickBot="1">
      <c r="A39" s="74" t="str">
        <v>Home textiles</v>
      </c>
      <c r="B39" s="340" t="str">
        <f>IFERROR(VLOOKUP(A39,'Compartments_Kawecki&amp;Nowack19'!A:C,2,FALSE), IFERROR(VLOOKUP(A39,Compartments_Added!A:C,2,FALSE), "Not found"))</f>
        <v>Flow</v>
      </c>
      <c r="C39" s="340" t="str">
        <f>IFERROR(VLOOKUP(A39,'Compartments_Kawecki&amp;Nowack19'!A:C,3,FALSE), IFERROR(VLOOKUP(A39,Compartments_Added!A:C,3,FALSE), "Not found"))</f>
        <v>HomeTextiles</v>
      </c>
      <c r="D39" s="95" t="str">
        <f>IFERROR(IF(VLOOKUP(A39,'Compartments_Kawecki&amp;Nowack19'!A:C,1,FALSE)=A39, "Kawecki","what?"),"Added/changed")</f>
        <v>Added/changed</v>
      </c>
      <c r="F39" s="17"/>
      <c r="G39" s="503" t="str">
        <v>Compost size separation (fictional process)</v>
      </c>
      <c r="H39" s="318" t="str">
        <v>Mixed waste collection</v>
      </c>
      <c r="I39" s="508" t="str">
        <v>Geotextiles (discarded)</v>
      </c>
      <c r="J39" t="str">
        <v>Agricultural mulching films</v>
      </c>
    </row>
    <row r="40" spans="1:10" ht="15.75" thickBot="1">
      <c r="A40" s="74" t="str">
        <v>Consumer bags</v>
      </c>
      <c r="B40" s="340" t="str">
        <f>IFERROR(VLOOKUP(A40,'Compartments_Kawecki&amp;Nowack19'!A:C,2,FALSE), IFERROR(VLOOKUP(A40,Compartments_Added!A:C,2,FALSE), "Not found"))</f>
        <v>Stock</v>
      </c>
      <c r="C40" s="340" t="str">
        <f>IFERROR(VLOOKUP(A40,'Compartments_Kawecki&amp;Nowack19'!A:C,3,FALSE), IFERROR(VLOOKUP(A40,Compartments_Added!A:C,3,FALSE), "Not found"))</f>
        <v>ConsumerBags</v>
      </c>
      <c r="D40" s="95" t="str">
        <f>IFERROR(IF(VLOOKUP(A40,'Compartments_Kawecki&amp;Nowack19'!A:C,1,FALSE)=A40, "Kawecki","what?"),"Added/changed")</f>
        <v>Kawecki</v>
      </c>
      <c r="F40" s="17"/>
      <c r="G40" s="503" t="str">
        <v>Collected organic waste (smaller than 1 mm)</v>
      </c>
      <c r="H40" s="318" t="str">
        <v>Textile waste collection</v>
      </c>
      <c r="I40" s="508" t="str">
        <v>Geotextiles (in use)</v>
      </c>
      <c r="J40" t="str">
        <v>Agricultural other</v>
      </c>
    </row>
    <row r="41" spans="1:10" ht="15.75" thickBot="1">
      <c r="A41" s="74" t="str">
        <v>Consumer bottles</v>
      </c>
      <c r="B41" s="340" t="str">
        <f>IFERROR(VLOOKUP(A41,'Compartments_Kawecki&amp;Nowack19'!A:C,2,FALSE), IFERROR(VLOOKUP(A41,Compartments_Added!A:C,2,FALSE), "Not found"))</f>
        <v>Stock</v>
      </c>
      <c r="C41" s="340" t="str">
        <f>IFERROR(VLOOKUP(A41,'Compartments_Kawecki&amp;Nowack19'!A:C,3,FALSE), IFERROR(VLOOKUP(A41,Compartments_Added!A:C,3,FALSE), "Not found"))</f>
        <v>ConsumerBottles</v>
      </c>
      <c r="D41" s="95" t="str">
        <f>IFERROR(IF(VLOOKUP(A41,'Compartments_Kawecki&amp;Nowack19'!A:C,1,FALSE)=A41, "Kawecki","what?"),"Added/changed")</f>
        <v>Kawecki</v>
      </c>
      <c r="F41" s="17"/>
      <c r="G41" s="503" t="str">
        <v>Collected organic waste (larger than 1 mm)</v>
      </c>
      <c r="H41" s="318" t="str">
        <v>Consumer bags</v>
      </c>
      <c r="I41" s="508" t="str">
        <v>Home textiles</v>
      </c>
      <c r="J41" t="str">
        <v>Agricultural pipes (in use)</v>
      </c>
    </row>
    <row r="42" spans="1:10" ht="15.75" thickBot="1">
      <c r="A42" s="74" t="str">
        <v>Consumer films</v>
      </c>
      <c r="B42" s="340" t="str">
        <f>IFERROR(VLOOKUP(A42,'Compartments_Kawecki&amp;Nowack19'!A:C,2,FALSE), IFERROR(VLOOKUP(A42,Compartments_Added!A:C,2,FALSE), "Not found"))</f>
        <v>Stock</v>
      </c>
      <c r="C42" s="340" t="str">
        <f>IFERROR(VLOOKUP(A42,'Compartments_Kawecki&amp;Nowack19'!A:C,3,FALSE), IFERROR(VLOOKUP(A42,Compartments_Added!A:C,3,FALSE), "Not found"))</f>
        <v>ConsumerFilms</v>
      </c>
      <c r="D42" s="95" t="str">
        <f>IFERROR(IF(VLOOKUP(A42,'Compartments_Kawecki&amp;Nowack19'!A:C,1,FALSE)=A42, "Kawecki","what?"),"Added/changed")</f>
        <v>Kawecki</v>
      </c>
      <c r="F42" s="17"/>
      <c r="G42" s="503" t="str">
        <v>Home textiles (discarded)</v>
      </c>
      <c r="H42" s="318" t="str">
        <v>Consumer bottles</v>
      </c>
      <c r="I42" s="508" t="str">
        <v>Consumer bags</v>
      </c>
      <c r="J42" t="str">
        <v>Agricultural greenhouse films (in use)</v>
      </c>
    </row>
    <row r="43" spans="1:10" ht="15.75" thickBot="1">
      <c r="A43" s="74" t="str">
        <v>Other consumer packaging</v>
      </c>
      <c r="B43" s="340" t="str">
        <f>IFERROR(VLOOKUP(A43,'Compartments_Kawecki&amp;Nowack19'!A:C,2,FALSE), IFERROR(VLOOKUP(A43,Compartments_Added!A:C,2,FALSE), "Not found"))</f>
        <v>Stock</v>
      </c>
      <c r="C43" s="340" t="str">
        <f>IFERROR(VLOOKUP(A43,'Compartments_Kawecki&amp;Nowack19'!A:C,3,FALSE), IFERROR(VLOOKUP(A43,Compartments_Added!A:C,3,FALSE), "Not found"))</f>
        <v>ConsumerOther</v>
      </c>
      <c r="D43" s="95" t="str">
        <f>IFERROR(IF(VLOOKUP(A43,'Compartments_Kawecki&amp;Nowack19'!A:C,1,FALSE)=A43, "Kawecki","what?"),"Added/changed")</f>
        <v>Kawecki</v>
      </c>
      <c r="F43" s="17"/>
      <c r="G43" s="503" t="str">
        <v>Building packaging films</v>
      </c>
      <c r="H43" s="318" t="str">
        <v>Consumer films</v>
      </c>
      <c r="I43" s="508" t="str">
        <v>Consumer bottles</v>
      </c>
      <c r="J43" t="str">
        <v>Compost (micro)</v>
      </c>
    </row>
    <row r="44" spans="1:10" ht="15.75" thickBot="1">
      <c r="A44" s="74" t="str">
        <v>Collected organic waste</v>
      </c>
      <c r="B44" s="340" t="str">
        <f>IFERROR(VLOOKUP(A44,'Compartments_Kawecki&amp;Nowack19'!A:C,2,FALSE), IFERROR(VLOOKUP(A44,Compartments_Added!A:C,2,FALSE), "Not found"))</f>
        <v>Flow</v>
      </c>
      <c r="C44" s="340" t="str">
        <f>IFERROR(VLOOKUP(A44,'Compartments_Kawecki&amp;Nowack19'!A:C,3,FALSE), IFERROR(VLOOKUP(A44,Compartments_Added!A:C,3,FALSE), "Not found"))</f>
        <v>CollectedOrganicW</v>
      </c>
      <c r="D44" s="95" t="str">
        <f>IFERROR(IF(VLOOKUP(A44,'Compartments_Kawecki&amp;Nowack19'!A:C,1,FALSE)=A44, "Kawecki","what?"),"Added/changed")</f>
        <v>Added/changed</v>
      </c>
      <c r="F44" s="17"/>
      <c r="G44" s="503" t="str">
        <v>Intentionally produced microparticles</v>
      </c>
      <c r="H44" s="318" t="str">
        <v>Controlled release fertilizer</v>
      </c>
      <c r="I44" s="508" t="str">
        <v>Consumer films</v>
      </c>
      <c r="J44" t="str">
        <v>Controlled release fertilizer</v>
      </c>
    </row>
    <row r="45" spans="1:10" ht="15.75" thickBot="1">
      <c r="A45" s="74" t="str">
        <v>Wastewater treatment plant (macro)</v>
      </c>
      <c r="B45" s="340" t="str">
        <f>IFERROR(VLOOKUP(A45,'Compartments_Kawecki&amp;Nowack19'!A:C,2,FALSE), IFERROR(VLOOKUP(A45,Compartments_Added!A:C,2,FALSE), "Not found"))</f>
        <v>Flow</v>
      </c>
      <c r="C45" s="340" t="str">
        <f>IFERROR(VLOOKUP(A45,'Compartments_Kawecki&amp;Nowack19'!A:C,3,FALSE), IFERROR(VLOOKUP(A45,Compartments_Added!A:C,3,FALSE), "Not found"))</f>
        <v>WWTPMacro</v>
      </c>
      <c r="D45" s="95" t="str">
        <f>IFERROR(IF(VLOOKUP(A45,'Compartments_Kawecki&amp;Nowack19'!A:C,1,FALSE)=A45, "Kawecki","what?"),"Added/changed")</f>
        <v>Kawecki</v>
      </c>
      <c r="F45" s="17"/>
      <c r="G45" s="503" t="str">
        <v>Home textiles (in use)</v>
      </c>
      <c r="H45" s="318" t="str">
        <v>Detergents and maintenance products</v>
      </c>
      <c r="I45" s="508" t="str">
        <v>Other consumer packaging</v>
      </c>
      <c r="J45" t="str">
        <v>Fertilizer additives</v>
      </c>
    </row>
    <row r="46" spans="1:10" ht="15.75" thickBot="1">
      <c r="A46" s="74" t="str">
        <v>Wastewater treatment plant (micro)</v>
      </c>
      <c r="B46" s="340" t="str">
        <f>IFERROR(VLOOKUP(A46,'Compartments_Kawecki&amp;Nowack19'!A:C,2,FALSE), IFERROR(VLOOKUP(A46,Compartments_Added!A:C,2,FALSE), "Not found"))</f>
        <v>Flow</v>
      </c>
      <c r="C46" s="340" t="str">
        <f>IFERROR(VLOOKUP(A46,'Compartments_Kawecki&amp;Nowack19'!A:C,3,FALSE), IFERROR(VLOOKUP(A46,Compartments_Added!A:C,3,FALSE), "Not found"))</f>
        <v>WWTPMicro</v>
      </c>
      <c r="D46" s="95" t="str">
        <f>IFERROR(IF(VLOOKUP(A46,'Compartments_Kawecki&amp;Nowack19'!A:C,1,FALSE)=A46, "Kawecki","what?"),"Added/changed")</f>
        <v>Kawecki</v>
      </c>
      <c r="F46" s="17"/>
      <c r="G46" s="503" t="str">
        <v>Household textiles (product sector)</v>
      </c>
      <c r="H46" s="318" t="str">
        <v>Indoor air (micro)</v>
      </c>
      <c r="I46" s="508" t="str">
        <v>Collected organic waste</v>
      </c>
      <c r="J46" t="str">
        <v>Plant protection products</v>
      </c>
    </row>
    <row r="47" spans="1:10" ht="15.75" thickBot="1">
      <c r="A47" s="74" t="str">
        <v>Compost size separation (fictional process)</v>
      </c>
      <c r="B47" s="340" t="str">
        <f>IFERROR(VLOOKUP(A47,'Compartments_Kawecki&amp;Nowack19'!A:C,2,FALSE), IFERROR(VLOOKUP(A47,Compartments_Added!A:C,2,FALSE), "Not found"))</f>
        <v>Flow</v>
      </c>
      <c r="C47" s="340" t="str">
        <f>IFERROR(VLOOKUP(A47,'Compartments_Kawecki&amp;Nowack19'!A:C,3,FALSE), IFERROR(VLOOKUP(A47,Compartments_Added!A:C,3,FALSE), "Not found"))</f>
        <v>CompostingSizeSep</v>
      </c>
      <c r="D47" s="95" t="str">
        <f>IFERROR(IF(VLOOKUP(A47,'Compartments_Kawecki&amp;Nowack19'!A:C,1,FALSE)=A47, "Kawecki","what?"),"Added/changed")</f>
        <v>Kawecki</v>
      </c>
      <c r="F47" s="17"/>
      <c r="G47" s="503" t="str">
        <v>Disposable cleaning cloths</v>
      </c>
      <c r="H47" s="318" t="str">
        <v>Outdoor air (micro)</v>
      </c>
      <c r="I47" s="508" t="str">
        <v>Wastewater treatment plant (macro)</v>
      </c>
      <c r="J47" t="str">
        <v>Seed coating</v>
      </c>
    </row>
    <row r="48" spans="1:10" ht="15.75" thickBot="1">
      <c r="A48" s="74" t="str">
        <v>Collected organic waste (smaller than 1 mm)</v>
      </c>
      <c r="B48" s="340" t="str">
        <f>IFERROR(VLOOKUP(A48,'Compartments_Kawecki&amp;Nowack19'!A:C,2,FALSE), IFERROR(VLOOKUP(A48,Compartments_Added!A:C,2,FALSE), "Not found"))</f>
        <v>Flow</v>
      </c>
      <c r="C48" s="340" t="str">
        <f>IFERROR(VLOOKUP(A48,'Compartments_Kawecki&amp;Nowack19'!A:C,3,FALSE), IFERROR(VLOOKUP(A48,Compartments_Added!A:C,3,FALSE), "Not found"))</f>
        <v>CollectedOrganicWsmaller1mm</v>
      </c>
      <c r="D48" s="95" t="str">
        <f>IFERROR(IF(VLOOKUP(A48,'Compartments_Kawecki&amp;Nowack19'!A:C,1,FALSE)=A48, "Kawecki","what?"),"Added/changed")</f>
        <v>Added/changed</v>
      </c>
      <c r="F48" s="17"/>
      <c r="G48" s="503" t="str">
        <v>Non-consumer bags</v>
      </c>
      <c r="H48" s="318" t="str">
        <v>Wastewater (micro)</v>
      </c>
      <c r="I48" s="508" t="str">
        <v>Wastewater treatment plant (micro)</v>
      </c>
      <c r="J48" t="str">
        <v>Agricultural pipes (discarded)</v>
      </c>
    </row>
    <row r="49" spans="1:10" ht="15.75" thickBot="1">
      <c r="A49" s="74" t="str">
        <v>Collected organic waste (larger than 1 mm)</v>
      </c>
      <c r="B49" s="340" t="str">
        <f>IFERROR(VLOOKUP(A49,'Compartments_Kawecki&amp;Nowack19'!A:C,2,FALSE), IFERROR(VLOOKUP(A49,Compartments_Added!A:C,2,FALSE), "Not found"))</f>
        <v>Flow</v>
      </c>
      <c r="C49" s="340" t="str">
        <f>IFERROR(VLOOKUP(A49,'Compartments_Kawecki&amp;Nowack19'!A:C,3,FALSE), IFERROR(VLOOKUP(A49,Compartments_Added!A:C,3,FALSE), "Not found"))</f>
        <v>CollectedOrganicWlarger1mm</v>
      </c>
      <c r="D49" s="95" t="str">
        <f>IFERROR(IF(VLOOKUP(A49,'Compartments_Kawecki&amp;Nowack19'!A:C,1,FALSE)=A49, "Kawecki","what?"),"Added/changed")</f>
        <v>Added/changed</v>
      </c>
      <c r="F49" s="17"/>
      <c r="G49" s="503" t="str">
        <v>Other non-consumer films</v>
      </c>
      <c r="H49" s="318" t="str">
        <v>Disposable cleaning cloths</v>
      </c>
      <c r="I49" s="508" t="str">
        <v>Compost size separation (fictional process)</v>
      </c>
      <c r="J49" t="str">
        <v>Agricultural greenhouse films (discarded)</v>
      </c>
    </row>
    <row r="50" spans="1:10" ht="15.75" thickBot="1">
      <c r="A50" s="74" t="str">
        <v>Home textiles (discarded)</v>
      </c>
      <c r="B50" s="340" t="str">
        <f>IFERROR(VLOOKUP(A50,'Compartments_Kawecki&amp;Nowack19'!A:C,2,FALSE), IFERROR(VLOOKUP(A50,Compartments_Added!A:C,2,FALSE), "Not found"))</f>
        <v>Stock</v>
      </c>
      <c r="C50" s="340" t="str">
        <f>IFERROR(VLOOKUP(A50,'Compartments_Kawecki&amp;Nowack19'!A:C,3,FALSE), IFERROR(VLOOKUP(A50,Compartments_Added!A:C,3,FALSE), "Not found"))</f>
        <v>HomeTextilesDis</v>
      </c>
      <c r="D50" s="95" t="str">
        <f>IFERROR(IF(VLOOKUP(A50,'Compartments_Kawecki&amp;Nowack19'!A:C,1,FALSE)=A50, "Kawecki","what?"),"Added/changed")</f>
        <v>Added/changed</v>
      </c>
      <c r="F50" s="17"/>
      <c r="G50" s="503" t="str">
        <v>Other non-consumer packaging</v>
      </c>
      <c r="H50" s="318" t="str">
        <v>Home textiles</v>
      </c>
      <c r="I50" s="508" t="str">
        <v>Collected organic waste (smaller than 1 mm)</v>
      </c>
      <c r="J50" t="str">
        <v>Agrotextiles (discarded)</v>
      </c>
    </row>
    <row r="51" spans="1:10" ht="15.75" thickBot="1">
      <c r="A51" s="368" t="str">
        <v>Building packaging films</v>
      </c>
      <c r="B51" s="340" t="str">
        <f>IFERROR(VLOOKUP(A51,'Compartments_Kawecki&amp;Nowack19'!A:C,2,FALSE), IFERROR(VLOOKUP(A51,Compartments_Added!A:C,2,FALSE), "Not found"))</f>
        <v>Flow</v>
      </c>
      <c r="C51" s="340" t="str">
        <f>IFERROR(VLOOKUP(A51,'Compartments_Kawecki&amp;Nowack19'!A:C,3,FALSE), IFERROR(VLOOKUP(A51,Compartments_Added!A:C,3,FALSE), "Not found"))</f>
        <v>BuildingPackagingFilms</v>
      </c>
      <c r="D51" s="95" t="str">
        <f>IFERROR(IF(VLOOKUP(A51,'Compartments_Kawecki&amp;Nowack19'!A:C,1,FALSE)=A51, "Kawecki","what?"),"Added/changed")</f>
        <v>Kawecki</v>
      </c>
      <c r="F51" s="17"/>
      <c r="G51" s="503" t="str">
        <v>Other technical textiles</v>
      </c>
      <c r="H51" s="318" t="str">
        <v>Elimination</v>
      </c>
      <c r="I51" s="508" t="str">
        <v>Collected organic waste (larger than 1 mm)</v>
      </c>
      <c r="J51" t="str">
        <v>Agrotextiles (in use)</v>
      </c>
    </row>
    <row r="52" spans="1:10" ht="15.75" thickBot="1">
      <c r="A52" s="74" t="str">
        <v>Home textiles (in use)</v>
      </c>
      <c r="B52" s="340" t="str">
        <f>IFERROR(VLOOKUP(A52,'Compartments_Kawecki&amp;Nowack19'!A:C,2,FALSE), IFERROR(VLOOKUP(A52,Compartments_Added!A:C,2,FALSE), "Not found"))</f>
        <v>Stock</v>
      </c>
      <c r="C52" s="340" t="str">
        <f>IFERROR(VLOOKUP(A52,'Compartments_Kawecki&amp;Nowack19'!A:C,3,FALSE), IFERROR(VLOOKUP(A52,Compartments_Added!A:C,3,FALSE), "Not found"))</f>
        <v>HomeTextilesIU</v>
      </c>
      <c r="D52" s="95" t="str">
        <f>IFERROR(IF(VLOOKUP(A52,'Compartments_Kawecki&amp;Nowack19'!A:C,1,FALSE)=A52, "Kawecki","what?"),"Added/changed")</f>
        <v>Added/changed</v>
      </c>
      <c r="F52" s="17"/>
      <c r="G52" s="503" t="str">
        <v>Panty liners</v>
      </c>
      <c r="H52" s="318" t="str">
        <v>Export</v>
      </c>
      <c r="I52" s="508" t="str">
        <v>Home textiles (discarded)</v>
      </c>
      <c r="J52" t="str">
        <v>Building textiles</v>
      </c>
    </row>
    <row r="53" spans="1:10" ht="15.75" thickBot="1">
      <c r="A53" s="74" t="str">
        <v>Disposable cleaning cloths</v>
      </c>
      <c r="B53" s="340" t="str">
        <f>IFERROR(VLOOKUP(A53,'Compartments_Kawecki&amp;Nowack19'!A:C,2,FALSE), IFERROR(VLOOKUP(A53,Compartments_Added!A:C,2,FALSE), "Not found"))</f>
        <v>Flow</v>
      </c>
      <c r="C53" s="340" t="str">
        <f>IFERROR(VLOOKUP(A53,'Compartments_Kawecki&amp;Nowack19'!A:C,3,FALSE), IFERROR(VLOOKUP(A53,Compartments_Added!A:C,3,FALSE), "Not found"))</f>
        <v>DisposCleanCloths</v>
      </c>
      <c r="D53" s="95" t="str">
        <f>IFERROR(IF(VLOOKUP(A53,'Compartments_Kawecki&amp;Nowack19'!A:C,1,FALSE)=A53, "Kawecki","what?"),"Added/changed")</f>
        <v>Kawecki</v>
      </c>
      <c r="F53" s="17"/>
      <c r="G53" s="503" t="str">
        <v>Sanitary pads</v>
      </c>
      <c r="H53" s="318" t="str">
        <v>Secondary material reuse</v>
      </c>
      <c r="I53" s="508" t="str">
        <v>Building packaging films</v>
      </c>
      <c r="J53" t="str">
        <v>Building textiles (discarded)</v>
      </c>
    </row>
    <row r="54" spans="1:10" ht="15.75" thickBot="1">
      <c r="A54" s="74" t="str">
        <v>Non-consumer bags</v>
      </c>
      <c r="B54" s="340" t="str">
        <f>IFERROR(VLOOKUP(A54,'Compartments_Kawecki&amp;Nowack19'!A:C,2,FALSE), IFERROR(VLOOKUP(A54,Compartments_Added!A:C,2,FALSE), "Not found"))</f>
        <v>Stock</v>
      </c>
      <c r="C54" s="340" t="str">
        <f>IFERROR(VLOOKUP(A54,'Compartments_Kawecki&amp;Nowack19'!A:C,3,FALSE), IFERROR(VLOOKUP(A54,Compartments_Added!A:C,3,FALSE), "Not found"))</f>
        <v>NonConsumerBags</v>
      </c>
      <c r="D54" s="95" t="str">
        <f>IFERROR(IF(VLOOKUP(A54,'Compartments_Kawecki&amp;Nowack19'!A:C,1,FALSE)=A54, "Kawecki","what?"),"Added/changed")</f>
        <v>Kawecki</v>
      </c>
      <c r="F54" s="17"/>
      <c r="G54" s="503" t="str">
        <v>Tampons</v>
      </c>
      <c r="H54" s="318" t="str">
        <v>Residential soil (micro)</v>
      </c>
      <c r="I54" s="508" t="str">
        <v>Home textiles (in use)</v>
      </c>
      <c r="J54" t="str">
        <v>Building textiles (in use)</v>
      </c>
    </row>
    <row r="55" spans="1:10" ht="15.75" thickBot="1">
      <c r="A55" s="74" t="str">
        <v>Other non-consumer films</v>
      </c>
      <c r="B55" s="340" t="str">
        <f>IFERROR(VLOOKUP(A55,'Compartments_Kawecki&amp;Nowack19'!A:C,2,FALSE), IFERROR(VLOOKUP(A55,Compartments_Added!A:C,2,FALSE), "Not found"))</f>
        <v>Stock</v>
      </c>
      <c r="C55" s="340" t="str">
        <f>IFERROR(VLOOKUP(A55,'Compartments_Kawecki&amp;Nowack19'!A:C,3,FALSE), IFERROR(VLOOKUP(A55,Compartments_Added!A:C,3,FALSE), "Not found"))</f>
        <v>OtherNonConsumerFilms</v>
      </c>
      <c r="D55" s="95" t="str">
        <f>IFERROR(IF(VLOOKUP(A55,'Compartments_Kawecki&amp;Nowack19'!A:C,1,FALSE)=A55, "Kawecki","what?"),"Added/changed")</f>
        <v>Kawecki</v>
      </c>
      <c r="F55" s="17"/>
      <c r="G55" s="503" t="str">
        <v>Technical home textiles (discarded)</v>
      </c>
      <c r="H55" s="318" t="str">
        <v>Industrial stormwater (micro)</v>
      </c>
      <c r="I55" s="508" t="str">
        <v>Disposable cleaning cloths</v>
      </c>
      <c r="J55" t="str">
        <v>ELV textiles collection</v>
      </c>
    </row>
    <row r="56" spans="1:10" ht="15.75" thickBot="1">
      <c r="A56" s="74" t="str">
        <v>Other non-consumer packaging</v>
      </c>
      <c r="B56" s="340" t="str">
        <f>IFERROR(VLOOKUP(A56,'Compartments_Kawecki&amp;Nowack19'!A:C,2,FALSE), IFERROR(VLOOKUP(A56,Compartments_Added!A:C,2,FALSE), "Not found"))</f>
        <v>Stock</v>
      </c>
      <c r="C56" s="340" t="str">
        <f>IFERROR(VLOOKUP(A56,'Compartments_Kawecki&amp;Nowack19'!A:C,3,FALSE), IFERROR(VLOOKUP(A56,Compartments_Added!A:C,3,FALSE), "Not found"))</f>
        <v>NonConsumerOther</v>
      </c>
      <c r="D56" s="95" t="str">
        <f>IFERROR(IF(VLOOKUP(A56,'Compartments_Kawecki&amp;Nowack19'!A:C,1,FALSE)=A56, "Kawecki","what?"),"Added/changed")</f>
        <v>Kawecki</v>
      </c>
      <c r="F56" s="17"/>
      <c r="G56" s="503" t="str">
        <v>Incineration</v>
      </c>
      <c r="H56" s="318" t="str">
        <v>Transport of primary plastics</v>
      </c>
      <c r="I56" s="508" t="str">
        <v>Non-consumer bags</v>
      </c>
      <c r="J56" t="str">
        <v>Geotextiles</v>
      </c>
    </row>
    <row r="57" spans="1:10" ht="15.75" thickBot="1">
      <c r="A57" s="74" t="str">
        <v>Other technical textiles</v>
      </c>
      <c r="B57" s="340" t="str">
        <f>IFERROR(VLOOKUP(A57,'Compartments_Kawecki&amp;Nowack19'!A:C,2,FALSE), IFERROR(VLOOKUP(A57,Compartments_Added!A:C,2,FALSE), "Not found"))</f>
        <v>Stock</v>
      </c>
      <c r="C57" s="340" t="str">
        <f>IFERROR(VLOOKUP(A57,'Compartments_Kawecki&amp;Nowack19'!A:C,3,FALSE), IFERROR(VLOOKUP(A57,Compartments_Added!A:C,3,FALSE), "Not found"))</f>
        <v>OtherTechnicalTextiles</v>
      </c>
      <c r="D57" s="95" t="str">
        <f>IFERROR(IF(VLOOKUP(A57,'Compartments_Kawecki&amp;Nowack19'!A:C,1,FALSE)=A57, "Kawecki","what?"),"Added/changed")</f>
        <v>Kawecki</v>
      </c>
      <c r="F57" s="17"/>
      <c r="G57" s="503" t="str">
        <v>Packaging collection</v>
      </c>
      <c r="H57" s="318" t="str">
        <v>Surface water (micro)</v>
      </c>
      <c r="I57" s="508" t="str">
        <v>Other non-consumer films</v>
      </c>
      <c r="J57" t="str">
        <v>Geotextiles (discarded)</v>
      </c>
    </row>
    <row r="58" spans="1:10" ht="15.75" thickBot="1">
      <c r="A58" s="74" t="str">
        <v>Panty liners</v>
      </c>
      <c r="B58" s="340" t="str">
        <f>IFERROR(VLOOKUP(A58,'Compartments_Kawecki&amp;Nowack19'!A:C,2,FALSE), IFERROR(VLOOKUP(A58,Compartments_Added!A:C,2,FALSE), "Not found"))</f>
        <v>Flow</v>
      </c>
      <c r="C58" s="340" t="str">
        <f>IFERROR(VLOOKUP(A58,'Compartments_Kawecki&amp;Nowack19'!A:C,3,FALSE), IFERROR(VLOOKUP(A58,Compartments_Added!A:C,3,FALSE), "Not found"))</f>
        <v>PantyLiners</v>
      </c>
      <c r="D58" s="95" t="str">
        <f>IFERROR(IF(VLOOKUP(A58,'Compartments_Kawecki&amp;Nowack19'!A:C,1,FALSE)=A58, "Kawecki","what?"),"Added/changed")</f>
        <v>Kawecki</v>
      </c>
      <c r="F58" s="17"/>
      <c r="G58" s="503" t="str">
        <v>Agricultural plastic recycling</v>
      </c>
      <c r="H58" s="318" t="str">
        <v>Wastewater treatment plant (micro)</v>
      </c>
      <c r="I58" s="508" t="str">
        <v>Other non-consumer packaging</v>
      </c>
      <c r="J58" t="str">
        <v>Geotextiles (in use)</v>
      </c>
    </row>
    <row r="59" spans="1:10" ht="15.75" thickBot="1">
      <c r="A59" s="74" t="str">
        <v>Sanitary pads</v>
      </c>
      <c r="B59" s="340" t="str">
        <f>IFERROR(VLOOKUP(A59,'Compartments_Kawecki&amp;Nowack19'!A:C,2,FALSE), IFERROR(VLOOKUP(A59,Compartments_Added!A:C,2,FALSE), "Not found"))</f>
        <v>Flow</v>
      </c>
      <c r="C59" s="340" t="str">
        <f>IFERROR(VLOOKUP(A59,'Compartments_Kawecki&amp;Nowack19'!A:C,3,FALSE), IFERROR(VLOOKUP(A59,Compartments_Added!A:C,3,FALSE), "Not found"))</f>
        <v>SanitaryPads</v>
      </c>
      <c r="D59" s="95" t="str">
        <f>IFERROR(IF(VLOOKUP(A59,'Compartments_Kawecki&amp;Nowack19'!A:C,1,FALSE)=A59, "Kawecki","what?"),"Added/changed")</f>
        <v>Added/changed</v>
      </c>
      <c r="F59" s="17"/>
      <c r="G59" s="503" t="str">
        <v>Domestic primary plastic production</v>
      </c>
      <c r="H59" s="318" t="str">
        <v>Plastic products</v>
      </c>
      <c r="I59" s="508" t="str">
        <v>Other technical textiles</v>
      </c>
      <c r="J59" t="str">
        <v>Home textiles</v>
      </c>
    </row>
    <row r="60" spans="1:10" ht="15.75" thickBot="1">
      <c r="A60" s="74" t="str">
        <v>Tampons</v>
      </c>
      <c r="B60" s="340" t="str">
        <f>IFERROR(VLOOKUP(A60,'Compartments_Kawecki&amp;Nowack19'!A:C,2,FALSE), IFERROR(VLOOKUP(A60,Compartments_Added!A:C,2,FALSE), "Not found"))</f>
        <v>Flow</v>
      </c>
      <c r="C60" s="340" t="str">
        <f>IFERROR(VLOOKUP(A60,'Compartments_Kawecki&amp;Nowack19'!A:C,3,FALSE), IFERROR(VLOOKUP(A60,Compartments_Added!A:C,3,FALSE), "Not found"))</f>
        <v>Tampons</v>
      </c>
      <c r="D60" s="95" t="str">
        <f>IFERROR(IF(VLOOKUP(A60,'Compartments_Kawecki&amp;Nowack19'!A:C,1,FALSE)=A60, "Kawecki","what?"),"Added/changed")</f>
        <v>Kawecki</v>
      </c>
      <c r="F60" s="17"/>
      <c r="G60" s="503" t="str">
        <v>Import of primary plastics</v>
      </c>
      <c r="H60" s="318" t="str">
        <v>Surface water (macro)</v>
      </c>
      <c r="I60" s="508" t="str">
        <v>Panty liners</v>
      </c>
      <c r="J60" t="str">
        <v>Consumer bags</v>
      </c>
    </row>
    <row r="61" spans="1:10" ht="15.75" thickBot="1">
      <c r="A61" s="74" t="str">
        <v>Technical home textiles (discarded)</v>
      </c>
      <c r="B61" s="340" t="str">
        <f>IFERROR(VLOOKUP(A61,'Compartments_Kawecki&amp;Nowack19'!A:C,2,FALSE), IFERROR(VLOOKUP(A61,Compartments_Added!A:C,2,FALSE), "Not found"))</f>
        <v>Stock</v>
      </c>
      <c r="C61" s="340" t="str">
        <f>IFERROR(VLOOKUP(A61,'Compartments_Kawecki&amp;Nowack19'!A:C,3,FALSE), IFERROR(VLOOKUP(A61,Compartments_Added!A:C,3,FALSE), "Not found"))</f>
        <v>TechHomeTextilesDis</v>
      </c>
      <c r="D61" s="95" t="str">
        <f>IFERROR(IF(VLOOKUP(A61,'Compartments_Kawecki&amp;Nowack19'!A:C,1,FALSE)=A61, "Kawecki","what?"),"Added/changed")</f>
        <v>Added/changed</v>
      </c>
      <c r="F61" s="17"/>
      <c r="G61" s="503" t="str">
        <v>Industrial stormwater (micro)</v>
      </c>
      <c r="H61" s="318" t="str">
        <v>Wastewater treatment plant (macro)</v>
      </c>
      <c r="I61" s="508" t="str">
        <v>Sanitary pads</v>
      </c>
      <c r="J61" t="str">
        <v>Consumer bottles</v>
      </c>
    </row>
    <row r="62" spans="1:10" ht="15.75" thickBot="1">
      <c r="A62" s="74" t="str">
        <v>Incineration</v>
      </c>
      <c r="B62" s="340" t="str">
        <f>IFERROR(VLOOKUP(A62,'Compartments_Kawecki&amp;Nowack19'!A:C,2,FALSE), IFERROR(VLOOKUP(A62,Compartments_Added!A:C,2,FALSE), "Not found"))</f>
        <v>Flow</v>
      </c>
      <c r="C62" s="340" t="str">
        <f>IFERROR(VLOOKUP(A62,'Compartments_Kawecki&amp;Nowack19'!A:C,3,FALSE), IFERROR(VLOOKUP(A62,Compartments_Added!A:C,3,FALSE), "Not found"))</f>
        <v>Incineration</v>
      </c>
      <c r="D62" s="95" t="str">
        <f>IFERROR(IF(VLOOKUP(A62,'Compartments_Kawecki&amp;Nowack19'!A:C,1,FALSE)=A62, "Kawecki","what?"),"Added/changed")</f>
        <v>Kawecki</v>
      </c>
      <c r="F62" s="17"/>
      <c r="G62" s="503" t="str">
        <v>Pellet conversion</v>
      </c>
      <c r="H62" s="318" t="str">
        <v>Export of primary plastics</v>
      </c>
      <c r="I62" s="508" t="str">
        <v>Tampons</v>
      </c>
      <c r="J62" t="str">
        <v>Consumer films</v>
      </c>
    </row>
    <row r="63" spans="1:10" ht="15.75" thickBot="1">
      <c r="A63" s="74" t="str">
        <v>Packaging collection</v>
      </c>
      <c r="B63" s="340" t="str">
        <f>IFERROR(VLOOKUP(A63,'Compartments_Kawecki&amp;Nowack19'!A:C,2,FALSE), IFERROR(VLOOKUP(A63,Compartments_Added!A:C,2,FALSE), "Not found"))</f>
        <v>Flow</v>
      </c>
      <c r="C63" s="340" t="str">
        <f>IFERROR(VLOOKUP(A63,'Compartments_Kawecki&amp;Nowack19'!A:C,3,FALSE), IFERROR(VLOOKUP(A63,Compartments_Added!A:C,3,FALSE), "Not found"))</f>
        <v>PackagingCollection</v>
      </c>
      <c r="D63" s="95" t="str">
        <f>IFERROR(IF(VLOOKUP(A63,'Compartments_Kawecki&amp;Nowack19'!A:C,1,FALSE)=A63, "Kawecki","what?"),"Added/changed")</f>
        <v>Kawecki</v>
      </c>
      <c r="F63" s="17"/>
      <c r="G63" s="503" t="str">
        <v>Stormwater (macro)</v>
      </c>
      <c r="H63" s="318" t="str">
        <v>Fertilizer additives</v>
      </c>
      <c r="I63" s="508" t="str">
        <v>Technical home textiles (discarded)</v>
      </c>
      <c r="J63" t="str">
        <v>Other consumer packaging</v>
      </c>
    </row>
    <row r="64" spans="1:10" ht="15.75" thickBot="1">
      <c r="A64" s="74" t="str">
        <v>Agricultural plastic recycling</v>
      </c>
      <c r="B64" s="340" t="str">
        <f>IFERROR(VLOOKUP(A64,'Compartments_Kawecki&amp;Nowack19'!A:C,2,FALSE), IFERROR(VLOOKUP(A64,Compartments_Added!A:C,2,FALSE), "Not found"))</f>
        <v>Flow</v>
      </c>
      <c r="C64" s="340" t="str">
        <f>IFERROR(VLOOKUP(A64,'Compartments_Kawecki&amp;Nowack19'!A:C,3,FALSE), IFERROR(VLOOKUP(A64,Compartments_Added!A:C,3,FALSE), "Not found"))</f>
        <v>AgricultureRecycling</v>
      </c>
      <c r="D64" s="95" t="str">
        <f>IFERROR(IF(VLOOKUP(A64,'Compartments_Kawecki&amp;Nowack19'!A:C,1,FALSE)=A64, "Kawecki","what?"),"Added/changed")</f>
        <v>Kawecki</v>
      </c>
      <c r="F64" s="17"/>
      <c r="G64" s="503" t="str">
        <v>Stormwater (micro)</v>
      </c>
      <c r="H64" s="318" t="str">
        <v>Food additives</v>
      </c>
      <c r="I64" s="508" t="str">
        <v>Incineration</v>
      </c>
      <c r="J64" t="str">
        <v>Collected organic waste</v>
      </c>
    </row>
    <row r="65" spans="1:10" ht="15.75" thickBot="1">
      <c r="A65" s="74" t="str">
        <v>Industrial stormwater (micro)</v>
      </c>
      <c r="B65" s="340" t="str">
        <f>IFERROR(VLOOKUP(A65,'Compartments_Kawecki&amp;Nowack19'!A:C,2,FALSE), IFERROR(VLOOKUP(A65,Compartments_Added!A:C,2,FALSE), "Not found"))</f>
        <v>Sink</v>
      </c>
      <c r="C65" s="340" t="str">
        <f>IFERROR(VLOOKUP(A65,'Compartments_Kawecki&amp;Nowack19'!A:C,3,FALSE), IFERROR(VLOOKUP(A65,Compartments_Added!A:C,3,FALSE), "Not found"))</f>
        <v>IndustrialStormwaterMicro</v>
      </c>
      <c r="D65" s="95" t="str">
        <f>IFERROR(IF(VLOOKUP(A65,'Compartments_Kawecki&amp;Nowack19'!A:C,1,FALSE)=A65, "Kawecki","what?"),"Added/changed")</f>
        <v>Added/changed</v>
      </c>
      <c r="F65" s="17"/>
      <c r="G65" s="503" t="str">
        <v>Transport of primary plastics</v>
      </c>
      <c r="H65" s="318" t="str">
        <v>Panty liners</v>
      </c>
      <c r="I65" s="508" t="str">
        <v>Packaging collection</v>
      </c>
      <c r="J65" t="str">
        <v>Wastewater treatment plant (macro)</v>
      </c>
    </row>
    <row r="66" spans="1:10" ht="15.75" thickBot="1">
      <c r="A66" s="74" t="str">
        <v>Pellet conversion</v>
      </c>
      <c r="B66" s="340" t="str">
        <f>IFERROR(VLOOKUP(A66,'Compartments_Kawecki&amp;Nowack19'!A:C,2,FALSE), IFERROR(VLOOKUP(A66,Compartments_Added!A:C,2,FALSE), "Not found"))</f>
        <v>Flow</v>
      </c>
      <c r="C66" s="340" t="str">
        <f>IFERROR(VLOOKUP(A66,'Compartments_Kawecki&amp;Nowack19'!A:C,3,FALSE), IFERROR(VLOOKUP(A66,Compartments_Added!A:C,3,FALSE), "Not found"))</f>
        <v>PelletConversio</v>
      </c>
      <c r="D66" s="95" t="str">
        <f>IFERROR(IF(VLOOKUP(A66,'Compartments_Kawecki&amp;Nowack19'!A:C,1,FALSE)=A66, "Kawecki","what?"),"Added/changed")</f>
        <v>Added/changed</v>
      </c>
      <c r="F66" s="17"/>
      <c r="G66" s="503" t="str">
        <v>Highway</v>
      </c>
      <c r="H66" s="318" t="str">
        <v>Highway DAB</v>
      </c>
      <c r="I66" s="508" t="str">
        <v>Agricultural plastic recycling</v>
      </c>
      <c r="J66" t="str">
        <v>Wastewater treatment plant (micro)</v>
      </c>
    </row>
    <row r="67" spans="1:10" ht="15.75" thickBot="1">
      <c r="A67" s="74" t="str">
        <v>Stormwater (macro)</v>
      </c>
      <c r="B67" s="340" t="str">
        <f>IFERROR(VLOOKUP(A67,'Compartments_Kawecki&amp;Nowack19'!A:C,2,FALSE), IFERROR(VLOOKUP(A67,Compartments_Added!A:C,2,FALSE), "Not found"))</f>
        <v>Flow</v>
      </c>
      <c r="C67" s="340" t="str">
        <f>IFERROR(VLOOKUP(A67,'Compartments_Kawecki&amp;Nowack19'!A:C,3,FALSE), IFERROR(VLOOKUP(A67,Compartments_Added!A:C,3,FALSE), "Not found"))</f>
        <v>StormWaterMacro</v>
      </c>
      <c r="D67" s="95" t="str">
        <f>IFERROR(IF(VLOOKUP(A67,'Compartments_Kawecki&amp;Nowack19'!A:C,1,FALSE)=A67, "Kawecki","what?"),"Added/changed")</f>
        <v>Kawecki</v>
      </c>
      <c r="F67" s="17"/>
      <c r="G67" s="503" t="str">
        <v>Highway DAB</v>
      </c>
      <c r="H67" s="318" t="str">
        <v>Highway ZOAB</v>
      </c>
      <c r="I67" s="508" t="str">
        <v>Industrial stormwater (micro)</v>
      </c>
      <c r="J67" t="str">
        <v>Compost size separation (fictional process)</v>
      </c>
    </row>
    <row r="68" spans="1:10" ht="15.75" thickBot="1">
      <c r="A68" s="74" t="str">
        <v>Stormwater (micro)</v>
      </c>
      <c r="B68" s="340" t="str">
        <f>IFERROR(VLOOKUP(A68,'Compartments_Kawecki&amp;Nowack19'!A:C,2,FALSE), IFERROR(VLOOKUP(A68,Compartments_Added!A:C,2,FALSE), "Not found"))</f>
        <v>Flow</v>
      </c>
      <c r="C68" s="340" t="str">
        <f>IFERROR(VLOOKUP(A68,'Compartments_Kawecki&amp;Nowack19'!A:C,3,FALSE), IFERROR(VLOOKUP(A68,Compartments_Added!A:C,3,FALSE), "Not found"))</f>
        <v>StormWaterMicro</v>
      </c>
      <c r="D68" s="95" t="str">
        <f>IFERROR(IF(VLOOKUP(A68,'Compartments_Kawecki&amp;Nowack19'!A:C,1,FALSE)=A68, "Kawecki","what?"),"Added/changed")</f>
        <v>Kawecki</v>
      </c>
      <c r="F68" s="17"/>
      <c r="G68" s="503" t="str">
        <v>Combined sewer overflow (macro)</v>
      </c>
      <c r="H68" s="318" t="str">
        <v>Highway DAB non cleaned</v>
      </c>
      <c r="I68" s="508" t="str">
        <v>Pellet conversion</v>
      </c>
      <c r="J68" t="str">
        <v>Collected organic waste (smaller than 1 mm)</v>
      </c>
    </row>
    <row r="69" spans="1:10" ht="15.75" thickBot="1">
      <c r="A69" s="74" t="str">
        <v>Transport of primary plastics</v>
      </c>
      <c r="B69" s="340" t="str">
        <f>IFERROR(VLOOKUP(A69,'Compartments_Kawecki&amp;Nowack19'!A:C,2,FALSE), IFERROR(VLOOKUP(A69,Compartments_Added!A:C,2,FALSE), "Not found"))</f>
        <v>Flow</v>
      </c>
      <c r="C69" s="340" t="str">
        <f>IFERROR(VLOOKUP(A69,'Compartments_Kawecki&amp;Nowack19'!A:C,3,FALSE), IFERROR(VLOOKUP(A69,Compartments_Added!A:C,3,FALSE), "Not found"))</f>
        <v>PelletTransport</v>
      </c>
      <c r="D69" s="95" t="str">
        <f>IFERROR(IF(VLOOKUP(A69,'Compartments_Kawecki&amp;Nowack19'!A:C,1,FALSE)=A69, "Kawecki","what?"),"Added/changed")</f>
        <v>Added/changed</v>
      </c>
      <c r="F69" s="17"/>
      <c r="G69" s="503" t="str">
        <v>Packaging recycling</v>
      </c>
      <c r="H69" s="318" t="str">
        <v>Sanitary pads</v>
      </c>
      <c r="I69" s="508" t="str">
        <v>Stormwater (macro)</v>
      </c>
      <c r="J69" t="str">
        <v>Collected organic waste (larger than 1 mm)</v>
      </c>
    </row>
    <row r="70" spans="1:10" ht="15.75" thickBot="1">
      <c r="A70" s="74" t="str">
        <v>Highway</v>
      </c>
      <c r="B70" s="340" t="str">
        <f>IFERROR(VLOOKUP(A70,'Compartments_Kawecki&amp;Nowack19'!A:C,2,FALSE), IFERROR(VLOOKUP(A70,Compartments_Added!A:C,2,FALSE), "Not found"))</f>
        <v>Flow</v>
      </c>
      <c r="C70" s="340" t="str">
        <f>IFERROR(VLOOKUP(A70,'Compartments_Kawecki&amp;Nowack19'!A:C,3,FALSE), IFERROR(VLOOKUP(A70,Compartments_Added!A:C,3,FALSE), "Not found"))</f>
        <v>Highway</v>
      </c>
      <c r="D70" s="95" t="str">
        <f>IFERROR(IF(VLOOKUP(A70,'Compartments_Kawecki&amp;Nowack19'!A:C,1,FALSE)=A70, "Kawecki","what?"),"Added/changed")</f>
        <v>Added/changed</v>
      </c>
      <c r="F70" s="17"/>
      <c r="G70" s="503" t="str">
        <v>Sludge (macro)</v>
      </c>
      <c r="H70" s="318" t="str">
        <v>Tampons</v>
      </c>
      <c r="I70" s="508" t="str">
        <v>Stormwater (micro)</v>
      </c>
      <c r="J70" t="str">
        <v>Home textiles (discarded)</v>
      </c>
    </row>
    <row r="71" spans="1:10" ht="15.75" thickBot="1">
      <c r="A71" s="74" t="str">
        <v>Highway DAB</v>
      </c>
      <c r="B71" s="340" t="str">
        <f>IFERROR(VLOOKUP(A71,'Compartments_Kawecki&amp;Nowack19'!A:C,2,FALSE), IFERROR(VLOOKUP(A71,Compartments_Added!A:C,2,FALSE), "Not found"))</f>
        <v>Flow</v>
      </c>
      <c r="C71" s="340" t="str">
        <f>IFERROR(VLOOKUP(A71,'Compartments_Kawecki&amp;Nowack19'!A:C,3,FALSE), IFERROR(VLOOKUP(A71,Compartments_Added!A:C,3,FALSE), "Not found"))</f>
        <v>HighwayDAB</v>
      </c>
      <c r="D71" s="95" t="str">
        <f>IFERROR(IF(VLOOKUP(A71,'Compartments_Kawecki&amp;Nowack19'!A:C,1,FALSE)=A71, "Kawecki","what?"),"Added/changed")</f>
        <v>Added/changed</v>
      </c>
      <c r="F71" s="17"/>
      <c r="G71" s="503" t="str">
        <v>Sludge (micro)</v>
      </c>
      <c r="H71" s="318" t="str">
        <v>Road cleaning</v>
      </c>
      <c r="I71" s="508" t="str">
        <v>Transport of primary plastics</v>
      </c>
      <c r="J71" t="str">
        <v>Building packaging films</v>
      </c>
    </row>
    <row r="72" spans="1:10" ht="15.75" thickBot="1">
      <c r="A72" s="74" t="str">
        <v>Combined sewer overflow (macro)</v>
      </c>
      <c r="B72" s="340" t="str">
        <f>IFERROR(VLOOKUP(A72,'Compartments_Kawecki&amp;Nowack19'!A:C,2,FALSE), IFERROR(VLOOKUP(A72,Compartments_Added!A:C,2,FALSE), "Not found"))</f>
        <v>Flow</v>
      </c>
      <c r="C72" s="340" t="str">
        <f>IFERROR(VLOOKUP(A72,'Compartments_Kawecki&amp;Nowack19'!A:C,3,FALSE), IFERROR(VLOOKUP(A72,Compartments_Added!A:C,3,FALSE), "Not found"))</f>
        <v>CSOMacro</v>
      </c>
      <c r="D72" s="95" t="str">
        <f>IFERROR(IF(VLOOKUP(A72,'Compartments_Kawecki&amp;Nowack19'!A:C,1,FALSE)=A72, "Kawecki","what?"),"Added/changed")</f>
        <v>Kawecki</v>
      </c>
      <c r="F72" s="17"/>
      <c r="G72" s="503" t="str">
        <v>Tertiary water treatment (macro)</v>
      </c>
      <c r="H72" s="318" t="str">
        <v>Indoor floors (micro)</v>
      </c>
      <c r="I72" s="508" t="str">
        <v>Highway</v>
      </c>
      <c r="J72" t="str">
        <v>Intentionally produced microparticles</v>
      </c>
    </row>
    <row r="73" spans="1:10" ht="15.75" thickBot="1">
      <c r="A73" s="74" t="str">
        <v>Packaging recycling</v>
      </c>
      <c r="B73" s="340" t="str">
        <f>IFERROR(VLOOKUP(A73,'Compartments_Kawecki&amp;Nowack19'!A:C,2,FALSE), IFERROR(VLOOKUP(A73,Compartments_Added!A:C,2,FALSE), "Not found"))</f>
        <v>Flow</v>
      </c>
      <c r="C73" s="340" t="str">
        <f>IFERROR(VLOOKUP(A73,'Compartments_Kawecki&amp;Nowack19'!A:C,3,FALSE), IFERROR(VLOOKUP(A73,Compartments_Added!A:C,3,FALSE), "Not found"))</f>
        <v>PackagingRecycling</v>
      </c>
      <c r="D73" s="95" t="str">
        <f>IFERROR(IF(VLOOKUP(A73,'Compartments_Kawecki&amp;Nowack19'!A:C,1,FALSE)=A73, "Kawecki","what?"),"Added/changed")</f>
        <v>Kawecki</v>
      </c>
      <c r="F73" s="17"/>
      <c r="G73" s="503" t="str">
        <v>Tertiary water treatment (micro)</v>
      </c>
      <c r="H73" s="318" t="str">
        <v>Infill material sports fields</v>
      </c>
      <c r="I73" s="508" t="str">
        <v>Highway DAB</v>
      </c>
      <c r="J73" t="str">
        <v>Home textiles (in use)</v>
      </c>
    </row>
    <row r="74" spans="1:10" ht="15.75" thickBot="1">
      <c r="A74" s="74" t="str">
        <v>Sludge (macro)</v>
      </c>
      <c r="B74" s="340" t="str">
        <f>IFERROR(VLOOKUP(A74,'Compartments_Kawecki&amp;Nowack19'!A:C,2,FALSE), IFERROR(VLOOKUP(A74,Compartments_Added!A:C,2,FALSE), "Not found"))</f>
        <v>Flow</v>
      </c>
      <c r="C74" s="340" t="str">
        <f>IFERROR(VLOOKUP(A74,'Compartments_Kawecki&amp;Nowack19'!A:C,3,FALSE), IFERROR(VLOOKUP(A74,Compartments_Added!A:C,3,FALSE), "Not found"))</f>
        <v>SludgeMacro</v>
      </c>
      <c r="D74" s="95" t="str">
        <f>IFERROR(IF(VLOOKUP(A74,'Compartments_Kawecki&amp;Nowack19'!A:C,1,FALSE)=A74, "Kawecki","what?"),"Added/changed")</f>
        <v>Kawecki</v>
      </c>
      <c r="F74" s="17"/>
      <c r="G74" s="503" t="str">
        <v>Construction and demolition incinerable waste collection</v>
      </c>
      <c r="H74" s="318" t="str">
        <v>Infill material sports fields (discarded)</v>
      </c>
      <c r="I74" s="508" t="str">
        <v>Combined sewer overflow (macro)</v>
      </c>
      <c r="J74" t="str">
        <v>Household textiles (product sector)</v>
      </c>
    </row>
    <row r="75" spans="1:10" ht="15.75" thickBot="1">
      <c r="A75" s="74" t="str">
        <v>Sludge (micro)</v>
      </c>
      <c r="B75" s="340" t="str">
        <f>IFERROR(VLOOKUP(A75,'Compartments_Kawecki&amp;Nowack19'!A:C,2,FALSE), IFERROR(VLOOKUP(A75,Compartments_Added!A:C,2,FALSE), "Not found"))</f>
        <v>Flow</v>
      </c>
      <c r="C75" s="340" t="str">
        <f>IFERROR(VLOOKUP(A75,'Compartments_Kawecki&amp;Nowack19'!A:C,3,FALSE), IFERROR(VLOOKUP(A75,Compartments_Added!A:C,3,FALSE), "Not found"))</f>
        <v>SludgeMicro</v>
      </c>
      <c r="D75" s="95" t="str">
        <f>IFERROR(IF(VLOOKUP(A75,'Compartments_Kawecki&amp;Nowack19'!A:C,1,FALSE)=A75, "Kawecki","what?"),"Added/changed")</f>
        <v>Kawecki</v>
      </c>
      <c r="F75" s="17"/>
      <c r="G75" s="503" t="str">
        <v>Indoor air (micro)</v>
      </c>
      <c r="H75" s="318" t="str">
        <v>Infill material sports fields (in use)</v>
      </c>
      <c r="I75" s="508" t="str">
        <v>Packaging recycling</v>
      </c>
      <c r="J75" t="str">
        <v>Disposable cleaning cloths</v>
      </c>
    </row>
    <row r="76" spans="1:10" ht="15.75" thickBot="1">
      <c r="A76" s="74" t="str">
        <v>Tertiary water treatment (macro)</v>
      </c>
      <c r="B76" s="340" t="str">
        <f>IFERROR(VLOOKUP(A76,'Compartments_Kawecki&amp;Nowack19'!A:C,2,FALSE), IFERROR(VLOOKUP(A76,Compartments_Added!A:C,2,FALSE), "Not found"))</f>
        <v>Flow</v>
      </c>
      <c r="C76" s="340" t="str">
        <f>IFERROR(VLOOKUP(A76,'Compartments_Kawecki&amp;Nowack19'!A:C,3,FALSE), IFERROR(VLOOKUP(A76,Compartments_Added!A:C,3,FALSE), "Not found"))</f>
        <v>WWTTertiaryMacro</v>
      </c>
      <c r="D76" s="95" t="str">
        <f>IFERROR(IF(VLOOKUP(A76,'Compartments_Kawecki&amp;Nowack19'!A:C,1,FALSE)=A76, "Kawecki","what?"),"Added/changed")</f>
        <v>Kawecki</v>
      </c>
      <c r="F76" s="17"/>
      <c r="G76" s="503" t="str">
        <v>Infill material sports fields</v>
      </c>
      <c r="H76" s="318" t="str">
        <v>Invitro diagnostic devices</v>
      </c>
      <c r="I76" s="508" t="str">
        <v>Sludge (macro)</v>
      </c>
      <c r="J76" t="str">
        <v>Non-consumer bags</v>
      </c>
    </row>
    <row r="77" spans="1:10" ht="15.75" thickBot="1">
      <c r="A77" s="74" t="str">
        <v>Tertiary water treatment (micro)</v>
      </c>
      <c r="B77" s="340" t="str">
        <f>IFERROR(VLOOKUP(A77,'Compartments_Kawecki&amp;Nowack19'!A:C,2,FALSE), IFERROR(VLOOKUP(A77,Compartments_Added!A:C,2,FALSE), "Not found"))</f>
        <v>Flow</v>
      </c>
      <c r="C77" s="340" t="str">
        <f>IFERROR(VLOOKUP(A77,'Compartments_Kawecki&amp;Nowack19'!A:C,3,FALSE), IFERROR(VLOOKUP(A77,Compartments_Added!A:C,3,FALSE), "Not found"))</f>
        <v>WWTTertiaryMicro</v>
      </c>
      <c r="D77" s="95" t="str">
        <f>IFERROR(IF(VLOOKUP(A77,'Compartments_Kawecki&amp;Nowack19'!A:C,1,FALSE)=A77, "Kawecki","what?"),"Added/changed")</f>
        <v>Kawecki</v>
      </c>
      <c r="F77" s="17"/>
      <c r="G77" s="503" t="str">
        <v>Mixed waste collection</v>
      </c>
      <c r="H77" s="318" t="str">
        <v>Litter on road sides</v>
      </c>
      <c r="I77" s="508" t="str">
        <v>Sludge (micro)</v>
      </c>
      <c r="J77" t="str">
        <v>Other non-consumer films</v>
      </c>
    </row>
    <row r="78" spans="1:10" ht="15.75" thickBot="1">
      <c r="A78" s="74" t="str">
        <v>Construction and demolition incinerable waste collection</v>
      </c>
      <c r="B78" s="340" t="str">
        <f>IFERROR(VLOOKUP(A78,'Compartments_Kawecki&amp;Nowack19'!A:C,2,FALSE), IFERROR(VLOOKUP(A78,Compartments_Added!A:C,2,FALSE), "Not found"))</f>
        <v>Flow</v>
      </c>
      <c r="C78" s="340" t="str">
        <f>IFERROR(VLOOKUP(A78,'Compartments_Kawecki&amp;Nowack19'!A:C,3,FALSE), IFERROR(VLOOKUP(A78,Compartments_Added!A:C,3,FALSE), "Not found"))</f>
        <v>CDIncinerableCollection</v>
      </c>
      <c r="D78" s="95" t="str">
        <f>IFERROR(IF(VLOOKUP(A78,'Compartments_Kawecki&amp;Nowack19'!A:C,1,FALSE)=A78, "Kawecki","what?"),"Added/changed")</f>
        <v>Kawecki</v>
      </c>
      <c r="F78" s="17"/>
      <c r="G78" s="503" t="str">
        <v>Dumping</v>
      </c>
      <c r="H78" s="318" t="str">
        <v>Litter in natural environments</v>
      </c>
      <c r="I78" s="508" t="str">
        <v>Tertiary water treatment (macro)</v>
      </c>
      <c r="J78" t="str">
        <v>Other non-consumer packaging</v>
      </c>
    </row>
    <row r="79" spans="1:10" ht="15.75" thickBot="1">
      <c r="A79" s="74" t="str">
        <v>Indoor air (micro)</v>
      </c>
      <c r="B79" s="340" t="str">
        <f>IFERROR(VLOOKUP(A79,'Compartments_Kawecki&amp;Nowack19'!A:C,2,FALSE), IFERROR(VLOOKUP(A79,Compartments_Added!A:C,2,FALSE), "Not found"))</f>
        <v>Flow</v>
      </c>
      <c r="C79" s="340" t="str">
        <f>IFERROR(VLOOKUP(A79,'Compartments_Kawecki&amp;Nowack19'!A:C,3,FALSE), IFERROR(VLOOKUP(A79,Compartments_Added!A:C,3,FALSE), "Not found"))</f>
        <v>IndoorAirMicro</v>
      </c>
      <c r="D79" s="95" t="str">
        <f>IFERROR(IF(VLOOKUP(A79,'Compartments_Kawecki&amp;Nowack19'!A:C,1,FALSE)=A79, "Kawecki","what?"),"Added/changed")</f>
        <v>Kawecki</v>
      </c>
      <c r="F79" s="17"/>
      <c r="G79" s="503" t="str">
        <v>On-the-go consumption (nature)</v>
      </c>
      <c r="H79" s="318" t="str">
        <v>Litter in residential environments</v>
      </c>
      <c r="I79" s="508" t="str">
        <v>Tertiary water treatment (micro)</v>
      </c>
      <c r="J79" t="str">
        <v>Other technical textiles</v>
      </c>
    </row>
    <row r="80" spans="1:10" ht="15.75" thickBot="1">
      <c r="A80" s="74" t="str">
        <v>Infill material sports fields</v>
      </c>
      <c r="B80" s="340" t="str">
        <f>IFERROR(VLOOKUP(A80,'Compartments_Kawecki&amp;Nowack19'!A:C,2,FALSE), IFERROR(VLOOKUP(A80,Compartments_Added!A:C,2,FALSE), "Not found"))</f>
        <v>Flow</v>
      </c>
      <c r="C80" s="340" t="str">
        <f>IFERROR(VLOOKUP(A80,'Compartments_Kawecki&amp;Nowack19'!A:C,3,FALSE), IFERROR(VLOOKUP(A80,Compartments_Added!A:C,3,FALSE), "Not found"))</f>
        <v>InfillSportsField</v>
      </c>
      <c r="D80" s="95" t="str">
        <f>IFERROR(IF(VLOOKUP(A80,'Compartments_Kawecki&amp;Nowack19'!A:C,1,FALSE)=A80, "Kawecki","what?"),"Added/changed")</f>
        <v>Added/changed</v>
      </c>
      <c r="F80" s="17"/>
      <c r="G80" s="503" t="str">
        <v>On-the-go consumption (residential)</v>
      </c>
      <c r="H80" s="318" t="str">
        <v>Wet wipes</v>
      </c>
      <c r="I80" s="508" t="str">
        <v>Construction and demolition incinerable waste collection</v>
      </c>
      <c r="J80" t="str">
        <v>Panty liners</v>
      </c>
    </row>
    <row r="81" spans="1:10" ht="15.75" thickBot="1">
      <c r="A81" s="74" t="str">
        <v>Mixed waste collection</v>
      </c>
      <c r="B81" s="340" t="str">
        <f>IFERROR(VLOOKUP(A81,'Compartments_Kawecki&amp;Nowack19'!A:C,2,FALSE), IFERROR(VLOOKUP(A81,Compartments_Added!A:C,2,FALSE), "Not found"))</f>
        <v>Flow</v>
      </c>
      <c r="C81" s="340" t="str">
        <f>IFERROR(VLOOKUP(A81,'Compartments_Kawecki&amp;Nowack19'!A:C,3,FALSE), IFERROR(VLOOKUP(A81,Compartments_Added!A:C,3,FALSE), "Not found"))</f>
        <v>MixedCollection</v>
      </c>
      <c r="D81" s="95" t="str">
        <f>IFERROR(IF(VLOOKUP(A81,'Compartments_Kawecki&amp;Nowack19'!A:C,1,FALSE)=A81, "Kawecki","what?"),"Added/changed")</f>
        <v>Kawecki</v>
      </c>
      <c r="F81" s="17"/>
      <c r="G81" s="503" t="str">
        <v>Mixed waste collection (micro)</v>
      </c>
      <c r="H81" s="318" t="str">
        <v>Medicine diffusion limitation (slow release)</v>
      </c>
      <c r="I81" s="508" t="str">
        <v>Indoor air (micro)</v>
      </c>
      <c r="J81" t="str">
        <v>Sanitary pads</v>
      </c>
    </row>
    <row r="82" spans="1:10" ht="15.75" thickBot="1">
      <c r="A82" s="74" t="str">
        <v>Dumping</v>
      </c>
      <c r="B82" s="340" t="str">
        <f>IFERROR(VLOOKUP(A82,'Compartments_Kawecki&amp;Nowack19'!A:C,2,FALSE), IFERROR(VLOOKUP(A82,Compartments_Added!A:C,2,FALSE), "Not found"))</f>
        <v>Flow</v>
      </c>
      <c r="C82" s="340" t="str">
        <f>IFERROR(VLOOKUP(A82,'Compartments_Kawecki&amp;Nowack19'!A:C,3,FALSE), IFERROR(VLOOKUP(A82,Compartments_Added!A:C,3,FALSE), "Not found"))</f>
        <v>Dumping</v>
      </c>
      <c r="D82" s="95" t="str">
        <f>IFERROR(IF(VLOOKUP(A82,'Compartments_Kawecki&amp;Nowack19'!A:C,1,FALSE)=A82, "Kawecki","what?"),"Added/changed")</f>
        <v>Kawecki</v>
      </c>
      <c r="F82" s="17"/>
      <c r="G82" s="503" t="str">
        <v>On-the-go consumption (transport)</v>
      </c>
      <c r="H82" s="318" t="str">
        <v>Natural soil (macro)</v>
      </c>
      <c r="I82" s="508" t="str">
        <v>Infill material sports fields</v>
      </c>
      <c r="J82" t="str">
        <v>Tampons</v>
      </c>
    </row>
    <row r="83" spans="1:10" ht="15.75" thickBot="1">
      <c r="A83" s="74" t="str">
        <v>On-the-go consumption (nature)</v>
      </c>
      <c r="B83" s="340" t="str">
        <f>IFERROR(VLOOKUP(A83,'Compartments_Kawecki&amp;Nowack19'!A:C,2,FALSE), IFERROR(VLOOKUP(A83,Compartments_Added!A:C,2,FALSE), "Not found"))</f>
        <v>Flow</v>
      </c>
      <c r="C83" s="340" t="str">
        <f>IFERROR(VLOOKUP(A83,'Compartments_Kawecki&amp;Nowack19'!A:C,3,FALSE), IFERROR(VLOOKUP(A83,Compartments_Added!A:C,3,FALSE), "Not found"))</f>
        <v>OnTheGoRural</v>
      </c>
      <c r="D83" s="95" t="str">
        <f>IFERROR(IF(VLOOKUP(A83,'Compartments_Kawecki&amp;Nowack19'!A:C,1,FALSE)=A83, "Kawecki","what?"),"Added/changed")</f>
        <v>Kawecki</v>
      </c>
      <c r="F83" s="17"/>
      <c r="G83" s="503" t="str">
        <v>Litter in natural environments</v>
      </c>
      <c r="H83" s="318" t="str">
        <v>ELV textiles collection</v>
      </c>
      <c r="I83" s="508" t="str">
        <v>Mixed waste collection</v>
      </c>
      <c r="J83" t="str">
        <v>Technical home textiles (discarded)</v>
      </c>
    </row>
    <row r="84" spans="1:10" ht="15.75" thickBot="1">
      <c r="A84" s="74" t="str">
        <v>On-the-go consumption (residential)</v>
      </c>
      <c r="B84" s="340" t="str">
        <f>IFERROR(VLOOKUP(A84,'Compartments_Kawecki&amp;Nowack19'!A:C,2,FALSE), IFERROR(VLOOKUP(A84,Compartments_Added!A:C,2,FALSE), "Not found"))</f>
        <v>Flow</v>
      </c>
      <c r="C84" s="340" t="str">
        <f>IFERROR(VLOOKUP(A84,'Compartments_Kawecki&amp;Nowack19'!A:C,3,FALSE), IFERROR(VLOOKUP(A84,Compartments_Added!A:C,3,FALSE), "Not found"))</f>
        <v>OnTheGoUrban</v>
      </c>
      <c r="D84" s="95" t="str">
        <f>IFERROR(IF(VLOOKUP(A84,'Compartments_Kawecki&amp;Nowack19'!A:C,1,FALSE)=A84, "Kawecki","what?"),"Added/changed")</f>
        <v>Kawecki</v>
      </c>
      <c r="F84" s="17"/>
      <c r="G84" s="503" t="str">
        <v>Indoor floors (micro)</v>
      </c>
      <c r="H84" s="318" t="str">
        <v>Mixed waste collection (micro)</v>
      </c>
      <c r="I84" s="508" t="str">
        <v>Dumping</v>
      </c>
      <c r="J84" t="str">
        <v>Incineration</v>
      </c>
    </row>
    <row r="85" spans="1:10" ht="15.75" thickBot="1">
      <c r="A85" s="74" t="str">
        <v>Mixed waste collection (micro)</v>
      </c>
      <c r="B85" s="340" t="str">
        <f>IFERROR(VLOOKUP(A85,'Compartments_Kawecki&amp;Nowack19'!A:C,2,FALSE), IFERROR(VLOOKUP(A85,Compartments_Added!A:C,2,FALSE), "Not found"))</f>
        <v>Flow</v>
      </c>
      <c r="C85" s="340" t="str">
        <f>IFERROR(VLOOKUP(A85,'Compartments_Kawecki&amp;Nowack19'!A:C,3,FALSE), IFERROR(VLOOKUP(A85,Compartments_Added!A:C,3,FALSE), "Not found"))</f>
        <v>MixedCollectionMicro</v>
      </c>
      <c r="D85" s="95" t="str">
        <f>IFERROR(IF(VLOOKUP(A85,'Compartments_Kawecki&amp;Nowack19'!A:C,1,FALSE)=A85, "Kawecki","what?"),"Added/changed")</f>
        <v>Added/changed</v>
      </c>
      <c r="F85" s="17"/>
      <c r="G85" s="503" t="str">
        <v>Litter in residential environments</v>
      </c>
      <c r="H85" s="318" t="str">
        <v>Technical home textiles (discarded)</v>
      </c>
      <c r="I85" s="508" t="str">
        <v>On-the-go consumption (nature)</v>
      </c>
      <c r="J85" t="str">
        <v>Packaging collection</v>
      </c>
    </row>
    <row r="86" spans="1:10" ht="15.75" thickBot="1">
      <c r="A86" s="74" t="str">
        <v>On-the-go consumption (transport)</v>
      </c>
      <c r="B86" s="340" t="str">
        <f>IFERROR(VLOOKUP(A86,'Compartments_Kawecki&amp;Nowack19'!A:C,2,FALSE), IFERROR(VLOOKUP(A86,Compartments_Added!A:C,2,FALSE), "Not found"))</f>
        <v>Flow</v>
      </c>
      <c r="C86" s="340" t="str">
        <f>IFERROR(VLOOKUP(A86,'Compartments_Kawecki&amp;Nowack19'!A:C,3,FALSE), IFERROR(VLOOKUP(A86,Compartments_Added!A:C,3,FALSE), "Not found"))</f>
        <v>OnTheGoTransport</v>
      </c>
      <c r="D86" s="95" t="str">
        <f>IFERROR(IF(VLOOKUP(A86,'Compartments_Kawecki&amp;Nowack19'!A:C,1,FALSE)=A86, "Kawecki","what?"),"Added/changed")</f>
        <v>Kawecki</v>
      </c>
      <c r="F86" s="17"/>
      <c r="G86" s="503" t="str">
        <v>Medical textiles</v>
      </c>
      <c r="H86" s="318" t="str">
        <v>Technical home textiles (in use)</v>
      </c>
      <c r="I86" s="508" t="str">
        <v>On-the-go consumption (residential)</v>
      </c>
      <c r="J86" t="str">
        <v>Agricultural plastic recycling</v>
      </c>
    </row>
    <row r="87" spans="1:10" ht="15.75" thickBot="1">
      <c r="A87" s="74" t="str">
        <v>Litter in natural environments</v>
      </c>
      <c r="B87" s="340" t="str">
        <f>IFERROR(VLOOKUP(A87,'Compartments_Kawecki&amp;Nowack19'!A:C,2,FALSE), IFERROR(VLOOKUP(A87,Compartments_Added!A:C,2,FALSE), "Not found"))</f>
        <v>Flow</v>
      </c>
      <c r="C87" s="340" t="str">
        <f>IFERROR(VLOOKUP(A87,'Compartments_Kawecki&amp;Nowack19'!A:C,3,FALSE), IFERROR(VLOOKUP(A87,Compartments_Added!A:C,3,FALSE), "Not found"))</f>
        <v>RuralLitter</v>
      </c>
      <c r="D87" s="95" t="str">
        <f>IFERROR(IF(VLOOKUP(A87,'Compartments_Kawecki&amp;Nowack19'!A:C,1,FALSE)=A87, "Kawecki","what?"),"Added/changed")</f>
        <v>Kawecki</v>
      </c>
      <c r="F87" s="17"/>
      <c r="G87" s="503" t="str">
        <v>Mobility textiles</v>
      </c>
      <c r="H87" s="318" t="str">
        <v>Agrotextiles</v>
      </c>
      <c r="I87" s="508" t="str">
        <v>Mixed waste collection (micro)</v>
      </c>
      <c r="J87" t="str">
        <v>Domestic primary plastic production</v>
      </c>
    </row>
    <row r="88" spans="1:10" ht="15.75" thickBot="1">
      <c r="A88" s="74" t="str">
        <v>Indoor floors (micro)</v>
      </c>
      <c r="B88" s="340" t="str">
        <f>IFERROR(VLOOKUP(A88,'Compartments_Kawecki&amp;Nowack19'!A:C,2,FALSE), IFERROR(VLOOKUP(A88,Compartments_Added!A:C,2,FALSE), "Not found"))</f>
        <v>Flow</v>
      </c>
      <c r="C88" s="340" t="str">
        <f>IFERROR(VLOOKUP(A88,'Compartments_Kawecki&amp;Nowack19'!A:C,3,FALSE), IFERROR(VLOOKUP(A88,Compartments_Added!A:C,3,FALSE), "Not found"))</f>
        <v>FloorCleaning</v>
      </c>
      <c r="D88" s="95" t="str">
        <f>IFERROR(IF(VLOOKUP(A88,'Compartments_Kawecki&amp;Nowack19'!A:C,1,FALSE)=A88, "Kawecki","what?"),"Added/changed")</f>
        <v>Kawecki</v>
      </c>
      <c r="F88" s="17"/>
      <c r="G88" s="503" t="str">
        <v>Textile coating (discarded)</v>
      </c>
      <c r="H88" s="318" t="str">
        <v>Natural soil (micro)</v>
      </c>
      <c r="I88" s="508" t="str">
        <v>On-the-go consumption (transport)</v>
      </c>
      <c r="J88" t="str">
        <v>Import of primary plastics</v>
      </c>
    </row>
    <row r="89" spans="1:10" ht="15.75" thickBot="1">
      <c r="A89" s="74" t="str">
        <v>Litter in residential environments</v>
      </c>
      <c r="B89" s="340" t="str">
        <f>IFERROR(VLOOKUP(A89,'Compartments_Kawecki&amp;Nowack19'!A:C,2,FALSE), IFERROR(VLOOKUP(A89,Compartments_Added!A:C,2,FALSE), "Not found"))</f>
        <v>Flow</v>
      </c>
      <c r="C89" s="340" t="str">
        <f>IFERROR(VLOOKUP(A89,'Compartments_Kawecki&amp;Nowack19'!A:C,3,FALSE), IFERROR(VLOOKUP(A89,Compartments_Added!A:C,3,FALSE), "Not found"))</f>
        <v>UrbanLitter</v>
      </c>
      <c r="D89" s="95" t="str">
        <f>IFERROR(IF(VLOOKUP(A89,'Compartments_Kawecki&amp;Nowack19'!A:C,1,FALSE)=A89, "Kawecki","what?"),"Added/changed")</f>
        <v>Kawecki</v>
      </c>
      <c r="F89" s="17"/>
      <c r="G89" s="503" t="str">
        <v>Wet wipes</v>
      </c>
      <c r="H89" s="318" t="str">
        <v>Non-consumer bags</v>
      </c>
      <c r="I89" s="508" t="str">
        <v>Litter in natural environments</v>
      </c>
      <c r="J89" t="str">
        <v>Industrial stormwater (micro)</v>
      </c>
    </row>
    <row r="90" spans="1:10" ht="15.75" thickBot="1">
      <c r="A90" s="74" t="str">
        <v>Medical textiles</v>
      </c>
      <c r="B90" s="340" t="str">
        <f>IFERROR(VLOOKUP(A90,'Compartments_Kawecki&amp;Nowack19'!A:C,2,FALSE), IFERROR(VLOOKUP(A90,Compartments_Added!A:C,2,FALSE), "Not found"))</f>
        <v>Stock</v>
      </c>
      <c r="C90" s="340" t="str">
        <f>IFERROR(VLOOKUP(A90,'Compartments_Kawecki&amp;Nowack19'!A:C,3,FALSE), IFERROR(VLOOKUP(A90,Compartments_Added!A:C,3,FALSE), "Not found"))</f>
        <v>MedicalTextiles</v>
      </c>
      <c r="D90" s="95" t="str">
        <f>IFERROR(IF(VLOOKUP(A90,'Compartments_Kawecki&amp;Nowack19'!A:C,1,FALSE)=A90, "Kawecki","what?"),"Added/changed")</f>
        <v>Added/changed</v>
      </c>
      <c r="F90" s="17"/>
      <c r="G90" s="503" t="str">
        <v>Detergents and maintenance products</v>
      </c>
      <c r="H90" s="318" t="str">
        <v>Offshore oil &amp; gas applications</v>
      </c>
      <c r="I90" s="508" t="str">
        <v>Indoor floors (micro)</v>
      </c>
      <c r="J90" t="str">
        <v>Pellet conversion</v>
      </c>
    </row>
    <row r="91" spans="1:10" ht="15.75" thickBot="1">
      <c r="A91" s="74" t="str">
        <v>Mobility textiles</v>
      </c>
      <c r="B91" s="340" t="str">
        <f>IFERROR(VLOOKUP(A91,'Compartments_Kawecki&amp;Nowack19'!A:C,2,FALSE), IFERROR(VLOOKUP(A91,Compartments_Added!A:C,2,FALSE), "Not found"))</f>
        <v>Stock</v>
      </c>
      <c r="C91" s="340" t="str">
        <f>IFERROR(VLOOKUP(A91,'Compartments_Kawecki&amp;Nowack19'!A:C,3,FALSE), IFERROR(VLOOKUP(A91,Compartments_Added!A:C,3,FALSE), "Not found"))</f>
        <v>MobilityTextiles</v>
      </c>
      <c r="D91" s="95" t="str">
        <f>IFERROR(IF(VLOOKUP(A91,'Compartments_Kawecki&amp;Nowack19'!A:C,1,FALSE)=A91, "Kawecki","what?"),"Added/changed")</f>
        <v>Kawecki</v>
      </c>
      <c r="F91" s="17"/>
      <c r="G91" s="503" t="str">
        <v>Infill material sports fields (in use)</v>
      </c>
      <c r="H91" s="318" t="str">
        <v>On-site sewage facility (macro)</v>
      </c>
      <c r="I91" s="508" t="str">
        <v>Litter in residential environments</v>
      </c>
      <c r="J91" t="str">
        <v>Stormwater (macro)</v>
      </c>
    </row>
    <row r="92" spans="1:10" ht="15.75" thickBot="1">
      <c r="A92" s="74" t="str">
        <v>Textile coating (discarded)</v>
      </c>
      <c r="B92" s="340" t="str">
        <f>IFERROR(VLOOKUP(A92,'Compartments_Kawecki&amp;Nowack19'!A:C,2,FALSE), IFERROR(VLOOKUP(A92,Compartments_Added!A:C,2,FALSE), "Not found"))</f>
        <v>Stock</v>
      </c>
      <c r="C92" s="340" t="str">
        <f>IFERROR(VLOOKUP(A92,'Compartments_Kawecki&amp;Nowack19'!A:C,3,FALSE), IFERROR(VLOOKUP(A92,Compartments_Added!A:C,3,FALSE), "Not found"))</f>
        <v>TextileCoatingDis</v>
      </c>
      <c r="D92" s="95" t="str">
        <f>IFERROR(IF(VLOOKUP(A92,'Compartments_Kawecki&amp;Nowack19'!A:C,1,FALSE)=A92, "Kawecki","what?"),"Added/changed")</f>
        <v>Added/changed</v>
      </c>
      <c r="F92" s="17"/>
      <c r="G92" s="503" t="str">
        <v>Infill material sports fields (discarded)</v>
      </c>
      <c r="H92" s="318" t="str">
        <v>On-site sewage facility (micro)</v>
      </c>
      <c r="I92" s="508" t="str">
        <v>Medical textiles</v>
      </c>
      <c r="J92" t="str">
        <v>Stormwater (micro)</v>
      </c>
    </row>
    <row r="93" spans="1:10" ht="15.75" thickBot="1">
      <c r="A93" s="74" t="str">
        <v>Wet wipes</v>
      </c>
      <c r="B93" s="340" t="str">
        <f>IFERROR(VLOOKUP(A93,'Compartments_Kawecki&amp;Nowack19'!A:C,2,FALSE), IFERROR(VLOOKUP(A93,Compartments_Added!A:C,2,FALSE), "Not found"))</f>
        <v>Flow</v>
      </c>
      <c r="C93" s="340" t="str">
        <f>IFERROR(VLOOKUP(A93,'Compartments_Kawecki&amp;Nowack19'!A:C,3,FALSE), IFERROR(VLOOKUP(A93,Compartments_Added!A:C,3,FALSE), "Not found"))</f>
        <v>WetWipes</v>
      </c>
      <c r="D93" s="95" t="str">
        <f>IFERROR(IF(VLOOKUP(A93,'Compartments_Kawecki&amp;Nowack19'!A:C,1,FALSE)=A93, "Kawecki","what?"),"Added/changed")</f>
        <v>Kawecki</v>
      </c>
      <c r="F93" s="17"/>
      <c r="G93" s="503" t="str">
        <v>Food additives</v>
      </c>
      <c r="H93" s="318" t="str">
        <v>On-the-go consumption</v>
      </c>
      <c r="I93" s="508" t="str">
        <v>Mobility textiles</v>
      </c>
      <c r="J93" t="str">
        <v>Transport of primary plastics</v>
      </c>
    </row>
    <row r="94" spans="1:10" ht="15.75" thickBot="1">
      <c r="A94" s="74" t="str">
        <v>Detergents and maintenance products</v>
      </c>
      <c r="B94" s="340" t="str">
        <f>IFERROR(VLOOKUP(A94,'Compartments_Kawecki&amp;Nowack19'!A:C,2,FALSE), IFERROR(VLOOKUP(A94,Compartments_Added!A:C,2,FALSE), "Not found"))</f>
        <v>Flow</v>
      </c>
      <c r="C94" s="340" t="str">
        <f>IFERROR(VLOOKUP(A94,'Compartments_Kawecki&amp;Nowack19'!A:C,3,FALSE), IFERROR(VLOOKUP(A94,Compartments_Added!A:C,3,FALSE), "Not found"))</f>
        <v>Detergents</v>
      </c>
      <c r="D94" s="95" t="str">
        <f>IFERROR(IF(VLOOKUP(A94,'Compartments_Kawecki&amp;Nowack19'!A:C,1,FALSE)=A94, "Kawecki","what?"),"Added/changed")</f>
        <v>Added/changed</v>
      </c>
      <c r="F94" s="17"/>
      <c r="G94" s="503" t="str">
        <v>Invitro diagnostic devices</v>
      </c>
      <c r="H94" s="318" t="str">
        <v>On-the-go consumption (nature)</v>
      </c>
      <c r="I94" s="508" t="str">
        <v>Textile coating (discarded)</v>
      </c>
      <c r="J94" t="str">
        <v>Highway</v>
      </c>
    </row>
    <row r="95" spans="1:10" ht="15.75" thickBot="1">
      <c r="A95" s="74" t="str">
        <v>Infill material sports fields (in use)</v>
      </c>
      <c r="B95" s="340" t="str">
        <f>IFERROR(VLOOKUP(A95,'Compartments_Kawecki&amp;Nowack19'!A:C,2,FALSE), IFERROR(VLOOKUP(A95,Compartments_Added!A:C,2,FALSE), "Not found"))</f>
        <v>Stock</v>
      </c>
      <c r="C95" s="340" t="str">
        <f>IFERROR(VLOOKUP(A95,'Compartments_Kawecki&amp;Nowack19'!A:C,3,FALSE), IFERROR(VLOOKUP(A95,Compartments_Added!A:C,3,FALSE), "Not found"))</f>
        <v>InfillSportsFieldU</v>
      </c>
      <c r="D95" s="95" t="str">
        <f>IFERROR(IF(VLOOKUP(A95,'Compartments_Kawecki&amp;Nowack19'!A:C,1,FALSE)=A95, "Kawecki","what?"),"Added/changed")</f>
        <v>Added/changed</v>
      </c>
      <c r="F95" s="17"/>
      <c r="G95" s="503" t="str">
        <v>Medicine diffusion limitation (slow release)</v>
      </c>
      <c r="H95" s="318" t="str">
        <v>On-the-go consumption (residential)</v>
      </c>
      <c r="I95" s="508" t="str">
        <v>Wet wipes</v>
      </c>
      <c r="J95" t="str">
        <v>Highway DAB</v>
      </c>
    </row>
    <row r="96" spans="1:10" ht="15.75" thickBot="1">
      <c r="A96" s="74" t="str">
        <v>Infill material sports fields (discarded)</v>
      </c>
      <c r="B96" s="340" t="str">
        <f>IFERROR(VLOOKUP(A96,'Compartments_Kawecki&amp;Nowack19'!A:C,2,FALSE), IFERROR(VLOOKUP(A96,Compartments_Added!A:C,2,FALSE), "Not found"))</f>
        <v>Stock</v>
      </c>
      <c r="C96" s="340" t="str">
        <f>IFERROR(VLOOKUP(A96,'Compartments_Kawecki&amp;Nowack19'!A:C,3,FALSE), IFERROR(VLOOKUP(A96,Compartments_Added!A:C,3,FALSE), "Not found"))</f>
        <v>InfillSportsFieldDis</v>
      </c>
      <c r="D96" s="95" t="str">
        <f>IFERROR(IF(VLOOKUP(A96,'Compartments_Kawecki&amp;Nowack19'!A:C,1,FALSE)=A96, "Kawecki","what?"),"Added/changed")</f>
        <v>Added/changed</v>
      </c>
      <c r="F96" s="17"/>
      <c r="G96" s="503" t="str">
        <v>PCCP</v>
      </c>
      <c r="H96" s="318" t="str">
        <v>On-the-go consumption (transport)</v>
      </c>
      <c r="I96" s="508" t="str">
        <v>Detergents and maintenance products</v>
      </c>
      <c r="J96" t="str">
        <v>Combined sewer overflow (macro)</v>
      </c>
    </row>
    <row r="97" spans="1:10" ht="15.75" thickBot="1">
      <c r="A97" s="74" t="str">
        <v>Food additives</v>
      </c>
      <c r="B97" s="340" t="str">
        <f>IFERROR(VLOOKUP(A97,'Compartments_Kawecki&amp;Nowack19'!A:C,2,FALSE), IFERROR(VLOOKUP(A97,Compartments_Added!A:C,2,FALSE), "Not found"))</f>
        <v>Flow</v>
      </c>
      <c r="C97" s="340" t="str">
        <f>IFERROR(VLOOKUP(A97,'Compartments_Kawecki&amp;Nowack19'!A:C,3,FALSE), IFERROR(VLOOKUP(A97,Compartments_Added!A:C,3,FALSE), "Not found"))</f>
        <v>FoodAdditive</v>
      </c>
      <c r="D97" s="95" t="str">
        <f>IFERROR(IF(VLOOKUP(A97,'Compartments_Kawecki&amp;Nowack19'!A:C,1,FALSE)=A97, "Kawecki","what?"),"Added/changed")</f>
        <v>Added/changed</v>
      </c>
      <c r="F97" s="17"/>
      <c r="G97" s="503" t="str">
        <v>Technical home textiles</v>
      </c>
      <c r="H97" s="318" t="str">
        <v>Other consumer packaging</v>
      </c>
      <c r="I97" s="508" t="str">
        <v>Infill material sports fields (in use)</v>
      </c>
      <c r="J97" t="str">
        <v>Packaging recycling</v>
      </c>
    </row>
    <row r="98" spans="1:10" ht="15.75" thickBot="1">
      <c r="A98" s="74" t="str">
        <v>Invitro diagnostic devices</v>
      </c>
      <c r="B98" s="340" t="str">
        <f>IFERROR(VLOOKUP(A98,'Compartments_Kawecki&amp;Nowack19'!A:C,2,FALSE), IFERROR(VLOOKUP(A98,Compartments_Added!A:C,2,FALSE), "Not found"))</f>
        <v>Flow</v>
      </c>
      <c r="C98" s="340" t="str">
        <f>IFERROR(VLOOKUP(A98,'Compartments_Kawecki&amp;Nowack19'!A:C,3,FALSE), IFERROR(VLOOKUP(A98,Compartments_Added!A:C,3,FALSE), "Not found"))</f>
        <v>IVD</v>
      </c>
      <c r="D98" s="95" t="str">
        <f>IFERROR(IF(VLOOKUP(A98,'Compartments_Kawecki&amp;Nowack19'!A:C,1,FALSE)=A98, "Kawecki","what?"),"Added/changed")</f>
        <v>Added/changed</v>
      </c>
      <c r="F98" s="17"/>
      <c r="G98" s="503" t="str">
        <v>Technical home textiles (in use)</v>
      </c>
      <c r="H98" s="318" t="str">
        <v>Other non-consumer films</v>
      </c>
      <c r="I98" s="508" t="str">
        <v>Infill material sports fields (discarded)</v>
      </c>
      <c r="J98" t="str">
        <v>Sludge (macro)</v>
      </c>
    </row>
    <row r="99" spans="1:10" ht="15.75" thickBot="1">
      <c r="A99" s="74" t="str">
        <v>Medicine diffusion limitation (slow release)</v>
      </c>
      <c r="B99" s="340" t="str">
        <f>IFERROR(VLOOKUP(A99,'Compartments_Kawecki&amp;Nowack19'!A:C,2,FALSE), IFERROR(VLOOKUP(A99,Compartments_Added!A:C,2,FALSE), "Not found"))</f>
        <v>Flow</v>
      </c>
      <c r="C99" s="340" t="str">
        <f>IFERROR(VLOOKUP(A99,'Compartments_Kawecki&amp;Nowack19'!A:C,3,FALSE), IFERROR(VLOOKUP(A99,Compartments_Added!A:C,3,FALSE), "Not found"))</f>
        <v>MedicineDiff</v>
      </c>
      <c r="D99" s="95" t="str">
        <f>IFERROR(IF(VLOOKUP(A99,'Compartments_Kawecki&amp;Nowack19'!A:C,1,FALSE)=A99, "Kawecki","what?"),"Added/changed")</f>
        <v>Added/changed</v>
      </c>
      <c r="F99" s="17"/>
      <c r="G99" s="503" t="str">
        <v>Technical textiles</v>
      </c>
      <c r="H99" s="318" t="str">
        <v>Other non-consumer packaging</v>
      </c>
      <c r="I99" s="508" t="str">
        <v>Food additives</v>
      </c>
      <c r="J99" t="str">
        <v>Sludge (micro)</v>
      </c>
    </row>
    <row r="100" spans="1:10" ht="15.75" thickBot="1">
      <c r="A100" s="74" t="str">
        <v>PCCP</v>
      </c>
      <c r="B100" s="340" t="str">
        <f>IFERROR(VLOOKUP(A100,'Compartments_Kawecki&amp;Nowack19'!A:C,2,FALSE), IFERROR(VLOOKUP(A100,Compartments_Added!A:C,2,FALSE), "Not found"))</f>
        <v>Flow</v>
      </c>
      <c r="C100" s="340" t="str">
        <f>IFERROR(VLOOKUP(A100,'Compartments_Kawecki&amp;Nowack19'!A:C,3,FALSE), IFERROR(VLOOKUP(A100,Compartments_Added!A:C,3,FALSE), "Not found"))</f>
        <v>PCCP</v>
      </c>
      <c r="D100" s="95" t="str">
        <f>IFERROR(IF(VLOOKUP(A100,'Compartments_Kawecki&amp;Nowack19'!A:C,1,FALSE)=A100, "Kawecki","what?"),"Added/changed")</f>
        <v>Kawecki</v>
      </c>
      <c r="F100" s="17"/>
      <c r="G100" s="503" t="str">
        <v>Textile coating (in use)</v>
      </c>
      <c r="H100" s="318" t="str">
        <v>Building textiles</v>
      </c>
      <c r="I100" s="508" t="str">
        <v>Invitro diagnostic devices</v>
      </c>
      <c r="J100" t="str">
        <v>Tertiary water treatment (macro)</v>
      </c>
    </row>
    <row r="101" spans="1:10" ht="15.75" thickBot="1">
      <c r="A101" s="74" t="str">
        <v>Technical home textiles</v>
      </c>
      <c r="B101" s="340" t="str">
        <f>IFERROR(VLOOKUP(A101,'Compartments_Kawecki&amp;Nowack19'!A:C,2,FALSE), IFERROR(VLOOKUP(A101,Compartments_Added!A:C,2,FALSE), "Not found"))</f>
        <v>Flow</v>
      </c>
      <c r="C101" s="340" t="str">
        <f>IFERROR(VLOOKUP(A101,'Compartments_Kawecki&amp;Nowack19'!A:C,3,FALSE), IFERROR(VLOOKUP(A101,Compartments_Added!A:C,3,FALSE), "Not found"))</f>
        <v>TechHomeTextiles</v>
      </c>
      <c r="D101" s="95" t="str">
        <f>IFERROR(IF(VLOOKUP(A101,'Compartments_Kawecki&amp;Nowack19'!A:C,1,FALSE)=A101, "Kawecki","what?"),"Added/changed")</f>
        <v>Added/changed</v>
      </c>
      <c r="F101" s="17"/>
      <c r="G101" s="503" t="str">
        <v>Wastewater (macro)</v>
      </c>
      <c r="H101" s="318" t="str">
        <v>Road side soil (micro)</v>
      </c>
      <c r="I101" s="508" t="str">
        <v>Medicine diffusion limitation (slow release)</v>
      </c>
      <c r="J101" t="str">
        <v>Tertiary water treatment (micro)</v>
      </c>
    </row>
    <row r="102" spans="1:10" ht="15.75" thickBot="1">
      <c r="A102" s="74" t="str">
        <v>Technical home textiles (in use)</v>
      </c>
      <c r="B102" s="340" t="str">
        <f>IFERROR(VLOOKUP(A102,'Compartments_Kawecki&amp;Nowack19'!A:C,2,FALSE), IFERROR(VLOOKUP(A102,Compartments_Added!A:C,2,FALSE), "Not found"))</f>
        <v>Stock</v>
      </c>
      <c r="C102" s="340" t="str">
        <f>IFERROR(VLOOKUP(A102,'Compartments_Kawecki&amp;Nowack19'!A:C,3,FALSE), IFERROR(VLOOKUP(A102,Compartments_Added!A:C,3,FALSE), "Not found"))</f>
        <v>TechHomeTextilesIU</v>
      </c>
      <c r="D102" s="95" t="str">
        <f>IFERROR(IF(VLOOKUP(A102,'Compartments_Kawecki&amp;Nowack19'!A:C,1,FALSE)=A102, "Kawecki","what?"),"Added/changed")</f>
        <v>Added/changed</v>
      </c>
      <c r="F102" s="17"/>
      <c r="G102" s="503" t="str">
        <v>Wastewater (micro)</v>
      </c>
      <c r="H102" s="318" t="str">
        <v>Highway ZOAB non cleaned</v>
      </c>
      <c r="I102" s="508" t="str">
        <v>PCCP</v>
      </c>
      <c r="J102" t="str">
        <v>Construction and demolition incinerable waste collection</v>
      </c>
    </row>
    <row r="103" spans="1:10" ht="15.75" thickBot="1">
      <c r="A103" s="74" t="str">
        <v>Textile coating (in use)</v>
      </c>
      <c r="B103" s="340" t="str">
        <f>IFERROR(VLOOKUP(A103,'Compartments_Kawecki&amp;Nowack19'!A:C,2,FALSE), IFERROR(VLOOKUP(A103,Compartments_Added!A:C,2,FALSE), "Not found"))</f>
        <v>Stock</v>
      </c>
      <c r="C103" s="340" t="str">
        <f>IFERROR(VLOOKUP(A103,'Compartments_Kawecki&amp;Nowack19'!A:C,3,FALSE), IFERROR(VLOOKUP(A103,Compartments_Added!A:C,3,FALSE), "Not found"))</f>
        <v>TextileCoatingIU</v>
      </c>
      <c r="D103" s="95" t="str">
        <f>IFERROR(IF(VLOOKUP(A103,'Compartments_Kawecki&amp;Nowack19'!A:C,1,FALSE)=A103, "Kawecki","what?"),"Added/changed")</f>
        <v>Added/changed</v>
      </c>
      <c r="F103" s="17"/>
      <c r="G103" s="503" t="str">
        <v>On-the-go consumption</v>
      </c>
      <c r="H103" s="318" t="str">
        <v>Packaging collection</v>
      </c>
      <c r="I103" s="508" t="str">
        <v>Technical home textiles</v>
      </c>
      <c r="J103" t="str">
        <v>Indoor air (micro)</v>
      </c>
    </row>
    <row r="104" spans="1:10" ht="15.75" thickBot="1">
      <c r="A104" s="74" t="str">
        <v>Wastewater (macro)</v>
      </c>
      <c r="B104" s="340" t="str">
        <f>IFERROR(VLOOKUP(A104,'Compartments_Kawecki&amp;Nowack19'!A:C,2,FALSE), IFERROR(VLOOKUP(A104,Compartments_Added!A:C,2,FALSE), "Not found"))</f>
        <v>Flow</v>
      </c>
      <c r="C104" s="340" t="str">
        <f>IFERROR(VLOOKUP(A104,'Compartments_Kawecki&amp;Nowack19'!A:C,3,FALSE), IFERROR(VLOOKUP(A104,Compartments_Added!A:C,3,FALSE), "Not found"))</f>
        <v>WasteWaterMacro</v>
      </c>
      <c r="D104" s="95" t="str">
        <f>IFERROR(IF(VLOOKUP(A104,'Compartments_Kawecki&amp;Nowack19'!A:C,1,FALSE)=A104, "Kawecki","what?"),"Added/changed")</f>
        <v>Kawecki</v>
      </c>
      <c r="F104" s="17"/>
      <c r="G104" s="503" t="str">
        <v>Highway DAB non cleaned</v>
      </c>
      <c r="H104" s="318" t="str">
        <v>Packaging recycling</v>
      </c>
      <c r="I104" s="508" t="str">
        <v>Technical home textiles (in use)</v>
      </c>
      <c r="J104" t="str">
        <v>Infill material sports fields</v>
      </c>
    </row>
    <row r="105" spans="1:10" ht="15.75" thickBot="1">
      <c r="A105" s="74" t="str">
        <v>Wastewater (micro)</v>
      </c>
      <c r="B105" s="340" t="str">
        <f>IFERROR(VLOOKUP(A105,'Compartments_Kawecki&amp;Nowack19'!A:C,2,FALSE), IFERROR(VLOOKUP(A105,Compartments_Added!A:C,2,FALSE), "Not found"))</f>
        <v>Flow</v>
      </c>
      <c r="C105" s="340" t="str">
        <f>IFERROR(VLOOKUP(A105,'Compartments_Kawecki&amp;Nowack19'!A:C,3,FALSE), IFERROR(VLOOKUP(A105,Compartments_Added!A:C,3,FALSE), "Not found"))</f>
        <v>WasteWaterMicro</v>
      </c>
      <c r="D105" s="95" t="str">
        <f>IFERROR(IF(VLOOKUP(A105,'Compartments_Kawecki&amp;Nowack19'!A:C,1,FALSE)=A105, "Kawecki","what?"),"Added/changed")</f>
        <v>Kawecki</v>
      </c>
      <c r="F105" s="17"/>
      <c r="G105" s="503" t="str">
        <v>Highway ZOAB</v>
      </c>
      <c r="H105" s="318" t="str">
        <v>Geotextiles</v>
      </c>
      <c r="I105" s="508" t="str">
        <v>Textile coating (in use)</v>
      </c>
      <c r="J105" t="str">
        <v>Mixed waste collection</v>
      </c>
    </row>
    <row r="106" spans="1:10" ht="15.75" thickBot="1">
      <c r="A106" s="74" t="str">
        <v>On-the-go consumption</v>
      </c>
      <c r="B106" s="340" t="str">
        <f>IFERROR(VLOOKUP(A106,'Compartments_Kawecki&amp;Nowack19'!A:C,2,FALSE), IFERROR(VLOOKUP(A106,Compartments_Added!A:C,2,FALSE), "Not found"))</f>
        <v>Flow</v>
      </c>
      <c r="C106" s="340" t="str">
        <f>IFERROR(VLOOKUP(A106,'Compartments_Kawecki&amp;Nowack19'!A:C,3,FALSE), IFERROR(VLOOKUP(A106,Compartments_Added!A:C,3,FALSE), "Not found"))</f>
        <v>OnTheGo</v>
      </c>
      <c r="D106" s="95" t="str">
        <f>IFERROR(IF(VLOOKUP(A106,'Compartments_Kawecki&amp;Nowack19'!A:C,1,FALSE)=A106, "Kawecki","what?"),"Added/changed")</f>
        <v>Kawecki</v>
      </c>
      <c r="F106" s="17"/>
      <c r="G106" s="503" t="str">
        <v>Textile waste collection</v>
      </c>
      <c r="H106" s="318" t="str">
        <v>PCCP</v>
      </c>
      <c r="I106" s="508" t="str">
        <v>Wastewater (macro)</v>
      </c>
      <c r="J106" t="str">
        <v>Dumping</v>
      </c>
    </row>
    <row r="107" spans="1:10" ht="15.75" thickBot="1">
      <c r="A107" s="74" t="str">
        <v>Highway DAB non cleaned</v>
      </c>
      <c r="B107" s="340" t="str">
        <f>IFERROR(VLOOKUP(A107,'Compartments_Kawecki&amp;Nowack19'!A:C,2,FALSE), IFERROR(VLOOKUP(A107,Compartments_Added!A:C,2,FALSE), "Not found"))</f>
        <v>Flow</v>
      </c>
      <c r="C107" s="340" t="str">
        <f>IFERROR(VLOOKUP(A107,'Compartments_Kawecki&amp;Nowack19'!A:C,3,FALSE), IFERROR(VLOOKUP(A107,Compartments_Added!A:C,3,FALSE), "Not found"))</f>
        <v>HighwayDABnc</v>
      </c>
      <c r="D107" s="95" t="str">
        <f>IFERROR(IF(VLOOKUP(A107,'Compartments_Kawecki&amp;Nowack19'!A:C,1,FALSE)=A107, "Kawecki","what?"),"Added/changed")</f>
        <v>Added/changed</v>
      </c>
      <c r="F107" s="17"/>
      <c r="G107" s="503" t="str">
        <v>Highway ZOAB non cleaned</v>
      </c>
      <c r="H107" s="318" t="str">
        <v>Plant protection products</v>
      </c>
      <c r="I107" s="508" t="str">
        <v>Wastewater (micro)</v>
      </c>
      <c r="J107" t="str">
        <v>On-the-go consumption (nature)</v>
      </c>
    </row>
    <row r="108" spans="1:10" ht="15.75" thickBot="1">
      <c r="A108" s="74" t="str">
        <v>Highway ZOAB</v>
      </c>
      <c r="B108" s="340" t="str">
        <f>IFERROR(VLOOKUP(A108,'Compartments_Kawecki&amp;Nowack19'!A:C,2,FALSE), IFERROR(VLOOKUP(A108,Compartments_Added!A:C,2,FALSE), "Not found"))</f>
        <v>Flow</v>
      </c>
      <c r="C108" s="340" t="str">
        <f>IFERROR(VLOOKUP(A108,'Compartments_Kawecki&amp;Nowack19'!A:C,3,FALSE), IFERROR(VLOOKUP(A108,Compartments_Added!A:C,3,FALSE), "Not found"))</f>
        <v>HighwayZOAB</v>
      </c>
      <c r="D108" s="95" t="str">
        <f>IFERROR(IF(VLOOKUP(A108,'Compartments_Kawecki&amp;Nowack19'!A:C,1,FALSE)=A108, "Kawecki","what?"),"Added/changed")</f>
        <v>Added/changed</v>
      </c>
      <c r="F108" s="17"/>
      <c r="G108" s="503" t="str">
        <v>Road cleaning</v>
      </c>
      <c r="H108" s="318" t="str">
        <v>Primary water treatment (macro)</v>
      </c>
      <c r="I108" s="508" t="str">
        <v>On-the-go consumption</v>
      </c>
      <c r="J108" t="str">
        <v>On-the-go consumption (residential)</v>
      </c>
    </row>
    <row r="109" spans="1:10" ht="15.75" thickBot="1">
      <c r="A109" s="74" t="str">
        <v>Textile waste collection</v>
      </c>
      <c r="B109" s="340" t="str">
        <f>IFERROR(VLOOKUP(A109,'Compartments_Kawecki&amp;Nowack19'!A:C,2,FALSE), IFERROR(VLOOKUP(A109,Compartments_Added!A:C,2,FALSE), "Not found"))</f>
        <v>Flow</v>
      </c>
      <c r="C109" s="340" t="str">
        <f>IFERROR(VLOOKUP(A109,'Compartments_Kawecki&amp;Nowack19'!A:C,3,FALSE), IFERROR(VLOOKUP(A109,Compartments_Added!A:C,3,FALSE), "Not found"))</f>
        <v>TextileCollection</v>
      </c>
      <c r="D109" s="95" t="str">
        <f>IFERROR(IF(VLOOKUP(A109,'Compartments_Kawecki&amp;Nowack19'!A:C,1,FALSE)=A109, "Kawecki","what?"),"Added/changed")</f>
        <v>Kawecki</v>
      </c>
      <c r="F109" s="17"/>
      <c r="G109" s="503" t="str">
        <v>Road runoff</v>
      </c>
      <c r="H109" s="318" t="str">
        <v>Primary water treatment (micro)</v>
      </c>
      <c r="I109" s="508" t="str">
        <v>Highway DAB non cleaned</v>
      </c>
      <c r="J109" t="str">
        <v>Mixed waste collection (micro)</v>
      </c>
    </row>
    <row r="110" spans="1:10" ht="15.75" thickBot="1">
      <c r="A110" s="74" t="str">
        <v>Highway ZOAB non cleaned</v>
      </c>
      <c r="B110" s="340" t="str">
        <f>IFERROR(VLOOKUP(A110,'Compartments_Kawecki&amp;Nowack19'!A:C,2,FALSE), IFERROR(VLOOKUP(A110,Compartments_Added!A:C,2,FALSE), "Not found"))</f>
        <v>Flow</v>
      </c>
      <c r="C110" s="340" t="str">
        <f>IFERROR(VLOOKUP(A110,'Compartments_Kawecki&amp;Nowack19'!A:C,3,FALSE), IFERROR(VLOOKUP(A110,Compartments_Added!A:C,3,FALSE), "Not found"))</f>
        <v>HighwayZOABnc</v>
      </c>
      <c r="D110" s="95" t="str">
        <f>IFERROR(IF(VLOOKUP(A110,'Compartments_Kawecki&amp;Nowack19'!A:C,1,FALSE)=A110, "Kawecki","what?"),"Added/changed")</f>
        <v>Added/changed</v>
      </c>
      <c r="F110" s="17"/>
      <c r="G110" s="503" t="str">
        <v>Rural roads</v>
      </c>
      <c r="H110" s="318" t="str">
        <v>Stormwater (macro)</v>
      </c>
      <c r="I110" s="508" t="str">
        <v>Highway ZOAB</v>
      </c>
      <c r="J110" t="str">
        <v>On-the-go consumption (transport)</v>
      </c>
    </row>
    <row r="111" spans="1:10" ht="15.75" thickBot="1">
      <c r="A111" s="74" t="str">
        <v>Road cleaning</v>
      </c>
      <c r="B111" s="340" t="str">
        <f>IFERROR(VLOOKUP(A111,'Compartments_Kawecki&amp;Nowack19'!A:C,2,FALSE), IFERROR(VLOOKUP(A111,Compartments_Added!A:C,2,FALSE), "Not found"))</f>
        <v>Flow</v>
      </c>
      <c r="C111" s="340" t="str">
        <f>IFERROR(VLOOKUP(A111,'Compartments_Kawecki&amp;Nowack19'!A:C,3,FALSE), IFERROR(VLOOKUP(A111,Compartments_Added!A:C,3,FALSE), "Not found"))</f>
        <v>RoadCleaning</v>
      </c>
      <c r="D111" s="95" t="str">
        <f>IFERROR(IF(VLOOKUP(A111,'Compartments_Kawecki&amp;Nowack19'!A:C,1,FALSE)=A111, "Kawecki","what?"),"Added/changed")</f>
        <v>Added/changed</v>
      </c>
      <c r="F111" s="17"/>
      <c r="G111" s="503" t="str">
        <v>Tyre wear</v>
      </c>
      <c r="H111" s="318" t="str">
        <v>Stormwater (micro)</v>
      </c>
      <c r="I111" s="508" t="str">
        <v>Textile waste collection</v>
      </c>
      <c r="J111" t="str">
        <v>Litter in natural environments</v>
      </c>
    </row>
    <row r="112" spans="1:10" ht="15.75" thickBot="1">
      <c r="A112" s="74" t="str">
        <v>Road runoff</v>
      </c>
      <c r="B112" s="340" t="str">
        <f>IFERROR(VLOOKUP(A112,'Compartments_Kawecki&amp;Nowack19'!A:C,2,FALSE), IFERROR(VLOOKUP(A112,Compartments_Added!A:C,2,FALSE), "Not found"))</f>
        <v>Flow</v>
      </c>
      <c r="C112" s="340" t="str">
        <f>IFERROR(VLOOKUP(A112,'Compartments_Kawecki&amp;Nowack19'!A:C,3,FALSE), IFERROR(VLOOKUP(A112,Compartments_Added!A:C,3,FALSE), "Not found"))</f>
        <v>RoadRunoff</v>
      </c>
      <c r="D112" s="95" t="str">
        <f>IFERROR(IF(VLOOKUP(A112,'Compartments_Kawecki&amp;Nowack19'!A:C,1,FALSE)=A112, "Kawecki","what?"),"Added/changed")</f>
        <v>Added/changed</v>
      </c>
      <c r="F112" s="17"/>
      <c r="G112" s="503" t="str">
        <v>Primary water treatment (macro)</v>
      </c>
      <c r="H112" s="318" t="str">
        <v>Highway</v>
      </c>
      <c r="I112" s="508" t="str">
        <v>Highway ZOAB non cleaned</v>
      </c>
      <c r="J112" t="str">
        <v>Indoor floors (micro)</v>
      </c>
    </row>
    <row r="113" spans="1:10" ht="15.75" thickBot="1">
      <c r="A113" s="74" t="str">
        <v>Rural roads</v>
      </c>
      <c r="B113" s="340" t="str">
        <f>IFERROR(VLOOKUP(A113,'Compartments_Kawecki&amp;Nowack19'!A:C,2,FALSE), IFERROR(VLOOKUP(A113,Compartments_Added!A:C,2,FALSE), "Not found"))</f>
        <v>Flow</v>
      </c>
      <c r="C113" s="340" t="str">
        <f>IFERROR(VLOOKUP(A113,'Compartments_Kawecki&amp;Nowack19'!A:C,3,FALSE), IFERROR(VLOOKUP(A113,Compartments_Added!A:C,3,FALSE), "Not found"))</f>
        <v>RuralRoads</v>
      </c>
      <c r="D113" s="95" t="str">
        <f>IFERROR(IF(VLOOKUP(A113,'Compartments_Kawecki&amp;Nowack19'!A:C,1,FALSE)=A113, "Kawecki","what?"),"Added/changed")</f>
        <v>Added/changed</v>
      </c>
      <c r="F113" s="17"/>
      <c r="G113" s="503" t="str">
        <v>Primary water treatment (micro)</v>
      </c>
      <c r="H113" s="318" t="str">
        <v>Rural roads</v>
      </c>
      <c r="I113" s="508" t="str">
        <v>Road cleaning</v>
      </c>
      <c r="J113" t="str">
        <v>Litter in residential environments</v>
      </c>
    </row>
    <row r="114" spans="1:10" ht="15.75" thickBot="1">
      <c r="A114" s="74" t="str">
        <v>Primary water treatment (macro)</v>
      </c>
      <c r="B114" s="340" t="str">
        <f>IFERROR(VLOOKUP(A114,'Compartments_Kawecki&amp;Nowack19'!A:C,2,FALSE), IFERROR(VLOOKUP(A114,Compartments_Added!A:C,2,FALSE), "Not found"))</f>
        <v>Flow</v>
      </c>
      <c r="C114" s="340" t="str">
        <f>IFERROR(VLOOKUP(A114,'Compartments_Kawecki&amp;Nowack19'!A:C,3,FALSE), IFERROR(VLOOKUP(A114,Compartments_Added!A:C,3,FALSE), "Not found"))</f>
        <v>WWTPrimaryMacro</v>
      </c>
      <c r="D114" s="95" t="str">
        <f>IFERROR(IF(VLOOKUP(A114,'Compartments_Kawecki&amp;Nowack19'!A:C,1,FALSE)=A114, "Kawecki","what?"),"Added/changed")</f>
        <v>Kawecki</v>
      </c>
      <c r="F114" s="17"/>
      <c r="G114" s="503" t="str">
        <v>On-site sewage facility (macro)</v>
      </c>
      <c r="H114" s="318" t="str">
        <v>Urban roads</v>
      </c>
      <c r="I114" s="508" t="str">
        <v>Road runoff</v>
      </c>
      <c r="J114" t="str">
        <v>Medical textiles</v>
      </c>
    </row>
    <row r="115" spans="1:10" ht="15.75" thickBot="1">
      <c r="A115" s="74" t="str">
        <v>Primary water treatment (micro)</v>
      </c>
      <c r="B115" s="340" t="str">
        <f>IFERROR(VLOOKUP(A115,'Compartments_Kawecki&amp;Nowack19'!A:C,2,FALSE), IFERROR(VLOOKUP(A115,Compartments_Added!A:C,2,FALSE), "Not found"))</f>
        <v>Flow</v>
      </c>
      <c r="C115" s="340" t="str">
        <f>IFERROR(VLOOKUP(A115,'Compartments_Kawecki&amp;Nowack19'!A:C,3,FALSE), IFERROR(VLOOKUP(A115,Compartments_Added!A:C,3,FALSE), "Not found"))</f>
        <v>WWTPrimaryMicro</v>
      </c>
      <c r="D115" s="95" t="str">
        <f>IFERROR(IF(VLOOKUP(A115,'Compartments_Kawecki&amp;Nowack19'!A:C,1,FALSE)=A115, "Kawecki","what?"),"Added/changed")</f>
        <v>Kawecki</v>
      </c>
      <c r="F115" s="17"/>
      <c r="G115" s="503" t="str">
        <v>Secondary water treatment (macro)</v>
      </c>
      <c r="H115" s="318" t="str">
        <v>Medical textiles</v>
      </c>
      <c r="I115" s="508" t="str">
        <v>Rural roads</v>
      </c>
      <c r="J115" t="str">
        <v>Mobility textiles</v>
      </c>
    </row>
    <row r="116" spans="1:10" ht="15.75" thickBot="1">
      <c r="A116" s="74" t="str">
        <v>On-site sewage facility (macro)</v>
      </c>
      <c r="B116" s="340" t="str">
        <f>IFERROR(VLOOKUP(A116,'Compartments_Kawecki&amp;Nowack19'!A:C,2,FALSE), IFERROR(VLOOKUP(A116,Compartments_Added!A:C,2,FALSE), "Not found"))</f>
        <v>Flow</v>
      </c>
      <c r="C116" s="340" t="str">
        <f>IFERROR(VLOOKUP(A116,'Compartments_Kawecki&amp;Nowack19'!A:C,3,FALSE), IFERROR(VLOOKUP(A116,Compartments_Added!A:C,3,FALSE), "Not found"))</f>
        <v>OSSFMacro</v>
      </c>
      <c r="D116" s="95" t="str">
        <f>IFERROR(IF(VLOOKUP(A116,'Compartments_Kawecki&amp;Nowack19'!A:C,1,FALSE)=A116, "Kawecki","what?"),"Added/changed")</f>
        <v>Kawecki</v>
      </c>
      <c r="F116" s="17"/>
      <c r="G116" s="503" t="str">
        <v>On-site sewage facility (micro)</v>
      </c>
      <c r="H116" s="318" t="str">
        <v>Secondary water treatment (macro)</v>
      </c>
      <c r="I116" s="508" t="str">
        <v>Primary water treatment (macro)</v>
      </c>
      <c r="J116" t="str">
        <v>Textile coating (discarded)</v>
      </c>
    </row>
    <row r="117" spans="1:10" ht="15.75" thickBot="1">
      <c r="A117" s="74" t="str">
        <v>Secondary water treatment (macro)</v>
      </c>
      <c r="B117" s="340" t="str">
        <f>IFERROR(VLOOKUP(A117,'Compartments_Kawecki&amp;Nowack19'!A:C,2,FALSE), IFERROR(VLOOKUP(A117,Compartments_Added!A:C,2,FALSE), "Not found"))</f>
        <v>Flow</v>
      </c>
      <c r="C117" s="340" t="str">
        <f>IFERROR(VLOOKUP(A117,'Compartments_Kawecki&amp;Nowack19'!A:C,3,FALSE), IFERROR(VLOOKUP(A117,Compartments_Added!A:C,3,FALSE), "Not found"))</f>
        <v>WWTSecondaryMacro</v>
      </c>
      <c r="D117" s="95" t="str">
        <f>IFERROR(IF(VLOOKUP(A117,'Compartments_Kawecki&amp;Nowack19'!A:C,1,FALSE)=A117, "Kawecki","what?"),"Added/changed")</f>
        <v>Kawecki</v>
      </c>
      <c r="F117" s="17"/>
      <c r="G117" s="503" t="str">
        <v>Secondary water treatment (micro)</v>
      </c>
      <c r="H117" s="318" t="str">
        <v>Secondary water treatment (micro)</v>
      </c>
      <c r="I117" s="508" t="str">
        <v>Primary water treatment (micro)</v>
      </c>
      <c r="J117" t="str">
        <v>Wet wipes</v>
      </c>
    </row>
    <row r="118" spans="1:10" ht="15.75" thickBot="1">
      <c r="A118" s="74" t="str">
        <v>On-site sewage facility (micro)</v>
      </c>
      <c r="B118" s="340" t="str">
        <f>IFERROR(VLOOKUP(A118,'Compartments_Kawecki&amp;Nowack19'!A:C,2,FALSE), IFERROR(VLOOKUP(A118,Compartments_Added!A:C,2,FALSE), "Not found"))</f>
        <v>Flow</v>
      </c>
      <c r="C118" s="340" t="str">
        <f>IFERROR(VLOOKUP(A118,'Compartments_Kawecki&amp;Nowack19'!A:C,3,FALSE), IFERROR(VLOOKUP(A118,Compartments_Added!A:C,3,FALSE), "Not found"))</f>
        <v>OSSFMicro</v>
      </c>
      <c r="D118" s="95" t="str">
        <f>IFERROR(IF(VLOOKUP(A118,'Compartments_Kawecki&amp;Nowack19'!A:C,1,FALSE)=A118, "Kawecki","what?"),"Added/changed")</f>
        <v>Kawecki</v>
      </c>
      <c r="F118" s="17"/>
      <c r="G118" s="503" t="str">
        <v>Litter on road sides</v>
      </c>
      <c r="H118" s="318" t="str">
        <v>Seed coating</v>
      </c>
      <c r="I118" s="508" t="str">
        <v>On-site sewage facility (macro)</v>
      </c>
      <c r="J118" t="str">
        <v>Detergents and maintenance products</v>
      </c>
    </row>
    <row r="119" spans="1:10" ht="15.75" thickBot="1">
      <c r="A119" s="74" t="str">
        <v>Secondary water treatment (micro)</v>
      </c>
      <c r="B119" s="340" t="str">
        <f>IFERROR(VLOOKUP(A119,'Compartments_Kawecki&amp;Nowack19'!A:C,2,FALSE), IFERROR(VLOOKUP(A119,Compartments_Added!A:C,2,FALSE), "Not found"))</f>
        <v>Flow</v>
      </c>
      <c r="C119" s="340" t="str">
        <f>IFERROR(VLOOKUP(A119,'Compartments_Kawecki&amp;Nowack19'!A:C,3,FALSE), IFERROR(VLOOKUP(A119,Compartments_Added!A:C,3,FALSE), "Not found"))</f>
        <v>WWTSecondaryMicro</v>
      </c>
      <c r="D119" s="95" t="str">
        <f>IFERROR(IF(VLOOKUP(A119,'Compartments_Kawecki&amp;Nowack19'!A:C,1,FALSE)=A119, "Kawecki","what?"),"Added/changed")</f>
        <v>Kawecki</v>
      </c>
      <c r="F119" s="17"/>
      <c r="G119" s="503" t="str">
        <v>Combined sewer overflow (micro)</v>
      </c>
      <c r="H119" s="318" t="str">
        <v>Sludge (macro)</v>
      </c>
      <c r="I119" s="508" t="str">
        <v>Secondary water treatment (macro)</v>
      </c>
      <c r="J119" t="str">
        <v>Infill material sports fields (in use)</v>
      </c>
    </row>
    <row r="120" spans="1:10" ht="15.75" thickBot="1">
      <c r="A120" s="74" t="str">
        <v>Litter on road sides</v>
      </c>
      <c r="B120" s="340" t="str">
        <f>IFERROR(VLOOKUP(A120,'Compartments_Kawecki&amp;Nowack19'!A:C,2,FALSE), IFERROR(VLOOKUP(A120,Compartments_Added!A:C,2,FALSE), "Not found"))</f>
        <v>Flow</v>
      </c>
      <c r="C120" s="340" t="str">
        <f>IFERROR(VLOOKUP(A120,'Compartments_Kawecki&amp;Nowack19'!A:C,3,FALSE), IFERROR(VLOOKUP(A120,Compartments_Added!A:C,3,FALSE), "Not found"))</f>
        <v>RoadSideLitter</v>
      </c>
      <c r="D120" s="95" t="str">
        <f>IFERROR(IF(VLOOKUP(A120,'Compartments_Kawecki&amp;Nowack19'!A:C,1,FALSE)=A120, "Kawecki","what?"),"Added/changed")</f>
        <v>Kawecki</v>
      </c>
      <c r="F120" s="17"/>
      <c r="G120" s="503" t="str">
        <v>Urban roads</v>
      </c>
      <c r="H120" s="318" t="str">
        <v>Sludge (micro)</v>
      </c>
      <c r="I120" s="508" t="str">
        <v>On-site sewage facility (micro)</v>
      </c>
      <c r="J120" t="str">
        <v>Infill material sports fields (discarded)</v>
      </c>
    </row>
    <row r="121" spans="1:10" ht="15.75" thickBot="1">
      <c r="A121" s="74" t="str">
        <v>Combined sewer overflow (micro)</v>
      </c>
      <c r="B121" s="340" t="str">
        <f>IFERROR(VLOOKUP(A121,'Compartments_Kawecki&amp;Nowack19'!A:C,2,FALSE), IFERROR(VLOOKUP(A121,Compartments_Added!A:C,2,FALSE), "Not found"))</f>
        <v>Flow</v>
      </c>
      <c r="C121" s="340" t="str">
        <f>IFERROR(VLOOKUP(A121,'Compartments_Kawecki&amp;Nowack19'!A:C,3,FALSE), IFERROR(VLOOKUP(A121,Compartments_Added!A:C,3,FALSE), "Not found"))</f>
        <v>CSOMicro</v>
      </c>
      <c r="D121" s="95" t="str">
        <f>IFERROR(IF(VLOOKUP(A121,'Compartments_Kawecki&amp;Nowack19'!A:C,1,FALSE)=A121, "Kawecki","what?"),"Added/changed")</f>
        <v>Kawecki</v>
      </c>
      <c r="F121" s="17"/>
      <c r="G121" s="503" t="str">
        <v>Offshore oil &amp; gas applications</v>
      </c>
      <c r="H121" s="318" t="str">
        <v>Textile recycling</v>
      </c>
      <c r="I121" s="508" t="str">
        <v>Secondary water treatment (micro)</v>
      </c>
      <c r="J121" t="str">
        <v>Food additives</v>
      </c>
    </row>
    <row r="122" spans="1:10" ht="15.75" thickBot="1">
      <c r="A122" s="74" t="str">
        <v>Urban roads</v>
      </c>
      <c r="B122" s="340" t="str">
        <f>IFERROR(VLOOKUP(A122,'Compartments_Kawecki&amp;Nowack19'!A:C,2,FALSE), IFERROR(VLOOKUP(A122,Compartments_Added!A:C,2,FALSE), "Not found"))</f>
        <v>Flow</v>
      </c>
      <c r="C122" s="340" t="str">
        <f>IFERROR(VLOOKUP(A122,'Compartments_Kawecki&amp;Nowack19'!A:C,3,FALSE), IFERROR(VLOOKUP(A122,Compartments_Added!A:C,3,FALSE), "Not found"))</f>
        <v>UrbanRoads</v>
      </c>
      <c r="D122" s="95" t="str">
        <f>IFERROR(IF(VLOOKUP(A122,'Compartments_Kawecki&amp;Nowack19'!A:C,1,FALSE)=A122, "Kawecki","what?"),"Added/changed")</f>
        <v>Added/changed</v>
      </c>
      <c r="F122" s="17"/>
      <c r="G122" s="503" t="str">
        <v>Textile coating</v>
      </c>
      <c r="H122" s="318" t="str">
        <v>Road side soil (macro)</v>
      </c>
      <c r="I122" s="508" t="str">
        <v>Litter on road sides</v>
      </c>
      <c r="J122" t="str">
        <v>Invitro diagnostic devices</v>
      </c>
    </row>
    <row r="123" spans="1:10" ht="15.75" thickBot="1">
      <c r="A123" s="74" t="str">
        <v>Offshore oil &amp; gas applications</v>
      </c>
      <c r="B123" s="340" t="str">
        <f>IFERROR(VLOOKUP(A123,'Compartments_Kawecki&amp;Nowack19'!A:C,2,FALSE), IFERROR(VLOOKUP(A123,Compartments_Added!A:C,2,FALSE), "Not found"))</f>
        <v>Flow</v>
      </c>
      <c r="C123" s="340" t="str">
        <f>IFERROR(VLOOKUP(A123,'Compartments_Kawecki&amp;Nowack19'!A:C,3,FALSE), IFERROR(VLOOKUP(A123,Compartments_Added!A:C,3,FALSE), "Not found"))</f>
        <v>OilGasApplications</v>
      </c>
      <c r="D123" s="95" t="str">
        <f>IFERROR(IF(VLOOKUP(A123,'Compartments_Kawecki&amp;Nowack19'!A:C,1,FALSE)=A123, "Kawecki","what?"),"Added/changed")</f>
        <v>Added/changed</v>
      </c>
      <c r="F123" s="17"/>
      <c r="G123" s="503" t="str">
        <v>Textile recycling</v>
      </c>
      <c r="H123" s="318" t="str">
        <v>Road runoff</v>
      </c>
      <c r="I123" s="508" t="str">
        <v>Combined sewer overflow (micro)</v>
      </c>
      <c r="J123" t="str">
        <v>Medicine diffusion limitation (slow release)</v>
      </c>
    </row>
    <row r="124" spans="1:10" ht="15.75" thickBot="1">
      <c r="A124" s="74" t="str">
        <v>Textile coating</v>
      </c>
      <c r="B124" s="340" t="str">
        <f>IFERROR(VLOOKUP(A124,'Compartments_Kawecki&amp;Nowack19'!A:C,2,FALSE), IFERROR(VLOOKUP(A124,Compartments_Added!A:C,2,FALSE), "Not found"))</f>
        <v>Flow</v>
      </c>
      <c r="C124" s="340" t="str">
        <f>IFERROR(VLOOKUP(A124,'Compartments_Kawecki&amp;Nowack19'!A:C,3,FALSE), IFERROR(VLOOKUP(A124,Compartments_Added!A:C,3,FALSE), "Not found"))</f>
        <v>TextileCoating</v>
      </c>
      <c r="D124" s="95" t="str">
        <f>IFERROR(IF(VLOOKUP(A124,'Compartments_Kawecki&amp;Nowack19'!A:C,1,FALSE)=A124, "Kawecki","what?"),"Added/changed")</f>
        <v>Added/changed</v>
      </c>
      <c r="F124" s="17"/>
      <c r="G124" s="503" t="str">
        <v>Pellet losses transport land</v>
      </c>
      <c r="H124" s="318" t="str">
        <v>Mobility textiles</v>
      </c>
      <c r="I124" s="508" t="str">
        <v>Urban roads</v>
      </c>
      <c r="J124" t="str">
        <v>PCCP</v>
      </c>
    </row>
    <row r="125" spans="1:10" ht="15.75" thickBot="1">
      <c r="A125" s="74" t="str">
        <v>Textile recycling</v>
      </c>
      <c r="B125" s="340" t="str">
        <f>IFERROR(VLOOKUP(A125,'Compartments_Kawecki&amp;Nowack19'!A:C,2,FALSE), IFERROR(VLOOKUP(A125,Compartments_Added!A:C,2,FALSE), "Not found"))</f>
        <v>Flow</v>
      </c>
      <c r="C125" s="340" t="str">
        <f>IFERROR(VLOOKUP(A125,'Compartments_Kawecki&amp;Nowack19'!A:C,3,FALSE), IFERROR(VLOOKUP(A125,Compartments_Added!A:C,3,FALSE), "Not found"))</f>
        <v>TextileRecycling</v>
      </c>
      <c r="D125" s="95" t="str">
        <f>IFERROR(IF(VLOOKUP(A125,'Compartments_Kawecki&amp;Nowack19'!A:C,1,FALSE)=A125, "Kawecki","what?"),"Added/changed")</f>
        <v>Added/changed</v>
      </c>
      <c r="F125" s="17"/>
      <c r="G125" s="503" t="str">
        <v>Pellet losses industrial plants</v>
      </c>
      <c r="H125" s="318" t="str">
        <v>Other technical textiles</v>
      </c>
      <c r="I125" s="508" t="str">
        <v>Offshore oil &amp; gas applications</v>
      </c>
      <c r="J125" t="str">
        <v>Technical home textiles</v>
      </c>
    </row>
    <row r="126" spans="1:10" ht="15.75" thickBot="1">
      <c r="A126" s="74" t="str">
        <v>Pellet losses transport land</v>
      </c>
      <c r="B126" s="340" t="str">
        <f>IFERROR(VLOOKUP(A126,'Compartments_Kawecki&amp;Nowack19'!A:C,2,FALSE), IFERROR(VLOOKUP(A126,Compartments_Added!A:C,2,FALSE), "Not found"))</f>
        <v>Flow</v>
      </c>
      <c r="C126" s="340" t="str">
        <f>IFERROR(VLOOKUP(A126,'Compartments_Kawecki&amp;Nowack19'!A:C,3,FALSE), IFERROR(VLOOKUP(A126,Compartments_Added!A:C,3,FALSE), "Not found"))</f>
        <v>PelletTransportLossesL</v>
      </c>
      <c r="D126" s="95" t="str">
        <f>IFERROR(IF(VLOOKUP(A126,'Compartments_Kawecki&amp;Nowack19'!A:C,1,FALSE)=A126, "Kawecki","what?"),"Added/changed")</f>
        <v>Added/changed</v>
      </c>
      <c r="F126" s="17"/>
      <c r="G126" s="503" t="str">
        <v>Paint</v>
      </c>
      <c r="H126" s="318" t="str">
        <v>Tertiary water treatment (macro)</v>
      </c>
      <c r="I126" s="508" t="str">
        <v>Textile coating</v>
      </c>
      <c r="J126" t="str">
        <v>Technical home textiles (in use)</v>
      </c>
    </row>
    <row r="127" spans="1:10" ht="15.75" thickBot="1">
      <c r="A127" s="74" t="str">
        <v>Pellet losses industrial plants</v>
      </c>
      <c r="B127" s="340" t="str">
        <f>IFERROR(VLOOKUP(A127,'Compartments_Kawecki&amp;Nowack19'!A:C,2,FALSE), IFERROR(VLOOKUP(A127,Compartments_Added!A:C,2,FALSE), "Not found"))</f>
        <v>Flow</v>
      </c>
      <c r="C127" s="340" t="str">
        <f>IFERROR(VLOOKUP(A127,'Compartments_Kawecki&amp;Nowack19'!A:C,3,FALSE), IFERROR(VLOOKUP(A127,Compartments_Added!A:C,3,FALSE), "Not found"))</f>
        <v>PelletLossIndustrial</v>
      </c>
      <c r="D127" s="95" t="str">
        <f>IFERROR(IF(VLOOKUP(A127,'Compartments_Kawecki&amp;Nowack19'!A:C,1,FALSE)=A127, "Kawecki","what?"),"Added/changed")</f>
        <v>Added/changed</v>
      </c>
      <c r="F127" s="17"/>
      <c r="G127" s="503" t="str">
        <v>Ship paint (prof)</v>
      </c>
      <c r="H127" s="318" t="str">
        <v>Tertiary water treatment (micro)</v>
      </c>
      <c r="I127" s="508" t="str">
        <v>Textile recycling</v>
      </c>
      <c r="J127" t="str">
        <v>Technical textiles</v>
      </c>
    </row>
    <row r="128" spans="1:10" ht="15.75" thickBot="1">
      <c r="A128" s="74" t="str">
        <v>Ship paint (prof)</v>
      </c>
      <c r="B128" s="340" t="str">
        <f>IFERROR(VLOOKUP(A128,'Compartments_Kawecki&amp;Nowack19'!A:C,2,FALSE), IFERROR(VLOOKUP(A128,Compartments_Added!A:C,2,FALSE), "Not found"))</f>
        <v>Flow</v>
      </c>
      <c r="C128" s="340" t="str">
        <f>IFERROR(VLOOKUP(A128,'Compartments_Kawecki&amp;Nowack19'!A:C,3,FALSE), IFERROR(VLOOKUP(A128,Compartments_Added!A:C,3,FALSE), "Not found"))</f>
        <v>ShipProf</v>
      </c>
      <c r="D128" s="95" t="str">
        <f>IFERROR(IF(VLOOKUP(A128,'Compartments_Kawecki&amp;Nowack19'!A:C,1,FALSE)=A128, "Kawecki","what?"),"Added/changed")</f>
        <v>Added/changed</v>
      </c>
      <c r="F128" s="17"/>
      <c r="G128" s="503" t="str">
        <v>Ship paint (prof) (in use)</v>
      </c>
      <c r="H128" s="318" t="str">
        <v>Technical home textiles</v>
      </c>
      <c r="I128" s="508" t="str">
        <v>Pellet losses transport land</v>
      </c>
      <c r="J128" t="str">
        <v>Textile coating (in use)</v>
      </c>
    </row>
    <row r="129" spans="1:10" ht="15.75" thickBot="1">
      <c r="A129" s="74" t="str">
        <v>Ship paint (prof) (in use)</v>
      </c>
      <c r="B129" s="340" t="str">
        <f>IFERROR(VLOOKUP(A129,'Compartments_Kawecki&amp;Nowack19'!A:C,2,FALSE), IFERROR(VLOOKUP(A129,Compartments_Added!A:C,2,FALSE), "Not found"))</f>
        <v>Stock</v>
      </c>
      <c r="C129" s="340" t="str">
        <f>IFERROR(VLOOKUP(A129,'Compartments_Kawecki&amp;Nowack19'!A:C,3,FALSE), IFERROR(VLOOKUP(A129,Compartments_Added!A:C,3,FALSE), "Not found"))</f>
        <v>ShipProfIU</v>
      </c>
      <c r="D129" s="95" t="str">
        <f>IFERROR(IF(VLOOKUP(A129,'Compartments_Kawecki&amp;Nowack19'!A:C,1,FALSE)=A129, "Kawecki","what?"),"Added/changed")</f>
        <v>Added/changed</v>
      </c>
      <c r="F129" s="17"/>
      <c r="G129" s="503" t="str">
        <v>Ship paint (recr)</v>
      </c>
      <c r="H129" s="318" t="str">
        <v>Textile coating (discarded)</v>
      </c>
      <c r="I129" s="508" t="str">
        <v>Pellet losses industrial plants</v>
      </c>
      <c r="J129" t="str">
        <v>Wastewater (macro)</v>
      </c>
    </row>
    <row r="130" spans="1:10" ht="15.75" thickBot="1">
      <c r="A130" s="74" t="str">
        <v>Ship paint (recr)</v>
      </c>
      <c r="B130" s="340" t="str">
        <f>IFERROR(VLOOKUP(A130,'Compartments_Kawecki&amp;Nowack19'!A:C,2,FALSE), IFERROR(VLOOKUP(A130,Compartments_Added!A:C,2,FALSE), "Not found"))</f>
        <v>Flow</v>
      </c>
      <c r="C130" s="340" t="str">
        <f>IFERROR(VLOOKUP(A130,'Compartments_Kawecki&amp;Nowack19'!A:C,3,FALSE), IFERROR(VLOOKUP(A130,Compartments_Added!A:C,3,FALSE), "Not found"))</f>
        <v>ShipDiy</v>
      </c>
      <c r="D130" s="95" t="str">
        <f>IFERROR(IF(VLOOKUP(A130,'Compartments_Kawecki&amp;Nowack19'!A:C,1,FALSE)=A130, "Kawecki","what?"),"Added/changed")</f>
        <v>Added/changed</v>
      </c>
      <c r="F130" s="17"/>
      <c r="G130" s="503" t="str">
        <v>Ship paint (recr) (in use)</v>
      </c>
      <c r="H130" s="318" t="str">
        <v>Textile coating (in use)</v>
      </c>
      <c r="I130" s="508" t="str">
        <v>Ship paint (prof)</v>
      </c>
      <c r="J130" t="str">
        <v>Wastewater (micro)</v>
      </c>
    </row>
    <row r="131" spans="1:10" ht="15.75" thickBot="1">
      <c r="A131" s="74" t="str">
        <v>Ship paint (recr) (in use)</v>
      </c>
      <c r="B131" s="340" t="str">
        <f>IFERROR(VLOOKUP(A131,'Compartments_Kawecki&amp;Nowack19'!A:C,2,FALSE), IFERROR(VLOOKUP(A131,Compartments_Added!A:C,2,FALSE), "Not found"))</f>
        <v>Stock</v>
      </c>
      <c r="C131" s="340" t="str">
        <f>IFERROR(VLOOKUP(A131,'Compartments_Kawecki&amp;Nowack19'!A:C,3,FALSE), IFERROR(VLOOKUP(A131,Compartments_Added!A:C,3,FALSE), "Not found"))</f>
        <v>ShipDiyIU</v>
      </c>
      <c r="D131" s="95" t="str">
        <f>IFERROR(IF(VLOOKUP(A131,'Compartments_Kawecki&amp;Nowack19'!A:C,1,FALSE)=A131, "Kawecki","what?"),"Added/changed")</f>
        <v>Added/changed</v>
      </c>
      <c r="F131" s="17"/>
      <c r="G131" s="503" t="str">
        <v>Ship paint (prof) (discarded)</v>
      </c>
      <c r="H131" s="318" t="str">
        <v>Textile reuse</v>
      </c>
      <c r="I131" s="508" t="str">
        <v>Ship paint (prof) (in use)</v>
      </c>
      <c r="J131" t="str">
        <v>On-the-go consumption</v>
      </c>
    </row>
    <row r="132" spans="1:10" ht="15.75" thickBot="1">
      <c r="A132" s="74" t="str">
        <v>Ship paint (prof) (discarded)</v>
      </c>
      <c r="B132" s="340" t="str">
        <f>IFERROR(VLOOKUP(A132,'Compartments_Kawecki&amp;Nowack19'!A:C,2,FALSE), IFERROR(VLOOKUP(A132,Compartments_Added!A:C,2,FALSE), "Not found"))</f>
        <v>Stock</v>
      </c>
      <c r="C132" s="340" t="str">
        <f>IFERROR(VLOOKUP(A132,'Compartments_Kawecki&amp;Nowack19'!A:C,3,FALSE), IFERROR(VLOOKUP(A132,Compartments_Added!A:C,3,FALSE), "Not found"))</f>
        <v>ShipProfDis</v>
      </c>
      <c r="D132" s="95" t="str">
        <f>IFERROR(IF(VLOOKUP(A132,'Compartments_Kawecki&amp;Nowack19'!A:C,1,FALSE)=A132, "Kawecki","what?"),"Added/changed")</f>
        <v>Added/changed</v>
      </c>
      <c r="F132" s="17"/>
      <c r="G132" s="503" t="str">
        <v>Ship paint (recr) (discarded)</v>
      </c>
      <c r="H132" s="318" t="str">
        <v>Wastewater (macro)</v>
      </c>
      <c r="I132" s="508" t="str">
        <v>Ship paint (recr)</v>
      </c>
      <c r="J132" t="str">
        <v>Highway DAB non cleaned</v>
      </c>
    </row>
    <row r="133" spans="1:10" ht="15.75" thickBot="1">
      <c r="A133" s="74" t="str">
        <v>Ship paint (recr) (discarded)</v>
      </c>
      <c r="B133" s="340" t="str">
        <f>IFERROR(VLOOKUP(A133,'Compartments_Kawecki&amp;Nowack19'!A:C,2,FALSE), IFERROR(VLOOKUP(A133,Compartments_Added!A:C,2,FALSE), "Not found"))</f>
        <v>Stock</v>
      </c>
      <c r="C133" s="340" t="str">
        <f>IFERROR(VLOOKUP(A133,'Compartments_Kawecki&amp;Nowack19'!A:C,3,FALSE), IFERROR(VLOOKUP(A133,Compartments_Added!A:C,3,FALSE), "Not found"))</f>
        <v>ShipDiyDis</v>
      </c>
      <c r="D133" s="95" t="str">
        <f>IFERROR(IF(VLOOKUP(A133,'Compartments_Kawecki&amp;Nowack19'!A:C,1,FALSE)=A133, "Kawecki","what?"),"Added/changed")</f>
        <v>Added/changed</v>
      </c>
      <c r="F133" s="17"/>
      <c r="G133" s="503" t="str">
        <v>Concrete paint (prof)</v>
      </c>
      <c r="H133" s="318" t="str">
        <v>Pellet conversion</v>
      </c>
      <c r="I133" s="508" t="str">
        <v>Ship paint (recr) (in use)</v>
      </c>
      <c r="J133" t="str">
        <v>Highway ZOAB</v>
      </c>
    </row>
    <row r="134" spans="1:10" ht="15.75" thickBot="1">
      <c r="A134" s="74" t="str">
        <v>Concrete paint (prof)</v>
      </c>
      <c r="B134" s="340" t="str">
        <f>IFERROR(VLOOKUP(A134,'Compartments_Kawecki&amp;Nowack19'!A:C,2,FALSE), IFERROR(VLOOKUP(A134,Compartments_Added!A:C,2,FALSE), "Not found"))</f>
        <v>Flow</v>
      </c>
      <c r="C134" s="340" t="str">
        <f>IFERROR(VLOOKUP(A134,'Compartments_Kawecki&amp;Nowack19'!A:C,3,FALSE), IFERROR(VLOOKUP(A134,Compartments_Added!A:C,3,FALSE), "Not found"))</f>
        <v>ConcreteProf</v>
      </c>
      <c r="D134" s="95" t="str">
        <f>IFERROR(IF(VLOOKUP(A134,'Compartments_Kawecki&amp;Nowack19'!A:C,1,FALSE)=A134, "Kawecki","what?"),"Added/changed")</f>
        <v>Added/changed</v>
      </c>
      <c r="F134" s="17"/>
      <c r="G134" s="503" t="str">
        <v>Concrete paint (prof) outdoor</v>
      </c>
      <c r="H134" s="318" t="str">
        <v>Textile coating</v>
      </c>
      <c r="I134" s="508" t="str">
        <v>Ship paint (prof) (discarded)</v>
      </c>
      <c r="J134" t="str">
        <v>Textile waste collection</v>
      </c>
    </row>
    <row r="135" spans="1:10" ht="15.75" thickBot="1">
      <c r="A135" s="74" t="str">
        <v>Concrete paint (prof) outdoor</v>
      </c>
      <c r="B135" s="340" t="str">
        <f>IFERROR(VLOOKUP(A135,'Compartments_Kawecki&amp;Nowack19'!A:C,2,FALSE), IFERROR(VLOOKUP(A135,Compartments_Added!A:C,2,FALSE), "Not found"))</f>
        <v>Flow</v>
      </c>
      <c r="C135" s="340" t="str">
        <f>IFERROR(VLOOKUP(A135,'Compartments_Kawecki&amp;Nowack19'!A:C,3,FALSE), IFERROR(VLOOKUP(A135,Compartments_Added!A:C,3,FALSE), "Not found"))</f>
        <v>ConcreteProfOut</v>
      </c>
      <c r="D135" s="95" t="str">
        <f>IFERROR(IF(VLOOKUP(A135,'Compartments_Kawecki&amp;Nowack19'!A:C,1,FALSE)=A135, "Kawecki","what?"),"Added/changed")</f>
        <v>Added/changed</v>
      </c>
      <c r="F135" s="17"/>
      <c r="G135" s="503" t="str">
        <v>Concrete paint (prof) outdoor (in use)</v>
      </c>
      <c r="H135" s="318" t="str">
        <v>Pellet losses transport land</v>
      </c>
      <c r="I135" s="508" t="str">
        <v>Ship paint (recr) (discarded)</v>
      </c>
      <c r="J135" t="str">
        <v>Highway ZOAB non cleaned</v>
      </c>
    </row>
    <row r="136" spans="1:10" ht="15.75" thickBot="1">
      <c r="A136" s="74" t="str">
        <v>Concrete paint (prof) outdoor (in use)</v>
      </c>
      <c r="B136" s="340" t="str">
        <f>IFERROR(VLOOKUP(A136,'Compartments_Kawecki&amp;Nowack19'!A:C,2,FALSE), IFERROR(VLOOKUP(A136,Compartments_Added!A:C,2,FALSE), "Not found"))</f>
        <v>Stock</v>
      </c>
      <c r="C136" s="340" t="str">
        <f>IFERROR(VLOOKUP(A136,'Compartments_Kawecki&amp;Nowack19'!A:C,3,FALSE), IFERROR(VLOOKUP(A136,Compartments_Added!A:C,3,FALSE), "Not found"))</f>
        <v>ConcreteProfOutIU</v>
      </c>
      <c r="D136" s="95" t="str">
        <f>IFERROR(IF(VLOOKUP(A136,'Compartments_Kawecki&amp;Nowack19'!A:C,1,FALSE)=A136, "Kawecki","what?"),"Added/changed")</f>
        <v>Added/changed</v>
      </c>
      <c r="F136" s="17"/>
      <c r="G136" s="503" t="str">
        <v>Concrete paint (prof) indoor</v>
      </c>
      <c r="H136" s="318" t="str">
        <v>Sea water (micro)</v>
      </c>
      <c r="I136" s="508" t="str">
        <v>Concrete paint (prof)</v>
      </c>
      <c r="J136" t="str">
        <v>Road cleaning</v>
      </c>
    </row>
    <row r="137" spans="1:10" ht="15.75" thickBot="1">
      <c r="A137" s="74" t="str">
        <v>Concrete paint (prof) indoor</v>
      </c>
      <c r="B137" s="340" t="str">
        <f>IFERROR(VLOOKUP(A137,'Compartments_Kawecki&amp;Nowack19'!A:C,2,FALSE), IFERROR(VLOOKUP(A137,Compartments_Added!A:C,2,FALSE), "Not found"))</f>
        <v>Flow</v>
      </c>
      <c r="C137" s="340" t="str">
        <f>IFERROR(VLOOKUP(A137,'Compartments_Kawecki&amp;Nowack19'!A:C,3,FALSE), IFERROR(VLOOKUP(A137,Compartments_Added!A:C,3,FALSE), "Not found"))</f>
        <v>ConcreteProfIn</v>
      </c>
      <c r="D137" s="95" t="str">
        <f>IFERROR(IF(VLOOKUP(A137,'Compartments_Kawecki&amp;Nowack19'!A:C,1,FALSE)=A137, "Kawecki","what?"),"Added/changed")</f>
        <v>Added/changed</v>
      </c>
      <c r="F137" s="17"/>
      <c r="G137" s="503" t="str">
        <v>Concrete paint (prof) indoor (in use)</v>
      </c>
      <c r="H137" s="318" t="str">
        <v>Pellet losses industrial plants</v>
      </c>
      <c r="I137" s="508" t="str">
        <v>Concrete paint (prof) outdoor</v>
      </c>
      <c r="J137" t="str">
        <v>Road runoff</v>
      </c>
    </row>
    <row r="138" spans="1:10" ht="15.75" thickBot="1">
      <c r="A138" s="74" t="str">
        <v>Concrete paint (prof) indoor (in use)</v>
      </c>
      <c r="B138" s="340" t="str">
        <f>IFERROR(VLOOKUP(A138,'Compartments_Kawecki&amp;Nowack19'!A:C,2,FALSE), IFERROR(VLOOKUP(A138,Compartments_Added!A:C,2,FALSE), "Not found"))</f>
        <v>Stock</v>
      </c>
      <c r="C138" s="340" t="str">
        <f>IFERROR(VLOOKUP(A138,'Compartments_Kawecki&amp;Nowack19'!A:C,3,FALSE), IFERROR(VLOOKUP(A138,Compartments_Added!A:C,3,FALSE), "Not found"))</f>
        <v>ConcreteProfInIU</v>
      </c>
      <c r="D138" s="95" t="str">
        <f>IFERROR(IF(VLOOKUP(A138,'Compartments_Kawecki&amp;Nowack19'!A:C,1,FALSE)=A138, "Kawecki","what?"),"Added/changed")</f>
        <v>Added/changed</v>
      </c>
      <c r="F138" s="17"/>
      <c r="G138" s="503" t="str">
        <v>Concrete paint (prof) outdoor (discarded)</v>
      </c>
      <c r="H138" s="318" t="str">
        <v>Concrete paint (prof)</v>
      </c>
      <c r="I138" s="508" t="str">
        <v>Concrete paint (prof) outdoor (in use)</v>
      </c>
      <c r="J138" t="str">
        <v>Rural roads</v>
      </c>
    </row>
    <row r="139" spans="1:10" ht="15.75" thickBot="1">
      <c r="A139" s="74" t="str">
        <v>Concrete paint (prof) outdoor (discarded)</v>
      </c>
      <c r="B139" s="340" t="str">
        <f>IFERROR(VLOOKUP(A139,'Compartments_Kawecki&amp;Nowack19'!A:C,2,FALSE), IFERROR(VLOOKUP(A139,Compartments_Added!A:C,2,FALSE), "Not found"))</f>
        <v>Stock</v>
      </c>
      <c r="C139" s="340" t="str">
        <f>IFERROR(VLOOKUP(A139,'Compartments_Kawecki&amp;Nowack19'!A:C,3,FALSE), IFERROR(VLOOKUP(A139,Compartments_Added!A:C,3,FALSE), "Not found"))</f>
        <v>ConcreteProfOutDis</v>
      </c>
      <c r="D139" s="95" t="str">
        <f>IFERROR(IF(VLOOKUP(A139,'Compartments_Kawecki&amp;Nowack19'!A:C,1,FALSE)=A139, "Kawecki","what?"),"Added/changed")</f>
        <v>Added/changed</v>
      </c>
      <c r="F139" s="17"/>
      <c r="G139" s="503" t="str">
        <v>Concrete paint (prof) indoor (discarded)</v>
      </c>
      <c r="H139" s="318" t="str">
        <v>Lacquer (prof)</v>
      </c>
      <c r="I139" s="508" t="str">
        <v>Concrete paint (prof) indoor</v>
      </c>
      <c r="J139" t="str">
        <v>Tyre wear</v>
      </c>
    </row>
    <row r="140" spans="1:10" ht="15.75" thickBot="1">
      <c r="A140" s="74" t="str">
        <v>Concrete paint (prof) indoor (discarded)</v>
      </c>
      <c r="B140" s="340" t="str">
        <f>IFERROR(VLOOKUP(A140,'Compartments_Kawecki&amp;Nowack19'!A:C,2,FALSE), IFERROR(VLOOKUP(A140,Compartments_Added!A:C,2,FALSE), "Not found"))</f>
        <v>Stock</v>
      </c>
      <c r="C140" s="340" t="str">
        <f>IFERROR(VLOOKUP(A140,'Compartments_Kawecki&amp;Nowack19'!A:C,3,FALSE), IFERROR(VLOOKUP(A140,Compartments_Added!A:C,3,FALSE), "Not found"))</f>
        <v>ConcreteProfInDis</v>
      </c>
      <c r="D140" s="95" t="str">
        <f>IFERROR(IF(VLOOKUP(A140,'Compartments_Kawecki&amp;Nowack19'!A:C,1,FALSE)=A140, "Kawecki","what?"),"Added/changed")</f>
        <v>Added/changed</v>
      </c>
      <c r="F140" s="17"/>
      <c r="G140" s="503" t="str">
        <v>Lacquer (prof)</v>
      </c>
      <c r="H140" s="318" t="str">
        <v>Wood stain (prof)</v>
      </c>
      <c r="I140" s="508" t="str">
        <v>Concrete paint (prof) indoor (in use)</v>
      </c>
      <c r="J140" t="str">
        <v>Primary water treatment (macro)</v>
      </c>
    </row>
    <row r="141" spans="1:10" ht="15.75" thickBot="1">
      <c r="A141" s="74" t="str">
        <v>Lacquer (prof)</v>
      </c>
      <c r="B141" s="340" t="str">
        <f>IFERROR(VLOOKUP(A141,'Compartments_Kawecki&amp;Nowack19'!A:C,2,FALSE), IFERROR(VLOOKUP(A141,Compartments_Added!A:C,2,FALSE), "Not found"))</f>
        <v>Flow</v>
      </c>
      <c r="C141" s="340" t="str">
        <f>IFERROR(VLOOKUP(A141,'Compartments_Kawecki&amp;Nowack19'!A:C,3,FALSE), IFERROR(VLOOKUP(A141,Compartments_Added!A:C,3,FALSE), "Not found"))</f>
        <v>LacquerProf</v>
      </c>
      <c r="D141" s="95" t="str">
        <f>IFERROR(IF(VLOOKUP(A141,'Compartments_Kawecki&amp;Nowack19'!A:C,1,FALSE)=A141, "Kawecki","what?"),"Added/changed")</f>
        <v>Added/changed</v>
      </c>
      <c r="F141" s="17"/>
      <c r="G141" s="503" t="str">
        <v>Lacquer (prof) outdoor</v>
      </c>
      <c r="H141" s="318" t="str">
        <v>Wall paint (prof)</v>
      </c>
      <c r="I141" s="508" t="str">
        <v>Concrete paint (prof) outdoor (discarded)</v>
      </c>
      <c r="J141" t="str">
        <v>Primary water treatment (micro)</v>
      </c>
    </row>
    <row r="142" spans="1:10" ht="15.75" thickBot="1">
      <c r="A142" s="74" t="str">
        <v>Lacquer (prof) outdoor</v>
      </c>
      <c r="B142" s="340" t="str">
        <f>IFERROR(VLOOKUP(A142,'Compartments_Kawecki&amp;Nowack19'!A:C,2,FALSE), IFERROR(VLOOKUP(A142,Compartments_Added!A:C,2,FALSE), "Not found"))</f>
        <v>Flow</v>
      </c>
      <c r="C142" s="340" t="str">
        <f>IFERROR(VLOOKUP(A142,'Compartments_Kawecki&amp;Nowack19'!A:C,3,FALSE), IFERROR(VLOOKUP(A142,Compartments_Added!A:C,3,FALSE), "Not found"))</f>
        <v>LacquerProfOut</v>
      </c>
      <c r="D142" s="95" t="str">
        <f>IFERROR(IF(VLOOKUP(A142,'Compartments_Kawecki&amp;Nowack19'!A:C,1,FALSE)=A142, "Kawecki","what?"),"Added/changed")</f>
        <v>Added/changed</v>
      </c>
      <c r="F142" s="17"/>
      <c r="G142" s="503" t="str">
        <v>Lacquer (prof) outdoor (in use)</v>
      </c>
      <c r="H142" s="318" t="str">
        <v>Plaster (prof)</v>
      </c>
      <c r="I142" s="508" t="str">
        <v>Concrete paint (prof) indoor (discarded)</v>
      </c>
      <c r="J142" t="str">
        <v>On-site sewage facility (macro)</v>
      </c>
    </row>
    <row r="143" spans="1:10" ht="15.75" thickBot="1">
      <c r="A143" s="74" t="str">
        <v>Lacquer (prof) outdoor (in use)</v>
      </c>
      <c r="B143" s="340" t="str">
        <f>IFERROR(VLOOKUP(A143,'Compartments_Kawecki&amp;Nowack19'!A:C,2,FALSE), IFERROR(VLOOKUP(A143,Compartments_Added!A:C,2,FALSE), "Not found"))</f>
        <v>Stock</v>
      </c>
      <c r="C143" s="340" t="str">
        <f>IFERROR(VLOOKUP(A143,'Compartments_Kawecki&amp;Nowack19'!A:C,3,FALSE), IFERROR(VLOOKUP(A143,Compartments_Added!A:C,3,FALSE), "Not found"))</f>
        <v>LacquerProfOutIU</v>
      </c>
      <c r="D143" s="95" t="str">
        <f>IFERROR(IF(VLOOKUP(A143,'Compartments_Kawecki&amp;Nowack19'!A:C,1,FALSE)=A143, "Kawecki","what?"),"Added/changed")</f>
        <v>Added/changed</v>
      </c>
      <c r="F143" s="17"/>
      <c r="G143" s="503" t="str">
        <v>Lacquer (prof) indoor</v>
      </c>
      <c r="H143" s="318" t="str">
        <v>Other paint uses (prof)</v>
      </c>
      <c r="I143" s="508" t="str">
        <v>Lacquer (prof)</v>
      </c>
      <c r="J143" t="str">
        <v>Secondary water treatment (macro)</v>
      </c>
    </row>
    <row r="144" spans="1:10" ht="15.75" thickBot="1">
      <c r="A144" s="74" t="str">
        <v>Lacquer (prof) indoor</v>
      </c>
      <c r="B144" s="340" t="str">
        <f>IFERROR(VLOOKUP(A144,'Compartments_Kawecki&amp;Nowack19'!A:C,2,FALSE), IFERROR(VLOOKUP(A144,Compartments_Added!A:C,2,FALSE), "Not found"))</f>
        <v>Flow</v>
      </c>
      <c r="C144" s="340" t="str">
        <f>IFERROR(VLOOKUP(A144,'Compartments_Kawecki&amp;Nowack19'!A:C,3,FALSE), IFERROR(VLOOKUP(A144,Compartments_Added!A:C,3,FALSE), "Not found"))</f>
        <v>LacquerProfIn</v>
      </c>
      <c r="D144" s="95" t="str">
        <f>IFERROR(IF(VLOOKUP(A144,'Compartments_Kawecki&amp;Nowack19'!A:C,1,FALSE)=A144, "Kawecki","what?"),"Added/changed")</f>
        <v>Added/changed</v>
      </c>
      <c r="F144" s="17"/>
      <c r="G144" s="503" t="str">
        <v>Lacquer (prof) indoor (in use)</v>
      </c>
      <c r="H144" s="318" t="str">
        <v>Paints used in pre-made wooden products</v>
      </c>
      <c r="I144" s="508" t="str">
        <v>Lacquer (prof) outdoor</v>
      </c>
      <c r="J144" t="str">
        <v>On-site sewage facility (micro)</v>
      </c>
    </row>
    <row r="145" spans="1:10" ht="15.75" thickBot="1">
      <c r="A145" s="74" t="str">
        <v>Lacquer (prof) indoor (in use)</v>
      </c>
      <c r="B145" s="340" t="str">
        <f>IFERROR(VLOOKUP(A145,'Compartments_Kawecki&amp;Nowack19'!A:C,2,FALSE), IFERROR(VLOOKUP(A145,Compartments_Added!A:C,2,FALSE), "Not found"))</f>
        <v>Stock</v>
      </c>
      <c r="C145" s="340" t="str">
        <f>IFERROR(VLOOKUP(A145,'Compartments_Kawecki&amp;Nowack19'!A:C,3,FALSE), IFERROR(VLOOKUP(A145,Compartments_Added!A:C,3,FALSE), "Not found"))</f>
        <v>LacquerProfInIU</v>
      </c>
      <c r="D145" s="95" t="str">
        <f>IFERROR(IF(VLOOKUP(A145,'Compartments_Kawecki&amp;Nowack19'!A:C,1,FALSE)=A145, "Kawecki","what?"),"Added/changed")</f>
        <v>Added/changed</v>
      </c>
      <c r="F145" s="17"/>
      <c r="G145" s="503" t="str">
        <v>Lacquer (prof) outdoor (discarded)</v>
      </c>
      <c r="H145" s="318" t="str">
        <v>Lacquer (DIY)</v>
      </c>
      <c r="I145" s="508" t="str">
        <v>Lacquer (prof) outdoor (in use)</v>
      </c>
      <c r="J145" t="str">
        <v>Secondary water treatment (micro)</v>
      </c>
    </row>
    <row r="146" spans="1:10" ht="15.75" thickBot="1">
      <c r="A146" s="74" t="str">
        <v>Lacquer (prof) outdoor (discarded)</v>
      </c>
      <c r="B146" s="340" t="str">
        <f>IFERROR(VLOOKUP(A146,'Compartments_Kawecki&amp;Nowack19'!A:C,2,FALSE), IFERROR(VLOOKUP(A146,Compartments_Added!A:C,2,FALSE), "Not found"))</f>
        <v>Stock</v>
      </c>
      <c r="C146" s="340" t="str">
        <f>IFERROR(VLOOKUP(A146,'Compartments_Kawecki&amp;Nowack19'!A:C,3,FALSE), IFERROR(VLOOKUP(A146,Compartments_Added!A:C,3,FALSE), "Not found"))</f>
        <v>LacquerProfOutDis</v>
      </c>
      <c r="D146" s="95" t="str">
        <f>IFERROR(IF(VLOOKUP(A146,'Compartments_Kawecki&amp;Nowack19'!A:C,1,FALSE)=A146, "Kawecki","what?"),"Added/changed")</f>
        <v>Added/changed</v>
      </c>
      <c r="F146" s="17"/>
      <c r="G146" s="503" t="str">
        <v>Lacquer (prof) indoor (discarded)</v>
      </c>
      <c r="H146" s="318" t="str">
        <v>Wood stain (DIY)</v>
      </c>
      <c r="I146" s="508" t="str">
        <v>Lacquer (prof) indoor</v>
      </c>
      <c r="J146" t="str">
        <v>Litter on road sides</v>
      </c>
    </row>
    <row r="147" spans="1:10" ht="15.75" thickBot="1">
      <c r="A147" s="74" t="str">
        <v>Lacquer (prof) indoor (discarded)</v>
      </c>
      <c r="B147" s="340" t="str">
        <f>IFERROR(VLOOKUP(A147,'Compartments_Kawecki&amp;Nowack19'!A:C,2,FALSE), IFERROR(VLOOKUP(A147,Compartments_Added!A:C,2,FALSE), "Not found"))</f>
        <v>Stock</v>
      </c>
      <c r="C147" s="340" t="str">
        <f>IFERROR(VLOOKUP(A147,'Compartments_Kawecki&amp;Nowack19'!A:C,3,FALSE), IFERROR(VLOOKUP(A147,Compartments_Added!A:C,3,FALSE), "Not found"))</f>
        <v>LacquerProfInDis</v>
      </c>
      <c r="D147" s="95" t="str">
        <f>IFERROR(IF(VLOOKUP(A147,'Compartments_Kawecki&amp;Nowack19'!A:C,1,FALSE)=A147, "Kawecki","what?"),"Added/changed")</f>
        <v>Added/changed</v>
      </c>
      <c r="F147" s="17"/>
      <c r="G147" s="503" t="str">
        <v>Wood stain (prof)</v>
      </c>
      <c r="H147" s="318" t="str">
        <v>Wall paint (DIY)</v>
      </c>
      <c r="I147" s="508" t="str">
        <v>Lacquer (prof) indoor (in use)</v>
      </c>
      <c r="J147" t="str">
        <v>Combined sewer overflow (micro)</v>
      </c>
    </row>
    <row r="148" spans="1:10" ht="15.75" thickBot="1">
      <c r="A148" s="74" t="str">
        <v>Wood stain (prof)</v>
      </c>
      <c r="B148" s="340" t="str">
        <f>IFERROR(VLOOKUP(A148,'Compartments_Kawecki&amp;Nowack19'!A:C,2,FALSE), IFERROR(VLOOKUP(A148,Compartments_Added!A:C,2,FALSE), "Not found"))</f>
        <v>Flow</v>
      </c>
      <c r="C148" s="340" t="str">
        <f>IFERROR(VLOOKUP(A148,'Compartments_Kawecki&amp;Nowack19'!A:C,3,FALSE), IFERROR(VLOOKUP(A148,Compartments_Added!A:C,3,FALSE), "Not found"))</f>
        <v>WoodProf</v>
      </c>
      <c r="D148" s="95" t="str">
        <f>IFERROR(IF(VLOOKUP(A148,'Compartments_Kawecki&amp;Nowack19'!A:C,1,FALSE)=A148, "Kawecki","what?"),"Added/changed")</f>
        <v>Added/changed</v>
      </c>
      <c r="F148" s="17"/>
      <c r="G148" s="503" t="str">
        <v>Wood stain (prof) outdoor</v>
      </c>
      <c r="H148" s="318" t="str">
        <v>Plaster (DIY)</v>
      </c>
      <c r="I148" s="508" t="str">
        <v>Lacquer (prof) outdoor (discarded)</v>
      </c>
      <c r="J148" t="str">
        <v>Urban roads</v>
      </c>
    </row>
    <row r="149" spans="1:10" ht="15.75" thickBot="1">
      <c r="A149" s="74" t="str">
        <v>Wood stain (prof) outdoor</v>
      </c>
      <c r="B149" s="340" t="str">
        <f>IFERROR(VLOOKUP(A149,'Compartments_Kawecki&amp;Nowack19'!A:C,2,FALSE), IFERROR(VLOOKUP(A149,Compartments_Added!A:C,2,FALSE), "Not found"))</f>
        <v>Flow</v>
      </c>
      <c r="C149" s="340" t="str">
        <f>IFERROR(VLOOKUP(A149,'Compartments_Kawecki&amp;Nowack19'!A:C,3,FALSE), IFERROR(VLOOKUP(A149,Compartments_Added!A:C,3,FALSE), "Not found"))</f>
        <v>WoodProfOut</v>
      </c>
      <c r="D149" s="95" t="str">
        <f>IFERROR(IF(VLOOKUP(A149,'Compartments_Kawecki&amp;Nowack19'!A:C,1,FALSE)=A149, "Kawecki","what?"),"Added/changed")</f>
        <v>Added/changed</v>
      </c>
      <c r="F149" s="17"/>
      <c r="G149" s="503" t="str">
        <v>Wood stain (prof) outdoor (in use)</v>
      </c>
      <c r="H149" s="318" t="str">
        <v>Other paint uses (DIY)</v>
      </c>
      <c r="I149" s="508" t="str">
        <v>Lacquer (prof) indoor (discarded)</v>
      </c>
      <c r="J149" t="str">
        <v>Offshore oil &amp; gas applications</v>
      </c>
    </row>
    <row r="150" spans="1:10" ht="15.75" thickBot="1">
      <c r="A150" s="74" t="str">
        <v>Wood stain (prof) outdoor (in use)</v>
      </c>
      <c r="B150" s="340" t="str">
        <f>IFERROR(VLOOKUP(A150,'Compartments_Kawecki&amp;Nowack19'!A:C,2,FALSE), IFERROR(VLOOKUP(A150,Compartments_Added!A:C,2,FALSE), "Not found"))</f>
        <v>Stock</v>
      </c>
      <c r="C150" s="340" t="str">
        <f>IFERROR(VLOOKUP(A150,'Compartments_Kawecki&amp;Nowack19'!A:C,3,FALSE), IFERROR(VLOOKUP(A150,Compartments_Added!A:C,3,FALSE), "Not found"))</f>
        <v>WoodStainProfOutIU</v>
      </c>
      <c r="D150" s="95" t="str">
        <f>IFERROR(IF(VLOOKUP(A150,'Compartments_Kawecki&amp;Nowack19'!A:C,1,FALSE)=A150, "Kawecki","what?"),"Added/changed")</f>
        <v>Added/changed</v>
      </c>
      <c r="F150" s="17"/>
      <c r="G150" s="503" t="str">
        <v>Wood stain (prof) indoor</v>
      </c>
      <c r="H150" s="318" t="str">
        <v>Ship paint (prof)</v>
      </c>
      <c r="I150" s="508" t="str">
        <v>Wood stain (prof)</v>
      </c>
      <c r="J150" t="str">
        <v>Textile coating</v>
      </c>
    </row>
    <row r="151" spans="1:10" ht="15.75" thickBot="1">
      <c r="A151" s="74" t="str">
        <v>Wood stain (prof) indoor</v>
      </c>
      <c r="B151" s="340" t="str">
        <f>IFERROR(VLOOKUP(A151,'Compartments_Kawecki&amp;Nowack19'!A:C,2,FALSE), IFERROR(VLOOKUP(A151,Compartments_Added!A:C,2,FALSE), "Not found"))</f>
        <v>Flow</v>
      </c>
      <c r="C151" s="340" t="str">
        <f>IFERROR(VLOOKUP(A151,'Compartments_Kawecki&amp;Nowack19'!A:C,3,FALSE), IFERROR(VLOOKUP(A151,Compartments_Added!A:C,3,FALSE), "Not found"))</f>
        <v>WoodProfIn</v>
      </c>
      <c r="D151" s="95" t="str">
        <f>IFERROR(IF(VLOOKUP(A151,'Compartments_Kawecki&amp;Nowack19'!A:C,1,FALSE)=A151, "Kawecki","what?"),"Added/changed")</f>
        <v>Added/changed</v>
      </c>
      <c r="F151" s="17"/>
      <c r="G151" s="503" t="str">
        <v>Wood stain (prof) indoor (in use)</v>
      </c>
      <c r="H151" s="318" t="str">
        <v>Ship paint (recr)</v>
      </c>
      <c r="I151" s="508" t="str">
        <v>Wood stain (prof) outdoor</v>
      </c>
      <c r="J151" t="str">
        <v>Textile recycling</v>
      </c>
    </row>
    <row r="152" spans="1:10" ht="15.75" thickBot="1">
      <c r="A152" s="74" t="str">
        <v>Wood stain (prof) indoor (in use)</v>
      </c>
      <c r="B152" s="340" t="str">
        <f>IFERROR(VLOOKUP(A152,'Compartments_Kawecki&amp;Nowack19'!A:C,2,FALSE), IFERROR(VLOOKUP(A152,Compartments_Added!A:C,2,FALSE), "Not found"))</f>
        <v>Stock</v>
      </c>
      <c r="C152" s="340" t="str">
        <f>IFERROR(VLOOKUP(A152,'Compartments_Kawecki&amp;Nowack19'!A:C,3,FALSE), IFERROR(VLOOKUP(A152,Compartments_Added!A:C,3,FALSE), "Not found"))</f>
        <v>WoodStainProfInIU</v>
      </c>
      <c r="D152" s="95" t="str">
        <f>IFERROR(IF(VLOOKUP(A152,'Compartments_Kawecki&amp;Nowack19'!A:C,1,FALSE)=A152, "Kawecki","what?"),"Added/changed")</f>
        <v>Added/changed</v>
      </c>
      <c r="F152" s="17"/>
      <c r="G152" s="503" t="str">
        <v>Wood stain (prof) outdoor (discarded)</v>
      </c>
      <c r="H152" s="318" t="str">
        <v>Ship paint (prof) (in use)</v>
      </c>
      <c r="I152" s="508" t="str">
        <v>Wood stain (prof) outdoor (in use)</v>
      </c>
      <c r="J152" t="str">
        <v>Pellet losses transport land</v>
      </c>
    </row>
    <row r="153" spans="1:10" ht="15.75" thickBot="1">
      <c r="A153" s="74" t="str">
        <v>Wood stain (prof) outdoor (discarded)</v>
      </c>
      <c r="B153" s="340" t="str">
        <f>IFERROR(VLOOKUP(A153,'Compartments_Kawecki&amp;Nowack19'!A:C,2,FALSE), IFERROR(VLOOKUP(A153,Compartments_Added!A:C,2,FALSE), "Not found"))</f>
        <v>Stock</v>
      </c>
      <c r="C153" s="340" t="str">
        <f>IFERROR(VLOOKUP(A153,'Compartments_Kawecki&amp;Nowack19'!A:C,3,FALSE), IFERROR(VLOOKUP(A153,Compartments_Added!A:C,3,FALSE), "Not found"))</f>
        <v>WoodStainProfOutDis</v>
      </c>
      <c r="D153" s="95" t="str">
        <f>IFERROR(IF(VLOOKUP(A153,'Compartments_Kawecki&amp;Nowack19'!A:C,1,FALSE)=A153, "Kawecki","what?"),"Added/changed")</f>
        <v>Added/changed</v>
      </c>
      <c r="F153" s="17"/>
      <c r="G153" s="503" t="str">
        <v>Wood stain (prof) indoor (discarded)</v>
      </c>
      <c r="H153" s="318" t="str">
        <v>Ship paint (prof) (discarded)</v>
      </c>
      <c r="I153" s="508" t="str">
        <v>Wood stain (prof) indoor</v>
      </c>
      <c r="J153" t="str">
        <v>Pellet losses industrial plants</v>
      </c>
    </row>
    <row r="154" spans="1:10" ht="15.75" thickBot="1">
      <c r="A154" s="74" t="str">
        <v>Wood stain (prof) indoor (discarded)</v>
      </c>
      <c r="B154" s="340" t="str">
        <f>IFERROR(VLOOKUP(A154,'Compartments_Kawecki&amp;Nowack19'!A:C,2,FALSE), IFERROR(VLOOKUP(A154,Compartments_Added!A:C,2,FALSE), "Not found"))</f>
        <v>Stock</v>
      </c>
      <c r="C154" s="340" t="str">
        <f>IFERROR(VLOOKUP(A154,'Compartments_Kawecki&amp;Nowack19'!A:C,3,FALSE), IFERROR(VLOOKUP(A154,Compartments_Added!A:C,3,FALSE), "Not found"))</f>
        <v>WoodStainProfInDis</v>
      </c>
      <c r="D154" s="95" t="str">
        <f>IFERROR(IF(VLOOKUP(A154,'Compartments_Kawecki&amp;Nowack19'!A:C,1,FALSE)=A154, "Kawecki","what?"),"Added/changed")</f>
        <v>Added/changed</v>
      </c>
      <c r="F154" s="17"/>
      <c r="G154" s="503" t="str">
        <v>Wall paint (prof)</v>
      </c>
      <c r="H154" s="318" t="str">
        <v>Ship paint (recr) (in use)</v>
      </c>
      <c r="I154" s="508" t="str">
        <v>Wood stain (prof) indoor (in use)</v>
      </c>
      <c r="J154" t="str">
        <v>Paint</v>
      </c>
    </row>
    <row r="155" spans="1:10" ht="15.75" thickBot="1">
      <c r="A155" s="74" t="str">
        <v>Wall paint (prof)</v>
      </c>
      <c r="B155" s="340" t="str">
        <f>IFERROR(VLOOKUP(A155,'Compartments_Kawecki&amp;Nowack19'!A:C,2,FALSE), IFERROR(VLOOKUP(A155,Compartments_Added!A:C,2,FALSE), "Not found"))</f>
        <v>Flow</v>
      </c>
      <c r="C155" s="340" t="str">
        <f>IFERROR(VLOOKUP(A155,'Compartments_Kawecki&amp;Nowack19'!A:C,3,FALSE), IFERROR(VLOOKUP(A155,Compartments_Added!A:C,3,FALSE), "Not found"))</f>
        <v>WallProf</v>
      </c>
      <c r="D155" s="95" t="str">
        <f>IFERROR(IF(VLOOKUP(A155,'Compartments_Kawecki&amp;Nowack19'!A:C,1,FALSE)=A155, "Kawecki","what?"),"Added/changed")</f>
        <v>Added/changed</v>
      </c>
      <c r="F155" s="17"/>
      <c r="G155" s="503" t="str">
        <v>Wall paint (prof) outdoor</v>
      </c>
      <c r="H155" s="318" t="str">
        <v>Ship paint (recr) (discarded)</v>
      </c>
      <c r="I155" s="508" t="str">
        <v>Wood stain (prof) outdoor (discarded)</v>
      </c>
      <c r="J155" t="str">
        <v>Ship paint (prof)</v>
      </c>
    </row>
    <row r="156" spans="1:10" ht="15.75" thickBot="1">
      <c r="A156" s="74" t="str">
        <v>Wall paint (prof) outdoor</v>
      </c>
      <c r="B156" s="340" t="str">
        <f>IFERROR(VLOOKUP(A156,'Compartments_Kawecki&amp;Nowack19'!A:C,2,FALSE), IFERROR(VLOOKUP(A156,Compartments_Added!A:C,2,FALSE), "Not found"))</f>
        <v>Flow</v>
      </c>
      <c r="C156" s="340" t="str">
        <f>IFERROR(VLOOKUP(A156,'Compartments_Kawecki&amp;Nowack19'!A:C,3,FALSE), IFERROR(VLOOKUP(A156,Compartments_Added!A:C,3,FALSE), "Not found"))</f>
        <v>WallProfOut</v>
      </c>
      <c r="D156" s="95" t="str">
        <f>IFERROR(IF(VLOOKUP(A156,'Compartments_Kawecki&amp;Nowack19'!A:C,1,FALSE)=A156, "Kawecki","what?"),"Added/changed")</f>
        <v>Added/changed</v>
      </c>
      <c r="F156" s="17"/>
      <c r="G156" s="503" t="str">
        <v>Wall paint (prof) outdoor (in use)</v>
      </c>
      <c r="H156" s="318" t="str">
        <v>Concrete paint (prof) outdoor</v>
      </c>
      <c r="I156" s="508" t="str">
        <v>Wood stain (prof) indoor (discarded)</v>
      </c>
      <c r="J156" t="str">
        <v>Ship paint (prof) (in use)</v>
      </c>
    </row>
    <row r="157" spans="1:10" ht="15.75" thickBot="1">
      <c r="A157" s="74" t="str">
        <v>Wall paint (prof) outdoor (in use)</v>
      </c>
      <c r="B157" s="340" t="str">
        <f>IFERROR(VLOOKUP(A157,'Compartments_Kawecki&amp;Nowack19'!A:C,2,FALSE), IFERROR(VLOOKUP(A157,Compartments_Added!A:C,2,FALSE), "Not found"))</f>
        <v>Stock</v>
      </c>
      <c r="C157" s="340" t="str">
        <f>IFERROR(VLOOKUP(A157,'Compartments_Kawecki&amp;Nowack19'!A:C,3,FALSE), IFERROR(VLOOKUP(A157,Compartments_Added!A:C,3,FALSE), "Not found"))</f>
        <v>WallPaintProfOutIU</v>
      </c>
      <c r="D157" s="95" t="str">
        <f>IFERROR(IF(VLOOKUP(A157,'Compartments_Kawecki&amp;Nowack19'!A:C,1,FALSE)=A157, "Kawecki","what?"),"Added/changed")</f>
        <v>Added/changed</v>
      </c>
      <c r="F157" s="17"/>
      <c r="G157" s="503" t="str">
        <v>Wall paint (prof) indoor</v>
      </c>
      <c r="H157" s="318" t="str">
        <v>Concrete paint (prof) indoor</v>
      </c>
      <c r="I157" s="508" t="str">
        <v>Wall paint (prof)</v>
      </c>
      <c r="J157" t="str">
        <v>Ship paint (recr)</v>
      </c>
    </row>
    <row r="158" spans="1:10" ht="15.75" thickBot="1">
      <c r="A158" s="74" t="str">
        <v>Wall paint (prof) indoor</v>
      </c>
      <c r="B158" s="340" t="str">
        <f>IFERROR(VLOOKUP(A158,'Compartments_Kawecki&amp;Nowack19'!A:C,2,FALSE), IFERROR(VLOOKUP(A158,Compartments_Added!A:C,2,FALSE), "Not found"))</f>
        <v>Flow</v>
      </c>
      <c r="C158" s="340" t="str">
        <f>IFERROR(VLOOKUP(A158,'Compartments_Kawecki&amp;Nowack19'!A:C,3,FALSE), IFERROR(VLOOKUP(A158,Compartments_Added!A:C,3,FALSE), "Not found"))</f>
        <v>WallProfIn</v>
      </c>
      <c r="D158" s="95" t="str">
        <f>IFERROR(IF(VLOOKUP(A158,'Compartments_Kawecki&amp;Nowack19'!A:C,1,FALSE)=A158, "Kawecki","what?"),"Added/changed")</f>
        <v>Added/changed</v>
      </c>
      <c r="F158" s="17"/>
      <c r="G158" s="503" t="str">
        <v>Wall paint (prof) indoor (in use)</v>
      </c>
      <c r="H158" s="318" t="str">
        <v>Concrete paint (prof) outdoor (in use)</v>
      </c>
      <c r="I158" s="508" t="str">
        <v>Wall paint (prof) outdoor</v>
      </c>
      <c r="J158" t="str">
        <v>Ship paint (recr) (in use)</v>
      </c>
    </row>
    <row r="159" spans="1:10" ht="15.75" thickBot="1">
      <c r="A159" s="74" t="str">
        <v>Wall paint (prof) indoor (in use)</v>
      </c>
      <c r="B159" s="340" t="str">
        <f>IFERROR(VLOOKUP(A159,'Compartments_Kawecki&amp;Nowack19'!A:C,2,FALSE), IFERROR(VLOOKUP(A159,Compartments_Added!A:C,2,FALSE), "Not found"))</f>
        <v>Stock</v>
      </c>
      <c r="C159" s="340" t="str">
        <f>IFERROR(VLOOKUP(A159,'Compartments_Kawecki&amp;Nowack19'!A:C,3,FALSE), IFERROR(VLOOKUP(A159,Compartments_Added!A:C,3,FALSE), "Not found"))</f>
        <v>WallPaintProfInIU</v>
      </c>
      <c r="D159" s="95" t="str">
        <f>IFERROR(IF(VLOOKUP(A159,'Compartments_Kawecki&amp;Nowack19'!A:C,1,FALSE)=A159, "Kawecki","what?"),"Added/changed")</f>
        <v>Added/changed</v>
      </c>
      <c r="F159" s="17"/>
      <c r="G159" s="503" t="str">
        <v>Wall paint (prof) outdoor (discarded)</v>
      </c>
      <c r="H159" s="318" t="str">
        <v>Concrete paint (prof) outdoor (discarded)</v>
      </c>
      <c r="I159" s="508" t="str">
        <v>Wall paint (prof) outdoor (in use)</v>
      </c>
      <c r="J159" t="str">
        <v>Ship paint (prof) (discarded)</v>
      </c>
    </row>
    <row r="160" spans="1:10" ht="15.75" thickBot="1">
      <c r="A160" s="74" t="str">
        <v>Wall paint (prof) outdoor (discarded)</v>
      </c>
      <c r="B160" s="340" t="str">
        <f>IFERROR(VLOOKUP(A160,'Compartments_Kawecki&amp;Nowack19'!A:C,2,FALSE), IFERROR(VLOOKUP(A160,Compartments_Added!A:C,2,FALSE), "Not found"))</f>
        <v>Stock</v>
      </c>
      <c r="C160" s="340" t="str">
        <f>IFERROR(VLOOKUP(A160,'Compartments_Kawecki&amp;Nowack19'!A:C,3,FALSE), IFERROR(VLOOKUP(A160,Compartments_Added!A:C,3,FALSE), "Not found"))</f>
        <v>WallPaintProfOutDis</v>
      </c>
      <c r="D160" s="95" t="str">
        <f>IFERROR(IF(VLOOKUP(A160,'Compartments_Kawecki&amp;Nowack19'!A:C,1,FALSE)=A160, "Kawecki","what?"),"Added/changed")</f>
        <v>Added/changed</v>
      </c>
      <c r="F160" s="17"/>
      <c r="G160" s="503" t="str">
        <v>Wall paint (prof) indoor (discarded)</v>
      </c>
      <c r="H160" s="318" t="str">
        <v>Concrete paint (prof) indoor (in use)</v>
      </c>
      <c r="I160" s="508" t="str">
        <v>Wall paint (prof) indoor</v>
      </c>
      <c r="J160" t="str">
        <v>Ship paint (recr) (discarded)</v>
      </c>
    </row>
    <row r="161" spans="1:10" ht="15.75" thickBot="1">
      <c r="A161" s="74" t="str">
        <v>Wall paint (prof) indoor (discarded)</v>
      </c>
      <c r="B161" s="340" t="str">
        <f>IFERROR(VLOOKUP(A161,'Compartments_Kawecki&amp;Nowack19'!A:C,2,FALSE), IFERROR(VLOOKUP(A161,Compartments_Added!A:C,2,FALSE), "Not found"))</f>
        <v>Stock</v>
      </c>
      <c r="C161" s="340" t="str">
        <f>IFERROR(VLOOKUP(A161,'Compartments_Kawecki&amp;Nowack19'!A:C,3,FALSE), IFERROR(VLOOKUP(A161,Compartments_Added!A:C,3,FALSE), "Not found"))</f>
        <v>WallPaintProfInDis</v>
      </c>
      <c r="D161" s="95" t="str">
        <f>IFERROR(IF(VLOOKUP(A161,'Compartments_Kawecki&amp;Nowack19'!A:C,1,FALSE)=A161, "Kawecki","what?"),"Added/changed")</f>
        <v>Added/changed</v>
      </c>
      <c r="F161" s="17"/>
      <c r="G161" s="503" t="str">
        <v>Plaster (prof)</v>
      </c>
      <c r="H161" s="318" t="str">
        <v>Concrete paint (prof) indoor (discarded)</v>
      </c>
      <c r="I161" s="508" t="str">
        <v>Wall paint (prof) indoor (in use)</v>
      </c>
      <c r="J161" t="str">
        <v>Concrete paint (prof)</v>
      </c>
    </row>
    <row r="162" spans="1:10" ht="15.75" thickBot="1">
      <c r="A162" s="74" t="str">
        <v>Plaster (prof)</v>
      </c>
      <c r="B162" s="340" t="str">
        <f>IFERROR(VLOOKUP(A162,'Compartments_Kawecki&amp;Nowack19'!A:C,2,FALSE), IFERROR(VLOOKUP(A162,Compartments_Added!A:C,2,FALSE), "Not found"))</f>
        <v>Flow</v>
      </c>
      <c r="C162" s="340" t="str">
        <f>IFERROR(VLOOKUP(A162,'Compartments_Kawecki&amp;Nowack19'!A:C,3,FALSE), IFERROR(VLOOKUP(A162,Compartments_Added!A:C,3,FALSE), "Not found"))</f>
        <v>PlasterProf</v>
      </c>
      <c r="D162" s="95" t="str">
        <f>IFERROR(IF(VLOOKUP(A162,'Compartments_Kawecki&amp;Nowack19'!A:C,1,FALSE)=A162, "Kawecki","what?"),"Added/changed")</f>
        <v>Added/changed</v>
      </c>
      <c r="F162" s="17"/>
      <c r="G162" s="503" t="str">
        <v>Plaster (prof) outdoor</v>
      </c>
      <c r="H162" s="318" t="str">
        <v>Lacquer (prof) outdoor</v>
      </c>
      <c r="I162" s="508" t="str">
        <v>Wall paint (prof) outdoor (discarded)</v>
      </c>
      <c r="J162" t="str">
        <v>Concrete paint (prof) outdoor</v>
      </c>
    </row>
    <row r="163" spans="1:10" ht="15.75" thickBot="1">
      <c r="A163" s="74" t="str">
        <v>Plaster (prof) outdoor</v>
      </c>
      <c r="B163" s="340" t="str">
        <f>IFERROR(VLOOKUP(A163,'Compartments_Kawecki&amp;Nowack19'!A:C,2,FALSE), IFERROR(VLOOKUP(A163,Compartments_Added!A:C,2,FALSE), "Not found"))</f>
        <v>Flow</v>
      </c>
      <c r="C163" s="340" t="str">
        <f>IFERROR(VLOOKUP(A163,'Compartments_Kawecki&amp;Nowack19'!A:C,3,FALSE), IFERROR(VLOOKUP(A163,Compartments_Added!A:C,3,FALSE), "Not found"))</f>
        <v>PlasterProfOut</v>
      </c>
      <c r="D163" s="95" t="str">
        <f>IFERROR(IF(VLOOKUP(A163,'Compartments_Kawecki&amp;Nowack19'!A:C,1,FALSE)=A163, "Kawecki","what?"),"Added/changed")</f>
        <v>Added/changed</v>
      </c>
      <c r="F163" s="17"/>
      <c r="G163" s="503" t="str">
        <v>Plaster (prof) outdoor (in use)</v>
      </c>
      <c r="H163" s="318" t="str">
        <v>Lacquer (prof) indoor</v>
      </c>
      <c r="I163" s="508" t="str">
        <v>Wall paint (prof) indoor (discarded)</v>
      </c>
      <c r="J163" t="str">
        <v>Concrete paint (prof) outdoor (in use)</v>
      </c>
    </row>
    <row r="164" spans="1:10" ht="15.75" thickBot="1">
      <c r="A164" s="74" t="str">
        <v>Plaster (prof) outdoor (in use)</v>
      </c>
      <c r="B164" s="340" t="str">
        <f>IFERROR(VLOOKUP(A164,'Compartments_Kawecki&amp;Nowack19'!A:C,2,FALSE), IFERROR(VLOOKUP(A164,Compartments_Added!A:C,2,FALSE), "Not found"))</f>
        <v>Stock</v>
      </c>
      <c r="C164" s="340" t="str">
        <f>IFERROR(VLOOKUP(A164,'Compartments_Kawecki&amp;Nowack19'!A:C,3,FALSE), IFERROR(VLOOKUP(A164,Compartments_Added!A:C,3,FALSE), "Not found"))</f>
        <v>PlasterProfOutIU</v>
      </c>
      <c r="D164" s="95" t="str">
        <f>IFERROR(IF(VLOOKUP(A164,'Compartments_Kawecki&amp;Nowack19'!A:C,1,FALSE)=A164, "Kawecki","what?"),"Added/changed")</f>
        <v>Added/changed</v>
      </c>
      <c r="F164" s="17"/>
      <c r="G164" s="503" t="str">
        <v>Plaster (prof) indoor</v>
      </c>
      <c r="H164" s="318" t="str">
        <v>Lacquer (prof) outdoor (in use)</v>
      </c>
      <c r="I164" s="508" t="str">
        <v>Plaster (prof)</v>
      </c>
      <c r="J164" t="str">
        <v>Concrete paint (prof) indoor</v>
      </c>
    </row>
    <row r="165" spans="1:10" ht="15.75" thickBot="1">
      <c r="A165" s="74" t="str">
        <v>Plaster (prof) indoor</v>
      </c>
      <c r="B165" s="340" t="str">
        <f>IFERROR(VLOOKUP(A165,'Compartments_Kawecki&amp;Nowack19'!A:C,2,FALSE), IFERROR(VLOOKUP(A165,Compartments_Added!A:C,2,FALSE), "Not found"))</f>
        <v>Flow</v>
      </c>
      <c r="C165" s="340" t="str">
        <f>IFERROR(VLOOKUP(A165,'Compartments_Kawecki&amp;Nowack19'!A:C,3,FALSE), IFERROR(VLOOKUP(A165,Compartments_Added!A:C,3,FALSE), "Not found"))</f>
        <v>PlasterProfIn</v>
      </c>
      <c r="D165" s="95" t="str">
        <f>IFERROR(IF(VLOOKUP(A165,'Compartments_Kawecki&amp;Nowack19'!A:C,1,FALSE)=A165, "Kawecki","what?"),"Added/changed")</f>
        <v>Added/changed</v>
      </c>
      <c r="F165" s="17"/>
      <c r="G165" s="503" t="str">
        <v>Plaster (prof) indoor (in use)</v>
      </c>
      <c r="H165" s="318" t="str">
        <v>Lacquer (prof) outdoor (discarded)</v>
      </c>
      <c r="I165" s="508" t="str">
        <v>Plaster (prof) outdoor</v>
      </c>
      <c r="J165" t="str">
        <v>Concrete paint (prof) indoor (in use)</v>
      </c>
    </row>
    <row r="166" spans="1:10" ht="15.75" thickBot="1">
      <c r="A166" s="74" t="str">
        <v>Plaster (prof) indoor (in use)</v>
      </c>
      <c r="B166" s="340" t="str">
        <f>IFERROR(VLOOKUP(A166,'Compartments_Kawecki&amp;Nowack19'!A:C,2,FALSE), IFERROR(VLOOKUP(A166,Compartments_Added!A:C,2,FALSE), "Not found"))</f>
        <v>Stock</v>
      </c>
      <c r="C166" s="340" t="str">
        <f>IFERROR(VLOOKUP(A166,'Compartments_Kawecki&amp;Nowack19'!A:C,3,FALSE), IFERROR(VLOOKUP(A166,Compartments_Added!A:C,3,FALSE), "Not found"))</f>
        <v>PlasterProfInIU</v>
      </c>
      <c r="D166" s="95" t="str">
        <f>IFERROR(IF(VLOOKUP(A166,'Compartments_Kawecki&amp;Nowack19'!A:C,1,FALSE)=A166, "Kawecki","what?"),"Added/changed")</f>
        <v>Added/changed</v>
      </c>
      <c r="F166" s="17"/>
      <c r="G166" s="503" t="str">
        <v>Plaster (prof) outdoor (discarded)</v>
      </c>
      <c r="H166" s="318" t="str">
        <v>Lacquer (prof) indoor (in use)</v>
      </c>
      <c r="I166" s="508" t="str">
        <v>Plaster (prof) outdoor (in use)</v>
      </c>
      <c r="J166" t="str">
        <v>Concrete paint (prof) outdoor (discarded)</v>
      </c>
    </row>
    <row r="167" spans="1:10" ht="15.75" thickBot="1">
      <c r="A167" s="74" t="str">
        <v>Plaster (prof) outdoor (discarded)</v>
      </c>
      <c r="B167" s="340" t="str">
        <f>IFERROR(VLOOKUP(A167,'Compartments_Kawecki&amp;Nowack19'!A:C,2,FALSE), IFERROR(VLOOKUP(A167,Compartments_Added!A:C,2,FALSE), "Not found"))</f>
        <v>Stock</v>
      </c>
      <c r="C167" s="340" t="str">
        <f>IFERROR(VLOOKUP(A167,'Compartments_Kawecki&amp;Nowack19'!A:C,3,FALSE), IFERROR(VLOOKUP(A167,Compartments_Added!A:C,3,FALSE), "Not found"))</f>
        <v>PlasterProfOutDis</v>
      </c>
      <c r="D167" s="95" t="str">
        <f>IFERROR(IF(VLOOKUP(A167,'Compartments_Kawecki&amp;Nowack19'!A:C,1,FALSE)=A167, "Kawecki","what?"),"Added/changed")</f>
        <v>Added/changed</v>
      </c>
      <c r="F167" s="17"/>
      <c r="G167" s="503" t="str">
        <v>Plaster (prof) indoor (discarded)</v>
      </c>
      <c r="H167" s="318" t="str">
        <v>Lacquer (prof) indoor (discarded)</v>
      </c>
      <c r="I167" s="508" t="str">
        <v>Plaster (prof) indoor</v>
      </c>
      <c r="J167" t="str">
        <v>Concrete paint (prof) indoor (discarded)</v>
      </c>
    </row>
    <row r="168" spans="1:10" ht="15.75" thickBot="1">
      <c r="A168" s="74" t="str">
        <v>Plaster (prof) indoor (discarded)</v>
      </c>
      <c r="B168" s="340" t="str">
        <f>IFERROR(VLOOKUP(A168,'Compartments_Kawecki&amp;Nowack19'!A:C,2,FALSE), IFERROR(VLOOKUP(A168,Compartments_Added!A:C,2,FALSE), "Not found"))</f>
        <v>Stock</v>
      </c>
      <c r="C168" s="340" t="str">
        <f>IFERROR(VLOOKUP(A168,'Compartments_Kawecki&amp;Nowack19'!A:C,3,FALSE), IFERROR(VLOOKUP(A168,Compartments_Added!A:C,3,FALSE), "Not found"))</f>
        <v>PlasterProfInDis</v>
      </c>
      <c r="D168" s="95" t="str">
        <f>IFERROR(IF(VLOOKUP(A168,'Compartments_Kawecki&amp;Nowack19'!A:C,1,FALSE)=A168, "Kawecki","what?"),"Added/changed")</f>
        <v>Added/changed</v>
      </c>
      <c r="F168" s="17"/>
      <c r="G168" s="503" t="str">
        <v>Other paint uses (prof)</v>
      </c>
      <c r="H168" s="318" t="str">
        <v>Wood stain (prof) outdoor</v>
      </c>
      <c r="I168" s="508" t="str">
        <v>Plaster (prof) indoor (in use)</v>
      </c>
      <c r="J168" t="str">
        <v>Lacquer (prof)</v>
      </c>
    </row>
    <row r="169" spans="1:10" ht="15.75" thickBot="1">
      <c r="A169" s="74" t="str">
        <v>Other paint uses (prof)</v>
      </c>
      <c r="B169" s="340" t="str">
        <f>IFERROR(VLOOKUP(A169,'Compartments_Kawecki&amp;Nowack19'!A:C,2,FALSE), IFERROR(VLOOKUP(A169,Compartments_Added!A:C,2,FALSE), "Not found"))</f>
        <v>Flow</v>
      </c>
      <c r="C169" s="340" t="str">
        <f>IFERROR(VLOOKUP(A169,'Compartments_Kawecki&amp;Nowack19'!A:C,3,FALSE), IFERROR(VLOOKUP(A169,Compartments_Added!A:C,3,FALSE), "Not found"))</f>
        <v>OtherPaintUses</v>
      </c>
      <c r="D169" s="95" t="str">
        <f>IFERROR(IF(VLOOKUP(A169,'Compartments_Kawecki&amp;Nowack19'!A:C,1,FALSE)=A169, "Kawecki","what?"),"Added/changed")</f>
        <v>Added/changed</v>
      </c>
      <c r="F169" s="17"/>
      <c r="G169" s="503" t="str">
        <v>Other paint uses (prof) outdoor</v>
      </c>
      <c r="H169" s="318" t="str">
        <v>Wood stain (prof) indoor</v>
      </c>
      <c r="I169" s="508" t="str">
        <v>Plaster (prof) outdoor (discarded)</v>
      </c>
      <c r="J169" t="str">
        <v>Lacquer (prof) outdoor</v>
      </c>
    </row>
    <row r="170" spans="1:10" ht="15.75" thickBot="1">
      <c r="A170" s="74" t="str">
        <v>Other paint uses (prof) outdoor</v>
      </c>
      <c r="B170" s="340" t="str">
        <f>IFERROR(VLOOKUP(A170,'Compartments_Kawecki&amp;Nowack19'!A:C,2,FALSE), IFERROR(VLOOKUP(A170,Compartments_Added!A:C,2,FALSE), "Not found"))</f>
        <v>Flow</v>
      </c>
      <c r="C170" s="340" t="str">
        <f>IFERROR(VLOOKUP(A170,'Compartments_Kawecki&amp;Nowack19'!A:C,3,FALSE), IFERROR(VLOOKUP(A170,Compartments_Added!A:C,3,FALSE), "Not found"))</f>
        <v>OtherPaintUsesProfOut</v>
      </c>
      <c r="D170" s="95" t="str">
        <f>IFERROR(IF(VLOOKUP(A170,'Compartments_Kawecki&amp;Nowack19'!A:C,1,FALSE)=A170, "Kawecki","what?"),"Added/changed")</f>
        <v>Added/changed</v>
      </c>
      <c r="F170" s="17"/>
      <c r="G170" s="503" t="str">
        <v>Other paint uses (prof) outdoor (in use)</v>
      </c>
      <c r="H170" s="318" t="str">
        <v>Wood stain (prof) outdoor (in use)</v>
      </c>
      <c r="I170" s="508" t="str">
        <v>Plaster (prof) indoor (discarded)</v>
      </c>
      <c r="J170" t="str">
        <v>Lacquer (prof) outdoor (in use)</v>
      </c>
    </row>
    <row r="171" spans="1:10" ht="15.75" thickBot="1">
      <c r="A171" s="74" t="str">
        <v>Other paint uses (prof) outdoor (in use)</v>
      </c>
      <c r="B171" s="340" t="str">
        <f>IFERROR(VLOOKUP(A171,'Compartments_Kawecki&amp;Nowack19'!A:C,2,FALSE), IFERROR(VLOOKUP(A171,Compartments_Added!A:C,2,FALSE), "Not found"))</f>
        <v>Stock</v>
      </c>
      <c r="C171" s="340" t="str">
        <f>IFERROR(VLOOKUP(A171,'Compartments_Kawecki&amp;Nowack19'!A:C,3,FALSE), IFERROR(VLOOKUP(A171,Compartments_Added!A:C,3,FALSE), "Not found"))</f>
        <v>OtherPaintUsesProfOutIU</v>
      </c>
      <c r="D171" s="95" t="str">
        <f>IFERROR(IF(VLOOKUP(A171,'Compartments_Kawecki&amp;Nowack19'!A:C,1,FALSE)=A171, "Kawecki","what?"),"Added/changed")</f>
        <v>Added/changed</v>
      </c>
      <c r="F171" s="17"/>
      <c r="G171" s="503" t="str">
        <v>Other paint uses (prof) indoor</v>
      </c>
      <c r="H171" s="318" t="str">
        <v>Wood stain (prof) outdoor (discarded)</v>
      </c>
      <c r="I171" s="508" t="str">
        <v>Other paint uses (prof)</v>
      </c>
      <c r="J171" t="str">
        <v>Lacquer (prof) indoor</v>
      </c>
    </row>
    <row r="172" spans="1:10" ht="15.75" thickBot="1">
      <c r="A172" s="74" t="str">
        <v>Other paint uses (prof) indoor</v>
      </c>
      <c r="B172" s="340" t="str">
        <f>IFERROR(VLOOKUP(A172,'Compartments_Kawecki&amp;Nowack19'!A:C,2,FALSE), IFERROR(VLOOKUP(A172,Compartments_Added!A:C,2,FALSE), "Not found"))</f>
        <v>Flow</v>
      </c>
      <c r="C172" s="340" t="str">
        <f>IFERROR(VLOOKUP(A172,'Compartments_Kawecki&amp;Nowack19'!A:C,3,FALSE), IFERROR(VLOOKUP(A172,Compartments_Added!A:C,3,FALSE), "Not found"))</f>
        <v>OtherPaintUsesProfIn</v>
      </c>
      <c r="D172" s="95" t="str">
        <f>IFERROR(IF(VLOOKUP(A172,'Compartments_Kawecki&amp;Nowack19'!A:C,1,FALSE)=A172, "Kawecki","what?"),"Added/changed")</f>
        <v>Added/changed</v>
      </c>
      <c r="F172" s="17"/>
      <c r="G172" s="503" t="str">
        <v>Other paint uses (prof) indoor (in use)</v>
      </c>
      <c r="H172" s="318" t="str">
        <v>Wood stain (prof) indoor (in use)</v>
      </c>
      <c r="I172" s="508" t="str">
        <v>Other paint uses (prof) outdoor</v>
      </c>
      <c r="J172" t="str">
        <v>Lacquer (prof) indoor (in use)</v>
      </c>
    </row>
    <row r="173" spans="1:10" ht="15.75" thickBot="1">
      <c r="A173" s="74" t="str">
        <v>Other paint uses (prof) indoor (in use)</v>
      </c>
      <c r="B173" s="340" t="str">
        <f>IFERROR(VLOOKUP(A173,'Compartments_Kawecki&amp;Nowack19'!A:C,2,FALSE), IFERROR(VLOOKUP(A173,Compartments_Added!A:C,2,FALSE), "Not found"))</f>
        <v>Stock</v>
      </c>
      <c r="C173" s="340" t="str">
        <f>IFERROR(VLOOKUP(A173,'Compartments_Kawecki&amp;Nowack19'!A:C,3,FALSE), IFERROR(VLOOKUP(A173,Compartments_Added!A:C,3,FALSE), "Not found"))</f>
        <v>OtherPaintUsesProfInIU</v>
      </c>
      <c r="D173" s="95" t="str">
        <f>IFERROR(IF(VLOOKUP(A173,'Compartments_Kawecki&amp;Nowack19'!A:C,1,FALSE)=A173, "Kawecki","what?"),"Added/changed")</f>
        <v>Added/changed</v>
      </c>
      <c r="F173" s="17"/>
      <c r="G173" s="503" t="str">
        <v>Other paint uses (prof) outdoor (discarded)</v>
      </c>
      <c r="H173" s="318" t="str">
        <v>Wood stain (prof) indoor (discarded)</v>
      </c>
      <c r="I173" s="508" t="str">
        <v>Other paint uses (prof) outdoor (in use)</v>
      </c>
      <c r="J173" t="str">
        <v>Lacquer (prof) outdoor (discarded)</v>
      </c>
    </row>
    <row r="174" spans="1:10" ht="15.75" thickBot="1">
      <c r="A174" s="74" t="str">
        <v>Other paint uses (prof) outdoor (discarded)</v>
      </c>
      <c r="B174" s="340" t="str">
        <f>IFERROR(VLOOKUP(A174,'Compartments_Kawecki&amp;Nowack19'!A:C,2,FALSE), IFERROR(VLOOKUP(A174,Compartments_Added!A:C,2,FALSE), "Not found"))</f>
        <v>Stock</v>
      </c>
      <c r="C174" s="340" t="str">
        <f>IFERROR(VLOOKUP(A174,'Compartments_Kawecki&amp;Nowack19'!A:C,3,FALSE), IFERROR(VLOOKUP(A174,Compartments_Added!A:C,3,FALSE), "Not found"))</f>
        <v>OtherPaintUsesProfOutDis</v>
      </c>
      <c r="D174" s="95" t="str">
        <f>IFERROR(IF(VLOOKUP(A174,'Compartments_Kawecki&amp;Nowack19'!A:C,1,FALSE)=A174, "Kawecki","what?"),"Added/changed")</f>
        <v>Added/changed</v>
      </c>
      <c r="F174" s="17"/>
      <c r="G174" s="503" t="str">
        <v>Other paint uses (prof) indoor (discarded)</v>
      </c>
      <c r="H174" s="318" t="str">
        <v>Wall paint (prof) outdoor</v>
      </c>
      <c r="I174" s="508" t="str">
        <v>Other paint uses (prof) indoor</v>
      </c>
      <c r="J174" t="str">
        <v>Lacquer (prof) indoor (discarded)</v>
      </c>
    </row>
    <row r="175" spans="1:10" ht="15.75" thickBot="1">
      <c r="A175" s="74" t="str">
        <v>Other paint uses (prof) indoor (discarded)</v>
      </c>
      <c r="B175" s="340" t="str">
        <f>IFERROR(VLOOKUP(A175,'Compartments_Kawecki&amp;Nowack19'!A:C,2,FALSE), IFERROR(VLOOKUP(A175,Compartments_Added!A:C,2,FALSE), "Not found"))</f>
        <v>Stock</v>
      </c>
      <c r="C175" s="340" t="str">
        <f>IFERROR(VLOOKUP(A175,'Compartments_Kawecki&amp;Nowack19'!A:C,3,FALSE), IFERROR(VLOOKUP(A175,Compartments_Added!A:C,3,FALSE), "Not found"))</f>
        <v>OtherPaintUsesProfInDis</v>
      </c>
      <c r="D175" s="95" t="str">
        <f>IFERROR(IF(VLOOKUP(A175,'Compartments_Kawecki&amp;Nowack19'!A:C,1,FALSE)=A175, "Kawecki","what?"),"Added/changed")</f>
        <v>Added/changed</v>
      </c>
      <c r="F175" s="17"/>
      <c r="G175" s="503" t="str">
        <v>Paints used in pre-made wooden products</v>
      </c>
      <c r="H175" s="318" t="str">
        <v>Wall paint (prof) indoor</v>
      </c>
      <c r="I175" s="508" t="str">
        <v>Other paint uses (prof) indoor (in use)</v>
      </c>
      <c r="J175" t="str">
        <v>Wood stain (prof)</v>
      </c>
    </row>
    <row r="176" spans="1:10" ht="15.75" thickBot="1">
      <c r="A176" s="74" t="str">
        <v>Paints used in pre-made wooden products</v>
      </c>
      <c r="B176" s="340" t="str">
        <f>IFERROR(VLOOKUP(A176,'Compartments_Kawecki&amp;Nowack19'!A:C,2,FALSE), IFERROR(VLOOKUP(A176,Compartments_Added!A:C,2,FALSE), "Not found"))</f>
        <v>Flow</v>
      </c>
      <c r="C176" s="340" t="str">
        <f>IFERROR(VLOOKUP(A176,'Compartments_Kawecki&amp;Nowack19'!A:C,3,FALSE), IFERROR(VLOOKUP(A176,Compartments_Added!A:C,3,FALSE), "Not found"))</f>
        <v>PaintsPreMadeWood</v>
      </c>
      <c r="D176" s="95" t="str">
        <f>IFERROR(IF(VLOOKUP(A176,'Compartments_Kawecki&amp;Nowack19'!A:C,1,FALSE)=A176, "Kawecki","what?"),"Added/changed")</f>
        <v>Added/changed</v>
      </c>
      <c r="F176" s="17"/>
      <c r="G176" s="503" t="str">
        <v>Paints used in pre-made wooden products outdoor</v>
      </c>
      <c r="H176" s="318" t="str">
        <v>Wall paint (prof) outdoor (in use)</v>
      </c>
      <c r="I176" s="508" t="str">
        <v>Other paint uses (prof) outdoor (discarded)</v>
      </c>
      <c r="J176" t="str">
        <v>Wood stain (prof) outdoor</v>
      </c>
    </row>
    <row r="177" spans="1:10" ht="15.75" thickBot="1">
      <c r="A177" s="74" t="str">
        <v>Paints used in pre-made wooden products outdoor</v>
      </c>
      <c r="B177" s="340" t="str">
        <f>IFERROR(VLOOKUP(A177,'Compartments_Kawecki&amp;Nowack19'!A:C,2,FALSE), IFERROR(VLOOKUP(A177,Compartments_Added!A:C,2,FALSE), "Not found"))</f>
        <v>Flow</v>
      </c>
      <c r="C177" s="340" t="str">
        <f>IFERROR(VLOOKUP(A177,'Compartments_Kawecki&amp;Nowack19'!A:C,3,FALSE), IFERROR(VLOOKUP(A177,Compartments_Added!A:C,3,FALSE), "Not found"))</f>
        <v>PaintsPreMadeWoodOut</v>
      </c>
      <c r="D177" s="95" t="str">
        <f>IFERROR(IF(VLOOKUP(A177,'Compartments_Kawecki&amp;Nowack19'!A:C,1,FALSE)=A177, "Kawecki","what?"),"Added/changed")</f>
        <v>Added/changed</v>
      </c>
      <c r="F177" s="17"/>
      <c r="G177" s="503" t="str">
        <v>Paints used in pre-made wooden products outdoor (in use)</v>
      </c>
      <c r="H177" s="318" t="str">
        <v>Wall paint (prof) outdoor (discarded)</v>
      </c>
      <c r="I177" s="508" t="str">
        <v>Other paint uses (prof) indoor (discarded)</v>
      </c>
      <c r="J177" t="str">
        <v>Wood stain (prof) outdoor (in use)</v>
      </c>
    </row>
    <row r="178" spans="1:10" ht="15.75" thickBot="1">
      <c r="A178" s="74" t="str">
        <v>Paints used in pre-made wooden products outdoor (in use)</v>
      </c>
      <c r="B178" s="340" t="str">
        <f>IFERROR(VLOOKUP(A178,'Compartments_Kawecki&amp;Nowack19'!A:C,2,FALSE), IFERROR(VLOOKUP(A178,Compartments_Added!A:C,2,FALSE), "Not found"))</f>
        <v>Stock</v>
      </c>
      <c r="C178" s="340" t="str">
        <f>IFERROR(VLOOKUP(A178,'Compartments_Kawecki&amp;Nowack19'!A:C,3,FALSE), IFERROR(VLOOKUP(A178,Compartments_Added!A:C,3,FALSE), "Not found"))</f>
        <v>PaintsPreMadeWoodOutIU</v>
      </c>
      <c r="D178" s="95" t="str">
        <f>IFERROR(IF(VLOOKUP(A178,'Compartments_Kawecki&amp;Nowack19'!A:C,1,FALSE)=A178, "Kawecki","what?"),"Added/changed")</f>
        <v>Added/changed</v>
      </c>
      <c r="F178" s="17"/>
      <c r="G178" s="503" t="str">
        <v>Paints used in pre-made wooden products indoor</v>
      </c>
      <c r="H178" s="318" t="str">
        <v>Wall paint (prof) indoor (in use)</v>
      </c>
      <c r="I178" s="508" t="str">
        <v>Paints used in pre-made wooden products</v>
      </c>
      <c r="J178" t="str">
        <v>Wood stain (prof) indoor</v>
      </c>
    </row>
    <row r="179" spans="1:10" ht="15.75" thickBot="1">
      <c r="A179" s="74" t="str">
        <v>Paints used in pre-made wooden products indoor</v>
      </c>
      <c r="B179" s="340" t="str">
        <f>IFERROR(VLOOKUP(A179,'Compartments_Kawecki&amp;Nowack19'!A:C,2,FALSE), IFERROR(VLOOKUP(A179,Compartments_Added!A:C,2,FALSE), "Not found"))</f>
        <v>Flow</v>
      </c>
      <c r="C179" s="340" t="str">
        <f>IFERROR(VLOOKUP(A179,'Compartments_Kawecki&amp;Nowack19'!A:C,3,FALSE), IFERROR(VLOOKUP(A179,Compartments_Added!A:C,3,FALSE), "Not found"))</f>
        <v>PaintsPreMadeWoodIn</v>
      </c>
      <c r="D179" s="95" t="str">
        <f>IFERROR(IF(VLOOKUP(A179,'Compartments_Kawecki&amp;Nowack19'!A:C,1,FALSE)=A179, "Kawecki","what?"),"Added/changed")</f>
        <v>Added/changed</v>
      </c>
      <c r="F179" s="17"/>
      <c r="G179" s="503" t="str">
        <v>Paints used in pre-made wooden products indoor (in use)</v>
      </c>
      <c r="H179" s="318" t="str">
        <v>Wall paint (prof) indoor (discarded)</v>
      </c>
      <c r="I179" s="508" t="str">
        <v>Paints used in pre-made wooden products outdoor</v>
      </c>
      <c r="J179" t="str">
        <v>Wood stain (prof) indoor (in use)</v>
      </c>
    </row>
    <row r="180" spans="1:10" ht="15.75" thickBot="1">
      <c r="A180" s="74" t="str">
        <v>Paints used in pre-made wooden products indoor (in use)</v>
      </c>
      <c r="B180" s="340" t="str">
        <f>IFERROR(VLOOKUP(A180,'Compartments_Kawecki&amp;Nowack19'!A:C,2,FALSE), IFERROR(VLOOKUP(A180,Compartments_Added!A:C,2,FALSE), "Not found"))</f>
        <v>Stock</v>
      </c>
      <c r="C180" s="340" t="str">
        <f>IFERROR(VLOOKUP(A180,'Compartments_Kawecki&amp;Nowack19'!A:C,3,FALSE), IFERROR(VLOOKUP(A180,Compartments_Added!A:C,3,FALSE), "Not found"))</f>
        <v>PaintsPreMadeWoodInIU</v>
      </c>
      <c r="D180" s="95" t="str">
        <f>IFERROR(IF(VLOOKUP(A180,'Compartments_Kawecki&amp;Nowack19'!A:C,1,FALSE)=A180, "Kawecki","what?"),"Added/changed")</f>
        <v>Added/changed</v>
      </c>
      <c r="F180" s="17"/>
      <c r="G180" s="503" t="str">
        <v>Paints used in pre-made wooden products outdoor (discarded)</v>
      </c>
      <c r="H180" s="318" t="str">
        <v>Plaster (prof) outdoor</v>
      </c>
      <c r="I180" s="508" t="str">
        <v>Paints used in pre-made wooden products outdoor (in use)</v>
      </c>
      <c r="J180" t="str">
        <v>Wood stain (prof) outdoor (discarded)</v>
      </c>
    </row>
    <row r="181" spans="1:10" ht="15.75" thickBot="1">
      <c r="A181" s="74" t="str">
        <v>Paints used in pre-made wooden products outdoor (discarded)</v>
      </c>
      <c r="B181" s="340" t="str">
        <f>IFERROR(VLOOKUP(A181,'Compartments_Kawecki&amp;Nowack19'!A:C,2,FALSE), IFERROR(VLOOKUP(A181,Compartments_Added!A:C,2,FALSE), "Not found"))</f>
        <v>Stock</v>
      </c>
      <c r="C181" s="340" t="str">
        <f>IFERROR(VLOOKUP(A181,'Compartments_Kawecki&amp;Nowack19'!A:C,3,FALSE), IFERROR(VLOOKUP(A181,Compartments_Added!A:C,3,FALSE), "Not found"))</f>
        <v>PaintsPreMadeWoodOutDis</v>
      </c>
      <c r="D181" s="95" t="str">
        <f>IFERROR(IF(VLOOKUP(A181,'Compartments_Kawecki&amp;Nowack19'!A:C,1,FALSE)=A181, "Kawecki","what?"),"Added/changed")</f>
        <v>Added/changed</v>
      </c>
      <c r="F181" s="17"/>
      <c r="G181" s="503" t="str">
        <v>Paints used in pre-made wooden products indoor (discarded)</v>
      </c>
      <c r="H181" s="318" t="str">
        <v>Plaster (prof) indoor</v>
      </c>
      <c r="I181" s="508" t="str">
        <v>Paints used in pre-made wooden products indoor</v>
      </c>
      <c r="J181" t="str">
        <v>Wood stain (prof) indoor (discarded)</v>
      </c>
    </row>
    <row r="182" spans="1:10" ht="15.75" thickBot="1">
      <c r="A182" s="74" t="str">
        <v>Paints used in pre-made wooden products indoor (discarded)</v>
      </c>
      <c r="B182" s="340" t="str">
        <f>IFERROR(VLOOKUP(A182,'Compartments_Kawecki&amp;Nowack19'!A:C,2,FALSE), IFERROR(VLOOKUP(A182,Compartments_Added!A:C,2,FALSE), "Not found"))</f>
        <v>Stock</v>
      </c>
      <c r="C182" s="340" t="str">
        <f>IFERROR(VLOOKUP(A182,'Compartments_Kawecki&amp;Nowack19'!A:C,3,FALSE), IFERROR(VLOOKUP(A182,Compartments_Added!A:C,3,FALSE), "Not found"))</f>
        <v>PaintsPreMadeWoodInDis</v>
      </c>
      <c r="D182" s="95" t="str">
        <f>IFERROR(IF(VLOOKUP(A182,'Compartments_Kawecki&amp;Nowack19'!A:C,1,FALSE)=A182, "Kawecki","what?"),"Added/changed")</f>
        <v>Added/changed</v>
      </c>
      <c r="F182" s="17"/>
      <c r="G182" s="503" t="str">
        <v>Lacquer (DIY)</v>
      </c>
      <c r="H182" s="318" t="str">
        <v>Plaster (prof) outdoor (in use)</v>
      </c>
      <c r="I182" s="508" t="str">
        <v>Paints used in pre-made wooden products indoor (in use)</v>
      </c>
      <c r="J182" t="str">
        <v>Wall paint (prof)</v>
      </c>
    </row>
    <row r="183" spans="1:10" ht="15.75" thickBot="1">
      <c r="A183" s="74" t="str">
        <v>Lacquer (DIY)</v>
      </c>
      <c r="B183" s="340" t="str">
        <f>IFERROR(VLOOKUP(A183,'Compartments_Kawecki&amp;Nowack19'!A:C,2,FALSE), IFERROR(VLOOKUP(A183,Compartments_Added!A:C,2,FALSE), "Not found"))</f>
        <v>Flow</v>
      </c>
      <c r="C183" s="340" t="str">
        <f>IFERROR(VLOOKUP(A183,'Compartments_Kawecki&amp;Nowack19'!A:C,3,FALSE), IFERROR(VLOOKUP(A183,Compartments_Added!A:C,3,FALSE), "Not found"))</f>
        <v>LacquerDiy</v>
      </c>
      <c r="D183" s="95" t="str">
        <f>IFERROR(IF(VLOOKUP(A183,'Compartments_Kawecki&amp;Nowack19'!A:C,1,FALSE)=A183, "Kawecki","what?"),"Added/changed")</f>
        <v>Added/changed</v>
      </c>
      <c r="F183" s="17"/>
      <c r="G183" s="503" t="str">
        <v>Lacquer (DIY) outdoor</v>
      </c>
      <c r="H183" s="318" t="str">
        <v>Plaster (prof) outdoor (discarded)</v>
      </c>
      <c r="I183" s="508" t="str">
        <v>Paints used in pre-made wooden products outdoor (discarded)</v>
      </c>
      <c r="J183" t="str">
        <v>Wall paint (prof) outdoor</v>
      </c>
    </row>
    <row r="184" spans="1:10" ht="15.75" thickBot="1">
      <c r="A184" s="74" t="str">
        <v>Lacquer (DIY) outdoor</v>
      </c>
      <c r="B184" s="340" t="str">
        <f>IFERROR(VLOOKUP(A184,'Compartments_Kawecki&amp;Nowack19'!A:C,2,FALSE), IFERROR(VLOOKUP(A184,Compartments_Added!A:C,2,FALSE), "Not found"))</f>
        <v>Flow</v>
      </c>
      <c r="C184" s="340" t="str">
        <f>IFERROR(VLOOKUP(A184,'Compartments_Kawecki&amp;Nowack19'!A:C,3,FALSE), IFERROR(VLOOKUP(A184,Compartments_Added!A:C,3,FALSE), "Not found"))</f>
        <v>LacquerDiyOut</v>
      </c>
      <c r="D184" s="95" t="str">
        <f>IFERROR(IF(VLOOKUP(A184,'Compartments_Kawecki&amp;Nowack19'!A:C,1,FALSE)=A184, "Kawecki","what?"),"Added/changed")</f>
        <v>Added/changed</v>
      </c>
      <c r="F184" s="17"/>
      <c r="G184" s="503" t="str">
        <v>Lacquer (DIY) outdoor (in use)</v>
      </c>
      <c r="H184" s="318" t="str">
        <v>Plaster (prof) indoor (in use)</v>
      </c>
      <c r="I184" s="508" t="str">
        <v>Paints used in pre-made wooden products indoor (discarded)</v>
      </c>
      <c r="J184" t="str">
        <v>Wall paint (prof) outdoor (in use)</v>
      </c>
    </row>
    <row r="185" spans="1:10" ht="15.75" thickBot="1">
      <c r="A185" s="74" t="str">
        <v>Lacquer (DIY) outdoor (in use)</v>
      </c>
      <c r="B185" s="340" t="str">
        <f>IFERROR(VLOOKUP(A185,'Compartments_Kawecki&amp;Nowack19'!A:C,2,FALSE), IFERROR(VLOOKUP(A185,Compartments_Added!A:C,2,FALSE), "Not found"))</f>
        <v>Stock</v>
      </c>
      <c r="C185" s="340" t="str">
        <f>IFERROR(VLOOKUP(A185,'Compartments_Kawecki&amp;Nowack19'!A:C,3,FALSE), IFERROR(VLOOKUP(A185,Compartments_Added!A:C,3,FALSE), "Not found"))</f>
        <v>LacquerDiyOutIU</v>
      </c>
      <c r="D185" s="95" t="str">
        <f>IFERROR(IF(VLOOKUP(A185,'Compartments_Kawecki&amp;Nowack19'!A:C,1,FALSE)=A185, "Kawecki","what?"),"Added/changed")</f>
        <v>Added/changed</v>
      </c>
      <c r="F185" s="17"/>
      <c r="G185" s="503" t="str">
        <v>Lacquer (DIY) indoor</v>
      </c>
      <c r="H185" s="318" t="str">
        <v>Plaster (prof) indoor (discarded)</v>
      </c>
      <c r="I185" s="508" t="str">
        <v>Lacquer (DIY)</v>
      </c>
      <c r="J185" t="str">
        <v>Wall paint (prof) indoor</v>
      </c>
    </row>
    <row r="186" spans="1:10" ht="15.75" thickBot="1">
      <c r="A186" s="74" t="str">
        <v>Lacquer (DIY) indoor</v>
      </c>
      <c r="B186" s="340" t="str">
        <f>IFERROR(VLOOKUP(A186,'Compartments_Kawecki&amp;Nowack19'!A:C,2,FALSE), IFERROR(VLOOKUP(A186,Compartments_Added!A:C,2,FALSE), "Not found"))</f>
        <v>Flow</v>
      </c>
      <c r="C186" s="340" t="str">
        <f>IFERROR(VLOOKUP(A186,'Compartments_Kawecki&amp;Nowack19'!A:C,3,FALSE), IFERROR(VLOOKUP(A186,Compartments_Added!A:C,3,FALSE), "Not found"))</f>
        <v>LacquerDiyIn</v>
      </c>
      <c r="D186" s="95" t="str">
        <f>IFERROR(IF(VLOOKUP(A186,'Compartments_Kawecki&amp;Nowack19'!A:C,1,FALSE)=A186, "Kawecki","what?"),"Added/changed")</f>
        <v>Added/changed</v>
      </c>
      <c r="F186" s="17"/>
      <c r="G186" s="503" t="str">
        <v>Lacquer (DIY) indoor (in use)</v>
      </c>
      <c r="H186" s="318" t="str">
        <v>Other paint uses (prof) outdoor</v>
      </c>
      <c r="I186" s="508" t="str">
        <v>Lacquer (DIY) outdoor</v>
      </c>
      <c r="J186" t="str">
        <v>Wall paint (prof) indoor (in use)</v>
      </c>
    </row>
    <row r="187" spans="1:10" ht="15.75" thickBot="1">
      <c r="A187" s="74" t="str">
        <v>Lacquer (DIY) indoor (in use)</v>
      </c>
      <c r="B187" s="340" t="str">
        <f>IFERROR(VLOOKUP(A187,'Compartments_Kawecki&amp;Nowack19'!A:C,2,FALSE), IFERROR(VLOOKUP(A187,Compartments_Added!A:C,2,FALSE), "Not found"))</f>
        <v>Stock</v>
      </c>
      <c r="C187" s="340" t="str">
        <f>IFERROR(VLOOKUP(A187,'Compartments_Kawecki&amp;Nowack19'!A:C,3,FALSE), IFERROR(VLOOKUP(A187,Compartments_Added!A:C,3,FALSE), "Not found"))</f>
        <v>LacquerDiyInIU</v>
      </c>
      <c r="D187" s="95" t="str">
        <f>IFERROR(IF(VLOOKUP(A187,'Compartments_Kawecki&amp;Nowack19'!A:C,1,FALSE)=A187, "Kawecki","what?"),"Added/changed")</f>
        <v>Added/changed</v>
      </c>
      <c r="F187" s="17"/>
      <c r="G187" s="503" t="str">
        <v>Lacquer (DIY) outdoor (discarded)</v>
      </c>
      <c r="H187" s="318" t="str">
        <v>Other paint uses (prof) indoor</v>
      </c>
      <c r="I187" s="508" t="str">
        <v>Lacquer (DIY) outdoor (in use)</v>
      </c>
      <c r="J187" t="str">
        <v>Wall paint (prof) outdoor (discarded)</v>
      </c>
    </row>
    <row r="188" spans="1:10" ht="15.75" thickBot="1">
      <c r="A188" s="74" t="str">
        <v>Lacquer (DIY) outdoor (discarded)</v>
      </c>
      <c r="B188" s="340" t="str">
        <f>IFERROR(VLOOKUP(A188,'Compartments_Kawecki&amp;Nowack19'!A:C,2,FALSE), IFERROR(VLOOKUP(A188,Compartments_Added!A:C,2,FALSE), "Not found"))</f>
        <v>Stock</v>
      </c>
      <c r="C188" s="340" t="str">
        <f>IFERROR(VLOOKUP(A188,'Compartments_Kawecki&amp;Nowack19'!A:C,3,FALSE), IFERROR(VLOOKUP(A188,Compartments_Added!A:C,3,FALSE), "Not found"))</f>
        <v>LacquerDiyOutDis</v>
      </c>
      <c r="D188" s="95" t="str">
        <f>IFERROR(IF(VLOOKUP(A188,'Compartments_Kawecki&amp;Nowack19'!A:C,1,FALSE)=A188, "Kawecki","what?"),"Added/changed")</f>
        <v>Added/changed</v>
      </c>
      <c r="F188" s="17"/>
      <c r="G188" s="503" t="str">
        <v>Lacquer (DIY) indoor (discarded)</v>
      </c>
      <c r="H188" s="318" t="str">
        <v>Other paint uses (prof) outdoor (in use)</v>
      </c>
      <c r="I188" s="508" t="str">
        <v>Lacquer (DIY) indoor</v>
      </c>
      <c r="J188" t="str">
        <v>Wall paint (prof) indoor (discarded)</v>
      </c>
    </row>
    <row r="189" spans="1:10" ht="15.75" thickBot="1">
      <c r="A189" s="74" t="str">
        <v>Lacquer (DIY) indoor (discarded)</v>
      </c>
      <c r="B189" s="340" t="str">
        <f>IFERROR(VLOOKUP(A189,'Compartments_Kawecki&amp;Nowack19'!A:C,2,FALSE), IFERROR(VLOOKUP(A189,Compartments_Added!A:C,2,FALSE), "Not found"))</f>
        <v>Stock</v>
      </c>
      <c r="C189" s="340" t="str">
        <f>IFERROR(VLOOKUP(A189,'Compartments_Kawecki&amp;Nowack19'!A:C,3,FALSE), IFERROR(VLOOKUP(A189,Compartments_Added!A:C,3,FALSE), "Not found"))</f>
        <v>LacquerDiyInDis</v>
      </c>
      <c r="D189" s="95" t="str">
        <f>IFERROR(IF(VLOOKUP(A189,'Compartments_Kawecki&amp;Nowack19'!A:C,1,FALSE)=A189, "Kawecki","what?"),"Added/changed")</f>
        <v>Added/changed</v>
      </c>
      <c r="G189" s="503" t="str">
        <v>Wood stain (DIY)</v>
      </c>
      <c r="H189" s="318" t="str">
        <v>Other paint uses (prof) outdoor (discarded)</v>
      </c>
      <c r="I189" s="508" t="str">
        <v>Lacquer (DIY) indoor (in use)</v>
      </c>
      <c r="J189" t="str">
        <v>Plaster (prof)</v>
      </c>
    </row>
    <row r="190" spans="1:10" ht="15.75" thickBot="1">
      <c r="A190" s="74" t="str">
        <v>Wood stain (DIY)</v>
      </c>
      <c r="B190" s="340" t="str">
        <f>IFERROR(VLOOKUP(A190,'Compartments_Kawecki&amp;Nowack19'!A:C,2,FALSE), IFERROR(VLOOKUP(A190,Compartments_Added!A:C,2,FALSE), "Not found"))</f>
        <v>Flow</v>
      </c>
      <c r="C190" s="340" t="str">
        <f>IFERROR(VLOOKUP(A190,'Compartments_Kawecki&amp;Nowack19'!A:C,3,FALSE), IFERROR(VLOOKUP(A190,Compartments_Added!A:C,3,FALSE), "Not found"))</f>
        <v>WoodDiy</v>
      </c>
      <c r="D190" s="95" t="str">
        <f>IFERROR(IF(VLOOKUP(A190,'Compartments_Kawecki&amp;Nowack19'!A:C,1,FALSE)=A190, "Kawecki","what?"),"Added/changed")</f>
        <v>Added/changed</v>
      </c>
      <c r="G190" s="503" t="str">
        <v>Wood stain (DIY) outdoor</v>
      </c>
      <c r="H190" s="318" t="str">
        <v>Other paint uses (prof) indoor (in use)</v>
      </c>
      <c r="I190" s="508" t="str">
        <v>Lacquer (DIY) outdoor (discarded)</v>
      </c>
      <c r="J190" t="str">
        <v>Plaster (prof) outdoor</v>
      </c>
    </row>
    <row r="191" spans="1:10" ht="15.75" thickBot="1">
      <c r="A191" s="74" t="str">
        <v>Wood stain (DIY) outdoor</v>
      </c>
      <c r="B191" s="340" t="str">
        <f>IFERROR(VLOOKUP(A191,'Compartments_Kawecki&amp;Nowack19'!A:C,2,FALSE), IFERROR(VLOOKUP(A191,Compartments_Added!A:C,2,FALSE), "Not found"))</f>
        <v>Flow</v>
      </c>
      <c r="C191" s="340" t="str">
        <f>IFERROR(VLOOKUP(A191,'Compartments_Kawecki&amp;Nowack19'!A:C,3,FALSE), IFERROR(VLOOKUP(A191,Compartments_Added!A:C,3,FALSE), "Not found"))</f>
        <v>WoodDiyOut</v>
      </c>
      <c r="D191" s="95" t="str">
        <f>IFERROR(IF(VLOOKUP(A191,'Compartments_Kawecki&amp;Nowack19'!A:C,1,FALSE)=A191, "Kawecki","what?"),"Added/changed")</f>
        <v>Added/changed</v>
      </c>
      <c r="G191" s="503" t="str">
        <v>Wood stain (DIY) outdoor (in use)</v>
      </c>
      <c r="H191" s="318" t="str">
        <v>Other paint uses (prof) indoor (discarded)</v>
      </c>
      <c r="I191" s="508" t="str">
        <v>Lacquer (DIY) indoor (discarded)</v>
      </c>
      <c r="J191" t="str">
        <v>Plaster (prof) outdoor (in use)</v>
      </c>
    </row>
    <row r="192" spans="1:10" ht="15.75" thickBot="1">
      <c r="A192" s="74" t="str">
        <v>Wood stain (DIY) outdoor (in use)</v>
      </c>
      <c r="B192" s="340" t="str">
        <f>IFERROR(VLOOKUP(A192,'Compartments_Kawecki&amp;Nowack19'!A:C,2,FALSE), IFERROR(VLOOKUP(A192,Compartments_Added!A:C,2,FALSE), "Not found"))</f>
        <v>Stock</v>
      </c>
      <c r="C192" s="340" t="str">
        <f>IFERROR(VLOOKUP(A192,'Compartments_Kawecki&amp;Nowack19'!A:C,3,FALSE), IFERROR(VLOOKUP(A192,Compartments_Added!A:C,3,FALSE), "Not found"))</f>
        <v>WoodStainDiyOutIU</v>
      </c>
      <c r="D192" s="95" t="str">
        <f>IFERROR(IF(VLOOKUP(A192,'Compartments_Kawecki&amp;Nowack19'!A:C,1,FALSE)=A192, "Kawecki","what?"),"Added/changed")</f>
        <v>Added/changed</v>
      </c>
      <c r="G192" s="503" t="str">
        <v>Wood stain (DIY) indoor</v>
      </c>
      <c r="H192" s="318" t="str">
        <v>Paints used in pre-made wooden products outdoor</v>
      </c>
      <c r="I192" s="508" t="str">
        <v>Wood stain (DIY)</v>
      </c>
      <c r="J192" t="str">
        <v>Plaster (prof) indoor</v>
      </c>
    </row>
    <row r="193" spans="1:10" ht="15.75" thickBot="1">
      <c r="A193" s="74" t="str">
        <v>Wood stain (DIY) indoor</v>
      </c>
      <c r="B193" s="340" t="str">
        <f>IFERROR(VLOOKUP(A193,'Compartments_Kawecki&amp;Nowack19'!A:C,2,FALSE), IFERROR(VLOOKUP(A193,Compartments_Added!A:C,2,FALSE), "Not found"))</f>
        <v>Flow</v>
      </c>
      <c r="C193" s="340" t="str">
        <f>IFERROR(VLOOKUP(A193,'Compartments_Kawecki&amp;Nowack19'!A:C,3,FALSE), IFERROR(VLOOKUP(A193,Compartments_Added!A:C,3,FALSE), "Not found"))</f>
        <v>WoodDiyIn</v>
      </c>
      <c r="D193" s="95" t="str">
        <f>IFERROR(IF(VLOOKUP(A193,'Compartments_Kawecki&amp;Nowack19'!A:C,1,FALSE)=A193, "Kawecki","what?"),"Added/changed")</f>
        <v>Added/changed</v>
      </c>
      <c r="G193" s="503" t="str">
        <v>Wood stain (DIY) indoor (in use)</v>
      </c>
      <c r="H193" s="318" t="str">
        <v>Paints used in pre-made wooden products indoor</v>
      </c>
      <c r="I193" s="508" t="str">
        <v>Wood stain (DIY) outdoor</v>
      </c>
      <c r="J193" t="str">
        <v>Plaster (prof) indoor (in use)</v>
      </c>
    </row>
    <row r="194" spans="1:10" ht="15.75" thickBot="1">
      <c r="A194" s="74" t="str">
        <v>Wood stain (DIY) indoor (in use)</v>
      </c>
      <c r="B194" s="340" t="str">
        <f>IFERROR(VLOOKUP(A194,'Compartments_Kawecki&amp;Nowack19'!A:C,2,FALSE), IFERROR(VLOOKUP(A194,Compartments_Added!A:C,2,FALSE), "Not found"))</f>
        <v>Stock</v>
      </c>
      <c r="C194" s="340" t="str">
        <f>IFERROR(VLOOKUP(A194,'Compartments_Kawecki&amp;Nowack19'!A:C,3,FALSE), IFERROR(VLOOKUP(A194,Compartments_Added!A:C,3,FALSE), "Not found"))</f>
        <v>WoodStainDiyInIU</v>
      </c>
      <c r="D194" s="95" t="str">
        <f>IFERROR(IF(VLOOKUP(A194,'Compartments_Kawecki&amp;Nowack19'!A:C,1,FALSE)=A194, "Kawecki","what?"),"Added/changed")</f>
        <v>Added/changed</v>
      </c>
      <c r="G194" s="503" t="str">
        <v>Wood stain (DIY) outdoor (discarded)</v>
      </c>
      <c r="H194" s="318" t="str">
        <v>Paints used in pre-made wooden products outdoor (in use)</v>
      </c>
      <c r="I194" s="508" t="str">
        <v>Wood stain (DIY) outdoor (in use)</v>
      </c>
      <c r="J194" t="str">
        <v>Plaster (prof) outdoor (discarded)</v>
      </c>
    </row>
    <row r="195" spans="1:10" ht="15.75" thickBot="1">
      <c r="A195" s="74" t="str">
        <v>Wood stain (DIY) outdoor (discarded)</v>
      </c>
      <c r="B195" s="340" t="str">
        <f>IFERROR(VLOOKUP(A195,'Compartments_Kawecki&amp;Nowack19'!A:C,2,FALSE), IFERROR(VLOOKUP(A195,Compartments_Added!A:C,2,FALSE), "Not found"))</f>
        <v>Stock</v>
      </c>
      <c r="C195" s="340" t="str">
        <f>IFERROR(VLOOKUP(A195,'Compartments_Kawecki&amp;Nowack19'!A:C,3,FALSE), IFERROR(VLOOKUP(A195,Compartments_Added!A:C,3,FALSE), "Not found"))</f>
        <v>WoodStainDiyOutDis</v>
      </c>
      <c r="D195" s="95" t="str">
        <f>IFERROR(IF(VLOOKUP(A195,'Compartments_Kawecki&amp;Nowack19'!A:C,1,FALSE)=A195, "Kawecki","what?"),"Added/changed")</f>
        <v>Added/changed</v>
      </c>
      <c r="G195" s="503" t="str">
        <v>Wood stain (DIY) indoor (discarded)</v>
      </c>
      <c r="H195" s="318" t="str">
        <v>Paints used in pre-made wooden products outdoor (discarded)</v>
      </c>
      <c r="I195" s="508" t="str">
        <v>Wood stain (DIY) indoor</v>
      </c>
      <c r="J195" t="str">
        <v>Plaster (prof) indoor (discarded)</v>
      </c>
    </row>
    <row r="196" spans="1:10" ht="15.75" thickBot="1">
      <c r="A196" s="74" t="str">
        <v>Wood stain (DIY) indoor (discarded)</v>
      </c>
      <c r="B196" s="340" t="str">
        <f>IFERROR(VLOOKUP(A196,'Compartments_Kawecki&amp;Nowack19'!A:C,2,FALSE), IFERROR(VLOOKUP(A196,Compartments_Added!A:C,2,FALSE), "Not found"))</f>
        <v>Stock</v>
      </c>
      <c r="C196" s="340" t="str">
        <f>IFERROR(VLOOKUP(A196,'Compartments_Kawecki&amp;Nowack19'!A:C,3,FALSE), IFERROR(VLOOKUP(A196,Compartments_Added!A:C,3,FALSE), "Not found"))</f>
        <v>WoodStainDiyInDis</v>
      </c>
      <c r="D196" s="95" t="str">
        <f>IFERROR(IF(VLOOKUP(A196,'Compartments_Kawecki&amp;Nowack19'!A:C,1,FALSE)=A196, "Kawecki","what?"),"Added/changed")</f>
        <v>Added/changed</v>
      </c>
      <c r="G196" s="503" t="str">
        <v>Wall paint (DIY)</v>
      </c>
      <c r="H196" s="318" t="str">
        <v>Paints used in pre-made wooden products indoor (in use)</v>
      </c>
      <c r="I196" s="508" t="str">
        <v>Wood stain (DIY) indoor (in use)</v>
      </c>
      <c r="J196" t="str">
        <v>Other paint uses (prof)</v>
      </c>
    </row>
    <row r="197" spans="1:10" ht="15.75" thickBot="1">
      <c r="A197" s="74" t="str">
        <v>Wall paint (DIY)</v>
      </c>
      <c r="B197" s="340" t="str">
        <f>IFERROR(VLOOKUP(A197,'Compartments_Kawecki&amp;Nowack19'!A:C,2,FALSE), IFERROR(VLOOKUP(A197,Compartments_Added!A:C,2,FALSE), "Not found"))</f>
        <v>Flow</v>
      </c>
      <c r="C197" s="340" t="str">
        <f>IFERROR(VLOOKUP(A197,'Compartments_Kawecki&amp;Nowack19'!A:C,3,FALSE), IFERROR(VLOOKUP(A197,Compartments_Added!A:C,3,FALSE), "Not found"))</f>
        <v>WallDiy</v>
      </c>
      <c r="D197" s="95" t="str">
        <f>IFERROR(IF(VLOOKUP(A197,'Compartments_Kawecki&amp;Nowack19'!A:C,1,FALSE)=A197, "Kawecki","what?"),"Added/changed")</f>
        <v>Added/changed</v>
      </c>
      <c r="G197" s="503" t="str">
        <v>Wall paint (DIY) outdoor</v>
      </c>
      <c r="H197" s="318" t="str">
        <v>Paints used in pre-made wooden products indoor (discarded)</v>
      </c>
      <c r="I197" s="508" t="str">
        <v>Wood stain (DIY) outdoor (discarded)</v>
      </c>
      <c r="J197" t="str">
        <v>Other paint uses (prof) outdoor</v>
      </c>
    </row>
    <row r="198" spans="1:10" ht="15.75" thickBot="1">
      <c r="A198" s="74" t="str">
        <v>Wall paint (DIY) outdoor</v>
      </c>
      <c r="B198" s="340" t="str">
        <f>IFERROR(VLOOKUP(A198,'Compartments_Kawecki&amp;Nowack19'!A:C,2,FALSE), IFERROR(VLOOKUP(A198,Compartments_Added!A:C,2,FALSE), "Not found"))</f>
        <v>Flow</v>
      </c>
      <c r="C198" s="340" t="str">
        <f>IFERROR(VLOOKUP(A198,'Compartments_Kawecki&amp;Nowack19'!A:C,3,FALSE), IFERROR(VLOOKUP(A198,Compartments_Added!A:C,3,FALSE), "Not found"))</f>
        <v>WallDiyOut</v>
      </c>
      <c r="D198" s="95" t="str">
        <f>IFERROR(IF(VLOOKUP(A198,'Compartments_Kawecki&amp;Nowack19'!A:C,1,FALSE)=A198, "Kawecki","what?"),"Added/changed")</f>
        <v>Added/changed</v>
      </c>
      <c r="G198" s="503" t="str">
        <v>Wall paint (DIY) outdoor (in use)</v>
      </c>
      <c r="H198" s="318" t="str">
        <v>Lacquer (DIY) outdoor</v>
      </c>
      <c r="I198" s="508" t="str">
        <v>Wood stain (DIY) indoor (discarded)</v>
      </c>
      <c r="J198" t="str">
        <v>Other paint uses (prof) outdoor (in use)</v>
      </c>
    </row>
    <row r="199" spans="1:10" ht="15.75" thickBot="1">
      <c r="A199" s="74" t="str">
        <v>Wall paint (DIY) outdoor (in use)</v>
      </c>
      <c r="B199" s="340" t="str">
        <f>IFERROR(VLOOKUP(A199,'Compartments_Kawecki&amp;Nowack19'!A:C,2,FALSE), IFERROR(VLOOKUP(A199,Compartments_Added!A:C,2,FALSE), "Not found"))</f>
        <v>Stock</v>
      </c>
      <c r="C199" s="340" t="str">
        <f>IFERROR(VLOOKUP(A199,'Compartments_Kawecki&amp;Nowack19'!A:C,3,FALSE), IFERROR(VLOOKUP(A199,Compartments_Added!A:C,3,FALSE), "Not found"))</f>
        <v>WallPaintDiyOutIU</v>
      </c>
      <c r="D199" s="95" t="str">
        <f>IFERROR(IF(VLOOKUP(A199,'Compartments_Kawecki&amp;Nowack19'!A:C,1,FALSE)=A199, "Kawecki","what?"),"Added/changed")</f>
        <v>Added/changed</v>
      </c>
      <c r="G199" s="503" t="str">
        <v>Wall paint (DIY) indoor</v>
      </c>
      <c r="H199" s="318" t="str">
        <v>Lacquer (DIY) indoor</v>
      </c>
      <c r="I199" s="508" t="str">
        <v>Wall paint (DIY)</v>
      </c>
      <c r="J199" t="str">
        <v>Other paint uses (prof) indoor</v>
      </c>
    </row>
    <row r="200" spans="1:10" ht="15.75" thickBot="1">
      <c r="A200" s="74" t="str">
        <v>Wall paint (DIY) indoor</v>
      </c>
      <c r="B200" s="340" t="str">
        <f>IFERROR(VLOOKUP(A200,'Compartments_Kawecki&amp;Nowack19'!A:C,2,FALSE), IFERROR(VLOOKUP(A200,Compartments_Added!A:C,2,FALSE), "Not found"))</f>
        <v>Flow</v>
      </c>
      <c r="C200" s="340" t="str">
        <f>IFERROR(VLOOKUP(A200,'Compartments_Kawecki&amp;Nowack19'!A:C,3,FALSE), IFERROR(VLOOKUP(A200,Compartments_Added!A:C,3,FALSE), "Not found"))</f>
        <v>WallDiyIn</v>
      </c>
      <c r="D200" s="95" t="str">
        <f>IFERROR(IF(VLOOKUP(A200,'Compartments_Kawecki&amp;Nowack19'!A:C,1,FALSE)=A200, "Kawecki","what?"),"Added/changed")</f>
        <v>Added/changed</v>
      </c>
      <c r="G200" s="503" t="str">
        <v>Wall paint (DIY) indoor applied</v>
      </c>
      <c r="H200" s="318" t="str">
        <v>Lacquer (DIY) outdoor (in use)</v>
      </c>
      <c r="I200" s="508" t="str">
        <v>Wall paint (DIY) outdoor</v>
      </c>
      <c r="J200" s="508" t="str">
        <v>Other paint uses (prof) indoor (in use)</v>
      </c>
    </row>
    <row r="201" spans="1:10" ht="15.75" thickBot="1">
      <c r="A201" s="74" t="str">
        <v>Wall paint (DIY) indoor applied</v>
      </c>
      <c r="B201" s="340" t="str">
        <f>IFERROR(VLOOKUP(A201,'Compartments_Kawecki&amp;Nowack19'!A:C,2,FALSE), IFERROR(VLOOKUP(A201,Compartments_Added!A:C,2,FALSE), "Not found"))</f>
        <v>Flow</v>
      </c>
      <c r="C201" s="340" t="str">
        <f>IFERROR(VLOOKUP(A201,'Compartments_Kawecki&amp;Nowack19'!A:C,3,FALSE), IFERROR(VLOOKUP(A201,Compartments_Added!A:C,3,FALSE), "Not found"))</f>
        <v>WallApplDiy</v>
      </c>
      <c r="D201" s="95" t="str">
        <f>IFERROR(IF(VLOOKUP(A201,'Compartments_Kawecki&amp;Nowack19'!A:C,1,FALSE)=A201, "Kawecki","what?"),"Added/changed")</f>
        <v>Added/changed</v>
      </c>
      <c r="G201" s="503" t="str">
        <v>Wall paint (DIY) indoor applied (in use)</v>
      </c>
      <c r="H201" s="318" t="str">
        <v>Lacquer (DIY) outdoor (discarded)</v>
      </c>
      <c r="I201" s="508" t="str">
        <v>Wall paint (DIY) outdoor (in use)</v>
      </c>
      <c r="J201" t="str">
        <v>Other paint uses (prof) outdoor (discarded)</v>
      </c>
    </row>
    <row r="202" spans="1:10" ht="15.75" thickBot="1">
      <c r="A202" s="74" t="str">
        <v>Wall paint (DIY) indoor applied (in use)</v>
      </c>
      <c r="B202" s="340" t="str">
        <f>IFERROR(VLOOKUP(A202,'Compartments_Kawecki&amp;Nowack19'!A:C,2,FALSE), IFERROR(VLOOKUP(A202,Compartments_Added!A:C,2,FALSE), "Not found"))</f>
        <v>Stock</v>
      </c>
      <c r="C202" s="340" t="str">
        <f>IFERROR(VLOOKUP(A202,'Compartments_Kawecki&amp;Nowack19'!A:C,3,FALSE), IFERROR(VLOOKUP(A202,Compartments_Added!A:C,3,FALSE), "Not found"))</f>
        <v>WallPaintDiyIndoorAppliedIU</v>
      </c>
      <c r="D202" s="95" t="str">
        <f>IFERROR(IF(VLOOKUP(A202,'Compartments_Kawecki&amp;Nowack19'!A:C,1,FALSE)=A202, "Kawecki","what?"),"Added/changed")</f>
        <v>Added/changed</v>
      </c>
      <c r="G202" s="503" t="str">
        <v>Wall paint (DIY) indoor on brush</v>
      </c>
      <c r="H202" s="318" t="str">
        <v>Lacquer (DIY) indoor (in use)</v>
      </c>
      <c r="I202" s="508" t="str">
        <v>Wall paint (DIY) indoor</v>
      </c>
      <c r="J202" t="str">
        <v>Other paint uses (prof) indoor (discarded)</v>
      </c>
    </row>
    <row r="203" spans="1:10" ht="15.75" thickBot="1">
      <c r="A203" s="74" t="str">
        <v>Wall paint (DIY) indoor on brush</v>
      </c>
      <c r="B203" s="340" t="str">
        <f>IFERROR(VLOOKUP(A203,'Compartments_Kawecki&amp;Nowack19'!A:C,2,FALSE), IFERROR(VLOOKUP(A203,Compartments_Added!A:C,2,FALSE), "Not found"))</f>
        <v>Flow</v>
      </c>
      <c r="C203" s="340" t="str">
        <f>IFERROR(VLOOKUP(A203,'Compartments_Kawecki&amp;Nowack19'!A:C,3,FALSE), IFERROR(VLOOKUP(A203,Compartments_Added!A:C,3,FALSE), "Not found"))</f>
        <v>WallBrushDiy</v>
      </c>
      <c r="D203" s="95" t="str">
        <f>IFERROR(IF(VLOOKUP(A203,'Compartments_Kawecki&amp;Nowack19'!A:C,1,FALSE)=A203, "Kawecki","what?"),"Added/changed")</f>
        <v>Added/changed</v>
      </c>
      <c r="G203" s="503" t="str">
        <v>Wall paint (DIY) outdoor (discarded)</v>
      </c>
      <c r="H203" s="318" t="str">
        <v>Lacquer (DIY) indoor (discarded)</v>
      </c>
      <c r="I203" s="508" t="str">
        <v>Wall paint (DIY) indoor applied</v>
      </c>
      <c r="J203" t="str">
        <v>Paints used in pre-made wooden products</v>
      </c>
    </row>
    <row r="204" spans="1:10" ht="15.75" thickBot="1">
      <c r="A204" s="74" t="str">
        <v>Wall paint (DIY) outdoor (discarded)</v>
      </c>
      <c r="B204" s="340" t="str">
        <f>IFERROR(VLOOKUP(A204,'Compartments_Kawecki&amp;Nowack19'!A:C,2,FALSE), IFERROR(VLOOKUP(A204,Compartments_Added!A:C,2,FALSE), "Not found"))</f>
        <v>Stock</v>
      </c>
      <c r="C204" s="340" t="str">
        <f>IFERROR(VLOOKUP(A204,'Compartments_Kawecki&amp;Nowack19'!A:C,3,FALSE), IFERROR(VLOOKUP(A204,Compartments_Added!A:C,3,FALSE), "Not found"))</f>
        <v>WallPaintDiyOutDis</v>
      </c>
      <c r="D204" s="95" t="str">
        <f>IFERROR(IF(VLOOKUP(A204,'Compartments_Kawecki&amp;Nowack19'!A:C,1,FALSE)=A204, "Kawecki","what?"),"Added/changed")</f>
        <v>Added/changed</v>
      </c>
      <c r="G204" s="503" t="str">
        <v>Wall paint (DIY) indoor applied (discarded)</v>
      </c>
      <c r="H204" s="318" t="str">
        <v>Wood stain (DIY) outdoor</v>
      </c>
      <c r="I204" s="508" t="str">
        <v>Wall paint (DIY) indoor applied (in use)</v>
      </c>
      <c r="J204" t="str">
        <v>Paints used in pre-made wooden products outdoor</v>
      </c>
    </row>
    <row r="205" spans="1:10" ht="15.75" thickBot="1">
      <c r="A205" s="74" t="str">
        <v>Wall paint (DIY) indoor applied (discarded)</v>
      </c>
      <c r="B205" s="340" t="str">
        <f>IFERROR(VLOOKUP(A205,'Compartments_Kawecki&amp;Nowack19'!A:C,2,FALSE), IFERROR(VLOOKUP(A205,Compartments_Added!A:C,2,FALSE), "Not found"))</f>
        <v>Stock</v>
      </c>
      <c r="C205" s="340" t="str">
        <f>IFERROR(VLOOKUP(A205,'Compartments_Kawecki&amp;Nowack19'!A:C,3,FALSE), IFERROR(VLOOKUP(A205,Compartments_Added!A:C,3,FALSE), "Not found"))</f>
        <v>WallPaintDiyIndoorAppliedDis</v>
      </c>
      <c r="D205" s="95" t="str">
        <f>IFERROR(IF(VLOOKUP(A205,'Compartments_Kawecki&amp;Nowack19'!A:C,1,FALSE)=A205, "Kawecki","what?"),"Added/changed")</f>
        <v>Added/changed</v>
      </c>
      <c r="G205" s="503" t="str">
        <v>Plaster (DIY)</v>
      </c>
      <c r="H205" s="318" t="str">
        <v>Wood stain (DIY) indoor</v>
      </c>
      <c r="I205" s="508" t="str">
        <v>Wall paint (DIY) indoor on brush</v>
      </c>
      <c r="J205" t="str">
        <v>Paints used in pre-made wooden products outdoor (in use)</v>
      </c>
    </row>
    <row r="206" spans="1:10" ht="15.75" thickBot="1">
      <c r="A206" s="74" t="str">
        <v>Plaster (DIY)</v>
      </c>
      <c r="B206" s="340" t="str">
        <f>IFERROR(VLOOKUP(A206,'Compartments_Kawecki&amp;Nowack19'!A:C,2,FALSE), IFERROR(VLOOKUP(A206,Compartments_Added!A:C,2,FALSE), "Not found"))</f>
        <v>Flow</v>
      </c>
      <c r="C206" s="340" t="str">
        <f>IFERROR(VLOOKUP(A206,'Compartments_Kawecki&amp;Nowack19'!A:C,3,FALSE), IFERROR(VLOOKUP(A206,Compartments_Added!A:C,3,FALSE), "Not found"))</f>
        <v>PlasterDiy</v>
      </c>
      <c r="D206" s="95" t="str">
        <f>IFERROR(IF(VLOOKUP(A206,'Compartments_Kawecki&amp;Nowack19'!A:C,1,FALSE)=A206, "Kawecki","what?"),"Added/changed")</f>
        <v>Added/changed</v>
      </c>
      <c r="G206" s="503" t="str">
        <v>Plaster (DIY) outdoor</v>
      </c>
      <c r="H206" s="318" t="str">
        <v>Wood stain (DIY) outdoor (in use)</v>
      </c>
      <c r="I206" s="508" t="str">
        <v>Wall paint (DIY) outdoor (discarded)</v>
      </c>
      <c r="J206" t="str">
        <v>Paints used in pre-made wooden products indoor</v>
      </c>
    </row>
    <row r="207" spans="1:10" ht="15.75" thickBot="1">
      <c r="A207" s="74" t="str">
        <v>Plaster (DIY) outdoor</v>
      </c>
      <c r="B207" s="340" t="str">
        <f>IFERROR(VLOOKUP(A207,'Compartments_Kawecki&amp;Nowack19'!A:C,2,FALSE), IFERROR(VLOOKUP(A207,Compartments_Added!A:C,2,FALSE), "Not found"))</f>
        <v>Flow</v>
      </c>
      <c r="C207" s="340" t="str">
        <f>IFERROR(VLOOKUP(A207,'Compartments_Kawecki&amp;Nowack19'!A:C,3,FALSE), IFERROR(VLOOKUP(A207,Compartments_Added!A:C,3,FALSE), "Not found"))</f>
        <v>PlasterDiyOut</v>
      </c>
      <c r="D207" s="95" t="str">
        <f>IFERROR(IF(VLOOKUP(A207,'Compartments_Kawecki&amp;Nowack19'!A:C,1,FALSE)=A207, "Kawecki","what?"),"Added/changed")</f>
        <v>Added/changed</v>
      </c>
      <c r="G207" s="503" t="str">
        <v>Plaster (DIY) outdoor (in use)</v>
      </c>
      <c r="H207" s="318" t="str">
        <v>Wood stain (DIY) outdoor (discarded)</v>
      </c>
      <c r="I207" s="508" t="str">
        <v>Wall paint (DIY) indoor applied (discarded)</v>
      </c>
      <c r="J207" t="str">
        <v>Paints used in pre-made wooden products indoor (in use)</v>
      </c>
    </row>
    <row r="208" spans="1:10" ht="15.75" thickBot="1">
      <c r="A208" s="74" t="str">
        <v>Plaster (DIY) outdoor (in use)</v>
      </c>
      <c r="B208" s="340" t="str">
        <f>IFERROR(VLOOKUP(A208,'Compartments_Kawecki&amp;Nowack19'!A:C,2,FALSE), IFERROR(VLOOKUP(A208,Compartments_Added!A:C,2,FALSE), "Not found"))</f>
        <v>Stock</v>
      </c>
      <c r="C208" s="340" t="str">
        <f>IFERROR(VLOOKUP(A208,'Compartments_Kawecki&amp;Nowack19'!A:C,3,FALSE), IFERROR(VLOOKUP(A208,Compartments_Added!A:C,3,FALSE), "Not found"))</f>
        <v>PlasterDiyOutIU</v>
      </c>
      <c r="D208" s="95" t="str">
        <f>IFERROR(IF(VLOOKUP(A208,'Compartments_Kawecki&amp;Nowack19'!A:C,1,FALSE)=A208, "Kawecki","what?"),"Added/changed")</f>
        <v>Added/changed</v>
      </c>
      <c r="G208" s="503" t="str">
        <v>Plaster (DIY) indoor</v>
      </c>
      <c r="H208" s="318" t="str">
        <v>Wood stain (DIY) indoor (in use)</v>
      </c>
      <c r="I208" s="508" t="str">
        <v>Plaster (DIY)</v>
      </c>
      <c r="J208" t="str">
        <v>Paints used in pre-made wooden products outdoor (discarded)</v>
      </c>
    </row>
    <row r="209" spans="1:10" ht="15.75" thickBot="1">
      <c r="A209" s="74" t="str">
        <v>Plaster (DIY) indoor</v>
      </c>
      <c r="B209" s="340" t="str">
        <f>IFERROR(VLOOKUP(A209,'Compartments_Kawecki&amp;Nowack19'!A:C,2,FALSE), IFERROR(VLOOKUP(A209,Compartments_Added!A:C,2,FALSE), "Not found"))</f>
        <v>Flow</v>
      </c>
      <c r="C209" s="340" t="str">
        <f>IFERROR(VLOOKUP(A209,'Compartments_Kawecki&amp;Nowack19'!A:C,3,FALSE), IFERROR(VLOOKUP(A209,Compartments_Added!A:C,3,FALSE), "Not found"))</f>
        <v>PlasterDiyIn</v>
      </c>
      <c r="D209" s="95" t="str">
        <f>IFERROR(IF(VLOOKUP(A209,'Compartments_Kawecki&amp;Nowack19'!A:C,1,FALSE)=A209, "Kawecki","what?"),"Added/changed")</f>
        <v>Added/changed</v>
      </c>
      <c r="G209" s="503" t="str">
        <v>Plaster (DIY) indoor (in use)</v>
      </c>
      <c r="H209" s="318" t="str">
        <v>Wood stain (DIY) indoor (discarded)</v>
      </c>
      <c r="I209" s="508" t="str">
        <v>Plaster (DIY) outdoor</v>
      </c>
      <c r="J209" t="str">
        <v>Paints used in pre-made wooden products indoor (discarded)</v>
      </c>
    </row>
    <row r="210" spans="1:10" ht="15.75" thickBot="1">
      <c r="A210" s="74" t="str">
        <v>Plaster (DIY) indoor (in use)</v>
      </c>
      <c r="B210" s="340" t="str">
        <f>IFERROR(VLOOKUP(A210,'Compartments_Kawecki&amp;Nowack19'!A:C,2,FALSE), IFERROR(VLOOKUP(A210,Compartments_Added!A:C,2,FALSE), "Not found"))</f>
        <v>Stock</v>
      </c>
      <c r="C210" s="340" t="str">
        <f>IFERROR(VLOOKUP(A210,'Compartments_Kawecki&amp;Nowack19'!A:C,3,FALSE), IFERROR(VLOOKUP(A210,Compartments_Added!A:C,3,FALSE), "Not found"))</f>
        <v>PlasterDiyInIU</v>
      </c>
      <c r="D210" s="95" t="str">
        <f>IFERROR(IF(VLOOKUP(A210,'Compartments_Kawecki&amp;Nowack19'!A:C,1,FALSE)=A210, "Kawecki","what?"),"Added/changed")</f>
        <v>Added/changed</v>
      </c>
      <c r="G210" s="503" t="str">
        <v>Plaster (DIY) outdoor (discarded)</v>
      </c>
      <c r="H210" s="318" t="str">
        <v>Wall paint (DIY) outdoor</v>
      </c>
      <c r="I210" s="508" t="str">
        <v>Plaster (DIY) outdoor (in use)</v>
      </c>
      <c r="J210" t="str">
        <v>Lacquer (DIY)</v>
      </c>
    </row>
    <row r="211" spans="1:10" ht="15.75" thickBot="1">
      <c r="A211" s="74" t="str">
        <v>Plaster (DIY) outdoor (discarded)</v>
      </c>
      <c r="B211" s="340" t="str">
        <f>IFERROR(VLOOKUP(A211,'Compartments_Kawecki&amp;Nowack19'!A:C,2,FALSE), IFERROR(VLOOKUP(A211,Compartments_Added!A:C,2,FALSE), "Not found"))</f>
        <v>Stock</v>
      </c>
      <c r="C211" s="340" t="str">
        <f>IFERROR(VLOOKUP(A211,'Compartments_Kawecki&amp;Nowack19'!A:C,3,FALSE), IFERROR(VLOOKUP(A211,Compartments_Added!A:C,3,FALSE), "Not found"))</f>
        <v>PlasterDiyOutDis</v>
      </c>
      <c r="D211" s="95" t="str">
        <f>IFERROR(IF(VLOOKUP(A211,'Compartments_Kawecki&amp;Nowack19'!A:C,1,FALSE)=A211, "Kawecki","what?"),"Added/changed")</f>
        <v>Added/changed</v>
      </c>
      <c r="G211" s="503" t="str">
        <v>Plaster (DIY) indoor (discarded)</v>
      </c>
      <c r="H211" s="318" t="str">
        <v>Wall paint (DIY) indoor</v>
      </c>
      <c r="I211" s="508" t="str">
        <v>Plaster (DIY) indoor</v>
      </c>
      <c r="J211" t="str">
        <v>Lacquer (DIY) outdoor</v>
      </c>
    </row>
    <row r="212" spans="1:10" ht="15.75" thickBot="1">
      <c r="A212" s="74" t="str">
        <v>Plaster (DIY) indoor (discarded)</v>
      </c>
      <c r="B212" s="340" t="str">
        <f>IFERROR(VLOOKUP(A212,'Compartments_Kawecki&amp;Nowack19'!A:C,2,FALSE), IFERROR(VLOOKUP(A212,Compartments_Added!A:C,2,FALSE), "Not found"))</f>
        <v>Stock</v>
      </c>
      <c r="C212" s="340" t="str">
        <f>IFERROR(VLOOKUP(A212,'Compartments_Kawecki&amp;Nowack19'!A:C,3,FALSE), IFERROR(VLOOKUP(A212,Compartments_Added!A:C,3,FALSE), "Not found"))</f>
        <v>PlasterDiyInDis</v>
      </c>
      <c r="D212" s="95" t="str">
        <f>IFERROR(IF(VLOOKUP(A212,'Compartments_Kawecki&amp;Nowack19'!A:C,1,FALSE)=A212, "Kawecki","what?"),"Added/changed")</f>
        <v>Added/changed</v>
      </c>
      <c r="G212" s="503" t="str">
        <v>Other paint uses (DIY)</v>
      </c>
      <c r="H212" s="318" t="str">
        <v>Wall paint (DIY) outdoor (in use)</v>
      </c>
      <c r="I212" s="508" t="str">
        <v>Plaster (DIY) indoor (in use)</v>
      </c>
      <c r="J212" t="str">
        <v>Lacquer (DIY) outdoor (in use)</v>
      </c>
    </row>
    <row r="213" spans="1:10" ht="15.75" thickBot="1">
      <c r="A213" s="74" t="str">
        <v>Other paint uses (DIY)</v>
      </c>
      <c r="B213" s="340" t="str">
        <f>IFERROR(VLOOKUP(A213,'Compartments_Kawecki&amp;Nowack19'!A:C,2,FALSE), IFERROR(VLOOKUP(A213,Compartments_Added!A:C,2,FALSE), "Not found"))</f>
        <v>Flow</v>
      </c>
      <c r="C213" s="340" t="str">
        <f>IFERROR(VLOOKUP(A213,'Compartments_Kawecki&amp;Nowack19'!A:C,3,FALSE), IFERROR(VLOOKUP(A213,Compartments_Added!A:C,3,FALSE), "Not found"))</f>
        <v>OtherPaintUsesDiy</v>
      </c>
      <c r="D213" s="95" t="str">
        <f>IFERROR(IF(VLOOKUP(A213,'Compartments_Kawecki&amp;Nowack19'!A:C,1,FALSE)=A213, "Kawecki","what?"),"Added/changed")</f>
        <v>Added/changed</v>
      </c>
      <c r="G213" s="503" t="str">
        <v>Other paint uses (DIY) outdoor</v>
      </c>
      <c r="H213" s="318" t="str">
        <v>Wall paint (DIY) outdoor (discarded)</v>
      </c>
      <c r="I213" s="508" t="str">
        <v>Plaster (DIY) outdoor (discarded)</v>
      </c>
      <c r="J213" t="str">
        <v>Lacquer (DIY) indoor</v>
      </c>
    </row>
    <row r="214" spans="1:10" ht="15.75" thickBot="1">
      <c r="A214" s="74" t="str">
        <v>Other paint uses (DIY) outdoor</v>
      </c>
      <c r="B214" s="340" t="str">
        <f>IFERROR(VLOOKUP(A214,'Compartments_Kawecki&amp;Nowack19'!A:C,2,FALSE), IFERROR(VLOOKUP(A214,Compartments_Added!A:C,2,FALSE), "Not found"))</f>
        <v>Flow</v>
      </c>
      <c r="C214" s="340" t="str">
        <f>IFERROR(VLOOKUP(A214,'Compartments_Kawecki&amp;Nowack19'!A:C,3,FALSE), IFERROR(VLOOKUP(A214,Compartments_Added!A:C,3,FALSE), "Not found"))</f>
        <v>OtherPaintUsesDiyOut</v>
      </c>
      <c r="D214" s="95" t="str">
        <f>IFERROR(IF(VLOOKUP(A214,'Compartments_Kawecki&amp;Nowack19'!A:C,1,FALSE)=A214, "Kawecki","what?"),"Added/changed")</f>
        <v>Added/changed</v>
      </c>
      <c r="G214" s="503" t="str">
        <v>Other paint uses (DIY) outdoor (in use)</v>
      </c>
      <c r="H214" s="318" t="str">
        <v>Wall paint (DIY) indoor applied</v>
      </c>
      <c r="I214" s="508" t="str">
        <v>Plaster (DIY) indoor (discarded)</v>
      </c>
      <c r="J214" t="str">
        <v>Lacquer (DIY) indoor (in use)</v>
      </c>
    </row>
    <row r="215" spans="1:10" ht="15.75" thickBot="1">
      <c r="A215" s="74" t="str">
        <v>Other paint uses (DIY) outdoor (in use)</v>
      </c>
      <c r="B215" s="340" t="str">
        <f>IFERROR(VLOOKUP(A215,'Compartments_Kawecki&amp;Nowack19'!A:C,2,FALSE), IFERROR(VLOOKUP(A215,Compartments_Added!A:C,2,FALSE), "Not found"))</f>
        <v>Stock</v>
      </c>
      <c r="C215" s="340" t="str">
        <f>IFERROR(VLOOKUP(A215,'Compartments_Kawecki&amp;Nowack19'!A:C,3,FALSE), IFERROR(VLOOKUP(A215,Compartments_Added!A:C,3,FALSE), "Not found"))</f>
        <v>OtherPaintUsesDiyOutIU</v>
      </c>
      <c r="D215" s="95" t="str">
        <f>IFERROR(IF(VLOOKUP(A215,'Compartments_Kawecki&amp;Nowack19'!A:C,1,FALSE)=A215, "Kawecki","what?"),"Added/changed")</f>
        <v>Added/changed</v>
      </c>
      <c r="G215" s="503" t="str">
        <v>Other paint uses (DIY) indoor</v>
      </c>
      <c r="H215" s="318" t="str">
        <v>Wall paint (DIY) indoor on brush</v>
      </c>
      <c r="I215" s="508" t="str">
        <v>Other paint uses (DIY)</v>
      </c>
      <c r="J215" t="str">
        <v>Lacquer (DIY) outdoor (discarded)</v>
      </c>
    </row>
    <row r="216" spans="1:10" ht="15.75" thickBot="1">
      <c r="A216" s="74" t="str">
        <v>Other paint uses (DIY) indoor</v>
      </c>
      <c r="B216" s="340" t="str">
        <f>IFERROR(VLOOKUP(A216,'Compartments_Kawecki&amp;Nowack19'!A:C,2,FALSE), IFERROR(VLOOKUP(A216,Compartments_Added!A:C,2,FALSE), "Not found"))</f>
        <v>Flow</v>
      </c>
      <c r="C216" s="340" t="str">
        <f>IFERROR(VLOOKUP(A216,'Compartments_Kawecki&amp;Nowack19'!A:C,3,FALSE), IFERROR(VLOOKUP(A216,Compartments_Added!A:C,3,FALSE), "Not found"))</f>
        <v>OtherPaintUsesDiyIn</v>
      </c>
      <c r="D216" s="95" t="str">
        <f>IFERROR(IF(VLOOKUP(A216,'Compartments_Kawecki&amp;Nowack19'!A:C,1,FALSE)=A216, "Kawecki","what?"),"Added/changed")</f>
        <v>Added/changed</v>
      </c>
      <c r="G216" s="503" t="str">
        <v>Other paint uses (DIY) indoor (in use)</v>
      </c>
      <c r="H216" s="318" t="str">
        <v>Wall paint (DIY) indoor applied (in use)</v>
      </c>
      <c r="I216" s="508" t="str">
        <v>Other paint uses (DIY) outdoor</v>
      </c>
      <c r="J216" t="str">
        <v>Lacquer (DIY) indoor (discarded)</v>
      </c>
    </row>
    <row r="217" spans="1:10" ht="15.75" thickBot="1">
      <c r="A217" s="74" t="str">
        <v>Other paint uses (DIY) indoor (in use)</v>
      </c>
      <c r="B217" s="340" t="str">
        <f>IFERROR(VLOOKUP(A217,'Compartments_Kawecki&amp;Nowack19'!A:C,2,FALSE), IFERROR(VLOOKUP(A217,Compartments_Added!A:C,2,FALSE), "Not found"))</f>
        <v>Stock</v>
      </c>
      <c r="C217" s="340" t="str">
        <f>IFERROR(VLOOKUP(A217,'Compartments_Kawecki&amp;Nowack19'!A:C,3,FALSE), IFERROR(VLOOKUP(A217,Compartments_Added!A:C,3,FALSE), "Not found"))</f>
        <v>OtherPaintUsesDiyInIU</v>
      </c>
      <c r="D217" s="95" t="str">
        <f>IFERROR(IF(VLOOKUP(A217,'Compartments_Kawecki&amp;Nowack19'!A:C,1,FALSE)=A217, "Kawecki","what?"),"Added/changed")</f>
        <v>Added/changed</v>
      </c>
      <c r="G217" s="503" t="str">
        <v>Other paint uses (DIY) outdoor (discarded)</v>
      </c>
      <c r="H217" s="318" t="str">
        <v>Wall paint (DIY) indoor applied (discarded)</v>
      </c>
      <c r="I217" s="508" t="str">
        <v>Other paint uses (DIY) outdoor (in use)</v>
      </c>
      <c r="J217" t="str">
        <v>Wood stain (DIY)</v>
      </c>
    </row>
    <row r="218" spans="1:10" ht="15.75" thickBot="1">
      <c r="A218" s="74" t="str">
        <v>Other paint uses (DIY) outdoor (discarded)</v>
      </c>
      <c r="B218" s="340" t="str">
        <f>IFERROR(VLOOKUP(A218,'Compartments_Kawecki&amp;Nowack19'!A:C,2,FALSE), IFERROR(VLOOKUP(A218,Compartments_Added!A:C,2,FALSE), "Not found"))</f>
        <v>Stock</v>
      </c>
      <c r="C218" s="340" t="str">
        <f>IFERROR(VLOOKUP(A218,'Compartments_Kawecki&amp;Nowack19'!A:C,3,FALSE), IFERROR(VLOOKUP(A218,Compartments_Added!A:C,3,FALSE), "Not found"))</f>
        <v>OtherPaintUsesDiyOutDis</v>
      </c>
      <c r="D218" s="95" t="str">
        <f>IFERROR(IF(VLOOKUP(A218,'Compartments_Kawecki&amp;Nowack19'!A:C,1,FALSE)=A218, "Kawecki","what?"),"Added/changed")</f>
        <v>Added/changed</v>
      </c>
      <c r="G218" s="503" t="str">
        <v>Other paint uses (DIY) indoor (discarded)</v>
      </c>
      <c r="H218" s="318" t="str">
        <v>Plaster (DIY) outdoor</v>
      </c>
      <c r="I218" s="508" t="str">
        <v>Other paint uses (DIY) indoor</v>
      </c>
      <c r="J218" t="str">
        <v>Wood stain (DIY) outdoor</v>
      </c>
    </row>
    <row r="219" spans="1:10" ht="15.75" thickBot="1">
      <c r="A219" s="74" t="str">
        <v>Other paint uses (DIY) indoor (discarded)</v>
      </c>
      <c r="B219" s="340" t="str">
        <f>IFERROR(VLOOKUP(A219,'Compartments_Kawecki&amp;Nowack19'!A:C,2,FALSE), IFERROR(VLOOKUP(A219,Compartments_Added!A:C,2,FALSE), "Not found"))</f>
        <v>Stock</v>
      </c>
      <c r="C219" s="340" t="str">
        <f>IFERROR(VLOOKUP(A219,'Compartments_Kawecki&amp;Nowack19'!A:C,3,FALSE), IFERROR(VLOOKUP(A219,Compartments_Added!A:C,3,FALSE), "Not found"))</f>
        <v>OtherPaintUsesDiyInDis</v>
      </c>
      <c r="D219" s="95" t="str">
        <f>IFERROR(IF(VLOOKUP(A219,'Compartments_Kawecki&amp;Nowack19'!A:C,1,FALSE)=A219, "Kawecki","what?"),"Added/changed")</f>
        <v>Added/changed</v>
      </c>
      <c r="G219" s="503" t="str">
        <v>Import of clothing (EU)</v>
      </c>
      <c r="H219" s="318" t="str">
        <v>Plaster (DIY) indoor</v>
      </c>
      <c r="I219" s="508" t="str">
        <v>Other paint uses (DIY) indoor (in use)</v>
      </c>
      <c r="J219" t="str">
        <v>Wood stain (DIY) outdoor (in use)</v>
      </c>
    </row>
    <row r="220" spans="1:10" ht="15.75" thickBot="1">
      <c r="A220" s="74" t="str">
        <v>Clothing (product sector)</v>
      </c>
      <c r="B220" s="340" t="str">
        <f>IFERROR(VLOOKUP(A220,'Compartments_Kawecki&amp;Nowack19'!A:C,2,FALSE), IFERROR(VLOOKUP(A220,Compartments_Added!A:C,2,FALSE), "Not found"))</f>
        <v>Flow</v>
      </c>
      <c r="C220" s="340" t="str">
        <f>IFERROR(VLOOKUP(A220,'Compartments_Kawecki&amp;Nowack19'!A:C,3,FALSE), IFERROR(VLOOKUP(A220,Compartments_Added!A:C,3,FALSE), "Not found"))</f>
        <v>ClothingProdSec</v>
      </c>
      <c r="D220" s="95" t="str">
        <f>IFERROR(IF(VLOOKUP(A220,'Compartments_Kawecki&amp;Nowack19'!A:C,1,FALSE)=A220, "Kawecki","what?"),"Added/changed")</f>
        <v>Kawecki</v>
      </c>
      <c r="G220" s="503" t="str">
        <v>Clothing (product sector)</v>
      </c>
      <c r="H220" s="318" t="str">
        <v>Plaster (DIY) outdoor (in use)</v>
      </c>
      <c r="I220" s="508" t="str">
        <v>Other paint uses (DIY) outdoor (discarded)</v>
      </c>
      <c r="J220" t="str">
        <v>Wood stain (DIY) indoor</v>
      </c>
    </row>
    <row r="221" spans="1:10" ht="15.75" thickBot="1">
      <c r="A221" s="74" t="str">
        <v>Apparel accessories</v>
      </c>
      <c r="B221" s="340" t="str">
        <f>IFERROR(VLOOKUP(A221,'Compartments_Kawecki&amp;Nowack19'!A:C,2,FALSE), IFERROR(VLOOKUP(A221,Compartments_Added!A:C,2,FALSE), "Not found"))</f>
        <v>Stock</v>
      </c>
      <c r="C221" s="340" t="str">
        <f>IFERROR(VLOOKUP(A221,'Compartments_Kawecki&amp;Nowack19'!A:C,3,FALSE), IFERROR(VLOOKUP(A221,Compartments_Added!A:C,3,FALSE), "Not found"))</f>
        <v>ApparelAccessories</v>
      </c>
      <c r="D221" s="95" t="str">
        <f>IFERROR(IF(VLOOKUP(A221,'Compartments_Kawecki&amp;Nowack19'!A:C,1,FALSE)=A221, "Kawecki","what?"),"Added/changed")</f>
        <v>Added/changed</v>
      </c>
      <c r="G221" s="503" t="str">
        <v>Apparel accessories</v>
      </c>
      <c r="H221" s="318" t="str">
        <v>Plaster (DIY) outdoor (discarded)</v>
      </c>
      <c r="I221" s="508" t="str">
        <v>Other paint uses (DIY) indoor (discarded)</v>
      </c>
      <c r="J221" t="str">
        <v>Wood stain (DIY) indoor (in use)</v>
      </c>
    </row>
    <row r="222" spans="1:10" ht="15.75" thickBot="1">
      <c r="A222" s="74" t="str">
        <v>Boots</v>
      </c>
      <c r="B222" s="340" t="str">
        <f>IFERROR(VLOOKUP(A222,'Compartments_Kawecki&amp;Nowack19'!A:C,2,FALSE), IFERROR(VLOOKUP(A222,Compartments_Added!A:C,2,FALSE), "Not found"))</f>
        <v>Stock</v>
      </c>
      <c r="C222" s="340" t="str">
        <f>IFERROR(VLOOKUP(A222,'Compartments_Kawecki&amp;Nowack19'!A:C,3,FALSE), IFERROR(VLOOKUP(A222,Compartments_Added!A:C,3,FALSE), "Not found"))</f>
        <v>Boots</v>
      </c>
      <c r="D222" s="95" t="str">
        <f>IFERROR(IF(VLOOKUP(A222,'Compartments_Kawecki&amp;Nowack19'!A:C,1,FALSE)=A222, "Kawecki","what?"),"Added/changed")</f>
        <v>Added/changed</v>
      </c>
      <c r="G222" s="503" t="str">
        <v>Boots</v>
      </c>
      <c r="H222" s="318" t="str">
        <v>Plaster (DIY) indoor (in use)</v>
      </c>
      <c r="I222" s="508" t="str">
        <v>Clothing (product sector)</v>
      </c>
      <c r="J222" t="str">
        <v>Wood stain (DIY) outdoor (discarded)</v>
      </c>
    </row>
    <row r="223" spans="1:10" ht="15.75" thickBot="1">
      <c r="A223" s="74" t="str">
        <v>Closed-toed shoes</v>
      </c>
      <c r="B223" s="340" t="str">
        <f>IFERROR(VLOOKUP(A223,'Compartments_Kawecki&amp;Nowack19'!A:C,2,FALSE), IFERROR(VLOOKUP(A223,Compartments_Added!A:C,2,FALSE), "Not found"))</f>
        <v>Stock</v>
      </c>
      <c r="C223" s="340" t="str">
        <f>IFERROR(VLOOKUP(A223,'Compartments_Kawecki&amp;Nowack19'!A:C,3,FALSE), IFERROR(VLOOKUP(A223,Compartments_Added!A:C,3,FALSE), "Not found"))</f>
        <v>CloseToedShoes</v>
      </c>
      <c r="D223" s="95" t="str">
        <f>IFERROR(IF(VLOOKUP(A223,'Compartments_Kawecki&amp;Nowack19'!A:C,1,FALSE)=A223, "Kawecki","what?"),"Added/changed")</f>
        <v>Added/changed</v>
      </c>
      <c r="G223" s="503" t="str">
        <v>Closed-toed shoes</v>
      </c>
      <c r="H223" s="318" t="str">
        <v>Plaster (DIY) indoor (discarded)</v>
      </c>
      <c r="I223" s="508" t="str">
        <v>Apparel accessories</v>
      </c>
      <c r="J223" t="str">
        <v>Wood stain (DIY) indoor (discarded)</v>
      </c>
    </row>
    <row r="224" spans="1:10" ht="15.75" thickBot="1">
      <c r="A224" s="74" t="str">
        <v>Jackets and coats</v>
      </c>
      <c r="B224" s="340" t="str">
        <f>IFERROR(VLOOKUP(A224,'Compartments_Kawecki&amp;Nowack19'!A:C,2,FALSE), IFERROR(VLOOKUP(A224,Compartments_Added!A:C,2,FALSE), "Not found"))</f>
        <v>Stock</v>
      </c>
      <c r="C224" s="340" t="str">
        <f>IFERROR(VLOOKUP(A224,'Compartments_Kawecki&amp;Nowack19'!A:C,3,FALSE), IFERROR(VLOOKUP(A224,Compartments_Added!A:C,3,FALSE), "Not found"))</f>
        <v>JacketsCoats</v>
      </c>
      <c r="D224" s="95" t="str">
        <f>IFERROR(IF(VLOOKUP(A224,'Compartments_Kawecki&amp;Nowack19'!A:C,1,FALSE)=A224, "Kawecki","what?"),"Added/changed")</f>
        <v>Added/changed</v>
      </c>
      <c r="G224" s="503" t="str">
        <v>Jackets and coats</v>
      </c>
      <c r="H224" s="318" t="str">
        <v>Other paint uses (DIY) outdoor</v>
      </c>
      <c r="I224" s="508" t="str">
        <v>Boots</v>
      </c>
      <c r="J224" t="str">
        <v>Wall paint (DIY)</v>
      </c>
    </row>
    <row r="225" spans="1:10" ht="15.75" thickBot="1">
      <c r="A225" s="74" t="str">
        <v>Open-toed shoes</v>
      </c>
      <c r="B225" s="340" t="str">
        <f>IFERROR(VLOOKUP(A225,'Compartments_Kawecki&amp;Nowack19'!A:C,2,FALSE), IFERROR(VLOOKUP(A225,Compartments_Added!A:C,2,FALSE), "Not found"))</f>
        <v>Stock</v>
      </c>
      <c r="C225" s="340" t="str">
        <f>IFERROR(VLOOKUP(A225,'Compartments_Kawecki&amp;Nowack19'!A:C,3,FALSE), IFERROR(VLOOKUP(A225,Compartments_Added!A:C,3,FALSE), "Not found"))</f>
        <v>OpenToedShoes</v>
      </c>
      <c r="D225" s="95" t="str">
        <f>IFERROR(IF(VLOOKUP(A225,'Compartments_Kawecki&amp;Nowack19'!A:C,1,FALSE)=A225, "Kawecki","what?"),"Added/changed")</f>
        <v>Added/changed</v>
      </c>
      <c r="G225" s="503" t="str">
        <v>Open-toed shoes</v>
      </c>
      <c r="H225" s="318" t="str">
        <v>Other paint uses (DIY) indoor</v>
      </c>
      <c r="I225" s="508" t="str">
        <v>Closed-toed shoes</v>
      </c>
      <c r="J225" t="str">
        <v>Wall paint (DIY) outdoor</v>
      </c>
    </row>
    <row r="226" spans="1:10" ht="15.75" thickBot="1">
      <c r="A226" s="447" t="str">
        <v>Dresses skirts and jumpsuits</v>
      </c>
      <c r="B226" s="449" t="str">
        <f>IFERROR(VLOOKUP(A226,'Compartments_Kawecki&amp;Nowack19'!A:C,2,FALSE), IFERROR(VLOOKUP(A226,Compartments_Added!A:C,2,FALSE), "Not found"))</f>
        <v>Stock</v>
      </c>
      <c r="C226" s="449" t="str">
        <f>IFERROR(VLOOKUP(A226,'Compartments_Kawecki&amp;Nowack19'!A:C,3,FALSE), IFERROR(VLOOKUP(A226,Compartments_Added!A:C,3,FALSE), "Not found"))</f>
        <v>DressesSkirtsJumpsuits</v>
      </c>
      <c r="D226" s="95" t="str">
        <f>IFERROR(IF(VLOOKUP(A226,'Compartments_Kawecki&amp;Nowack19'!A:C,1,FALSE)=A226, "Kawecki","what?"),"Added/changed")</f>
        <v>Added/changed</v>
      </c>
      <c r="G226" s="503" t="str">
        <v>Dresses skirts and jumpsuits</v>
      </c>
      <c r="H226" s="318" t="str">
        <v>Other paint uses (DIY) outdoor (in use)</v>
      </c>
      <c r="I226" s="508" t="str">
        <v>Jackets and coats</v>
      </c>
      <c r="J226" t="str">
        <v>Wall paint (DIY) outdoor (in use)</v>
      </c>
    </row>
    <row r="227" spans="1:10" ht="15.75" thickBot="1">
      <c r="A227" s="74" t="str">
        <v>Leggings stockings tights and socks</v>
      </c>
      <c r="B227" s="340" t="str">
        <f>IFERROR(VLOOKUP(A227,'Compartments_Kawecki&amp;Nowack19'!A:C,2,FALSE), IFERROR(VLOOKUP(A227,Compartments_Added!A:C,2,FALSE), "Not found"))</f>
        <v>Stock</v>
      </c>
      <c r="C227" s="340" t="str">
        <f>IFERROR(VLOOKUP(A227,'Compartments_Kawecki&amp;Nowack19'!A:C,3,FALSE), IFERROR(VLOOKUP(A227,Compartments_Added!A:C,3,FALSE), "Not found"))</f>
        <v>LeggingsStockingsTightsSocks</v>
      </c>
      <c r="D227" s="95" t="str">
        <f>IFERROR(IF(VLOOKUP(A227,'Compartments_Kawecki&amp;Nowack19'!A:C,1,FALSE)=A227, "Kawecki","what?"),"Added/changed")</f>
        <v>Added/changed</v>
      </c>
      <c r="G227" s="503" t="str">
        <v>Leggings stockings tights and socks</v>
      </c>
      <c r="H227" s="318" t="str">
        <v>Other paint uses (DIY) outdoor (discarded)</v>
      </c>
      <c r="I227" s="508" t="str">
        <v>Open-toed shoes</v>
      </c>
      <c r="J227" t="str">
        <v>Wall paint (DIY) indoor</v>
      </c>
    </row>
    <row r="228" spans="1:10" ht="15.75" thickBot="1">
      <c r="A228" s="74" t="str">
        <v>Pants and shorts</v>
      </c>
      <c r="B228" s="340" t="str">
        <f>IFERROR(VLOOKUP(A228,'Compartments_Kawecki&amp;Nowack19'!A:C,2,FALSE), IFERROR(VLOOKUP(A228,Compartments_Added!A:C,2,FALSE), "Not found"))</f>
        <v>Stock</v>
      </c>
      <c r="C228" s="340" t="str">
        <f>IFERROR(VLOOKUP(A228,'Compartments_Kawecki&amp;Nowack19'!A:C,3,FALSE), IFERROR(VLOOKUP(A228,Compartments_Added!A:C,3,FALSE), "Not found"))</f>
        <v>PantsShorts</v>
      </c>
      <c r="D228" s="95" t="str">
        <f>IFERROR(IF(VLOOKUP(A228,'Compartments_Kawecki&amp;Nowack19'!A:C,1,FALSE)=A228, "Kawecki","what?"),"Added/changed")</f>
        <v>Added/changed</v>
      </c>
      <c r="G228" s="503" t="str">
        <v>Pants and shorts</v>
      </c>
      <c r="H228" s="318" t="str">
        <v>Other paint uses (DIY) indoor (in use)</v>
      </c>
      <c r="I228" s="508" t="str">
        <v>Dresses skirts and jumpsuits</v>
      </c>
      <c r="J228" t="str">
        <v>Wall paint (DIY) indoor applied</v>
      </c>
    </row>
    <row r="229" spans="1:10" ht="15.75" thickBot="1">
      <c r="A229" s="74" t="str">
        <v>Shirts and blouses</v>
      </c>
      <c r="B229" s="340" t="str">
        <f>IFERROR(VLOOKUP(A229,'Compartments_Kawecki&amp;Nowack19'!A:C,2,FALSE), IFERROR(VLOOKUP(A229,Compartments_Added!A:C,2,FALSE), "Not found"))</f>
        <v>Stock</v>
      </c>
      <c r="C229" s="340" t="str">
        <f>IFERROR(VLOOKUP(A229,'Compartments_Kawecki&amp;Nowack19'!A:C,3,FALSE), IFERROR(VLOOKUP(A229,Compartments_Added!A:C,3,FALSE), "Not found"))</f>
        <v>ShirtsBlouses</v>
      </c>
      <c r="D229" s="95" t="str">
        <f>IFERROR(IF(VLOOKUP(A229,'Compartments_Kawecki&amp;Nowack19'!A:C,1,FALSE)=A229, "Kawecki","what?"),"Added/changed")</f>
        <v>Added/changed</v>
      </c>
      <c r="G229" s="503" t="str">
        <v>Shirts and blouses</v>
      </c>
      <c r="H229" s="318" t="str">
        <v>Other paint uses (DIY) indoor (discarded)</v>
      </c>
      <c r="I229" s="508" t="str">
        <v>Leggings stockings tights and socks</v>
      </c>
      <c r="J229" t="str">
        <v>Wall paint (DIY) indoor applied (in use)</v>
      </c>
    </row>
    <row r="230" spans="1:10" ht="15.75" thickBot="1">
      <c r="A230" s="74" t="str">
        <v>Sweaters and midlayers</v>
      </c>
      <c r="B230" s="340" t="str">
        <f>IFERROR(VLOOKUP(A230,'Compartments_Kawecki&amp;Nowack19'!A:C,2,FALSE), IFERROR(VLOOKUP(A230,Compartments_Added!A:C,2,FALSE), "Not found"))</f>
        <v>Stock</v>
      </c>
      <c r="C230" s="340" t="str">
        <f>IFERROR(VLOOKUP(A230,'Compartments_Kawecki&amp;Nowack19'!A:C,3,FALSE), IFERROR(VLOOKUP(A230,Compartments_Added!A:C,3,FALSE), "Not found"))</f>
        <v>SweatersMidlayers</v>
      </c>
      <c r="D230" s="95" t="str">
        <f>IFERROR(IF(VLOOKUP(A230,'Compartments_Kawecki&amp;Nowack19'!A:C,1,FALSE)=A230, "Kawecki","what?"),"Added/changed")</f>
        <v>Added/changed</v>
      </c>
      <c r="G230" s="318" t="str">
        <v>Sweaters and midlayers</v>
      </c>
      <c r="H230" s="318" t="str">
        <v>Clothing (product sector)</v>
      </c>
      <c r="I230" s="508" t="str">
        <v>Pants and shorts</v>
      </c>
      <c r="J230" t="str">
        <v>Wall paint (DIY) indoor on brush</v>
      </c>
    </row>
    <row r="231" spans="1:10" ht="15.75" thickBot="1">
      <c r="A231" s="74" t="str">
        <v>Swimwear</v>
      </c>
      <c r="B231" s="340" t="str">
        <f>IFERROR(VLOOKUP(A231,'Compartments_Kawecki&amp;Nowack19'!A:C,2,FALSE), IFERROR(VLOOKUP(A231,Compartments_Added!A:C,2,FALSE), "Not found"))</f>
        <v>Stock</v>
      </c>
      <c r="C231" s="340" t="str">
        <f>IFERROR(VLOOKUP(A231,'Compartments_Kawecki&amp;Nowack19'!A:C,3,FALSE), IFERROR(VLOOKUP(A231,Compartments_Added!A:C,3,FALSE), "Not found"))</f>
        <v>Swimwear</v>
      </c>
      <c r="D231" s="95" t="str">
        <f>IFERROR(IF(VLOOKUP(A231,'Compartments_Kawecki&amp;Nowack19'!A:C,1,FALSE)=A231, "Kawecki","what?"),"Added/changed")</f>
        <v>Added/changed</v>
      </c>
      <c r="G231" s="318" t="str">
        <v>Swimwear</v>
      </c>
      <c r="H231" s="318" t="str">
        <v>Apparel accessories</v>
      </c>
      <c r="I231" s="508" t="str">
        <v>Shirts and blouses</v>
      </c>
      <c r="J231" t="str">
        <v>Wall paint (DIY) outdoor (discarded)</v>
      </c>
    </row>
    <row r="232" spans="1:10" ht="15.75" thickBot="1">
      <c r="A232" s="74" t="str">
        <v>T-shirts</v>
      </c>
      <c r="B232" s="340" t="str">
        <f>IFERROR(VLOOKUP(A232,'Compartments_Kawecki&amp;Nowack19'!A:C,2,FALSE), IFERROR(VLOOKUP(A232,Compartments_Added!A:C,2,FALSE), "Not found"))</f>
        <v>Stock</v>
      </c>
      <c r="C232" s="340" t="str">
        <f>IFERROR(VLOOKUP(A232,'Compartments_Kawecki&amp;Nowack19'!A:C,3,FALSE), IFERROR(VLOOKUP(A232,Compartments_Added!A:C,3,FALSE), "Not found"))</f>
        <v>Tshirts</v>
      </c>
      <c r="D232" s="95" t="str">
        <f>IFERROR(IF(VLOOKUP(A232,'Compartments_Kawecki&amp;Nowack19'!A:C,1,FALSE)=A232, "Kawecki","what?"),"Added/changed")</f>
        <v>Added/changed</v>
      </c>
      <c r="G232" s="318" t="str">
        <v>T-shirts</v>
      </c>
      <c r="H232" s="318" t="str">
        <v>Boots</v>
      </c>
      <c r="I232" s="508" t="str">
        <v>Sweaters and midlayers</v>
      </c>
      <c r="J232" t="str">
        <v>Wall paint (DIY) indoor applied (discarded)</v>
      </c>
    </row>
    <row r="233" spans="1:10" ht="15.75" thickBot="1">
      <c r="A233" s="74" t="str">
        <v>Underwear</v>
      </c>
      <c r="B233" s="340" t="str">
        <f>IFERROR(VLOOKUP(A233,'Compartments_Kawecki&amp;Nowack19'!A:C,2,FALSE), IFERROR(VLOOKUP(A233,Compartments_Added!A:C,2,FALSE), "Not found"))</f>
        <v>Stock</v>
      </c>
      <c r="C233" s="340" t="str">
        <f>IFERROR(VLOOKUP(A233,'Compartments_Kawecki&amp;Nowack19'!A:C,3,FALSE), IFERROR(VLOOKUP(A233,Compartments_Added!A:C,3,FALSE), "Not found"))</f>
        <v>Underwear</v>
      </c>
      <c r="D233" s="95" t="str">
        <f>IFERROR(IF(VLOOKUP(A233,'Compartments_Kawecki&amp;Nowack19'!A:C,1,FALSE)=A233, "Kawecki","what?"),"Added/changed")</f>
        <v>Added/changed</v>
      </c>
      <c r="G233" s="318" t="str">
        <v>Underwear</v>
      </c>
      <c r="H233" s="318" t="str">
        <v>Closed-toed shoes</v>
      </c>
      <c r="I233" s="508" t="str">
        <v>Swimwear</v>
      </c>
      <c r="J233" t="str">
        <v>Plaster (DIY)</v>
      </c>
    </row>
    <row r="234" spans="1:10" ht="15.75" thickBot="1">
      <c r="A234" s="74" t="str">
        <v>Clothing washing</v>
      </c>
      <c r="B234" s="340" t="str">
        <f>IFERROR(VLOOKUP(A234,'Compartments_Kawecki&amp;Nowack19'!A:C,2,FALSE), IFERROR(VLOOKUP(A234,Compartments_Added!A:C,2,FALSE), "Not found"))</f>
        <v>Flow</v>
      </c>
      <c r="C234" s="340" t="str">
        <f>IFERROR(VLOOKUP(A234,'Compartments_Kawecki&amp;Nowack19'!A:C,3,FALSE), IFERROR(VLOOKUP(A234,Compartments_Added!A:C,3,FALSE), "Not found"))</f>
        <v>ClothingWashing</v>
      </c>
      <c r="D234" s="95" t="str">
        <f>IFERROR(IF(VLOOKUP(A234,'Compartments_Kawecki&amp;Nowack19'!A:C,1,FALSE)=A234, "Kawecki","what?"),"Added/changed")</f>
        <v>Added/changed</v>
      </c>
      <c r="G234" s="318" t="str">
        <v>Clothing washing</v>
      </c>
      <c r="H234" s="318" t="str">
        <v>Dresses skirts and jumpsuits</v>
      </c>
      <c r="I234" s="508" t="str">
        <v>T-shirts</v>
      </c>
      <c r="J234" t="str">
        <v>Plaster (DIY) outdoor</v>
      </c>
    </row>
    <row r="235" spans="1:10" ht="15.75" thickBot="1">
      <c r="A235" s="74" t="str">
        <v>Clothing washing machine (with external filter)</v>
      </c>
      <c r="B235" s="340" t="str">
        <f>IFERROR(VLOOKUP(A235,'Compartments_Kawecki&amp;Nowack19'!A:C,2,FALSE), IFERROR(VLOOKUP(A235,Compartments_Added!A:C,2,FALSE), "Not found"))</f>
        <v>Flow</v>
      </c>
      <c r="C235" s="340" t="str">
        <f>IFERROR(VLOOKUP(A235,'Compartments_Kawecki&amp;Nowack19'!A:C,3,FALSE), IFERROR(VLOOKUP(A235,Compartments_Added!A:C,3,FALSE), "Not found"))</f>
        <v>ClothingExternalWithExternalFilter</v>
      </c>
      <c r="D235" s="95" t="str">
        <f>IFERROR(IF(VLOOKUP(A235,'Compartments_Kawecki&amp;Nowack19'!A:C,1,FALSE)=A235, "Kawecki","what?"),"Added/changed")</f>
        <v>Added/changed</v>
      </c>
      <c r="G235" s="318" t="str">
        <v>Clothing washing machine (with external filter)</v>
      </c>
      <c r="H235" s="318" t="str">
        <v>Jackets and coats</v>
      </c>
      <c r="I235" s="508" t="str">
        <v>Underwear</v>
      </c>
      <c r="J235" t="str">
        <v>Plaster (DIY) outdoor (in use)</v>
      </c>
    </row>
    <row r="236" spans="1:10" ht="15.75" thickBot="1">
      <c r="A236" s="329" t="str">
        <v>Clothing washing machine (without external filter)</v>
      </c>
      <c r="B236" s="341" t="str">
        <f>IFERROR(VLOOKUP(A236,'Compartments_Kawecki&amp;Nowack19'!A:C,2,FALSE), IFERROR(VLOOKUP(A236,Compartments_Added!A:C,2,FALSE), "Not found"))</f>
        <v>Flow</v>
      </c>
      <c r="C236" s="341" t="str">
        <f>IFERROR(VLOOKUP(A236,'Compartments_Kawecki&amp;Nowack19'!A:C,3,FALSE), IFERROR(VLOOKUP(A236,Compartments_Added!A:C,3,FALSE), "Not found"))</f>
        <v>ClothingExternalWithoutExternalFilter</v>
      </c>
      <c r="D236" s="95" t="str">
        <f>IFERROR(IF(VLOOKUP(A236,'Compartments_Kawecki&amp;Nowack19'!A:C,1,FALSE)=A236, "Kawecki","what?"),"Added/changed")</f>
        <v>Added/changed</v>
      </c>
      <c r="G236" s="318" t="str">
        <v>Clothing washing machine (without external filter)</v>
      </c>
      <c r="H236" s="318" t="str">
        <v>Leggings stockings tights and socks</v>
      </c>
      <c r="I236" s="508" t="str">
        <v>Clothing washing</v>
      </c>
      <c r="J236" t="str">
        <v>Plaster (DIY) indoor</v>
      </c>
    </row>
    <row r="237" spans="1:10" ht="15.75" thickBot="1">
      <c r="A237" s="74" t="str">
        <v>Clothing washing by hand</v>
      </c>
      <c r="B237" s="340" t="str">
        <f>IFERROR(VLOOKUP(A237,'Compartments_Kawecki&amp;Nowack19'!A:C,2,FALSE), IFERROR(VLOOKUP(A237,Compartments_Added!A:C,2,FALSE), "Not found"))</f>
        <v>Flow</v>
      </c>
      <c r="C237" s="340" t="str">
        <f>IFERROR(VLOOKUP(A237,'Compartments_Kawecki&amp;Nowack19'!A:C,3,FALSE), IFERROR(VLOOKUP(A237,Compartments_Added!A:C,3,FALSE), "Not found"))</f>
        <v>ClothingByWashingByHand</v>
      </c>
      <c r="D237" s="95" t="str">
        <f>IFERROR(IF(VLOOKUP(A237,'Compartments_Kawecki&amp;Nowack19'!A:C,1,FALSE)=A237, "Kawecki","what?"),"Added/changed")</f>
        <v>Added/changed</v>
      </c>
      <c r="G237" s="318" t="str">
        <v>Clothing washing by hand</v>
      </c>
      <c r="H237" s="318" t="str">
        <v>Open-toed shoes</v>
      </c>
      <c r="I237" s="508" t="str">
        <v>Clothing washing machine (with external filter)</v>
      </c>
      <c r="J237" t="str">
        <v>Plaster (DIY) indoor (in use)</v>
      </c>
    </row>
    <row r="238" spans="1:10" ht="15.75" thickBot="1">
      <c r="A238" s="74" t="str">
        <v>Clothing wearing</v>
      </c>
      <c r="B238" s="340" t="str">
        <f>IFERROR(VLOOKUP(A238,'Compartments_Kawecki&amp;Nowack19'!A:C,2,FALSE), IFERROR(VLOOKUP(A238,Compartments_Added!A:C,2,FALSE), "Not found"))</f>
        <v>Flow</v>
      </c>
      <c r="C238" s="340" t="str">
        <f>IFERROR(VLOOKUP(A238,'Compartments_Kawecki&amp;Nowack19'!A:C,3,FALSE), IFERROR(VLOOKUP(A238,Compartments_Added!A:C,3,FALSE), "Not found"))</f>
        <v>ClothingWearing</v>
      </c>
      <c r="D238" s="95" t="str">
        <f>IFERROR(IF(VLOOKUP(A238,'Compartments_Kawecki&amp;Nowack19'!A:C,1,FALSE)=A238, "Kawecki","what?"),"Added/changed")</f>
        <v>Added/changed</v>
      </c>
      <c r="G238" s="318" t="str">
        <v>Clothing wearing</v>
      </c>
      <c r="H238" s="318" t="str">
        <v>Pants and shorts</v>
      </c>
      <c r="I238" s="508" t="str">
        <v>Clothing washing machine (without external filter)</v>
      </c>
      <c r="J238" t="str">
        <v>Plaster (DIY) outdoor (discarded)</v>
      </c>
    </row>
    <row r="239" spans="1:10" ht="15.75" thickBot="1">
      <c r="A239" s="74" t="str">
        <v>Clothing drying</v>
      </c>
      <c r="B239" s="340" t="str">
        <f>IFERROR(VLOOKUP(A239,'Compartments_Kawecki&amp;Nowack19'!A:C,2,FALSE), IFERROR(VLOOKUP(A239,Compartments_Added!A:C,2,FALSE), "Not found"))</f>
        <v>Flow</v>
      </c>
      <c r="C239" s="340" t="str">
        <f>IFERROR(VLOOKUP(A239,'Compartments_Kawecki&amp;Nowack19'!A:C,3,FALSE), IFERROR(VLOOKUP(A239,Compartments_Added!A:C,3,FALSE), "Not found"))</f>
        <v>ClothingDrying</v>
      </c>
      <c r="D239" s="95" t="str">
        <f>IFERROR(IF(VLOOKUP(A239,'Compartments_Kawecki&amp;Nowack19'!A:C,1,FALSE)=A239, "Kawecki","what?"),"Added/changed")</f>
        <v>Added/changed</v>
      </c>
      <c r="G239" s="318" t="str">
        <v>Clothing drying</v>
      </c>
      <c r="H239" s="318" t="str">
        <v>Shirts and blouses</v>
      </c>
      <c r="I239" s="508" t="str">
        <v>Clothing washing by hand</v>
      </c>
      <c r="J239" t="str">
        <v>Plaster (DIY) indoor (discarded)</v>
      </c>
    </row>
    <row r="240" spans="1:10" ht="15.75" thickBot="1">
      <c r="A240" s="74" t="str">
        <v>Clothing indoor drying</v>
      </c>
      <c r="B240" s="340" t="str">
        <f>IFERROR(VLOOKUP(A240,'Compartments_Kawecki&amp;Nowack19'!A:C,2,FALSE), IFERROR(VLOOKUP(A240,Compartments_Added!A:C,2,FALSE), "Not found"))</f>
        <v>Flow</v>
      </c>
      <c r="C240" s="340" t="str">
        <f>IFERROR(VLOOKUP(A240,'Compartments_Kawecki&amp;Nowack19'!A:C,3,FALSE), IFERROR(VLOOKUP(A240,Compartments_Added!A:C,3,FALSE), "Not found"))</f>
        <v>ClothIndoorDrying</v>
      </c>
      <c r="D240" s="95" t="str">
        <f>IFERROR(IF(VLOOKUP(A240,'Compartments_Kawecki&amp;Nowack19'!A:C,1,FALSE)=A240, "Kawecki","what?"),"Added/changed")</f>
        <v>Added/changed</v>
      </c>
      <c r="G240" s="318" t="str">
        <v>Clothing indoor drying</v>
      </c>
      <c r="H240" s="318" t="str">
        <v>Sweaters and midlayers</v>
      </c>
      <c r="I240" s="508" t="str">
        <v>Clothing wearing</v>
      </c>
      <c r="J240" t="str">
        <v>Other paint uses (DIY)</v>
      </c>
    </row>
    <row r="241" spans="1:10" ht="15.75" thickBot="1">
      <c r="A241" s="74" t="str">
        <v>Clothing outdoor drying</v>
      </c>
      <c r="B241" s="340" t="str">
        <f>IFERROR(VLOOKUP(A241,'Compartments_Kawecki&amp;Nowack19'!A:C,2,FALSE), IFERROR(VLOOKUP(A241,Compartments_Added!A:C,2,FALSE), "Not found"))</f>
        <v>Flow</v>
      </c>
      <c r="C241" s="340" t="str">
        <f>IFERROR(VLOOKUP(A241,'Compartments_Kawecki&amp;Nowack19'!A:C,3,FALSE), IFERROR(VLOOKUP(A241,Compartments_Added!A:C,3,FALSE), "Not found"))</f>
        <v>ClothOutdoorDrying</v>
      </c>
      <c r="D241" s="95" t="str">
        <f>IFERROR(IF(VLOOKUP(A241,'Compartments_Kawecki&amp;Nowack19'!A:C,1,FALSE)=A241, "Kawecki","what?"),"Added/changed")</f>
        <v>Added/changed</v>
      </c>
      <c r="G241" s="318" t="str">
        <v>Clothing outdoor drying</v>
      </c>
      <c r="H241" s="318" t="str">
        <v>Swimwear</v>
      </c>
      <c r="I241" s="508" t="str">
        <v>Clothing drying</v>
      </c>
      <c r="J241" t="str">
        <v>Other paint uses (DIY) outdoor</v>
      </c>
    </row>
    <row r="242" spans="1:10" ht="15.75" thickBot="1">
      <c r="A242" s="74" t="str">
        <v>Clothing drying VTD</v>
      </c>
      <c r="B242" s="340" t="str">
        <f>IFERROR(VLOOKUP(A242,'Compartments_Kawecki&amp;Nowack19'!A:C,2,FALSE), IFERROR(VLOOKUP(A242,Compartments_Added!A:C,2,FALSE), "Not found"))</f>
        <v>Flow</v>
      </c>
      <c r="C242" s="340" t="str">
        <f>IFERROR(VLOOKUP(A242,'Compartments_Kawecki&amp;Nowack19'!A:C,3,FALSE), IFERROR(VLOOKUP(A242,Compartments_Added!A:C,3,FALSE), "Not found"))</f>
        <v>ClothDryingVTD</v>
      </c>
      <c r="D242" s="95" t="str">
        <f>IFERROR(IF(VLOOKUP(A242,'Compartments_Kawecki&amp;Nowack19'!A:C,1,FALSE)=A242, "Kawecki","what?"),"Added/changed")</f>
        <v>Added/changed</v>
      </c>
      <c r="G242" s="318" t="str">
        <v>Clothing drying VTD</v>
      </c>
      <c r="H242" s="318" t="str">
        <v>T-shirts</v>
      </c>
      <c r="I242" s="508" t="str">
        <v>Clothing indoor drying</v>
      </c>
      <c r="J242" t="str">
        <v>Other paint uses (DIY) outdoor (in use)</v>
      </c>
    </row>
    <row r="243" spans="1:10" ht="15.75" thickBot="1">
      <c r="A243" s="74" t="str">
        <v>Clothing drying CHPTD</v>
      </c>
      <c r="B243" s="340" t="str">
        <f>IFERROR(VLOOKUP(A243,'Compartments_Kawecki&amp;Nowack19'!A:C,2,FALSE), IFERROR(VLOOKUP(A243,Compartments_Added!A:C,2,FALSE), "Not found"))</f>
        <v>Flow</v>
      </c>
      <c r="C243" s="340" t="str">
        <f>IFERROR(VLOOKUP(A243,'Compartments_Kawecki&amp;Nowack19'!A:C,3,FALSE), IFERROR(VLOOKUP(A243,Compartments_Added!A:C,3,FALSE), "Not found"))</f>
        <v>ClothDryingCHPTD</v>
      </c>
      <c r="D243" s="95" t="str">
        <f>IFERROR(IF(VLOOKUP(A243,'Compartments_Kawecki&amp;Nowack19'!A:C,1,FALSE)=A243, "Kawecki","what?"),"Added/changed")</f>
        <v>Added/changed</v>
      </c>
      <c r="G243" s="318" t="str">
        <v>Clothing drying CHPTD</v>
      </c>
      <c r="H243" s="318" t="str">
        <v>Underwear</v>
      </c>
      <c r="I243" s="508" t="str">
        <v>Clothing outdoor drying</v>
      </c>
      <c r="J243" t="str">
        <v>Other paint uses (DIY) indoor</v>
      </c>
    </row>
    <row r="244" spans="1:10" ht="15.75" thickBot="1">
      <c r="A244" s="74" t="str">
        <v>Clothing drying CHETD</v>
      </c>
      <c r="B244" s="340" t="str">
        <f>IFERROR(VLOOKUP(A244,'Compartments_Kawecki&amp;Nowack19'!A:C,2,FALSE), IFERROR(VLOOKUP(A244,Compartments_Added!A:C,2,FALSE), "Not found"))</f>
        <v>Flow</v>
      </c>
      <c r="C244" s="340" t="str">
        <f>IFERROR(VLOOKUP(A244,'Compartments_Kawecki&amp;Nowack19'!A:C,3,FALSE), IFERROR(VLOOKUP(A244,Compartments_Added!A:C,3,FALSE), "Not found"))</f>
        <v>ClothDryingCHETD</v>
      </c>
      <c r="D244" s="95" t="str">
        <f>IFERROR(IF(VLOOKUP(A244,'Compartments_Kawecki&amp;Nowack19'!A:C,1,FALSE)=A244, "Kawecki","what?"),"Added/changed")</f>
        <v>Added/changed</v>
      </c>
      <c r="G244" s="318" t="str">
        <v>Clothing drying CHETD</v>
      </c>
      <c r="H244" s="318" t="str">
        <v>Clothing wearing</v>
      </c>
      <c r="I244" s="508" t="str">
        <v>Clothing drying VTD</v>
      </c>
      <c r="J244" t="str">
        <v>Other paint uses (DIY) indoor (in use)</v>
      </c>
    </row>
    <row r="245" spans="1:10" ht="15.75" thickBot="1">
      <c r="A245" s="74" t="str">
        <v>Clothing washer-dryer combo</v>
      </c>
      <c r="B245" s="340" t="str">
        <f>IFERROR(VLOOKUP(A245,'Compartments_Kawecki&amp;Nowack19'!A:C,2,FALSE), IFERROR(VLOOKUP(A245,Compartments_Added!A:C,2,FALSE), "Not found"))</f>
        <v>Flow</v>
      </c>
      <c r="C245" s="340" t="str">
        <f>IFERROR(VLOOKUP(A245,'Compartments_Kawecki&amp;Nowack19'!A:C,3,FALSE), IFERROR(VLOOKUP(A245,Compartments_Added!A:C,3,FALSE), "Not found"))</f>
        <v>ClothingWasherDryerCombo</v>
      </c>
      <c r="D245" s="95" t="str">
        <f>IFERROR(IF(VLOOKUP(A245,'Compartments_Kawecki&amp;Nowack19'!A:C,1,FALSE)=A245, "Kawecki","what?"),"Added/changed")</f>
        <v>Added/changed</v>
      </c>
      <c r="G245" s="318" t="str">
        <v>Clothing washer-dryer combo</v>
      </c>
      <c r="H245" s="318" t="str">
        <v>Clothing washing</v>
      </c>
      <c r="I245" s="508" t="str">
        <v>Clothing drying CHPTD</v>
      </c>
      <c r="J245" t="str">
        <v>Other paint uses (DIY) outdoor (discarded)</v>
      </c>
    </row>
    <row r="246" spans="1:10" ht="15.75" thickBot="1">
      <c r="A246" s="74" t="str">
        <v>Lint filter (VTD)</v>
      </c>
      <c r="B246" s="340" t="str">
        <f>IFERROR(VLOOKUP(A246,'Compartments_Kawecki&amp;Nowack19'!A:C,2,FALSE), IFERROR(VLOOKUP(A246,Compartments_Added!A:C,2,FALSE), "Not found"))</f>
        <v>Flow</v>
      </c>
      <c r="C246" s="340" t="str">
        <f>IFERROR(VLOOKUP(A246,'Compartments_Kawecki&amp;Nowack19'!A:C,3,FALSE), IFERROR(VLOOKUP(A246,Compartments_Added!A:C,3,FALSE), "Not found"))</f>
        <v>LintFilterVTD</v>
      </c>
      <c r="D246" s="95" t="str">
        <f>IFERROR(IF(VLOOKUP(A246,'Compartments_Kawecki&amp;Nowack19'!A:C,1,FALSE)=A246, "Kawecki","what?"),"Added/changed")</f>
        <v>Added/changed</v>
      </c>
      <c r="G246" s="318" t="str">
        <v>Lint filter (VTD)</v>
      </c>
      <c r="H246" s="318" t="str">
        <v>Clothing drying</v>
      </c>
      <c r="I246" s="508" t="str">
        <v>Clothing drying CHETD</v>
      </c>
      <c r="J246" t="str">
        <v>Other paint uses (DIY) indoor (discarded)</v>
      </c>
    </row>
    <row r="247" spans="1:10" ht="15.75" thickBot="1">
      <c r="A247" s="74" t="str">
        <v>Lint filter (CHPTD)</v>
      </c>
      <c r="B247" s="340" t="str">
        <f>IFERROR(VLOOKUP(A247,'Compartments_Kawecki&amp;Nowack19'!A:C,2,FALSE), IFERROR(VLOOKUP(A247,Compartments_Added!A:C,2,FALSE), "Not found"))</f>
        <v>Flow</v>
      </c>
      <c r="C247" s="340" t="str">
        <f>IFERROR(VLOOKUP(A247,'Compartments_Kawecki&amp;Nowack19'!A:C,3,FALSE), IFERROR(VLOOKUP(A247,Compartments_Added!A:C,3,FALSE), "Not found"))</f>
        <v>LintFilterCHPTD</v>
      </c>
      <c r="D247" s="95" t="str">
        <f>IFERROR(IF(VLOOKUP(A247,'Compartments_Kawecki&amp;Nowack19'!A:C,1,FALSE)=A247, "Kawecki","what?"),"Added/changed")</f>
        <v>Added/changed</v>
      </c>
      <c r="G247" s="318" t="str">
        <v>Lint filter (CHPTD)</v>
      </c>
      <c r="H247" s="318" t="str">
        <v>Clothing washing machine (with external filter)</v>
      </c>
      <c r="I247" s="508" t="str">
        <v>Clothing washer-dryer combo</v>
      </c>
      <c r="J247" t="str">
        <v>Import of clothing (EU)</v>
      </c>
    </row>
    <row r="248" spans="1:10" ht="15.75" thickBot="1">
      <c r="A248" s="628" t="str">
        <v>Lint filter (CHETD)</v>
      </c>
      <c r="B248" s="315" t="str">
        <f>IFERROR(VLOOKUP(A248,'Compartments_Kawecki&amp;Nowack19'!A:C,2,FALSE), IFERROR(VLOOKUP(A248,Compartments_Added!A:C,2,FALSE), "Not found"))</f>
        <v>Flow</v>
      </c>
      <c r="C248" s="315" t="str">
        <f>IFERROR(VLOOKUP(A248,'Compartments_Kawecki&amp;Nowack19'!A:C,3,FALSE), IFERROR(VLOOKUP(A248,Compartments_Added!A:C,3,FALSE), "Not found"))</f>
        <v>LintFilterCHETD</v>
      </c>
      <c r="D248" s="95" t="str">
        <f>IFERROR(IF(VLOOKUP(A248,'Compartments_Kawecki&amp;Nowack19'!A:C,1,FALSE)=A248, "Kawecki","what?"),"Added/changed")</f>
        <v>Added/changed</v>
      </c>
      <c r="G248" s="318" t="str">
        <v>Lint filter (CHETD)</v>
      </c>
      <c r="H248" s="318" t="str">
        <v>Clothing washing machine (without external filter)</v>
      </c>
      <c r="I248" s="508" t="str">
        <v>Lint filter (VTD)</v>
      </c>
      <c r="J248" t="str">
        <v>Clothing (product sector)</v>
      </c>
    </row>
    <row r="249" spans="1:10" ht="15.75" thickBot="1">
      <c r="A249" s="628" t="str">
        <v>Clean lint filter by hand</v>
      </c>
      <c r="B249" s="315" t="str">
        <f>IFERROR(VLOOKUP(A249,'Compartments_Kawecki&amp;Nowack19'!A:C,2,FALSE), IFERROR(VLOOKUP(A249,Compartments_Added!A:C,2,FALSE), "Not found"))</f>
        <v>Flow</v>
      </c>
      <c r="C249" s="315" t="str">
        <f>IFERROR(VLOOKUP(A249,'Compartments_Kawecki&amp;Nowack19'!A:C,3,FALSE), IFERROR(VLOOKUP(A249,Compartments_Added!A:C,3,FALSE), "Not found"))</f>
        <v>CleanByFilterByHand</v>
      </c>
      <c r="D249" s="95" t="str">
        <f>IFERROR(IF(VLOOKUP(A249,'Compartments_Kawecki&amp;Nowack19'!A:C,1,FALSE)=A249, "Kawecki","what?"),"Added/changed")</f>
        <v>Added/changed</v>
      </c>
      <c r="G249" s="318" t="str">
        <v>Clean lint filter by hand</v>
      </c>
      <c r="H249" s="318" t="str">
        <v>Clothing washing by hand</v>
      </c>
      <c r="I249" s="508" t="str">
        <v>Lint filter (CHPTD)</v>
      </c>
      <c r="J249" t="str">
        <v>Apparel accessories</v>
      </c>
    </row>
    <row r="250" spans="1:10" ht="15.75" thickBot="1">
      <c r="A250" s="628" t="str">
        <v>Clean lint filter under running water</v>
      </c>
      <c r="B250" s="315" t="str">
        <f>IFERROR(VLOOKUP(A250,'Compartments_Kawecki&amp;Nowack19'!A:C,2,FALSE), IFERROR(VLOOKUP(A250,Compartments_Added!A:C,2,FALSE), "Not found"))</f>
        <v>Flow</v>
      </c>
      <c r="C250" s="315" t="str">
        <f>IFERROR(VLOOKUP(A250,'Compartments_Kawecki&amp;Nowack19'!A:C,3,FALSE), IFERROR(VLOOKUP(A250,Compartments_Added!A:C,3,FALSE), "Not found"))</f>
        <v>CleanRunningUnderRunningWater</v>
      </c>
      <c r="D250" s="95" t="str">
        <f>IFERROR(IF(VLOOKUP(A250,'Compartments_Kawecki&amp;Nowack19'!A:C,1,FALSE)=A250, "Kawecki","what?"),"Added/changed")</f>
        <v>Added/changed</v>
      </c>
      <c r="G250" s="318" t="str">
        <v>Clean lint filter under running water</v>
      </c>
      <c r="H250" s="318" t="str">
        <v>Clothing indoor drying</v>
      </c>
      <c r="I250" s="508" t="str">
        <v>Lint filter (CHETD)</v>
      </c>
      <c r="J250" t="str">
        <v>Boots</v>
      </c>
    </row>
    <row r="251" spans="1:10" ht="15.75" thickBot="1">
      <c r="A251" s="959" t="str">
        <v>Manufacturing of clothing</v>
      </c>
      <c r="B251" s="960" t="str">
        <f>IFERROR(VLOOKUP(A251,'Compartments_Kawecki&amp;Nowack19'!A:C,2,FALSE), IFERROR(VLOOKUP(A251,Compartments_Added!A:C,2,FALSE), "Not found"))</f>
        <v>Flow</v>
      </c>
      <c r="C251" s="960" t="str">
        <f>IFERROR(VLOOKUP(A251,'Compartments_Kawecki&amp;Nowack19'!A:C,3,FALSE), IFERROR(VLOOKUP(A251,Compartments_Added!A:C,3,FALSE), "Not found"))</f>
        <v>ManufacturingOfClothing</v>
      </c>
      <c r="D251" s="961" t="str">
        <f>IFERROR(IF(VLOOKUP(A251,'Compartments_Kawecki&amp;Nowack19'!A:C,1,FALSE)=A251, "Kawecki","what?"),"Added/changed")</f>
        <v>Added/changed</v>
      </c>
      <c r="G251" s="318" t="str">
        <v>Import of clothing (Global)</v>
      </c>
      <c r="H251" s="318" t="str">
        <v>Clothing outdoor drying</v>
      </c>
      <c r="I251" s="508" t="str">
        <v>Clean lint filter by hand</v>
      </c>
      <c r="J251" t="str">
        <v>Closed-toed shoes</v>
      </c>
    </row>
    <row r="252" spans="1:10" ht="15.75" thickBot="1">
      <c r="A252" s="628" t="str">
        <v>Import of plastic sheets</v>
      </c>
      <c r="B252" s="315" t="str">
        <f>IFERROR(VLOOKUP(A252,'Compartments_Kawecki&amp;Nowack19'!A:C,2,FALSE), IFERROR(VLOOKUP(A252,Compartments_Added!A:C,2,FALSE), "Not found"))</f>
        <v>Flow</v>
      </c>
      <c r="C252" s="315" t="str">
        <f>IFERROR(VLOOKUP(A252,'Compartments_Kawecki&amp;Nowack19'!A:C,3,FALSE), IFERROR(VLOOKUP(A252,Compartments_Added!A:C,3,FALSE), "Not found"))</f>
        <v>ImportPlasticSheets</v>
      </c>
      <c r="D252" s="227" t="str">
        <f>IFERROR(IF(VLOOKUP(A252,'Compartments_Kawecki&amp;Nowack19'!A:C,1,FALSE)=A252, "Kawecki","what?"),"Added/changed")</f>
        <v>Added/changed</v>
      </c>
      <c r="G252" s="318" t="str">
        <v>Manufacturing of clothing</v>
      </c>
      <c r="H252" s="318" t="str">
        <v>Clothing drying VTD</v>
      </c>
      <c r="I252" s="508" t="str">
        <v>Clean lint filter under running water</v>
      </c>
      <c r="J252" t="str">
        <v>Jackets and coats</v>
      </c>
    </row>
    <row r="253" spans="1:10" ht="15.75" thickBot="1">
      <c r="A253" s="628" t="str">
        <v>Import of yarn</v>
      </c>
      <c r="B253" s="315" t="str">
        <f>IFERROR(VLOOKUP(A253,'Compartments_Kawecki&amp;Nowack19'!A:C,2,FALSE), IFERROR(VLOOKUP(A253,Compartments_Added!A:C,2,FALSE), "Not found"))</f>
        <v>Flow</v>
      </c>
      <c r="C253" s="315" t="str">
        <f>IFERROR(VLOOKUP(A253,'Compartments_Kawecki&amp;Nowack19'!A:C,3,FALSE), IFERROR(VLOOKUP(A253,Compartments_Added!A:C,3,FALSE), "Not found"))</f>
        <v>ImportYarn</v>
      </c>
      <c r="D253" s="227" t="str">
        <f>IFERROR(IF(VLOOKUP(A253,'Compartments_Kawecki&amp;Nowack19'!A:C,1,FALSE)=A253, "Kawecki","what?"),"Added/changed")</f>
        <v>Added/changed</v>
      </c>
      <c r="G253" s="318" t="str">
        <v>Import of plastic sheets</v>
      </c>
      <c r="H253" s="318" t="str">
        <v>Clothing drying CHPTD</v>
      </c>
      <c r="I253" s="508" t="str">
        <v>Manufacturing of clothing</v>
      </c>
      <c r="J253" t="str">
        <v>Open-toed shoes</v>
      </c>
    </row>
    <row r="254" spans="1:10" ht="15.75" thickBot="1">
      <c r="A254" s="628" t="str">
        <v>Landfill</v>
      </c>
      <c r="B254" s="315" t="str">
        <f>IFERROR(VLOOKUP(A254,'Compartments_Kawecki&amp;Nowack19'!A:C,2,FALSE), IFERROR(VLOOKUP(A254,Compartments_Added!A:C,2,FALSE), "Not found"))</f>
        <v>Sink</v>
      </c>
      <c r="C254" s="315" t="str">
        <f>IFERROR(VLOOKUP(A254,'Compartments_Kawecki&amp;Nowack19'!A:C,3,FALSE), IFERROR(VLOOKUP(A254,Compartments_Added!A:C,3,FALSE), "Not found"))</f>
        <v>Landfill</v>
      </c>
      <c r="D254" s="227" t="str">
        <f>IFERROR(IF(VLOOKUP(A254,'Compartments_Kawecki&amp;Nowack19'!A:C,1,FALSE)=A254, "Kawecki","what?"),"Added/changed")</f>
        <v>Kawecki</v>
      </c>
      <c r="G254" s="318" t="str">
        <v>Import of yarn</v>
      </c>
      <c r="H254" s="318" t="str">
        <v>Clothing drying CHETD</v>
      </c>
      <c r="I254" s="508" t="str">
        <v>Import of plastic sheets</v>
      </c>
      <c r="J254" t="str">
        <v>Dresses skirts and jumpsuits</v>
      </c>
    </row>
    <row r="255" spans="1:10" ht="15.75" thickBot="1">
      <c r="A255" s="628" t="str">
        <v>Residential soil (macro)</v>
      </c>
      <c r="B255" s="315" t="str">
        <f>IFERROR(VLOOKUP(A255,'Compartments_Kawecki&amp;Nowack19'!A:C,2,FALSE), IFERROR(VLOOKUP(A255,Compartments_Added!A:C,2,FALSE), "Not found"))</f>
        <v>Sink</v>
      </c>
      <c r="C255" s="315" t="str">
        <f>IFERROR(VLOOKUP(A255,'Compartments_Kawecki&amp;Nowack19'!A:C,3,FALSE), IFERROR(VLOOKUP(A255,Compartments_Added!A:C,3,FALSE), "Not found"))</f>
        <v>UrbanSoilMacro</v>
      </c>
      <c r="D255" s="227" t="str">
        <f>IFERROR(IF(VLOOKUP(A255,'Compartments_Kawecki&amp;Nowack19'!A:C,1,FALSE)=A255, "Kawecki","what?"),"Added/changed")</f>
        <v>Kawecki</v>
      </c>
      <c r="G255" s="443"/>
      <c r="H255" s="318" t="str">
        <v>Clothing washer-dryer combo</v>
      </c>
      <c r="I255" s="508" t="str">
        <v>Import of yarn</v>
      </c>
      <c r="J255" t="str">
        <v>Leggings stockings tights and socks</v>
      </c>
    </row>
    <row r="256" spans="1:10" ht="15.75" thickBot="1">
      <c r="A256" s="628" t="str">
        <v>Agricultural soil (macro)</v>
      </c>
      <c r="B256" s="315" t="str">
        <f>IFERROR(VLOOKUP(A256,'Compartments_Kawecki&amp;Nowack19'!A:C,2,FALSE), IFERROR(VLOOKUP(A256,Compartments_Added!A:C,2,FALSE), "Not found"))</f>
        <v>Sink</v>
      </c>
      <c r="C256" s="315" t="str">
        <f>IFERROR(VLOOKUP(A256,'Compartments_Kawecki&amp;Nowack19'!A:C,3,FALSE), IFERROR(VLOOKUP(A256,Compartments_Added!A:C,3,FALSE), "Not found"))</f>
        <v>AgriculturalSoilMacro</v>
      </c>
      <c r="D256" s="227" t="str">
        <f>IFERROR(IF(VLOOKUP(A256,'Compartments_Kawecki&amp;Nowack19'!A:C,1,FALSE)=A256, "Kawecki","what?"),"Added/changed")</f>
        <v>Kawecki</v>
      </c>
      <c r="G256" s="443"/>
      <c r="H256" s="318" t="str">
        <v>Lint filter (VTD)</v>
      </c>
      <c r="I256" s="508" t="str">
        <v>Landfill</v>
      </c>
      <c r="J256" t="str">
        <v>Pants and shorts</v>
      </c>
    </row>
    <row r="257" spans="1:10" ht="15.75" thickBot="1">
      <c r="A257" s="628" t="str">
        <v>Agricultural soil (micro)</v>
      </c>
      <c r="B257" s="315" t="str">
        <f>IFERROR(VLOOKUP(A257,'Compartments_Kawecki&amp;Nowack19'!A:C,2,FALSE), IFERROR(VLOOKUP(A257,Compartments_Added!A:C,2,FALSE), "Not found"))</f>
        <v>Sink</v>
      </c>
      <c r="C257" s="315" t="str">
        <f>IFERROR(VLOOKUP(A257,'Compartments_Kawecki&amp;Nowack19'!A:C,3,FALSE), IFERROR(VLOOKUP(A257,Compartments_Added!A:C,3,FALSE), "Not found"))</f>
        <v>AgriculturalSoilMicro</v>
      </c>
      <c r="D257" s="227" t="str">
        <f>IFERROR(IF(VLOOKUP(A257,'Compartments_Kawecki&amp;Nowack19'!A:C,1,FALSE)=A257, "Kawecki","what?"),"Added/changed")</f>
        <v>Kawecki</v>
      </c>
      <c r="G257" s="443"/>
      <c r="H257" s="318" t="str">
        <v>Lint filter (CHPTD)</v>
      </c>
      <c r="I257" s="508" t="str">
        <v>Residential soil (macro)</v>
      </c>
      <c r="J257" t="str">
        <v>Shirts and blouses</v>
      </c>
    </row>
    <row r="258" spans="1:10" ht="15.75" thickBot="1">
      <c r="A258" s="628" t="str">
        <v>Sub-surface soil (micro)</v>
      </c>
      <c r="B258" s="315" t="str">
        <f>IFERROR(VLOOKUP(A258,'Compartments_Kawecki&amp;Nowack19'!A:C,2,FALSE), IFERROR(VLOOKUP(A258,Compartments_Added!A:C,2,FALSE), "Not found"))</f>
        <v>Sink</v>
      </c>
      <c r="C258" s="315" t="str">
        <f>IFERROR(VLOOKUP(A258,'Compartments_Kawecki&amp;Nowack19'!A:C,3,FALSE), IFERROR(VLOOKUP(A258,Compartments_Added!A:C,3,FALSE), "Not found"))</f>
        <v>DeepUrbanSoilMicro</v>
      </c>
      <c r="D258" s="227" t="str">
        <f>IFERROR(IF(VLOOKUP(A258,'Compartments_Kawecki&amp;Nowack19'!A:C,1,FALSE)=A258, "Kawecki","what?"),"Added/changed")</f>
        <v>Kawecki</v>
      </c>
      <c r="G258" s="443"/>
      <c r="H258" s="318" t="str">
        <v>Lint filter (CHETD)</v>
      </c>
      <c r="I258" s="508" t="str">
        <v>Agricultural soil (macro)</v>
      </c>
      <c r="J258" t="str">
        <v>Sweaters and midlayers</v>
      </c>
    </row>
    <row r="259" spans="1:10" ht="15.75" thickBot="1">
      <c r="A259" s="628" t="str">
        <v>Outdoor air (micro)</v>
      </c>
      <c r="B259" s="315" t="str">
        <f>IFERROR(VLOOKUP(A259,'Compartments_Kawecki&amp;Nowack19'!A:C,2,FALSE), IFERROR(VLOOKUP(A259,Compartments_Added!A:C,2,FALSE), "Not found"))</f>
        <v>Sink</v>
      </c>
      <c r="C259" s="315" t="str">
        <f>IFERROR(VLOOKUP(A259,'Compartments_Kawecki&amp;Nowack19'!A:C,3,FALSE), IFERROR(VLOOKUP(A259,Compartments_Added!A:C,3,FALSE), "Not found"))</f>
        <v>OutdoorAirMicro</v>
      </c>
      <c r="D259" s="227" t="str">
        <f>IFERROR(IF(VLOOKUP(A259,'Compartments_Kawecki&amp;Nowack19'!A:C,1,FALSE)=A259, "Kawecki","what?"),"Added/changed")</f>
        <v>Kawecki</v>
      </c>
      <c r="G259" s="443"/>
      <c r="H259" s="318" t="str">
        <v>Clean lint filter by hand</v>
      </c>
      <c r="I259" s="508" t="str">
        <v>Agricultural soil (micro)</v>
      </c>
      <c r="J259" t="str">
        <v>Swimwear</v>
      </c>
    </row>
    <row r="260" spans="1:10" ht="15.75" thickBot="1">
      <c r="A260" s="628" t="str">
        <v>Elimination</v>
      </c>
      <c r="B260" s="315" t="str">
        <f>IFERROR(VLOOKUP(A260,'Compartments_Kawecki&amp;Nowack19'!A:C,2,FALSE), IFERROR(VLOOKUP(A260,Compartments_Added!A:C,2,FALSE), "Not found"))</f>
        <v>Sink</v>
      </c>
      <c r="C260" s="315" t="str">
        <f>IFERROR(VLOOKUP(A260,'Compartments_Kawecki&amp;Nowack19'!A:C,3,FALSE), IFERROR(VLOOKUP(A260,Compartments_Added!A:C,3,FALSE), "Not found"))</f>
        <v>Elimination</v>
      </c>
      <c r="D260" s="227" t="str">
        <f>IFERROR(IF(VLOOKUP(A260,'Compartments_Kawecki&amp;Nowack19'!A:C,1,FALSE)=A260, "Kawecki","what?"),"Added/changed")</f>
        <v>Kawecki</v>
      </c>
      <c r="G260" s="443"/>
      <c r="H260" s="318" t="str">
        <v>Clean lint filter under running water</v>
      </c>
      <c r="I260" s="508" t="str">
        <v>Sub-surface soil (micro)</v>
      </c>
      <c r="J260" t="str">
        <v>T-shirts</v>
      </c>
    </row>
    <row r="261" spans="1:10" ht="15.75" thickBot="1">
      <c r="A261" s="628" t="str">
        <v>Export</v>
      </c>
      <c r="B261" s="315" t="str">
        <f>IFERROR(VLOOKUP(A261,'Compartments_Kawecki&amp;Nowack19'!A:C,2,FALSE), IFERROR(VLOOKUP(A261,Compartments_Added!A:C,2,FALSE), "Not found"))</f>
        <v>Sink</v>
      </c>
      <c r="C261" s="315" t="str">
        <f>IFERROR(VLOOKUP(A261,'Compartments_Kawecki&amp;Nowack19'!A:C,3,FALSE), IFERROR(VLOOKUP(A261,Compartments_Added!A:C,3,FALSE), "Not found"))</f>
        <v>Export</v>
      </c>
      <c r="D261" s="227" t="str">
        <f>IFERROR(IF(VLOOKUP(A261,'Compartments_Kawecki&amp;Nowack19'!A:C,1,FALSE)=A261, "Kawecki","what?"),"Added/changed")</f>
        <v>Kawecki</v>
      </c>
      <c r="G261" s="443"/>
      <c r="H261" s="318" t="str">
        <v>Manufacturing of clothing</v>
      </c>
      <c r="I261" s="508" t="str">
        <v>Outdoor air (micro)</v>
      </c>
      <c r="J261" t="str">
        <v>Underwear</v>
      </c>
    </row>
    <row r="262" spans="1:10" ht="15.75" thickBot="1">
      <c r="A262" s="628" t="str">
        <v>Secondary material reuse</v>
      </c>
      <c r="B262" s="315" t="str">
        <f>IFERROR(VLOOKUP(A262,'Compartments_Kawecki&amp;Nowack19'!A:C,2,FALSE), IFERROR(VLOOKUP(A262,Compartments_Added!A:C,2,FALSE), "Not found"))</f>
        <v>Sink</v>
      </c>
      <c r="C262" s="315" t="str">
        <f>IFERROR(VLOOKUP(A262,'Compartments_Kawecki&amp;Nowack19'!A:C,3,FALSE), IFERROR(VLOOKUP(A262,Compartments_Added!A:C,3,FALSE), "Not found"))</f>
        <v>MaterialReuse</v>
      </c>
      <c r="D262" s="227" t="str">
        <f>IFERROR(IF(VLOOKUP(A262,'Compartments_Kawecki&amp;Nowack19'!A:C,1,FALSE)=A262, "Kawecki","what?"),"Added/changed")</f>
        <v>Kawecki</v>
      </c>
      <c r="G262" s="443"/>
      <c r="H262" s="443"/>
      <c r="I262" s="440" t="str">
        <v>Elimination</v>
      </c>
      <c r="J262" t="str">
        <v>Clothing washing</v>
      </c>
    </row>
    <row r="263" spans="1:10" ht="15.75" thickBot="1">
      <c r="A263" s="628" t="str">
        <v>Residential soil (micro)</v>
      </c>
      <c r="B263" s="315" t="str">
        <f>IFERROR(VLOOKUP(A263,'Compartments_Kawecki&amp;Nowack19'!A:C,2,FALSE), IFERROR(VLOOKUP(A263,Compartments_Added!A:C,2,FALSE), "Not found"))</f>
        <v>Sink</v>
      </c>
      <c r="C263" s="315" t="str">
        <f>IFERROR(VLOOKUP(A263,'Compartments_Kawecki&amp;Nowack19'!A:C,3,FALSE), IFERROR(VLOOKUP(A263,Compartments_Added!A:C,3,FALSE), "Not found"))</f>
        <v>UrbanSoilMicro</v>
      </c>
      <c r="D263" s="227" t="str">
        <f>IFERROR(IF(VLOOKUP(A263,'Compartments_Kawecki&amp;Nowack19'!A:C,1,FALSE)=A263, "Kawecki","what?"),"Added/changed")</f>
        <v>Kawecki</v>
      </c>
      <c r="G263" s="443"/>
      <c r="H263" s="443"/>
      <c r="I263" s="440" t="str">
        <v>Export</v>
      </c>
      <c r="J263" t="str">
        <v>Clothing washing machine (with external filter)</v>
      </c>
    </row>
    <row r="264" spans="1:10" ht="15.75" thickBot="1">
      <c r="A264" s="628" t="str">
        <v>Surface water (micro)</v>
      </c>
      <c r="B264" s="315" t="str">
        <f>IFERROR(VLOOKUP(A264,'Compartments_Kawecki&amp;Nowack19'!A:C,2,FALSE), IFERROR(VLOOKUP(A264,Compartments_Added!A:C,2,FALSE), "Not found"))</f>
        <v>Sink</v>
      </c>
      <c r="C264" s="315" t="str">
        <f>IFERROR(VLOOKUP(A264,'Compartments_Kawecki&amp;Nowack19'!A:C,3,FALSE), IFERROR(VLOOKUP(A264,Compartments_Added!A:C,3,FALSE), "Not found"))</f>
        <v>SurfaceWaterMicro</v>
      </c>
      <c r="D264" s="227" t="str">
        <f>IFERROR(IF(VLOOKUP(A264,'Compartments_Kawecki&amp;Nowack19'!A:C,1,FALSE)=A264, "Kawecki","what?"),"Added/changed")</f>
        <v>Kawecki</v>
      </c>
      <c r="G264" s="443"/>
      <c r="H264" s="443"/>
      <c r="I264" s="440" t="str">
        <v>Secondary material reuse</v>
      </c>
      <c r="J264" t="str">
        <v>Clothing washing machine (without external filter)</v>
      </c>
    </row>
    <row r="265" spans="1:10" ht="15.75" thickBot="1">
      <c r="A265" s="628" t="str">
        <v>Plastic products</v>
      </c>
      <c r="B265" s="315" t="str">
        <f>IFERROR(VLOOKUP(A265,'Compartments_Kawecki&amp;Nowack19'!A:C,2,FALSE), IFERROR(VLOOKUP(A265,Compartments_Added!A:C,2,FALSE), "Not found"))</f>
        <v>Sink</v>
      </c>
      <c r="C265" s="315" t="str">
        <f>IFERROR(VLOOKUP(A265,'Compartments_Kawecki&amp;Nowack19'!A:C,3,FALSE), IFERROR(VLOOKUP(A265,Compartments_Added!A:C,3,FALSE), "Not found"))</f>
        <v>PlasticProduct</v>
      </c>
      <c r="D265" s="227" t="str">
        <f>IFERROR(IF(VLOOKUP(A265,'Compartments_Kawecki&amp;Nowack19'!A:C,1,FALSE)=A265, "Kawecki","what?"),"Added/changed")</f>
        <v>Added/changed</v>
      </c>
      <c r="G265" s="443"/>
      <c r="H265" s="443"/>
      <c r="I265" s="440" t="str">
        <v>Residential soil (micro)</v>
      </c>
      <c r="J265" t="str">
        <v>Clothing washing by hand</v>
      </c>
    </row>
    <row r="266" spans="1:10" ht="15.75" thickBot="1">
      <c r="A266" s="628" t="str">
        <v>Surface water (macro)</v>
      </c>
      <c r="B266" s="315" t="str">
        <f>IFERROR(VLOOKUP(A266,'Compartments_Kawecki&amp;Nowack19'!A:C,2,FALSE), IFERROR(VLOOKUP(A266,Compartments_Added!A:C,2,FALSE), "Not found"))</f>
        <v>Sink</v>
      </c>
      <c r="C266" s="315" t="str">
        <f>IFERROR(VLOOKUP(A266,'Compartments_Kawecki&amp;Nowack19'!A:C,3,FALSE), IFERROR(VLOOKUP(A266,Compartments_Added!A:C,3,FALSE), "Not found"))</f>
        <v>SurfaceWaterMacro</v>
      </c>
      <c r="D266" s="227" t="str">
        <f>IFERROR(IF(VLOOKUP(A266,'Compartments_Kawecki&amp;Nowack19'!A:C,1,FALSE)=A266, "Kawecki","what?"),"Added/changed")</f>
        <v>Kawecki</v>
      </c>
      <c r="G266" s="443"/>
      <c r="H266" s="443"/>
      <c r="I266" s="440" t="str">
        <v>Surface water (micro)</v>
      </c>
      <c r="J266" t="str">
        <v>Clothing wearing</v>
      </c>
    </row>
    <row r="267" spans="1:10" ht="15.75" thickBot="1">
      <c r="A267" s="628" t="str">
        <v>Export of primary plastics</v>
      </c>
      <c r="B267" s="315" t="str">
        <f>IFERROR(VLOOKUP(A267,'Compartments_Kawecki&amp;Nowack19'!A:C,2,FALSE), IFERROR(VLOOKUP(A267,Compartments_Added!A:C,2,FALSE), "Not found"))</f>
        <v>Sink</v>
      </c>
      <c r="C267" s="315" t="str">
        <f>IFERROR(VLOOKUP(A267,'Compartments_Kawecki&amp;Nowack19'!A:C,3,FALSE), IFERROR(VLOOKUP(A267,Compartments_Added!A:C,3,FALSE), "Not found"))</f>
        <v>ExportPrimPlastics</v>
      </c>
      <c r="D267" s="227" t="str">
        <f>IFERROR(IF(VLOOKUP(A267,'Compartments_Kawecki&amp;Nowack19'!A:C,1,FALSE)=A267, "Kawecki","what?"),"Added/changed")</f>
        <v>Added/changed</v>
      </c>
      <c r="G267" s="443"/>
      <c r="H267" s="443"/>
      <c r="I267" s="440" t="str">
        <v>Plastic products</v>
      </c>
      <c r="J267" t="str">
        <v>Clothing drying</v>
      </c>
    </row>
    <row r="268" spans="1:10" ht="15.75" thickBot="1">
      <c r="A268" s="628" t="str">
        <v>Natural soil (macro)</v>
      </c>
      <c r="B268" s="315" t="str">
        <f>IFERROR(VLOOKUP(A268,'Compartments_Kawecki&amp;Nowack19'!A:C,2,FALSE), IFERROR(VLOOKUP(A268,Compartments_Added!A:C,2,FALSE), "Not found"))</f>
        <v>Sink</v>
      </c>
      <c r="C268" s="315" t="str">
        <f>IFERROR(VLOOKUP(A268,'Compartments_Kawecki&amp;Nowack19'!A:C,3,FALSE), IFERROR(VLOOKUP(A268,Compartments_Added!A:C,3,FALSE), "Not found"))</f>
        <v>RuralSoilMacro</v>
      </c>
      <c r="D268" s="227" t="str">
        <f>IFERROR(IF(VLOOKUP(A268,'Compartments_Kawecki&amp;Nowack19'!A:C,1,FALSE)=A268, "Kawecki","what?"),"Added/changed")</f>
        <v>Kawecki</v>
      </c>
      <c r="G268" s="443"/>
      <c r="H268" s="443"/>
      <c r="I268" s="440" t="str">
        <v>Surface water (macro)</v>
      </c>
      <c r="J268" t="str">
        <v>Clothing indoor drying</v>
      </c>
    </row>
    <row r="269" spans="1:10" ht="15.75" thickBot="1">
      <c r="A269" s="628" t="str">
        <v>Natural soil (micro)</v>
      </c>
      <c r="B269" s="315" t="str">
        <f>IFERROR(VLOOKUP(A269,'Compartments_Kawecki&amp;Nowack19'!A:C,2,FALSE), IFERROR(VLOOKUP(A269,Compartments_Added!A:C,2,FALSE), "Not found"))</f>
        <v>Sink</v>
      </c>
      <c r="C269" s="315" t="str">
        <f>IFERROR(VLOOKUP(A269,'Compartments_Kawecki&amp;Nowack19'!A:C,3,FALSE), IFERROR(VLOOKUP(A269,Compartments_Added!A:C,3,FALSE), "Not found"))</f>
        <v>RuralSoilMicro</v>
      </c>
      <c r="D269" s="227" t="str">
        <f>IFERROR(IF(VLOOKUP(A269,'Compartments_Kawecki&amp;Nowack19'!A:C,1,FALSE)=A269, "Kawecki","what?"),"Added/changed")</f>
        <v>Kawecki</v>
      </c>
      <c r="G269" s="443"/>
      <c r="H269" s="443"/>
      <c r="I269" s="440" t="str">
        <v>Export of primary plastics</v>
      </c>
      <c r="J269" t="str">
        <v>Clothing outdoor drying</v>
      </c>
    </row>
    <row r="270" spans="1:10" ht="15.75" thickBot="1">
      <c r="A270" s="628" t="str">
        <v>Road side soil (micro)</v>
      </c>
      <c r="B270" s="315" t="str">
        <f>IFERROR(VLOOKUP(A270,'Compartments_Kawecki&amp;Nowack19'!A:C,2,FALSE), IFERROR(VLOOKUP(A270,Compartments_Added!A:C,2,FALSE), "Not found"))</f>
        <v>Sink</v>
      </c>
      <c r="C270" s="315" t="str">
        <f>IFERROR(VLOOKUP(A270,'Compartments_Kawecki&amp;Nowack19'!A:C,3,FALSE), IFERROR(VLOOKUP(A270,Compartments_Added!A:C,3,FALSE), "Not found"))</f>
        <v>RoadSideSoilMicro</v>
      </c>
      <c r="D270" s="227" t="str">
        <f>IFERROR(IF(VLOOKUP(A270,'Compartments_Kawecki&amp;Nowack19'!A:C,1,FALSE)=A270, "Kawecki","what?"),"Added/changed")</f>
        <v>Added/changed</v>
      </c>
      <c r="G270" s="443"/>
      <c r="H270" s="443"/>
      <c r="I270" s="440" t="str">
        <v>Natural soil (macro)</v>
      </c>
      <c r="J270" t="str">
        <v>Clothing drying VTD</v>
      </c>
    </row>
    <row r="271" spans="1:10" ht="15.75" thickBot="1">
      <c r="A271" s="628" t="str">
        <v>Road side soil (macro)</v>
      </c>
      <c r="B271" s="315" t="str">
        <f>IFERROR(VLOOKUP(A271,'Compartments_Kawecki&amp;Nowack19'!A:C,2,FALSE), IFERROR(VLOOKUP(A271,Compartments_Added!A:C,2,FALSE), "Not found"))</f>
        <v>Sink</v>
      </c>
      <c r="C271" s="315" t="str">
        <f>IFERROR(VLOOKUP(A271,'Compartments_Kawecki&amp;Nowack19'!A:C,3,FALSE), IFERROR(VLOOKUP(A271,Compartments_Added!A:C,3,FALSE), "Not found"))</f>
        <v>RoadSideMacro</v>
      </c>
      <c r="D271" s="227" t="str">
        <f>IFERROR(IF(VLOOKUP(A271,'Compartments_Kawecki&amp;Nowack19'!A:C,1,FALSE)=A271, "Kawecki","what?"),"Added/changed")</f>
        <v>Kawecki</v>
      </c>
      <c r="G271" s="443"/>
      <c r="H271" s="443"/>
      <c r="I271" s="440" t="str">
        <v>Natural soil (micro)</v>
      </c>
      <c r="J271" t="str">
        <v>Clothing drying CHPTD</v>
      </c>
    </row>
    <row r="272" spans="1:10" ht="15.75" thickBot="1">
      <c r="A272" s="628" t="str">
        <v>Textile reuse</v>
      </c>
      <c r="B272" s="315" t="str">
        <f>IFERROR(VLOOKUP(A272,'Compartments_Kawecki&amp;Nowack19'!A:C,2,FALSE), IFERROR(VLOOKUP(A272,Compartments_Added!A:C,2,FALSE), "Not found"))</f>
        <v>Sink</v>
      </c>
      <c r="C272" s="315" t="str">
        <f>IFERROR(VLOOKUP(A272,'Compartments_Kawecki&amp;Nowack19'!A:C,3,FALSE), IFERROR(VLOOKUP(A272,Compartments_Added!A:C,3,FALSE), "Not found"))</f>
        <v>TextileReuse</v>
      </c>
      <c r="D272" s="227" t="str">
        <f>IFERROR(IF(VLOOKUP(A272,'Compartments_Kawecki&amp;Nowack19'!A:C,1,FALSE)=A272, "Kawecki","what?"),"Added/changed")</f>
        <v>Kawecki</v>
      </c>
      <c r="G272" s="443"/>
      <c r="H272" s="443"/>
      <c r="I272" s="440" t="str">
        <v>Road side soil (micro)</v>
      </c>
      <c r="J272" t="str">
        <v>Clothing drying CHETD</v>
      </c>
    </row>
    <row r="273" spans="1:10" ht="15.75" thickBot="1">
      <c r="A273" s="628" t="str">
        <v>Sea water (micro)</v>
      </c>
      <c r="B273" s="315" t="str">
        <f>IFERROR(VLOOKUP(A273,'Compartments_Kawecki&amp;Nowack19'!A:C,2,FALSE), IFERROR(VLOOKUP(A273,Compartments_Added!A:C,2,FALSE), "Not found"))</f>
        <v>Sink</v>
      </c>
      <c r="C273" s="315" t="str">
        <f>IFERROR(VLOOKUP(A273,'Compartments_Kawecki&amp;Nowack19'!A:C,3,FALSE), IFERROR(VLOOKUP(A273,Compartments_Added!A:C,3,FALSE), "Not found"))</f>
        <v>SeaWaterMicro</v>
      </c>
      <c r="D273" s="227" t="str">
        <f>IFERROR(IF(VLOOKUP(A273,'Compartments_Kawecki&amp;Nowack19'!A:C,1,FALSE)=A273, "Kawecki","what?"),"Added/changed")</f>
        <v>Added/changed</v>
      </c>
      <c r="G273" s="443"/>
      <c r="H273" s="443"/>
      <c r="I273" s="440" t="str">
        <v>Road side soil (macro)</v>
      </c>
      <c r="J273" t="str">
        <v>Clothing washer-dryer combo</v>
      </c>
    </row>
    <row r="274" spans="1:10" ht="15.75" thickBot="1">
      <c r="A274" s="628"/>
      <c r="B274" s="315" t="str">
        <f>IFERROR(VLOOKUP(A274,'Compartments_Kawecki&amp;Nowack19'!A:C,2,FALSE), IFERROR(VLOOKUP(A274,Compartments_Added!A:C,2,FALSE), "Not found"))</f>
        <v>Not found</v>
      </c>
      <c r="C274" s="315" t="str">
        <f>IFERROR(VLOOKUP(A274,'Compartments_Kawecki&amp;Nowack19'!A:C,3,FALSE), IFERROR(VLOOKUP(A274,Compartments_Added!A:C,3,FALSE), "Not found"))</f>
        <v>Not found</v>
      </c>
      <c r="D274" s="227" t="str">
        <f>IFERROR(IF(VLOOKUP(A274,'Compartments_Kawecki&amp;Nowack19'!A:C,1,FALSE)=A274, "Kawecki","what?"),"Added/changed")</f>
        <v>Added/changed</v>
      </c>
      <c r="G274" s="443"/>
      <c r="H274" s="443"/>
      <c r="I274" s="440" t="str">
        <v>Textile reuse</v>
      </c>
      <c r="J274" t="str">
        <v>Lint filter (VTD)</v>
      </c>
    </row>
    <row r="275" spans="1:10" ht="15.75" thickBot="1">
      <c r="A275" s="628"/>
      <c r="B275" s="315" t="str">
        <f>IFERROR(VLOOKUP(A275,'Compartments_Kawecki&amp;Nowack19'!A:C,2,FALSE), IFERROR(VLOOKUP(A275,Compartments_Added!A:C,2,FALSE), "Not found"))</f>
        <v>Not found</v>
      </c>
      <c r="C275" s="315" t="str">
        <f>IFERROR(VLOOKUP(A275,'Compartments_Kawecki&amp;Nowack19'!A:C,3,FALSE), IFERROR(VLOOKUP(A275,Compartments_Added!A:C,3,FALSE), "Not found"))</f>
        <v>Not found</v>
      </c>
      <c r="D275" s="227" t="str">
        <f>IFERROR(IF(VLOOKUP(A275,'Compartments_Kawecki&amp;Nowack19'!A:C,1,FALSE)=A275, "Kawecki","what?"),"Added/changed")</f>
        <v>Added/changed</v>
      </c>
      <c r="G275" s="443"/>
      <c r="H275" s="443"/>
      <c r="I275" s="440" t="str">
        <v>Sea water (micro)</v>
      </c>
      <c r="J275" t="str">
        <v>Lint filter (CHPTD)</v>
      </c>
    </row>
    <row r="276" spans="1:10" ht="15.75" thickBot="1">
      <c r="A276" s="628"/>
      <c r="B276" s="315" t="str">
        <f>IFERROR(VLOOKUP(A276,'Compartments_Kawecki&amp;Nowack19'!A:C,2,FALSE), IFERROR(VLOOKUP(A276,Compartments_Added!A:C,2,FALSE), "Not found"))</f>
        <v>Not found</v>
      </c>
      <c r="C276" s="315" t="str">
        <f>IFERROR(VLOOKUP(A276,'Compartments_Kawecki&amp;Nowack19'!A:C,3,FALSE), IFERROR(VLOOKUP(A276,Compartments_Added!A:C,3,FALSE), "Not found"))</f>
        <v>Not found</v>
      </c>
      <c r="D276" s="227" t="str">
        <f>IFERROR(IF(VLOOKUP(A276,'Compartments_Kawecki&amp;Nowack19'!A:C,1,FALSE)=A276, "Kawecki","what?"),"Added/changed")</f>
        <v>Added/changed</v>
      </c>
      <c r="G276" s="443"/>
      <c r="H276" s="443"/>
      <c r="I276" s="440">
        <v>0</v>
      </c>
      <c r="J276" t="str">
        <v>Lint filter (CHETD)</v>
      </c>
    </row>
    <row r="277" spans="1:10" ht="15.75" thickBot="1">
      <c r="A277" s="628"/>
      <c r="B277" s="315" t="str">
        <f>IFERROR(VLOOKUP(A277,'Compartments_Kawecki&amp;Nowack19'!A:C,2,FALSE), IFERROR(VLOOKUP(A277,Compartments_Added!A:C,2,FALSE), "Not found"))</f>
        <v>Not found</v>
      </c>
      <c r="C277" s="315" t="str">
        <f>IFERROR(VLOOKUP(A277,'Compartments_Kawecki&amp;Nowack19'!A:C,3,FALSE), IFERROR(VLOOKUP(A277,Compartments_Added!A:C,3,FALSE), "Not found"))</f>
        <v>Not found</v>
      </c>
      <c r="D277" s="227" t="str">
        <f>IFERROR(IF(VLOOKUP(A277,'Compartments_Kawecki&amp;Nowack19'!A:C,1,FALSE)=A277, "Kawecki","what?"),"Added/changed")</f>
        <v>Added/changed</v>
      </c>
      <c r="G277" s="443"/>
      <c r="H277" s="443"/>
      <c r="I277" s="440"/>
      <c r="J277" t="str">
        <v>Clean lint filter by hand</v>
      </c>
    </row>
    <row r="278" spans="1:10" ht="15.75" thickBot="1">
      <c r="A278" s="628"/>
      <c r="B278" s="315" t="str">
        <f>IFERROR(VLOOKUP(A278,'Compartments_Kawecki&amp;Nowack19'!A:C,2,FALSE), IFERROR(VLOOKUP(A278,Compartments_Added!A:C,2,FALSE), "Not found"))</f>
        <v>Not found</v>
      </c>
      <c r="C278" s="315" t="str">
        <f>IFERROR(VLOOKUP(A278,'Compartments_Kawecki&amp;Nowack19'!A:C,3,FALSE), IFERROR(VLOOKUP(A278,Compartments_Added!A:C,3,FALSE), "Not found"))</f>
        <v>Not found</v>
      </c>
      <c r="D278" s="227" t="str">
        <f>IFERROR(IF(VLOOKUP(A278,'Compartments_Kawecki&amp;Nowack19'!A:C,1,FALSE)=A278, "Kawecki","what?"),"Added/changed")</f>
        <v>Added/changed</v>
      </c>
      <c r="G278" s="443"/>
      <c r="H278" s="443"/>
      <c r="I278" s="440"/>
      <c r="J278" t="str">
        <v>Clean lint filter under running water</v>
      </c>
    </row>
    <row r="279" spans="1:10" ht="15.75" thickBot="1">
      <c r="A279" s="628"/>
      <c r="B279" s="315" t="str">
        <f>IFERROR(VLOOKUP(A279,'Compartments_Kawecki&amp;Nowack19'!A:C,2,FALSE), IFERROR(VLOOKUP(A279,Compartments_Added!A:C,2,FALSE), "Not found"))</f>
        <v>Not found</v>
      </c>
      <c r="C279" s="315" t="str">
        <f>IFERROR(VLOOKUP(A279,'Compartments_Kawecki&amp;Nowack19'!A:C,3,FALSE), IFERROR(VLOOKUP(A279,Compartments_Added!A:C,3,FALSE), "Not found"))</f>
        <v>Not found</v>
      </c>
      <c r="D279" s="227" t="str">
        <f>IFERROR(IF(VLOOKUP(A279,'Compartments_Kawecki&amp;Nowack19'!A:C,1,FALSE)=A279, "Kawecki","what?"),"Added/changed")</f>
        <v>Added/changed</v>
      </c>
      <c r="G279" s="443"/>
      <c r="H279" s="443"/>
      <c r="I279" s="440"/>
      <c r="J279" t="str">
        <v>Import of clothing (Global)</v>
      </c>
    </row>
    <row r="280" spans="1:10" ht="15.75" thickBot="1">
      <c r="A280"/>
      <c r="G280" s="443"/>
      <c r="H280" s="443"/>
      <c r="I280" s="440"/>
      <c r="J280" t="str">
        <v>Manufacturing of clothing</v>
      </c>
    </row>
    <row r="281" spans="1:10" ht="15.75" thickBot="1">
      <c r="A281"/>
      <c r="G281" s="443"/>
      <c r="H281" s="443"/>
      <c r="I281" s="440"/>
      <c r="J281" t="str">
        <v>Import of plastic sheets</v>
      </c>
    </row>
    <row r="282" spans="1:10" ht="15.75" thickBot="1">
      <c r="G282" s="443"/>
      <c r="H282" s="443"/>
      <c r="I282" s="440"/>
      <c r="J282" t="str">
        <v>Import of yarn</v>
      </c>
    </row>
    <row r="283" spans="1:10" ht="15.75" thickBot="1">
      <c r="G283" s="443"/>
      <c r="H283" s="443"/>
      <c r="I283" s="440"/>
      <c r="J283">
        <v>0</v>
      </c>
    </row>
    <row r="284" spans="1:10" ht="15.75" thickBot="1">
      <c r="G284" s="443"/>
      <c r="H284" s="443"/>
      <c r="I284" s="440"/>
      <c r="J284">
        <v>0</v>
      </c>
    </row>
    <row r="285" spans="1:10" ht="15.75" thickBot="1">
      <c r="G285" s="443"/>
      <c r="H285" s="443"/>
      <c r="I285" s="440"/>
      <c r="J285">
        <v>0</v>
      </c>
    </row>
    <row r="286" spans="1:10" ht="15.75" thickBot="1">
      <c r="G286" s="443"/>
      <c r="H286" s="443"/>
      <c r="I286" s="440"/>
      <c r="J286">
        <v>0</v>
      </c>
    </row>
    <row r="287" spans="1:10" ht="15.75" thickBot="1">
      <c r="G287" s="443"/>
      <c r="H287" s="443"/>
      <c r="I287" s="440"/>
      <c r="J287">
        <v>0</v>
      </c>
    </row>
    <row r="288" spans="1:10" ht="15.75" thickBot="1">
      <c r="G288" s="443"/>
      <c r="H288" s="443"/>
      <c r="I288" s="440"/>
      <c r="J288">
        <v>0</v>
      </c>
    </row>
    <row r="289" spans="7:10" ht="15.75" thickBot="1">
      <c r="G289" s="443"/>
      <c r="H289" s="443"/>
      <c r="I289" s="440"/>
      <c r="J289">
        <v>0</v>
      </c>
    </row>
    <row r="290" spans="7:10" ht="15.75" thickBot="1">
      <c r="G290" s="443"/>
      <c r="H290" s="443"/>
      <c r="I290" s="440"/>
      <c r="J290">
        <v>0</v>
      </c>
    </row>
    <row r="291" spans="7:10" ht="15.75" thickBot="1">
      <c r="G291" s="443"/>
      <c r="H291" s="443"/>
      <c r="I291" s="440"/>
      <c r="J291">
        <v>0</v>
      </c>
    </row>
    <row r="292" spans="7:10" ht="15.75" thickBot="1">
      <c r="G292" s="443"/>
      <c r="H292" s="443"/>
      <c r="I292" s="440"/>
      <c r="J292">
        <v>0</v>
      </c>
    </row>
    <row r="293" spans="7:10" ht="15.75" thickBot="1">
      <c r="G293" s="443"/>
      <c r="H293" s="443"/>
      <c r="I293" s="440"/>
      <c r="J293">
        <v>0</v>
      </c>
    </row>
    <row r="294" spans="7:10" ht="15.75" thickBot="1">
      <c r="G294" s="443"/>
      <c r="H294" s="443"/>
      <c r="I294" s="440"/>
      <c r="J294">
        <v>0</v>
      </c>
    </row>
    <row r="295" spans="7:10" ht="15.75" thickBot="1">
      <c r="G295" s="443"/>
      <c r="H295" s="443"/>
      <c r="I295" s="440"/>
      <c r="J295">
        <v>0</v>
      </c>
    </row>
    <row r="296" spans="7:10" ht="15.75" thickBot="1">
      <c r="G296" s="443"/>
      <c r="H296" s="443"/>
      <c r="I296" s="440"/>
      <c r="J296">
        <v>0</v>
      </c>
    </row>
    <row r="297" spans="7:10" ht="15.75" thickBot="1">
      <c r="G297" s="443"/>
      <c r="H297" s="443"/>
      <c r="I297" s="440"/>
      <c r="J297">
        <v>0</v>
      </c>
    </row>
    <row r="298" spans="7:10" ht="15.75" thickBot="1">
      <c r="G298" s="443"/>
      <c r="H298" s="443"/>
      <c r="I298" s="440"/>
      <c r="J298">
        <v>0</v>
      </c>
    </row>
    <row r="299" spans="7:10" ht="15.75" thickBot="1">
      <c r="G299" s="443"/>
      <c r="H299" s="443"/>
      <c r="I299" s="440"/>
      <c r="J299">
        <v>0</v>
      </c>
    </row>
    <row r="300" spans="7:10" ht="15.75" thickBot="1">
      <c r="G300" s="443"/>
      <c r="H300" s="443"/>
      <c r="I300" s="440"/>
      <c r="J300">
        <v>0</v>
      </c>
    </row>
    <row r="301" spans="7:10" ht="15.75" thickBot="1">
      <c r="G301" s="443"/>
      <c r="H301" s="443"/>
      <c r="I301" s="440"/>
      <c r="J301">
        <v>0</v>
      </c>
    </row>
    <row r="302" spans="7:10" ht="15.75" thickBot="1">
      <c r="G302" s="443"/>
      <c r="H302" s="443"/>
      <c r="I302" s="440"/>
      <c r="J302">
        <v>0</v>
      </c>
    </row>
    <row r="303" spans="7:10" ht="15.75" thickBot="1">
      <c r="G303" s="443"/>
      <c r="H303" s="443"/>
      <c r="I303" s="440"/>
      <c r="J303">
        <v>0</v>
      </c>
    </row>
    <row r="304" spans="7:10" ht="15.75" thickBot="1">
      <c r="G304" s="443"/>
      <c r="H304" s="443"/>
      <c r="I304" s="440"/>
      <c r="J304">
        <v>0</v>
      </c>
    </row>
    <row r="305" spans="7:10" ht="15.75" thickBot="1">
      <c r="G305" s="443"/>
      <c r="H305" s="443"/>
      <c r="I305" s="440"/>
      <c r="J305">
        <v>0</v>
      </c>
    </row>
    <row r="306" spans="7:10" ht="15.75" thickBot="1">
      <c r="G306" s="443"/>
      <c r="H306" s="443"/>
      <c r="I306" s="440"/>
      <c r="J306">
        <v>0</v>
      </c>
    </row>
    <row r="307" spans="7:10" ht="15.75" thickBot="1">
      <c r="G307" s="443"/>
      <c r="H307" s="443"/>
      <c r="I307" s="440"/>
      <c r="J307">
        <v>0</v>
      </c>
    </row>
    <row r="308" spans="7:10" ht="15.75" thickBot="1">
      <c r="G308" s="443"/>
      <c r="H308" s="443"/>
      <c r="I308" s="440"/>
      <c r="J308">
        <v>0</v>
      </c>
    </row>
    <row r="309" spans="7:10" ht="15.75" thickBot="1">
      <c r="G309" s="443"/>
      <c r="H309" s="443"/>
      <c r="I309" s="440"/>
      <c r="J309">
        <v>0</v>
      </c>
    </row>
    <row r="310" spans="7:10" ht="15.75" thickBot="1">
      <c r="G310" s="443"/>
      <c r="H310" s="443"/>
      <c r="I310" s="440"/>
      <c r="J310">
        <v>0</v>
      </c>
    </row>
    <row r="311" spans="7:10" ht="15.75" thickBot="1">
      <c r="G311" s="443"/>
      <c r="H311" s="443"/>
      <c r="I311" s="440"/>
      <c r="J311">
        <v>0</v>
      </c>
    </row>
    <row r="312" spans="7:10" ht="15.75" thickBot="1">
      <c r="G312" s="443"/>
      <c r="H312" s="443"/>
      <c r="I312" s="440"/>
      <c r="J312">
        <v>0</v>
      </c>
    </row>
    <row r="313" spans="7:10" ht="15.75" thickBot="1">
      <c r="G313" s="443"/>
      <c r="H313" s="443"/>
      <c r="I313" s="440"/>
      <c r="J313">
        <v>0</v>
      </c>
    </row>
    <row r="314" spans="7:10" ht="15.75" thickBot="1">
      <c r="G314" s="443"/>
      <c r="H314" s="443"/>
      <c r="I314" s="440"/>
      <c r="J314">
        <v>0</v>
      </c>
    </row>
    <row r="315" spans="7:10" ht="15.75" thickBot="1">
      <c r="G315" s="443"/>
      <c r="H315" s="443"/>
      <c r="I315" s="440"/>
      <c r="J315">
        <v>0</v>
      </c>
    </row>
    <row r="316" spans="7:10" ht="15.75" thickBot="1">
      <c r="G316" s="443"/>
      <c r="H316" s="443"/>
      <c r="I316" s="440"/>
      <c r="J316">
        <v>0</v>
      </c>
    </row>
    <row r="317" spans="7:10" ht="15.75" thickBot="1">
      <c r="G317" s="443"/>
      <c r="H317" s="443"/>
      <c r="I317" s="440"/>
      <c r="J317">
        <v>0</v>
      </c>
    </row>
    <row r="318" spans="7:10" ht="15.75" thickBot="1">
      <c r="G318" s="443"/>
      <c r="H318" s="443"/>
      <c r="I318" s="440"/>
      <c r="J318">
        <v>0</v>
      </c>
    </row>
    <row r="319" spans="7:10" ht="15.75" thickBot="1">
      <c r="G319" s="443"/>
      <c r="H319" s="443"/>
      <c r="I319" s="440"/>
      <c r="J319">
        <v>0</v>
      </c>
    </row>
    <row r="320" spans="7:10" ht="15.75" thickBot="1">
      <c r="G320" s="443"/>
      <c r="H320" s="443"/>
      <c r="I320" s="440"/>
      <c r="J320">
        <v>0</v>
      </c>
    </row>
    <row r="321" spans="7:10" ht="15.75" thickBot="1">
      <c r="G321" s="443"/>
      <c r="H321" s="443"/>
      <c r="I321" s="440"/>
      <c r="J321">
        <v>0</v>
      </c>
    </row>
    <row r="322" spans="7:10" ht="15.75" thickBot="1">
      <c r="G322" s="443"/>
      <c r="H322" s="443"/>
      <c r="I322" s="440"/>
      <c r="J322">
        <v>0</v>
      </c>
    </row>
    <row r="323" spans="7:10" ht="15.75" thickBot="1">
      <c r="G323" s="443"/>
      <c r="H323" s="443"/>
      <c r="I323" s="440"/>
      <c r="J323">
        <v>0</v>
      </c>
    </row>
    <row r="324" spans="7:10" ht="15.75" thickBot="1">
      <c r="G324" s="443"/>
      <c r="H324" s="443"/>
      <c r="I324" s="440"/>
      <c r="J324">
        <v>0</v>
      </c>
    </row>
    <row r="325" spans="7:10" ht="15.75" thickBot="1">
      <c r="G325" s="443"/>
      <c r="H325" s="443"/>
      <c r="I325" s="440"/>
      <c r="J325">
        <v>0</v>
      </c>
    </row>
    <row r="326" spans="7:10" ht="15.75" thickBot="1">
      <c r="G326" s="443"/>
      <c r="H326" s="443"/>
      <c r="I326" s="440"/>
      <c r="J326">
        <v>0</v>
      </c>
    </row>
    <row r="327" spans="7:10" ht="15.75" thickBot="1">
      <c r="G327" s="443"/>
      <c r="H327" s="443"/>
      <c r="I327" s="440"/>
      <c r="J327">
        <v>0</v>
      </c>
    </row>
    <row r="328" spans="7:10" ht="15.75" thickBot="1">
      <c r="G328" s="443"/>
      <c r="H328" s="443"/>
      <c r="I328" s="440"/>
      <c r="J328">
        <v>0</v>
      </c>
    </row>
    <row r="329" spans="7:10" ht="15.75" thickBot="1">
      <c r="G329" s="443"/>
      <c r="H329" s="443"/>
      <c r="I329" s="440"/>
      <c r="J329" t="str">
        <v>Agricultural greenhouse films (discarded)</v>
      </c>
    </row>
    <row r="330" spans="7:10" ht="15.75" thickBot="1">
      <c r="G330" s="443"/>
      <c r="H330" s="443"/>
      <c r="I330" s="440"/>
      <c r="J330" t="str">
        <v>Agricultural greenhouse films (in use)</v>
      </c>
    </row>
    <row r="331" spans="7:10" ht="15.75" thickBot="1">
      <c r="G331" s="443"/>
      <c r="H331" s="443"/>
      <c r="I331" s="440"/>
      <c r="J331" t="str">
        <v>Agricultural mulching films</v>
      </c>
    </row>
    <row r="332" spans="7:10" ht="15.75" thickBot="1">
      <c r="G332" s="443"/>
      <c r="H332" s="443"/>
      <c r="I332" s="440"/>
      <c r="J332" t="str">
        <v>Agricultural other</v>
      </c>
    </row>
    <row r="333" spans="7:10" ht="15.75" thickBot="1">
      <c r="G333" s="443"/>
      <c r="H333" s="443"/>
      <c r="I333" s="440"/>
      <c r="J333" t="str">
        <v>Agricultural packaging bottles</v>
      </c>
    </row>
    <row r="334" spans="7:10" ht="15.75" thickBot="1">
      <c r="G334" s="443"/>
      <c r="H334" s="443"/>
      <c r="I334" s="440"/>
      <c r="J334" t="str">
        <v>Agricultural packaging films</v>
      </c>
    </row>
    <row r="335" spans="7:10" ht="15.75" thickBot="1">
      <c r="G335" s="443"/>
      <c r="H335" s="443"/>
      <c r="I335" s="440"/>
      <c r="J335" t="str">
        <v>Agricultural pipes (discarded)</v>
      </c>
    </row>
    <row r="336" spans="7:10" ht="15.75" thickBot="1">
      <c r="G336" s="443"/>
      <c r="H336" s="443"/>
      <c r="I336" s="440"/>
      <c r="J336" t="str">
        <v>Agricultural pipes (in use)</v>
      </c>
    </row>
    <row r="337" spans="7:10" ht="15.75" thickBot="1">
      <c r="G337" s="443"/>
      <c r="H337" s="443"/>
      <c r="I337" s="440"/>
      <c r="J337" t="str">
        <v>Agricultural plastic recycling</v>
      </c>
    </row>
    <row r="338" spans="7:10" ht="15.75" thickBot="1">
      <c r="G338" s="443"/>
      <c r="H338" s="443"/>
      <c r="I338" s="440"/>
      <c r="J338" t="str">
        <v>Incineration</v>
      </c>
    </row>
    <row r="339" spans="7:10" ht="15.75" thickBot="1">
      <c r="G339" s="443"/>
      <c r="H339" s="443"/>
      <c r="I339" s="440"/>
      <c r="J339" t="str">
        <v>Landfill</v>
      </c>
    </row>
    <row r="340" spans="7:10" ht="15.75" thickBot="1">
      <c r="G340" s="443"/>
      <c r="H340" s="443"/>
      <c r="I340" s="440"/>
      <c r="J340" t="str">
        <v>Residential soil (macro)</v>
      </c>
    </row>
    <row r="341" spans="7:10" ht="15.75" thickBot="1">
      <c r="G341" s="443"/>
      <c r="H341" s="443"/>
      <c r="I341" s="440"/>
      <c r="J341" t="str">
        <v>Agricultural soil (macro)</v>
      </c>
    </row>
    <row r="342" spans="7:10" ht="15.75" thickBot="1">
      <c r="G342" s="443"/>
      <c r="H342" s="443"/>
      <c r="I342" s="440"/>
      <c r="J342" t="str">
        <v>Agrotextiles (discarded)</v>
      </c>
    </row>
    <row r="343" spans="7:10" ht="15.75" thickBot="1">
      <c r="G343" s="443"/>
      <c r="H343" s="443"/>
      <c r="I343" s="440"/>
      <c r="J343" t="str">
        <v>Agricultural soil (micro)</v>
      </c>
    </row>
    <row r="344" spans="7:10" ht="15.75" thickBot="1">
      <c r="G344" s="443"/>
      <c r="H344" s="443"/>
      <c r="I344" s="440"/>
      <c r="J344" t="str">
        <v>Agrotextiles (in use)</v>
      </c>
    </row>
    <row r="345" spans="7:10" ht="15.75" thickBot="1">
      <c r="G345" s="443"/>
      <c r="H345" s="443"/>
      <c r="I345" s="440"/>
      <c r="J345" t="str">
        <v>Agricultural waste collection</v>
      </c>
    </row>
    <row r="346" spans="7:10" ht="15.75" thickBot="1">
      <c r="G346" s="443"/>
      <c r="H346" s="443"/>
      <c r="I346" s="440"/>
      <c r="J346" t="str">
        <v>Agricultural waste collection (micro)</v>
      </c>
    </row>
    <row r="347" spans="7:10" ht="15.75" thickBot="1">
      <c r="G347" s="443"/>
      <c r="H347" s="443"/>
      <c r="I347" s="440"/>
      <c r="J347" t="str">
        <v>Collected organic waste</v>
      </c>
    </row>
    <row r="348" spans="7:10" ht="15.75" thickBot="1">
      <c r="G348" s="443"/>
      <c r="H348" s="443"/>
      <c r="I348" s="440"/>
      <c r="J348" t="str">
        <v>Dumping</v>
      </c>
    </row>
    <row r="349" spans="7:10" ht="15.75" thickBot="1">
      <c r="G349" s="443"/>
      <c r="H349" s="443"/>
      <c r="I349" s="440"/>
      <c r="J349" t="str">
        <v>Building textiles (discarded)</v>
      </c>
    </row>
    <row r="350" spans="7:10" ht="15.75" thickBot="1">
      <c r="G350" s="443"/>
      <c r="H350" s="443"/>
      <c r="I350" s="440"/>
      <c r="J350" t="str">
        <v>Building textiles (in use)</v>
      </c>
    </row>
    <row r="351" spans="7:10" ht="15.75" thickBot="1">
      <c r="G351" s="443"/>
      <c r="H351" s="443"/>
      <c r="I351" s="440"/>
      <c r="J351" t="str">
        <v>Construction and demolition incinerable waste collection</v>
      </c>
    </row>
    <row r="352" spans="7:10" ht="15.75" thickBot="1">
      <c r="G352" s="443"/>
      <c r="H352" s="443"/>
      <c r="I352" s="440"/>
      <c r="J352" t="str">
        <v>Building packaging films</v>
      </c>
    </row>
    <row r="353" spans="7:10" ht="15.75" thickBot="1">
      <c r="G353" s="443"/>
      <c r="H353" s="443"/>
      <c r="I353" s="440"/>
      <c r="J353" t="str">
        <v>Geotextiles (discarded)</v>
      </c>
    </row>
    <row r="354" spans="7:10" ht="15.75" thickBot="1">
      <c r="G354" s="443"/>
      <c r="H354" s="443"/>
      <c r="I354" s="440"/>
      <c r="J354" t="str">
        <v>Geotextiles (in use)</v>
      </c>
    </row>
    <row r="355" spans="7:10" ht="15.75" thickBot="1">
      <c r="G355" s="443"/>
      <c r="H355" s="443"/>
      <c r="I355" s="440"/>
      <c r="J355" t="str">
        <v>Sub-surface soil (micro)</v>
      </c>
    </row>
    <row r="356" spans="7:10" ht="15.75" thickBot="1">
      <c r="G356" s="443"/>
      <c r="H356" s="443"/>
      <c r="I356" s="440"/>
      <c r="J356" t="str">
        <v>Home textiles (discarded)</v>
      </c>
    </row>
    <row r="357" spans="7:10" ht="15.75" thickBot="1">
      <c r="G357" s="443"/>
      <c r="H357" s="443"/>
      <c r="I357" s="440"/>
      <c r="J357" t="str">
        <v>Home textiles (in use)</v>
      </c>
    </row>
    <row r="358" spans="7:10" ht="15.75" thickBot="1">
      <c r="G358" s="443"/>
      <c r="H358" s="443"/>
      <c r="I358" s="440"/>
      <c r="J358" t="str">
        <v>Collected organic waste (larger than 1 mm)</v>
      </c>
    </row>
    <row r="359" spans="7:10" ht="15.75" thickBot="1">
      <c r="G359" s="443"/>
      <c r="H359" s="443"/>
      <c r="I359" s="440"/>
      <c r="J359" t="str">
        <v>Collected organic waste (smaller than 1 mm)</v>
      </c>
    </row>
    <row r="360" spans="7:10" ht="15.75" thickBot="1">
      <c r="G360" s="443"/>
      <c r="H360" s="443"/>
      <c r="I360" s="440"/>
      <c r="J360" t="str">
        <v>Combined sewer overflow (macro)</v>
      </c>
    </row>
    <row r="361" spans="7:10" ht="15.75" thickBot="1">
      <c r="G361" s="443"/>
      <c r="H361" s="443"/>
      <c r="I361" s="440"/>
      <c r="J361" t="str">
        <v>Combined sewer overflow (micro)</v>
      </c>
    </row>
    <row r="362" spans="7:10" ht="15.75" thickBot="1">
      <c r="G362" s="443"/>
      <c r="H362" s="443"/>
      <c r="I362" s="440"/>
      <c r="J362" t="str">
        <v>Compost (macro)</v>
      </c>
    </row>
    <row r="363" spans="7:10" ht="15.75" thickBot="1">
      <c r="G363" s="443"/>
      <c r="H363" s="443"/>
      <c r="I363" s="440"/>
      <c r="J363" t="str">
        <v>Compost (micro)</v>
      </c>
    </row>
    <row r="364" spans="7:10" ht="15.75" thickBot="1">
      <c r="G364" s="443"/>
      <c r="H364" s="443"/>
      <c r="I364" s="440"/>
      <c r="J364" t="str">
        <v>Compost size separation (fictional process)</v>
      </c>
    </row>
    <row r="365" spans="7:10" ht="15.75" thickBot="1">
      <c r="G365" s="443"/>
      <c r="H365" s="443"/>
      <c r="I365" s="440"/>
      <c r="J365" t="str">
        <v>Mixed waste collection</v>
      </c>
    </row>
    <row r="366" spans="7:10" ht="15.75" thickBot="1">
      <c r="G366" s="443"/>
      <c r="H366" s="443"/>
      <c r="I366" s="440"/>
      <c r="J366" t="str">
        <v>Textile waste collection</v>
      </c>
    </row>
    <row r="367" spans="7:10" ht="15.75" thickBot="1">
      <c r="G367" s="443"/>
      <c r="H367" s="443"/>
      <c r="I367" s="440"/>
      <c r="J367" t="str">
        <v>Consumer bags</v>
      </c>
    </row>
    <row r="368" spans="7:10" ht="15.75" thickBot="1">
      <c r="G368" s="443"/>
      <c r="H368" s="443"/>
      <c r="I368" s="440"/>
      <c r="J368" t="str">
        <v>Consumer bottles</v>
      </c>
    </row>
    <row r="369" spans="7:10" ht="15.75" thickBot="1">
      <c r="G369" s="443"/>
      <c r="H369" s="443"/>
      <c r="I369" s="440"/>
      <c r="J369" t="str">
        <v>Consumer films</v>
      </c>
    </row>
    <row r="370" spans="7:10" ht="15.75" thickBot="1">
      <c r="G370" s="443"/>
      <c r="H370" s="443"/>
      <c r="I370" s="440"/>
      <c r="J370" t="str">
        <v>Controlled release fertilizer</v>
      </c>
    </row>
    <row r="371" spans="7:10" ht="15.75" thickBot="1">
      <c r="G371" s="443"/>
      <c r="H371" s="443"/>
      <c r="I371" s="440"/>
      <c r="J371" t="str">
        <v>Detergents and maintenance products</v>
      </c>
    </row>
    <row r="372" spans="7:10" ht="15.75" thickBot="1">
      <c r="G372" s="443"/>
      <c r="H372" s="443"/>
      <c r="I372" s="440"/>
      <c r="J372" t="str">
        <v>Indoor air (micro)</v>
      </c>
    </row>
    <row r="373" spans="7:10" ht="15.75" thickBot="1">
      <c r="G373" s="443"/>
      <c r="H373" s="443"/>
      <c r="I373" s="440"/>
      <c r="J373" t="str">
        <v>Outdoor air (micro)</v>
      </c>
    </row>
    <row r="374" spans="7:10" ht="15.75" thickBot="1">
      <c r="G374" s="443"/>
      <c r="H374" s="443"/>
      <c r="I374" s="440"/>
      <c r="J374" t="str">
        <v>Wastewater (micro)</v>
      </c>
    </row>
    <row r="375" spans="7:10" ht="15.75" thickBot="1">
      <c r="G375" s="443"/>
      <c r="H375" s="443"/>
      <c r="I375" s="440"/>
      <c r="J375" t="str">
        <v>Disposable cleaning cloths</v>
      </c>
    </row>
    <row r="376" spans="7:10" ht="15.75" thickBot="1">
      <c r="G376" s="443"/>
      <c r="H376" s="443"/>
      <c r="I376" s="440"/>
      <c r="J376" t="str">
        <v>Home textiles</v>
      </c>
    </row>
    <row r="377" spans="7:10" ht="15.75" thickBot="1">
      <c r="G377" s="443"/>
      <c r="H377" s="443"/>
      <c r="I377" s="440"/>
      <c r="J377" t="str">
        <v>Elimination</v>
      </c>
    </row>
    <row r="378" spans="7:10" ht="15.75" thickBot="1">
      <c r="G378" s="443"/>
      <c r="H378" s="443"/>
      <c r="I378" s="440"/>
      <c r="J378" t="str">
        <v>Export</v>
      </c>
    </row>
    <row r="379" spans="7:10" ht="15.75" thickBot="1">
      <c r="G379" s="443"/>
      <c r="H379" s="443"/>
      <c r="I379" s="440"/>
      <c r="J379" t="str">
        <v>Secondary material reuse</v>
      </c>
    </row>
    <row r="380" spans="7:10" ht="15.75" thickBot="1">
      <c r="G380" s="443"/>
      <c r="H380" s="443"/>
      <c r="I380" s="440"/>
      <c r="J380" t="str">
        <v>Residential soil (micro)</v>
      </c>
    </row>
    <row r="381" spans="7:10" ht="15.75" thickBot="1">
      <c r="G381" s="443"/>
      <c r="H381" s="443"/>
      <c r="I381" s="440"/>
      <c r="J381" t="str">
        <v>Industrial stormwater (micro)</v>
      </c>
    </row>
    <row r="382" spans="7:10" ht="15.75" thickBot="1">
      <c r="G382" s="443"/>
      <c r="H382" s="443"/>
      <c r="I382" s="440"/>
      <c r="J382" t="str">
        <v>Transport of primary plastics</v>
      </c>
    </row>
    <row r="383" spans="7:10" ht="15.75" thickBot="1">
      <c r="G383" s="443"/>
      <c r="H383" s="443"/>
      <c r="I383" s="440"/>
      <c r="J383" t="str">
        <v>Surface water (micro)</v>
      </c>
    </row>
    <row r="384" spans="7:10" ht="15.75" thickBot="1">
      <c r="G384" s="443"/>
      <c r="H384" s="443"/>
      <c r="I384" s="440"/>
      <c r="J384" t="str">
        <v>Wastewater treatment plant (micro)</v>
      </c>
    </row>
    <row r="385" spans="7:10" ht="15.75" thickBot="1">
      <c r="G385" s="443"/>
      <c r="H385" s="443"/>
      <c r="I385" s="440"/>
      <c r="J385" t="str">
        <v>Plastic products</v>
      </c>
    </row>
    <row r="386" spans="7:10" ht="15.75" thickBot="1">
      <c r="G386" s="443"/>
      <c r="H386" s="443"/>
      <c r="I386" s="440"/>
      <c r="J386" t="str">
        <v>Surface water (macro)</v>
      </c>
    </row>
    <row r="387" spans="7:10" ht="15.75" thickBot="1">
      <c r="G387" s="443"/>
      <c r="H387" s="443"/>
      <c r="I387" s="440"/>
      <c r="J387" t="str">
        <v>Wastewater treatment plant (macro)</v>
      </c>
    </row>
    <row r="388" spans="7:10" ht="15.75" thickBot="1">
      <c r="G388" s="443"/>
      <c r="H388" s="443"/>
      <c r="I388" s="440"/>
      <c r="J388" t="str">
        <v>Export of primary plastics</v>
      </c>
    </row>
    <row r="389" spans="7:10" ht="15.75" thickBot="1">
      <c r="G389" s="443"/>
      <c r="H389" s="443"/>
      <c r="I389" s="440"/>
      <c r="J389" t="str">
        <v>Fertilizer additives</v>
      </c>
    </row>
    <row r="390" spans="7:10" ht="15.75" thickBot="1">
      <c r="G390" s="443"/>
      <c r="H390" s="443"/>
      <c r="I390" s="440"/>
      <c r="J390" t="str">
        <v>Food additives</v>
      </c>
    </row>
    <row r="391" spans="7:10" ht="15.75" thickBot="1">
      <c r="G391" s="443"/>
      <c r="H391" s="443"/>
      <c r="I391" s="440"/>
      <c r="J391" t="str">
        <v>Panty liners</v>
      </c>
    </row>
    <row r="392" spans="7:10" ht="15.75" thickBot="1">
      <c r="G392" s="443"/>
      <c r="H392" s="443"/>
      <c r="I392" s="440"/>
      <c r="J392" t="str">
        <v>Highway DAB</v>
      </c>
    </row>
    <row r="393" spans="7:10" ht="15.75" thickBot="1">
      <c r="G393" s="443"/>
      <c r="H393" s="443"/>
      <c r="I393" s="440"/>
      <c r="J393" t="str">
        <v>Highway ZOAB</v>
      </c>
    </row>
    <row r="394" spans="7:10" ht="15.75" thickBot="1">
      <c r="G394" s="443"/>
      <c r="H394" s="443"/>
      <c r="I394" s="440"/>
      <c r="J394" t="str">
        <v>Highway DAB non cleaned</v>
      </c>
    </row>
    <row r="395" spans="7:10" ht="15.75" thickBot="1">
      <c r="G395" s="443"/>
      <c r="H395" s="443"/>
      <c r="I395" s="440"/>
      <c r="J395" t="str">
        <v>Sanitary pads</v>
      </c>
    </row>
    <row r="396" spans="7:10" ht="15.75" thickBot="1">
      <c r="G396" s="443"/>
      <c r="H396" s="443"/>
      <c r="I396" s="440"/>
      <c r="J396" t="str">
        <v>Tampons</v>
      </c>
    </row>
    <row r="397" spans="7:10" ht="15.75" thickBot="1">
      <c r="G397" s="443"/>
      <c r="H397" s="443"/>
      <c r="I397" s="440"/>
      <c r="J397" t="str">
        <v>Road cleaning</v>
      </c>
    </row>
    <row r="398" spans="7:10" ht="15.75" thickBot="1">
      <c r="G398" s="443"/>
      <c r="H398" s="443"/>
      <c r="I398" s="440"/>
      <c r="J398" t="str">
        <v>Indoor floors (micro)</v>
      </c>
    </row>
    <row r="399" spans="7:10" ht="15.75" thickBot="1">
      <c r="G399" s="443"/>
      <c r="H399" s="443"/>
      <c r="I399" s="440"/>
      <c r="J399" t="str">
        <v>Infill material sports fields</v>
      </c>
    </row>
    <row r="400" spans="7:10" ht="15.75" thickBot="1">
      <c r="G400" s="443"/>
      <c r="H400" s="443"/>
      <c r="I400" s="440"/>
      <c r="J400" t="str">
        <v>Infill material sports fields (discarded)</v>
      </c>
    </row>
    <row r="401" spans="7:10" ht="15.75" thickBot="1">
      <c r="G401" s="443"/>
      <c r="H401" s="443"/>
      <c r="I401" s="440"/>
      <c r="J401" t="str">
        <v>Infill material sports fields (in use)</v>
      </c>
    </row>
    <row r="402" spans="7:10" ht="15.75" thickBot="1">
      <c r="G402" s="443"/>
      <c r="H402" s="443"/>
      <c r="I402" s="440"/>
      <c r="J402" t="str">
        <v>Invitro diagnostic devices</v>
      </c>
    </row>
    <row r="403" spans="7:10" ht="15.75" thickBot="1">
      <c r="G403" s="443"/>
      <c r="H403" s="443"/>
      <c r="I403" s="440"/>
      <c r="J403" t="str">
        <v>Litter on road sides</v>
      </c>
    </row>
    <row r="404" spans="7:10" ht="15.75" thickBot="1">
      <c r="G404" s="443"/>
      <c r="H404" s="443"/>
      <c r="I404" s="440"/>
      <c r="J404" t="str">
        <v>Litter in natural environments</v>
      </c>
    </row>
    <row r="405" spans="7:10" ht="15.75" thickBot="1">
      <c r="G405" s="443"/>
      <c r="H405" s="443"/>
      <c r="I405" s="440"/>
      <c r="J405" t="str">
        <v>Litter in residential environments</v>
      </c>
    </row>
    <row r="406" spans="7:10" ht="15.75" thickBot="1">
      <c r="G406" s="443"/>
      <c r="H406" s="443"/>
      <c r="I406" s="440"/>
      <c r="J406" t="str">
        <v>Wet wipes</v>
      </c>
    </row>
    <row r="407" spans="7:10" ht="15.75" thickBot="1">
      <c r="G407" s="443"/>
      <c r="H407" s="443"/>
      <c r="I407" s="440"/>
      <c r="J407" t="str">
        <v>Medicine diffusion limitation (slow release)</v>
      </c>
    </row>
    <row r="408" spans="7:10" ht="15.75" thickBot="1">
      <c r="G408" s="443"/>
      <c r="H408" s="443"/>
      <c r="I408" s="440"/>
      <c r="J408" t="str">
        <v>Natural soil (macro)</v>
      </c>
    </row>
    <row r="409" spans="7:10" ht="15.75" thickBot="1">
      <c r="G409" s="443"/>
      <c r="H409" s="443"/>
      <c r="I409" s="440"/>
      <c r="J409" t="str">
        <v>ELV textiles collection</v>
      </c>
    </row>
    <row r="410" spans="7:10" ht="15.75" thickBot="1">
      <c r="G410" s="443"/>
      <c r="H410" s="443"/>
      <c r="I410" s="440"/>
      <c r="J410" t="str">
        <v>Mixed waste collection (micro)</v>
      </c>
    </row>
    <row r="411" spans="7:10" ht="15.75" thickBot="1">
      <c r="G411" s="443"/>
      <c r="H411" s="443"/>
      <c r="I411" s="440"/>
      <c r="J411" t="str">
        <v>Technical home textiles (discarded)</v>
      </c>
    </row>
    <row r="412" spans="7:10" ht="15.75" thickBot="1">
      <c r="G412" s="443"/>
      <c r="H412" s="443"/>
      <c r="I412" s="440"/>
      <c r="J412" t="str">
        <v>Technical home textiles (in use)</v>
      </c>
    </row>
    <row r="413" spans="7:10" ht="15.75" thickBot="1">
      <c r="G413" s="443"/>
      <c r="H413" s="443"/>
      <c r="I413" s="440"/>
      <c r="J413" t="str">
        <v>Agrotextiles</v>
      </c>
    </row>
    <row r="414" spans="7:10" ht="15.75" thickBot="1">
      <c r="G414" s="443"/>
      <c r="H414" s="443"/>
      <c r="I414" s="440"/>
      <c r="J414" t="str">
        <v>Natural soil (micro)</v>
      </c>
    </row>
    <row r="415" spans="7:10" ht="15.75" thickBot="1">
      <c r="G415" s="443"/>
      <c r="H415" s="443"/>
      <c r="I415" s="440"/>
      <c r="J415" t="str">
        <v>Non-consumer bags</v>
      </c>
    </row>
    <row r="416" spans="7:10" ht="15.75" thickBot="1">
      <c r="G416" s="443"/>
      <c r="H416" s="443"/>
      <c r="I416" s="440"/>
      <c r="J416" t="str">
        <v>Offshore oil &amp; gas applications</v>
      </c>
    </row>
    <row r="417" spans="7:10" ht="15.75" thickBot="1">
      <c r="G417" s="443"/>
      <c r="H417" s="443"/>
      <c r="I417" s="440"/>
      <c r="J417" t="str">
        <v>On-site sewage facility (macro)</v>
      </c>
    </row>
    <row r="418" spans="7:10" ht="15.75" thickBot="1">
      <c r="G418" s="443"/>
      <c r="H418" s="443"/>
      <c r="I418" s="440"/>
      <c r="J418" t="str">
        <v>On-site sewage facility (micro)</v>
      </c>
    </row>
    <row r="419" spans="7:10" ht="15.75" thickBot="1">
      <c r="G419" s="443"/>
      <c r="H419" s="443"/>
      <c r="I419" s="440"/>
      <c r="J419" t="str">
        <v>On-the-go consumption</v>
      </c>
    </row>
    <row r="420" spans="7:10" ht="15.75" thickBot="1">
      <c r="G420" s="443"/>
      <c r="H420" s="443"/>
      <c r="I420" s="440"/>
      <c r="J420" t="str">
        <v>On-the-go consumption (nature)</v>
      </c>
    </row>
    <row r="421" spans="7:10" ht="15.75" thickBot="1">
      <c r="G421" s="443"/>
      <c r="H421" s="443"/>
      <c r="I421" s="440"/>
      <c r="J421" t="str">
        <v>On-the-go consumption (residential)</v>
      </c>
    </row>
    <row r="422" spans="7:10" ht="15.75" thickBot="1">
      <c r="G422" s="443"/>
      <c r="H422" s="443"/>
      <c r="I422" s="440"/>
      <c r="J422" t="str">
        <v>On-the-go consumption (transport)</v>
      </c>
    </row>
    <row r="423" spans="7:10" ht="15.75" thickBot="1">
      <c r="G423" s="443"/>
      <c r="H423" s="443"/>
      <c r="I423" s="440"/>
      <c r="J423" t="str">
        <v>Other consumer packaging</v>
      </c>
    </row>
    <row r="424" spans="7:10" ht="15.75" thickBot="1">
      <c r="G424" s="443"/>
      <c r="H424" s="443"/>
      <c r="I424" s="440"/>
      <c r="J424" t="str">
        <v>Other non-consumer films</v>
      </c>
    </row>
    <row r="425" spans="7:10" ht="15.75" thickBot="1">
      <c r="G425" s="443"/>
      <c r="H425" s="443"/>
      <c r="I425" s="440"/>
      <c r="J425" t="str">
        <v>Other non-consumer packaging</v>
      </c>
    </row>
    <row r="426" spans="7:10" ht="15.75" thickBot="1">
      <c r="G426" s="443"/>
      <c r="H426" s="443"/>
      <c r="I426" s="440"/>
      <c r="J426" t="str">
        <v>Building textiles</v>
      </c>
    </row>
    <row r="427" spans="7:10" ht="15.75" thickBot="1">
      <c r="G427" s="443"/>
      <c r="H427" s="443"/>
      <c r="I427" s="440"/>
      <c r="J427" t="str">
        <v>Road side soil (micro)</v>
      </c>
    </row>
    <row r="428" spans="7:10" ht="15.75" thickBot="1">
      <c r="G428" s="443"/>
      <c r="H428" s="443"/>
      <c r="I428" s="440"/>
      <c r="J428" t="str">
        <v>Highway ZOAB non cleaned</v>
      </c>
    </row>
    <row r="429" spans="7:10" ht="15.75" thickBot="1">
      <c r="G429" s="443"/>
      <c r="H429" s="443"/>
      <c r="I429" s="440"/>
      <c r="J429" t="str">
        <v>Packaging collection</v>
      </c>
    </row>
    <row r="430" spans="7:10" ht="15.75" thickBot="1">
      <c r="G430" s="443"/>
      <c r="H430" s="443"/>
      <c r="I430" s="440"/>
      <c r="J430" t="str">
        <v>Packaging recycling</v>
      </c>
    </row>
    <row r="431" spans="7:10" ht="15.75" thickBot="1">
      <c r="G431" s="443"/>
      <c r="H431" s="443"/>
      <c r="I431" s="440"/>
      <c r="J431" t="str">
        <v>Geotextiles</v>
      </c>
    </row>
    <row r="432" spans="7:10" ht="15.75" thickBot="1">
      <c r="G432" s="443"/>
      <c r="H432" s="443"/>
      <c r="I432" s="440"/>
      <c r="J432" t="str">
        <v>PCCP</v>
      </c>
    </row>
    <row r="433" spans="7:10" ht="15.75" thickBot="1">
      <c r="G433" s="443"/>
      <c r="H433" s="443"/>
      <c r="I433" s="440"/>
      <c r="J433" t="str">
        <v>Plant protection products</v>
      </c>
    </row>
    <row r="434" spans="7:10" ht="15.75" thickBot="1">
      <c r="G434" s="443"/>
      <c r="H434" s="443"/>
      <c r="I434" s="440"/>
      <c r="J434" t="str">
        <v>Primary water treatment (macro)</v>
      </c>
    </row>
    <row r="435" spans="7:10" ht="15.75" thickBot="1">
      <c r="G435" s="443"/>
      <c r="H435" s="443"/>
      <c r="I435" s="440"/>
      <c r="J435" t="str">
        <v>Primary water treatment (micro)</v>
      </c>
    </row>
    <row r="436" spans="7:10" ht="15.75" thickBot="1">
      <c r="G436" s="443"/>
      <c r="H436" s="443"/>
      <c r="I436" s="440"/>
      <c r="J436" t="str">
        <v>Stormwater (macro)</v>
      </c>
    </row>
    <row r="437" spans="7:10" ht="15.75" thickBot="1">
      <c r="G437" s="443"/>
      <c r="H437" s="443"/>
      <c r="I437" s="440"/>
      <c r="J437" t="str">
        <v>Stormwater (micro)</v>
      </c>
    </row>
    <row r="438" spans="7:10" ht="15.75" thickBot="1">
      <c r="G438" s="443"/>
      <c r="H438" s="443"/>
      <c r="I438" s="440"/>
      <c r="J438" t="str">
        <v>Highway</v>
      </c>
    </row>
    <row r="439" spans="7:10" ht="15.75" thickBot="1">
      <c r="G439" s="443"/>
      <c r="H439" s="443"/>
      <c r="I439" s="440"/>
      <c r="J439" t="str">
        <v>Rural roads</v>
      </c>
    </row>
    <row r="440" spans="7:10" ht="15.75" thickBot="1">
      <c r="G440" s="443"/>
      <c r="H440" s="443"/>
      <c r="I440" s="440"/>
      <c r="J440" t="str">
        <v>Urban roads</v>
      </c>
    </row>
    <row r="441" spans="7:10" ht="15.75" thickBot="1">
      <c r="G441" s="443"/>
      <c r="H441" s="443"/>
      <c r="I441" s="440"/>
      <c r="J441" t="str">
        <v>Medical textiles</v>
      </c>
    </row>
    <row r="442" spans="7:10" ht="15.75" thickBot="1">
      <c r="G442" s="443"/>
      <c r="H442" s="443"/>
      <c r="I442" s="440"/>
      <c r="J442" t="str">
        <v>Secondary water treatment (macro)</v>
      </c>
    </row>
    <row r="443" spans="7:10" ht="15.75" thickBot="1">
      <c r="G443" s="443"/>
      <c r="H443" s="443"/>
      <c r="I443" s="440"/>
      <c r="J443" t="str">
        <v>Secondary water treatment (micro)</v>
      </c>
    </row>
    <row r="444" spans="7:10" ht="15.75" thickBot="1">
      <c r="G444" s="443"/>
      <c r="H444" s="443"/>
      <c r="I444" s="440"/>
      <c r="J444" t="str">
        <v>Seed coating</v>
      </c>
    </row>
    <row r="445" spans="7:10" ht="15.75" thickBot="1">
      <c r="G445" s="443"/>
      <c r="H445" s="443"/>
      <c r="I445" s="440"/>
      <c r="J445" t="str">
        <v>Sludge (macro)</v>
      </c>
    </row>
    <row r="446" spans="7:10" ht="15.75" thickBot="1">
      <c r="G446" s="443"/>
      <c r="H446" s="443"/>
      <c r="I446" s="440"/>
      <c r="J446" t="str">
        <v>Sludge (micro)</v>
      </c>
    </row>
    <row r="447" spans="7:10" ht="15.75" thickBot="1">
      <c r="G447" s="443"/>
      <c r="H447" s="443"/>
      <c r="I447" s="440"/>
      <c r="J447" t="str">
        <v>Textile recycling</v>
      </c>
    </row>
    <row r="448" spans="7:10" ht="15.75" thickBot="1">
      <c r="G448" s="443"/>
      <c r="H448" s="443"/>
      <c r="I448" s="440"/>
      <c r="J448" t="str">
        <v>Road side soil (macro)</v>
      </c>
    </row>
    <row r="449" spans="7:10" ht="15.75" thickBot="1">
      <c r="G449" s="443"/>
      <c r="H449" s="443"/>
      <c r="I449" s="440"/>
      <c r="J449" t="str">
        <v>Road runoff</v>
      </c>
    </row>
    <row r="450" spans="7:10" ht="15.75" thickBot="1">
      <c r="G450" s="443"/>
      <c r="H450" s="443"/>
      <c r="I450" s="440"/>
      <c r="J450" t="str">
        <v>Mobility textiles</v>
      </c>
    </row>
    <row r="451" spans="7:10" ht="15.75" thickBot="1">
      <c r="G451" s="443"/>
      <c r="H451" s="443"/>
      <c r="I451" s="440"/>
      <c r="J451" t="str">
        <v>Other technical textiles</v>
      </c>
    </row>
    <row r="452" spans="7:10" ht="15.75" thickBot="1">
      <c r="G452" s="443"/>
      <c r="H452" s="443"/>
      <c r="I452" s="440"/>
      <c r="J452" t="str">
        <v>Tertiary water treatment (macro)</v>
      </c>
    </row>
    <row r="453" spans="7:10" ht="15.75" thickBot="1">
      <c r="G453" s="443"/>
      <c r="H453" s="443"/>
      <c r="I453" s="440"/>
      <c r="J453" t="str">
        <v>Tertiary water treatment (micro)</v>
      </c>
    </row>
    <row r="454" spans="7:10" ht="15.75" thickBot="1">
      <c r="G454" s="443"/>
      <c r="H454" s="443"/>
      <c r="I454" s="440"/>
      <c r="J454" t="str">
        <v>Technical home textiles</v>
      </c>
    </row>
    <row r="455" spans="7:10" ht="15.75" thickBot="1">
      <c r="G455" s="443"/>
      <c r="H455" s="443"/>
      <c r="I455" s="440"/>
      <c r="J455" t="str">
        <v>Textile coating (discarded)</v>
      </c>
    </row>
    <row r="456" spans="7:10" ht="15.75" thickBot="1">
      <c r="G456" s="443"/>
      <c r="H456" s="443"/>
      <c r="I456" s="440"/>
      <c r="J456" t="str">
        <v>Textile coating (in use)</v>
      </c>
    </row>
    <row r="457" spans="7:10" ht="15.75" thickBot="1">
      <c r="G457" s="443"/>
      <c r="H457" s="443"/>
      <c r="I457" s="440"/>
      <c r="J457" t="str">
        <v>Textile reuse</v>
      </c>
    </row>
    <row r="458" spans="7:10" ht="15.75" thickBot="1">
      <c r="G458" s="443"/>
      <c r="H458" s="443"/>
      <c r="I458" s="440"/>
      <c r="J458" t="str">
        <v>Wastewater (macro)</v>
      </c>
    </row>
    <row r="459" spans="7:10" ht="15.75" thickBot="1">
      <c r="G459" s="443"/>
      <c r="H459" s="443"/>
      <c r="I459" s="440"/>
      <c r="J459" t="str">
        <v>Pellet conversion</v>
      </c>
    </row>
    <row r="460" spans="7:10">
      <c r="G460" s="443"/>
      <c r="H460" s="443"/>
      <c r="I460" s="440"/>
      <c r="J460" t="str">
        <v>Textile coating</v>
      </c>
    </row>
    <row r="461" spans="7:10">
      <c r="G461" s="443"/>
      <c r="H461" s="443"/>
      <c r="I461" s="230"/>
      <c r="J461" t="str">
        <v>Pellet losses transport land</v>
      </c>
    </row>
    <row r="462" spans="7:10">
      <c r="G462" s="443"/>
      <c r="H462" s="443"/>
      <c r="I462" s="230"/>
      <c r="J462" t="str">
        <v>Sea water (micro)</v>
      </c>
    </row>
    <row r="463" spans="7:10">
      <c r="I463" s="68"/>
      <c r="J463" t="str">
        <v>Pellet losses industrial plants</v>
      </c>
    </row>
    <row r="464" spans="7:10" ht="15.75" thickBot="1">
      <c r="I464" s="72"/>
      <c r="J464" t="str">
        <v>Concrete paint (prof)</v>
      </c>
    </row>
    <row r="465" spans="10:10">
      <c r="J465" t="str">
        <v>Lacquer (prof)</v>
      </c>
    </row>
    <row r="466" spans="10:10">
      <c r="J466" t="str">
        <v>Wood stain (prof)</v>
      </c>
    </row>
    <row r="467" spans="10:10">
      <c r="J467" t="str">
        <v>Wall paint (prof)</v>
      </c>
    </row>
    <row r="468" spans="10:10">
      <c r="J468" t="str">
        <v>Plaster (prof)</v>
      </c>
    </row>
    <row r="469" spans="10:10">
      <c r="J469" t="str">
        <v>Other paint uses (prof)</v>
      </c>
    </row>
    <row r="470" spans="10:10">
      <c r="J470" t="str">
        <v>Paints used in pre-made wooden products</v>
      </c>
    </row>
    <row r="471" spans="10:10">
      <c r="J471" t="str">
        <v>Lacquer (DIY)</v>
      </c>
    </row>
    <row r="472" spans="10:10">
      <c r="J472" t="str">
        <v>Wood stain (DIY)</v>
      </c>
    </row>
    <row r="473" spans="10:10">
      <c r="J473" t="str">
        <v>Wall paint (DIY)</v>
      </c>
    </row>
    <row r="474" spans="10:10">
      <c r="J474" t="str">
        <v>Plaster (DIY)</v>
      </c>
    </row>
    <row r="475" spans="10:10">
      <c r="J475" t="str">
        <v>Other paint uses (DIY)</v>
      </c>
    </row>
    <row r="476" spans="10:10">
      <c r="J476" t="str">
        <v>Ship paint (prof)</v>
      </c>
    </row>
    <row r="477" spans="10:10">
      <c r="J477" t="str">
        <v>Ship paint (recr)</v>
      </c>
    </row>
    <row r="478" spans="10:10">
      <c r="J478" t="str">
        <v>Ship paint (prof) (in use)</v>
      </c>
    </row>
    <row r="479" spans="10:10">
      <c r="J479" t="str">
        <v>Ship paint (prof) (discarded)</v>
      </c>
    </row>
    <row r="480" spans="10:10">
      <c r="J480" t="str">
        <v>Ship paint (recr) (in use)</v>
      </c>
    </row>
    <row r="481" spans="10:10">
      <c r="J481" t="str">
        <v>Ship paint (recr) (discarded)</v>
      </c>
    </row>
    <row r="482" spans="10:10">
      <c r="J482" t="str">
        <v>Concrete paint (prof) outdoor</v>
      </c>
    </row>
    <row r="483" spans="10:10">
      <c r="J483" t="str">
        <v>Concrete paint (prof) indoor</v>
      </c>
    </row>
    <row r="484" spans="10:10">
      <c r="J484" t="str">
        <v>Concrete paint (prof) outdoor (in use)</v>
      </c>
    </row>
    <row r="485" spans="10:10">
      <c r="J485" t="str">
        <v>Concrete paint (prof) outdoor (discarded)</v>
      </c>
    </row>
    <row r="486" spans="10:10">
      <c r="J486" t="str">
        <v>Concrete paint (prof) indoor (in use)</v>
      </c>
    </row>
    <row r="487" spans="10:10">
      <c r="J487" t="str">
        <v>Concrete paint (prof) indoor (discarded)</v>
      </c>
    </row>
    <row r="488" spans="10:10">
      <c r="J488" t="str">
        <v>Lacquer (prof) outdoor</v>
      </c>
    </row>
    <row r="489" spans="10:10">
      <c r="J489" t="str">
        <v>Lacquer (prof) indoor</v>
      </c>
    </row>
    <row r="490" spans="10:10">
      <c r="J490" t="str">
        <v>Lacquer (prof) outdoor (in use)</v>
      </c>
    </row>
    <row r="491" spans="10:10">
      <c r="J491" t="str">
        <v>Lacquer (prof) outdoor (discarded)</v>
      </c>
    </row>
    <row r="492" spans="10:10">
      <c r="J492" t="str">
        <v>Lacquer (prof) indoor (in use)</v>
      </c>
    </row>
    <row r="493" spans="10:10">
      <c r="J493" t="str">
        <v>Lacquer (prof) indoor (discarded)</v>
      </c>
    </row>
    <row r="494" spans="10:10">
      <c r="J494" t="str">
        <v>Wood stain (prof) outdoor</v>
      </c>
    </row>
    <row r="495" spans="10:10">
      <c r="J495" t="str">
        <v>Wood stain (prof) indoor</v>
      </c>
    </row>
    <row r="496" spans="10:10">
      <c r="J496" t="str">
        <v>Wood stain (prof) outdoor (in use)</v>
      </c>
    </row>
    <row r="497" spans="10:10">
      <c r="J497" t="str">
        <v>Wood stain (prof) outdoor (discarded)</v>
      </c>
    </row>
    <row r="498" spans="10:10">
      <c r="J498" t="str">
        <v>Wood stain (prof) indoor (in use)</v>
      </c>
    </row>
    <row r="499" spans="10:10">
      <c r="J499" t="str">
        <v>Wood stain (prof) indoor (discarded)</v>
      </c>
    </row>
    <row r="500" spans="10:10">
      <c r="J500" t="str">
        <v>Wall paint (prof) outdoor</v>
      </c>
    </row>
    <row r="501" spans="10:10">
      <c r="J501" t="str">
        <v>Wall paint (prof) indoor</v>
      </c>
    </row>
    <row r="502" spans="10:10">
      <c r="J502" t="str">
        <v>Wall paint (prof) outdoor (in use)</v>
      </c>
    </row>
    <row r="503" spans="10:10">
      <c r="J503" t="str">
        <v>Wall paint (prof) outdoor (discarded)</v>
      </c>
    </row>
    <row r="504" spans="10:10">
      <c r="J504" t="str">
        <v>Wall paint (prof) indoor (in use)</v>
      </c>
    </row>
    <row r="505" spans="10:10">
      <c r="J505" t="str">
        <v>Wall paint (prof) indoor (discarded)</v>
      </c>
    </row>
    <row r="506" spans="10:10">
      <c r="J506" t="str">
        <v>Plaster (prof) outdoor</v>
      </c>
    </row>
    <row r="507" spans="10:10">
      <c r="J507" t="str">
        <v>Plaster (prof) indoor</v>
      </c>
    </row>
    <row r="508" spans="10:10">
      <c r="J508" t="str">
        <v>Plaster (prof) outdoor (in use)</v>
      </c>
    </row>
    <row r="509" spans="10:10">
      <c r="J509" t="str">
        <v>Plaster (prof) outdoor (discarded)</v>
      </c>
    </row>
    <row r="510" spans="10:10">
      <c r="J510" t="str">
        <v>Plaster (prof) indoor (in use)</v>
      </c>
    </row>
    <row r="511" spans="10:10">
      <c r="J511" t="str">
        <v>Plaster (prof) indoor (discarded)</v>
      </c>
    </row>
    <row r="512" spans="10:10">
      <c r="J512" t="str">
        <v>Other paint uses (prof) outdoor</v>
      </c>
    </row>
    <row r="513" spans="10:10">
      <c r="J513" t="str">
        <v>Other paint uses (prof) indoor</v>
      </c>
    </row>
    <row r="514" spans="10:10">
      <c r="J514" t="str">
        <v>Other paint uses (prof) outdoor (in use)</v>
      </c>
    </row>
    <row r="515" spans="10:10">
      <c r="J515" t="str">
        <v>Other paint uses (prof) outdoor (discarded)</v>
      </c>
    </row>
    <row r="516" spans="10:10">
      <c r="J516" t="str">
        <v>Other paint uses (prof) indoor (in use)</v>
      </c>
    </row>
    <row r="517" spans="10:10">
      <c r="J517" t="str">
        <v>Other paint uses (prof) indoor (discarded)</v>
      </c>
    </row>
    <row r="518" spans="10:10">
      <c r="J518" t="str">
        <v>Paints used in pre-made wooden products outdoor</v>
      </c>
    </row>
    <row r="519" spans="10:10">
      <c r="J519" t="str">
        <v>Paints used in pre-made wooden products indoor</v>
      </c>
    </row>
    <row r="520" spans="10:10">
      <c r="J520" t="str">
        <v>Paints used in pre-made wooden products outdoor (in use)</v>
      </c>
    </row>
    <row r="521" spans="10:10">
      <c r="J521" t="str">
        <v>Paints used in pre-made wooden products outdoor (discarded)</v>
      </c>
    </row>
    <row r="522" spans="10:10">
      <c r="J522" t="str">
        <v>Paints used in pre-made wooden products indoor (in use)</v>
      </c>
    </row>
    <row r="523" spans="10:10">
      <c r="J523" t="str">
        <v>Paints used in pre-made wooden products indoor (discarded)</v>
      </c>
    </row>
    <row r="524" spans="10:10">
      <c r="J524" t="str">
        <v>Lacquer (DIY) outdoor</v>
      </c>
    </row>
    <row r="525" spans="10:10">
      <c r="J525" t="str">
        <v>Lacquer (DIY) indoor</v>
      </c>
    </row>
    <row r="526" spans="10:10">
      <c r="J526" t="str">
        <v>Lacquer (DIY) outdoor (in use)</v>
      </c>
    </row>
    <row r="527" spans="10:10">
      <c r="J527" t="str">
        <v>Lacquer (DIY) outdoor (discarded)</v>
      </c>
    </row>
    <row r="528" spans="10:10">
      <c r="J528" t="str">
        <v>Lacquer (DIY) indoor (in use)</v>
      </c>
    </row>
    <row r="529" spans="10:10">
      <c r="J529" t="str">
        <v>Lacquer (DIY) indoor (discarded)</v>
      </c>
    </row>
    <row r="530" spans="10:10">
      <c r="J530" t="str">
        <v>Wood stain (DIY) outdoor</v>
      </c>
    </row>
    <row r="531" spans="10:10">
      <c r="J531" t="str">
        <v>Wood stain (DIY) indoor</v>
      </c>
    </row>
    <row r="532" spans="10:10">
      <c r="J532" t="str">
        <v>Wood stain (DIY) outdoor (in use)</v>
      </c>
    </row>
    <row r="533" spans="10:10">
      <c r="J533" t="str">
        <v>Wood stain (DIY) outdoor (discarded)</v>
      </c>
    </row>
    <row r="534" spans="10:10">
      <c r="J534" t="str">
        <v>Wood stain (DIY) indoor (in use)</v>
      </c>
    </row>
    <row r="535" spans="10:10">
      <c r="J535" t="str">
        <v>Wood stain (DIY) indoor (discarded)</v>
      </c>
    </row>
    <row r="536" spans="10:10">
      <c r="J536" t="str">
        <v>Wall paint (DIY) outdoor</v>
      </c>
    </row>
    <row r="537" spans="10:10">
      <c r="J537" t="str">
        <v>Wall paint (DIY) indoor</v>
      </c>
    </row>
    <row r="538" spans="10:10">
      <c r="J538" t="str">
        <v>Wall paint (DIY) outdoor (in use)</v>
      </c>
    </row>
    <row r="539" spans="10:10">
      <c r="J539" t="str">
        <v>Wall paint (DIY) outdoor (discarded)</v>
      </c>
    </row>
    <row r="540" spans="10:10">
      <c r="J540" t="str">
        <v>Wall paint (DIY) indoor applied</v>
      </c>
    </row>
    <row r="541" spans="10:10">
      <c r="J541" t="str">
        <v>Wall paint (DIY) indoor on brush</v>
      </c>
    </row>
    <row r="542" spans="10:10">
      <c r="J542" t="str">
        <v>Wall paint (DIY) indoor applied (in use)</v>
      </c>
    </row>
    <row r="543" spans="10:10">
      <c r="J543" t="str">
        <v>Wall paint (DIY) indoor applied (discarded)</v>
      </c>
    </row>
    <row r="544" spans="10:10">
      <c r="J544" t="str">
        <v>Plaster (DIY) outdoor</v>
      </c>
    </row>
    <row r="545" spans="10:10">
      <c r="J545" t="str">
        <v>Plaster (DIY) indoor</v>
      </c>
    </row>
    <row r="546" spans="10:10">
      <c r="J546" t="str">
        <v>Plaster (DIY) outdoor (in use)</v>
      </c>
    </row>
    <row r="547" spans="10:10">
      <c r="J547" t="str">
        <v>Plaster (DIY) outdoor (discarded)</v>
      </c>
    </row>
    <row r="548" spans="10:10">
      <c r="J548" t="str">
        <v>Plaster (DIY) indoor (in use)</v>
      </c>
    </row>
    <row r="549" spans="10:10">
      <c r="J549" t="str">
        <v>Plaster (DIY) indoor (discarded)</v>
      </c>
    </row>
    <row r="550" spans="10:10">
      <c r="J550" t="str">
        <v>Other paint uses (DIY) outdoor</v>
      </c>
    </row>
    <row r="551" spans="10:10">
      <c r="J551" t="str">
        <v>Other paint uses (DIY) indoor</v>
      </c>
    </row>
    <row r="552" spans="10:10">
      <c r="J552" t="str">
        <v>Other paint uses (DIY) outdoor (in use)</v>
      </c>
    </row>
    <row r="553" spans="10:10">
      <c r="J553" t="str">
        <v>Other paint uses (DIY) outdoor (discarded)</v>
      </c>
    </row>
    <row r="554" spans="10:10">
      <c r="J554" t="str">
        <v>Other paint uses (DIY) indoor (in use)</v>
      </c>
    </row>
    <row r="555" spans="10:10">
      <c r="J555" t="str">
        <v>Other paint uses (DIY) indoor (discarded)</v>
      </c>
    </row>
    <row r="556" spans="10:10">
      <c r="J556" t="str">
        <v>Clothing (product sector)</v>
      </c>
    </row>
    <row r="557" spans="10:10">
      <c r="J557" t="str">
        <v>Apparel accessories</v>
      </c>
    </row>
    <row r="558" spans="10:10">
      <c r="J558" t="str">
        <v>Boots</v>
      </c>
    </row>
    <row r="559" spans="10:10">
      <c r="J559" t="str">
        <v>Closed-toed shoes</v>
      </c>
    </row>
    <row r="560" spans="10:10">
      <c r="J560" t="str">
        <v>Dresses skirts and jumpsuits</v>
      </c>
    </row>
    <row r="561" spans="10:10">
      <c r="J561" t="str">
        <v>Jackets and coats</v>
      </c>
    </row>
    <row r="562" spans="10:10">
      <c r="J562" t="str">
        <v>Leggings stockings tights and socks</v>
      </c>
    </row>
    <row r="563" spans="10:10">
      <c r="J563" t="str">
        <v>Open-toed shoes</v>
      </c>
    </row>
    <row r="564" spans="10:10">
      <c r="J564" t="str">
        <v>Pants and shorts</v>
      </c>
    </row>
    <row r="565" spans="10:10">
      <c r="J565" t="str">
        <v>Shirts and blouses</v>
      </c>
    </row>
    <row r="566" spans="10:10">
      <c r="J566" t="str">
        <v>Sweaters and midlayers</v>
      </c>
    </row>
    <row r="567" spans="10:10">
      <c r="J567" t="str">
        <v>Swimwear</v>
      </c>
    </row>
    <row r="568" spans="10:10">
      <c r="J568" t="str">
        <v>T-shirts</v>
      </c>
    </row>
    <row r="569" spans="10:10">
      <c r="J569" t="str">
        <v>Underwear</v>
      </c>
    </row>
    <row r="570" spans="10:10">
      <c r="J570" t="str">
        <v>Clothing wearing</v>
      </c>
    </row>
    <row r="571" spans="10:10">
      <c r="J571" t="str">
        <v>Clothing washing</v>
      </c>
    </row>
    <row r="572" spans="10:10">
      <c r="J572" t="str">
        <v>Clothing drying</v>
      </c>
    </row>
    <row r="573" spans="10:10">
      <c r="J573" t="str">
        <v>Clothing washing machine (with external filter)</v>
      </c>
    </row>
    <row r="574" spans="10:10">
      <c r="J574" t="str">
        <v>Clothing washing machine (without external filter)</v>
      </c>
    </row>
    <row r="575" spans="10:10">
      <c r="J575" t="str">
        <v>Clothing washing by hand</v>
      </c>
    </row>
    <row r="576" spans="10:10">
      <c r="J576" t="str">
        <v>Clothing indoor drying</v>
      </c>
    </row>
    <row r="577" spans="10:10">
      <c r="J577" t="str">
        <v>Clothing outdoor drying</v>
      </c>
    </row>
    <row r="578" spans="10:10">
      <c r="J578" t="str">
        <v>Clothing drying VTD</v>
      </c>
    </row>
    <row r="579" spans="10:10">
      <c r="J579" t="str">
        <v>Clothing drying CHPTD</v>
      </c>
    </row>
    <row r="580" spans="10:10">
      <c r="J580" t="str">
        <v>Clothing drying CHETD</v>
      </c>
    </row>
    <row r="581" spans="10:10">
      <c r="J581" t="str">
        <v>Clothing washer-dryer combo</v>
      </c>
    </row>
    <row r="582" spans="10:10">
      <c r="J582" t="str">
        <v>Lint filter (VTD)</v>
      </c>
    </row>
    <row r="583" spans="10:10">
      <c r="J583" t="str">
        <v>Lint filter (CHPTD)</v>
      </c>
    </row>
    <row r="584" spans="10:10">
      <c r="J584" t="str">
        <v>Lint filter (CHETD)</v>
      </c>
    </row>
    <row r="585" spans="10:10">
      <c r="J585" t="str">
        <v>Clean lint filter by hand</v>
      </c>
    </row>
    <row r="586" spans="10:10">
      <c r="J586" t="str">
        <v>Clean lint filter under running water</v>
      </c>
    </row>
    <row r="587" spans="10:10">
      <c r="J587" t="str">
        <v>Manufacturing of clothing</v>
      </c>
    </row>
    <row r="588" spans="10:10">
      <c r="J588">
        <v>0</v>
      </c>
    </row>
    <row r="589" spans="10:10">
      <c r="J589">
        <v>0</v>
      </c>
    </row>
    <row r="590" spans="10:10">
      <c r="J590">
        <v>0</v>
      </c>
    </row>
    <row r="591" spans="10:10">
      <c r="J591">
        <v>0</v>
      </c>
    </row>
    <row r="592" spans="10:10">
      <c r="J592">
        <v>0</v>
      </c>
    </row>
    <row r="593" spans="10:10">
      <c r="J593">
        <v>0</v>
      </c>
    </row>
    <row r="594" spans="10:10">
      <c r="J594">
        <v>0</v>
      </c>
    </row>
    <row r="595" spans="10:10">
      <c r="J595">
        <v>0</v>
      </c>
    </row>
    <row r="596" spans="10:10">
      <c r="J596">
        <v>0</v>
      </c>
    </row>
    <row r="597" spans="10:10">
      <c r="J597">
        <v>0</v>
      </c>
    </row>
    <row r="598" spans="10:10">
      <c r="J598">
        <v>0</v>
      </c>
    </row>
    <row r="599" spans="10:10">
      <c r="J599">
        <v>0</v>
      </c>
    </row>
    <row r="600" spans="10:10">
      <c r="J600">
        <v>0</v>
      </c>
    </row>
    <row r="601" spans="10:10">
      <c r="J601">
        <v>0</v>
      </c>
    </row>
    <row r="602" spans="10:10">
      <c r="J602">
        <v>0</v>
      </c>
    </row>
    <row r="603" spans="10:10">
      <c r="J603">
        <v>0</v>
      </c>
    </row>
    <row r="604" spans="10:10">
      <c r="J604">
        <v>0</v>
      </c>
    </row>
    <row r="605" spans="10:10">
      <c r="J605">
        <v>0</v>
      </c>
    </row>
    <row r="606" spans="10:10">
      <c r="J606">
        <v>0</v>
      </c>
    </row>
    <row r="607" spans="10:10">
      <c r="J607">
        <v>0</v>
      </c>
    </row>
    <row r="608" spans="10:10">
      <c r="J608">
        <v>0</v>
      </c>
    </row>
    <row r="609" spans="10:10">
      <c r="J609">
        <v>0</v>
      </c>
    </row>
    <row r="610" spans="10:10">
      <c r="J610">
        <v>0</v>
      </c>
    </row>
    <row r="611" spans="10:10">
      <c r="J611">
        <v>0</v>
      </c>
    </row>
    <row r="612" spans="10:10">
      <c r="J612">
        <v>0</v>
      </c>
    </row>
    <row r="613" spans="10:10">
      <c r="J613">
        <v>0</v>
      </c>
    </row>
    <row r="614" spans="10:10">
      <c r="J614">
        <v>0</v>
      </c>
    </row>
    <row r="615" spans="10:10">
      <c r="J615">
        <v>0</v>
      </c>
    </row>
    <row r="616" spans="10:10">
      <c r="J616">
        <v>0</v>
      </c>
    </row>
    <row r="617" spans="10:10">
      <c r="J617">
        <v>0</v>
      </c>
    </row>
    <row r="618" spans="10:10">
      <c r="J618">
        <v>0</v>
      </c>
    </row>
    <row r="619" spans="10:10">
      <c r="J619">
        <v>0</v>
      </c>
    </row>
    <row r="620" spans="10:10">
      <c r="J620">
        <v>0</v>
      </c>
    </row>
    <row r="621" spans="10:10">
      <c r="J621">
        <v>0</v>
      </c>
    </row>
    <row r="622" spans="10:10">
      <c r="J622">
        <v>0</v>
      </c>
    </row>
    <row r="623" spans="10:10">
      <c r="J623">
        <v>0</v>
      </c>
    </row>
    <row r="624" spans="10:10">
      <c r="J624">
        <v>0</v>
      </c>
    </row>
    <row r="625" spans="10:10">
      <c r="J625">
        <v>0</v>
      </c>
    </row>
    <row r="626" spans="10:10">
      <c r="J626">
        <v>0</v>
      </c>
    </row>
  </sheetData>
  <sortState xmlns:xlrd2="http://schemas.microsoft.com/office/spreadsheetml/2017/richdata2" ref="I3:I440">
    <sortCondition ref="I3:I440"/>
  </sortState>
  <mergeCells count="1">
    <mergeCell ref="G1:H1"/>
  </mergeCells>
  <conditionalFormatting sqref="B2:B279">
    <cfRule type="containsText" dxfId="16" priority="1" operator="containsText" text="stock">
      <formula>NOT(ISERROR(SEARCH("stock",B2)))</formula>
    </cfRule>
    <cfRule type="containsText" dxfId="15" priority="2" operator="containsText" text="Not found">
      <formula>NOT(ISERROR(SEARCH("Not found",B2)))</formula>
    </cfRule>
    <cfRule type="containsText" dxfId="14" priority="3" operator="containsText" text="Sink">
      <formula>NOT(ISERROR(SEARCH("Sink",B2)))</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75452-2B1A-4461-B635-C388F58109C0}">
  <sheetPr>
    <tabColor rgb="FF92D050"/>
  </sheetPr>
  <dimension ref="A1:F1015"/>
  <sheetViews>
    <sheetView topLeftCell="A29" zoomScale="85" zoomScaleNormal="85" workbookViewId="0">
      <selection activeCell="E44" sqref="E44"/>
    </sheetView>
  </sheetViews>
  <sheetFormatPr defaultRowHeight="15"/>
  <cols>
    <col min="1" max="1" width="38.5703125" style="1" customWidth="1"/>
    <col min="2" max="2" width="20.5703125" bestFit="1" customWidth="1"/>
    <col min="3" max="3" width="55.28515625" bestFit="1" customWidth="1"/>
    <col min="4" max="4" width="32.85546875" style="6" customWidth="1"/>
    <col min="5" max="5" width="44.85546875" style="6" customWidth="1"/>
    <col min="6" max="6" width="50.7109375" style="6" customWidth="1"/>
  </cols>
  <sheetData>
    <row r="1" spans="1:6" s="4" customFormat="1" ht="30" customHeight="1" thickBot="1">
      <c r="A1" s="616" t="s">
        <v>1403</v>
      </c>
      <c r="B1" s="616" t="s">
        <v>1404</v>
      </c>
      <c r="C1" s="616" t="s">
        <v>1405</v>
      </c>
      <c r="D1" s="616" t="s">
        <v>1406</v>
      </c>
      <c r="E1" s="616"/>
      <c r="F1" s="616"/>
    </row>
    <row r="2" spans="1:6" s="16" customFormat="1" ht="30" customHeight="1" thickBot="1">
      <c r="A2" s="58" t="s">
        <v>1395</v>
      </c>
      <c r="B2" s="65" t="s">
        <v>1396</v>
      </c>
      <c r="C2" s="58" t="s">
        <v>1397</v>
      </c>
      <c r="D2" s="58" t="s">
        <v>1407</v>
      </c>
      <c r="E2" s="144" t="s">
        <v>1408</v>
      </c>
      <c r="F2" s="65" t="s">
        <v>1409</v>
      </c>
    </row>
    <row r="3" spans="1:6">
      <c r="A3" s="571" t="s">
        <v>1051</v>
      </c>
      <c r="B3" s="95" t="s">
        <v>1410</v>
      </c>
      <c r="C3" s="326" t="s">
        <v>1411</v>
      </c>
      <c r="D3" s="307" t="str">
        <f t="shared" ref="D3:D34" si="0">IF(B3=IF(COUNTIF($F$5:$F$209,C3),"Stock","Flow/Sink"),"OK",IF(B3="Stock","Compartment missing in Lifetimes_pairs",IF(IF(COUNTIF($F$5:$F$161,C3),"Stock","Flow/Sink")="Stock","Change Type of compartment to Stock","OK")))</f>
        <v>OK</v>
      </c>
      <c r="E3" s="36"/>
      <c r="F3" s="617" t="str">
        <f>Lifetimes!B1</f>
        <v>AgriculturalFilmsIU</v>
      </c>
    </row>
    <row r="4" spans="1:6">
      <c r="A4" s="572" t="s">
        <v>967</v>
      </c>
      <c r="B4" s="370" t="s">
        <v>1410</v>
      </c>
      <c r="C4" s="312" t="s">
        <v>1412</v>
      </c>
      <c r="D4" s="306" t="str">
        <f t="shared" si="0"/>
        <v>OK</v>
      </c>
      <c r="E4" s="37"/>
      <c r="F4" s="618" t="str">
        <f>Lifetimes!C1</f>
        <v>AgriculturalFilmsDis</v>
      </c>
    </row>
    <row r="5" spans="1:6">
      <c r="A5" s="572" t="s">
        <v>138</v>
      </c>
      <c r="B5" s="370" t="s">
        <v>1413</v>
      </c>
      <c r="C5" s="312" t="s">
        <v>1160</v>
      </c>
      <c r="D5" s="306" t="str">
        <f t="shared" si="0"/>
        <v>OK</v>
      </c>
      <c r="E5" s="37"/>
      <c r="F5" s="618" t="str">
        <f>Lifetimes!D1</f>
        <v>AgriculturalPackagingBottles</v>
      </c>
    </row>
    <row r="6" spans="1:6">
      <c r="A6" s="572" t="s">
        <v>142</v>
      </c>
      <c r="B6" s="370" t="s">
        <v>1413</v>
      </c>
      <c r="C6" s="312" t="s">
        <v>1163</v>
      </c>
      <c r="D6" s="306" t="str">
        <f t="shared" si="0"/>
        <v>OK</v>
      </c>
      <c r="E6" s="37"/>
      <c r="F6" s="618" t="str">
        <f>Lifetimes!E1</f>
        <v>AgriculturalPackagingFilms</v>
      </c>
    </row>
    <row r="7" spans="1:6">
      <c r="A7" s="573" t="s">
        <v>1053</v>
      </c>
      <c r="B7" s="68" t="s">
        <v>1410</v>
      </c>
      <c r="C7" s="312" t="s">
        <v>1414</v>
      </c>
      <c r="D7" s="306" t="str">
        <f t="shared" si="0"/>
        <v>OK</v>
      </c>
      <c r="E7" s="37"/>
      <c r="F7" s="618" t="str">
        <f>Lifetimes!F1</f>
        <v>AgriculturalPipesIU</v>
      </c>
    </row>
    <row r="8" spans="1:6">
      <c r="A8" s="330" t="s">
        <v>144</v>
      </c>
      <c r="B8" s="68" t="s">
        <v>1410</v>
      </c>
      <c r="C8" s="312" t="s">
        <v>1415</v>
      </c>
      <c r="D8" s="306" t="str">
        <f t="shared" si="0"/>
        <v>OK</v>
      </c>
      <c r="E8" s="37"/>
      <c r="F8" s="618" t="str">
        <f>Lifetimes!G1</f>
        <v>AgriculturalPipesDis</v>
      </c>
    </row>
    <row r="9" spans="1:6">
      <c r="A9" s="330" t="s">
        <v>146</v>
      </c>
      <c r="B9" s="68" t="s">
        <v>1416</v>
      </c>
      <c r="C9" s="312" t="s">
        <v>1417</v>
      </c>
      <c r="D9" s="306" t="str">
        <f t="shared" si="0"/>
        <v>OK</v>
      </c>
      <c r="E9" s="37"/>
      <c r="F9" s="618" t="str">
        <f>Lifetimes!H1</f>
        <v>AgriculturalPPP</v>
      </c>
    </row>
    <row r="10" spans="1:6">
      <c r="A10" s="330" t="s">
        <v>155</v>
      </c>
      <c r="B10" s="68" t="s">
        <v>1416</v>
      </c>
      <c r="C10" s="312" t="s">
        <v>1418</v>
      </c>
      <c r="D10" s="306" t="str">
        <f t="shared" si="0"/>
        <v>OK</v>
      </c>
      <c r="E10" s="37"/>
      <c r="F10" s="618" t="str">
        <f>Lifetimes!I1</f>
        <v>BuildingPackagingFilms</v>
      </c>
    </row>
    <row r="11" spans="1:6">
      <c r="A11" s="330" t="s">
        <v>165</v>
      </c>
      <c r="B11" s="68" t="s">
        <v>1410</v>
      </c>
      <c r="C11" s="312" t="s">
        <v>1419</v>
      </c>
      <c r="D11" s="306" t="str">
        <f t="shared" si="0"/>
        <v>OK</v>
      </c>
      <c r="E11" s="37"/>
      <c r="F11" s="618" t="str">
        <f>Lifetimes!J1</f>
        <v>ConsumerBags</v>
      </c>
    </row>
    <row r="12" spans="1:6">
      <c r="A12" s="330" t="s">
        <v>954</v>
      </c>
      <c r="B12" s="68" t="s">
        <v>1410</v>
      </c>
      <c r="C12" s="312" t="s">
        <v>954</v>
      </c>
      <c r="D12" s="306" t="str">
        <f t="shared" si="0"/>
        <v>OK</v>
      </c>
      <c r="E12" s="37"/>
      <c r="F12" s="618" t="str">
        <f>Lifetimes!K1</f>
        <v>ConsumerBottles</v>
      </c>
    </row>
    <row r="13" spans="1:6">
      <c r="A13" s="330" t="s">
        <v>152</v>
      </c>
      <c r="B13" s="68" t="s">
        <v>1410</v>
      </c>
      <c r="C13" s="312" t="s">
        <v>152</v>
      </c>
      <c r="D13" s="306" t="str">
        <f t="shared" si="0"/>
        <v>OK</v>
      </c>
      <c r="E13" s="37"/>
      <c r="F13" s="618" t="str">
        <f>Lifetimes!L1</f>
        <v>ConsumerFilms</v>
      </c>
    </row>
    <row r="14" spans="1:6">
      <c r="A14" s="330" t="s">
        <v>1174</v>
      </c>
      <c r="B14" s="68" t="s">
        <v>1410</v>
      </c>
      <c r="C14" s="312" t="s">
        <v>1420</v>
      </c>
      <c r="D14" s="306" t="str">
        <f t="shared" si="0"/>
        <v>OK</v>
      </c>
      <c r="E14" s="37"/>
      <c r="F14" s="618" t="str">
        <f>Lifetimes!M1</f>
        <v>ConsumerOther</v>
      </c>
    </row>
    <row r="15" spans="1:6">
      <c r="A15" s="330" t="s">
        <v>1421</v>
      </c>
      <c r="B15" s="68" t="s">
        <v>1410</v>
      </c>
      <c r="C15" s="312" t="s">
        <v>1421</v>
      </c>
      <c r="D15" s="306" t="str">
        <f t="shared" si="0"/>
        <v>OK</v>
      </c>
      <c r="E15" s="37"/>
      <c r="F15" s="618" t="str">
        <f>Lifetimes!N1</f>
        <v>Cosmetics</v>
      </c>
    </row>
    <row r="16" spans="1:6">
      <c r="A16" s="330" t="s">
        <v>1422</v>
      </c>
      <c r="B16" s="68" t="s">
        <v>1410</v>
      </c>
      <c r="C16" s="312" t="s">
        <v>1423</v>
      </c>
      <c r="D16" s="306" t="str">
        <f t="shared" si="0"/>
        <v>OK</v>
      </c>
      <c r="E16" s="37"/>
      <c r="F16" s="618" t="str">
        <f>Lifetimes!O1</f>
        <v>Household</v>
      </c>
    </row>
    <row r="17" spans="1:6">
      <c r="A17" s="330" t="s">
        <v>1173</v>
      </c>
      <c r="B17" s="68" t="s">
        <v>1410</v>
      </c>
      <c r="C17" s="312" t="s">
        <v>1424</v>
      </c>
      <c r="D17" s="306" t="str">
        <f t="shared" si="0"/>
        <v>OK</v>
      </c>
      <c r="E17" s="37"/>
      <c r="F17" s="618" t="str">
        <f>Lifetimes!P1</f>
        <v>NonConsumerBags</v>
      </c>
    </row>
    <row r="18" spans="1:6">
      <c r="A18" s="330" t="s">
        <v>1425</v>
      </c>
      <c r="B18" s="68" t="s">
        <v>1416</v>
      </c>
      <c r="C18" s="312" t="s">
        <v>1426</v>
      </c>
      <c r="D18" s="306" t="str">
        <f t="shared" si="0"/>
        <v>OK</v>
      </c>
      <c r="E18" s="37"/>
      <c r="F18" s="618" t="str">
        <f>Lifetimes!Q1</f>
        <v>NonConsumerOther</v>
      </c>
    </row>
    <row r="19" spans="1:6">
      <c r="A19" s="330" t="s">
        <v>1427</v>
      </c>
      <c r="B19" s="68" t="s">
        <v>1410</v>
      </c>
      <c r="C19" s="312" t="s">
        <v>1428</v>
      </c>
      <c r="D19" s="306" t="str">
        <f t="shared" si="0"/>
        <v>OK</v>
      </c>
      <c r="E19" s="37"/>
      <c r="F19" s="618" t="str">
        <f>Lifetimes!R1</f>
        <v>OtherNonConsumerFilms</v>
      </c>
    </row>
    <row r="20" spans="1:6">
      <c r="A20" s="330" t="s">
        <v>183</v>
      </c>
      <c r="B20" s="68" t="s">
        <v>1410</v>
      </c>
      <c r="C20" s="312" t="s">
        <v>1164</v>
      </c>
      <c r="D20" s="306" t="str">
        <f t="shared" si="0"/>
        <v>Change Type of compartment to Stock</v>
      </c>
      <c r="E20" s="37" t="s">
        <v>1429</v>
      </c>
      <c r="F20" s="618" t="str">
        <f>Lifetimes!S1</f>
        <v>OtherOther</v>
      </c>
    </row>
    <row r="21" spans="1:6">
      <c r="A21" s="330" t="s">
        <v>170</v>
      </c>
      <c r="B21" s="68" t="s">
        <v>1410</v>
      </c>
      <c r="C21" s="312" t="s">
        <v>1430</v>
      </c>
      <c r="D21" s="306" t="str">
        <f t="shared" si="0"/>
        <v>OK</v>
      </c>
      <c r="E21" s="37"/>
      <c r="F21" s="618" t="str">
        <f>Lifetimes!T1</f>
        <v>PipesDucts</v>
      </c>
    </row>
    <row r="22" spans="1:6">
      <c r="A22" s="330" t="s">
        <v>1431</v>
      </c>
      <c r="B22" s="68" t="s">
        <v>1410</v>
      </c>
      <c r="C22" s="312" t="s">
        <v>1432</v>
      </c>
      <c r="D22" s="306" t="str">
        <f t="shared" si="0"/>
        <v>OK</v>
      </c>
      <c r="E22" s="37"/>
      <c r="F22" s="618" t="str">
        <f>Lifetimes!U1</f>
        <v>OtherOilGas</v>
      </c>
    </row>
    <row r="23" spans="1:6">
      <c r="A23" s="330" t="s">
        <v>108</v>
      </c>
      <c r="B23" s="68" t="s">
        <v>1410</v>
      </c>
      <c r="C23" s="574" t="s">
        <v>1433</v>
      </c>
      <c r="D23" s="306" t="str">
        <f t="shared" si="0"/>
        <v>OK</v>
      </c>
      <c r="E23" s="37"/>
      <c r="F23" s="618" t="str">
        <f>Lifetimes!V1</f>
        <v>InfillSportsFieldDis</v>
      </c>
    </row>
    <row r="24" spans="1:6">
      <c r="A24" s="330" t="s">
        <v>1434</v>
      </c>
      <c r="B24" s="68" t="s">
        <v>1410</v>
      </c>
      <c r="C24" s="312" t="s">
        <v>1435</v>
      </c>
      <c r="D24" s="306" t="str">
        <f t="shared" si="0"/>
        <v>OK</v>
      </c>
      <c r="E24" s="37"/>
      <c r="F24" s="618" t="str">
        <f>Lifetimes!W1</f>
        <v>InfillSportsFieldU</v>
      </c>
    </row>
    <row r="25" spans="1:6">
      <c r="A25" s="330" t="s">
        <v>1436</v>
      </c>
      <c r="B25" s="68" t="s">
        <v>1410</v>
      </c>
      <c r="C25" s="312" t="s">
        <v>1437</v>
      </c>
      <c r="D25" s="306" t="str">
        <f t="shared" si="0"/>
        <v>OK</v>
      </c>
      <c r="E25" s="37"/>
      <c r="F25" s="618" t="str">
        <f>Lifetimes!AE1</f>
        <v>ClothingDis</v>
      </c>
    </row>
    <row r="26" spans="1:6">
      <c r="A26" s="330" t="s">
        <v>1438</v>
      </c>
      <c r="B26" s="68" t="s">
        <v>1410</v>
      </c>
      <c r="C26" s="312" t="s">
        <v>1439</v>
      </c>
      <c r="D26" s="306" t="str">
        <f t="shared" si="0"/>
        <v>OK</v>
      </c>
      <c r="E26" s="37"/>
      <c r="F26" s="618" t="str">
        <f>Lifetimes!AF1</f>
        <v>ClothingIUWearTear</v>
      </c>
    </row>
    <row r="27" spans="1:6">
      <c r="A27" s="330" t="s">
        <v>149</v>
      </c>
      <c r="B27" s="68" t="s">
        <v>1410</v>
      </c>
      <c r="C27" s="312" t="s">
        <v>1440</v>
      </c>
      <c r="D27" s="306" t="str">
        <f t="shared" si="0"/>
        <v>OK</v>
      </c>
      <c r="E27" s="37"/>
      <c r="F27" s="618" t="str">
        <f>Lifetimes!AG1</f>
        <v>ClothingIUWashDry</v>
      </c>
    </row>
    <row r="28" spans="1:6">
      <c r="A28" s="330" t="s">
        <v>154</v>
      </c>
      <c r="B28" s="68" t="s">
        <v>1410</v>
      </c>
      <c r="C28" s="312" t="s">
        <v>1441</v>
      </c>
      <c r="D28" s="306" t="str">
        <f t="shared" si="0"/>
        <v>OK</v>
      </c>
      <c r="E28" s="37"/>
      <c r="F28" s="618" t="str">
        <f>Lifetimes!AH1</f>
        <v>HomeTextilesDis</v>
      </c>
    </row>
    <row r="29" spans="1:6">
      <c r="A29" s="330" t="s">
        <v>1442</v>
      </c>
      <c r="B29" s="68" t="s">
        <v>1410</v>
      </c>
      <c r="C29" s="312" t="s">
        <v>1443</v>
      </c>
      <c r="D29" s="306" t="str">
        <f t="shared" si="0"/>
        <v>OK</v>
      </c>
      <c r="E29" s="37"/>
      <c r="F29" s="618" t="str">
        <f>Lifetimes!AI1</f>
        <v>HomeTextilesIU</v>
      </c>
    </row>
    <row r="30" spans="1:6">
      <c r="A30" s="330" t="s">
        <v>1444</v>
      </c>
      <c r="B30" s="68" t="s">
        <v>1410</v>
      </c>
      <c r="C30" s="312" t="s">
        <v>1445</v>
      </c>
      <c r="D30" s="306" t="str">
        <f t="shared" si="0"/>
        <v>OK</v>
      </c>
      <c r="E30" s="37"/>
      <c r="F30" s="618" t="str">
        <f>Lifetimes!AJ1</f>
        <v>TechHomeTextilesDis</v>
      </c>
    </row>
    <row r="31" spans="1:6">
      <c r="A31" s="330" t="s">
        <v>218</v>
      </c>
      <c r="B31" s="68" t="s">
        <v>1410</v>
      </c>
      <c r="C31" s="312" t="s">
        <v>1446</v>
      </c>
      <c r="D31" s="306" t="str">
        <f t="shared" si="0"/>
        <v>OK</v>
      </c>
      <c r="E31" s="37"/>
      <c r="F31" s="618" t="str">
        <f>Lifetimes!AK1</f>
        <v>TechHomeTextilesIU</v>
      </c>
    </row>
    <row r="32" spans="1:6">
      <c r="A32" s="330" t="s">
        <v>175</v>
      </c>
      <c r="B32" s="68" t="s">
        <v>1410</v>
      </c>
      <c r="C32" s="312" t="s">
        <v>1447</v>
      </c>
      <c r="D32" s="306" t="str">
        <f t="shared" si="0"/>
        <v>OK</v>
      </c>
      <c r="E32" s="37"/>
      <c r="F32" s="618" t="str">
        <f>Lifetimes!AL1</f>
        <v>MedicalTextiles</v>
      </c>
    </row>
    <row r="33" spans="1:6">
      <c r="A33" s="330" t="s">
        <v>1171</v>
      </c>
      <c r="B33" s="68" t="s">
        <v>1410</v>
      </c>
      <c r="C33" s="312" t="s">
        <v>1448</v>
      </c>
      <c r="D33" s="306" t="str">
        <f t="shared" si="0"/>
        <v>OK</v>
      </c>
      <c r="E33" s="37"/>
      <c r="F33" s="618" t="str">
        <f>Lifetimes!AM1</f>
        <v>AgrotextilesDis</v>
      </c>
    </row>
    <row r="34" spans="1:6">
      <c r="A34" s="330" t="s">
        <v>1449</v>
      </c>
      <c r="B34" s="68" t="s">
        <v>1410</v>
      </c>
      <c r="C34" s="312" t="s">
        <v>1450</v>
      </c>
      <c r="D34" s="306" t="str">
        <f t="shared" si="0"/>
        <v>OK</v>
      </c>
      <c r="E34" s="37"/>
      <c r="F34" s="618" t="str">
        <f>Lifetimes!AN1</f>
        <v>AgrotextilesIU</v>
      </c>
    </row>
    <row r="35" spans="1:6">
      <c r="A35" s="330" t="s">
        <v>1451</v>
      </c>
      <c r="B35" s="68" t="s">
        <v>1410</v>
      </c>
      <c r="C35" s="312" t="s">
        <v>1258</v>
      </c>
      <c r="D35" s="306" t="str">
        <f t="shared" ref="D35:D66" si="1">IF(B35=IF(COUNTIF($F$5:$F$209,C35),"Stock","Flow/Sink"),"OK",IF(B35="Stock","Compartment missing in Lifetimes_pairs",IF(IF(COUNTIF($F$5:$F$161,C35),"Stock","Flow/Sink")="Stock","Change Type of compartment to Stock","OK")))</f>
        <v>Change Type of compartment to Stock</v>
      </c>
      <c r="E35" s="37" t="s">
        <v>1429</v>
      </c>
      <c r="F35" s="618" t="str">
        <f>Lifetimes!AO1</f>
        <v>MobilityTextiles</v>
      </c>
    </row>
    <row r="36" spans="1:6">
      <c r="A36" s="330" t="s">
        <v>200</v>
      </c>
      <c r="B36" s="68" t="s">
        <v>1413</v>
      </c>
      <c r="C36" s="312" t="s">
        <v>1165</v>
      </c>
      <c r="D36" s="306" t="str">
        <f t="shared" si="1"/>
        <v>OK</v>
      </c>
      <c r="E36" s="594" t="s">
        <v>1452</v>
      </c>
      <c r="F36" s="618" t="str">
        <f>Lifetimes!AP1</f>
        <v>GeotextilesDis</v>
      </c>
    </row>
    <row r="37" spans="1:6">
      <c r="A37" s="330" t="s">
        <v>201</v>
      </c>
      <c r="B37" s="68" t="s">
        <v>1413</v>
      </c>
      <c r="C37" s="312" t="s">
        <v>1255</v>
      </c>
      <c r="D37" s="306" t="str">
        <f t="shared" si="1"/>
        <v>OK</v>
      </c>
      <c r="E37" s="594" t="s">
        <v>1452</v>
      </c>
      <c r="F37" s="618" t="str">
        <f>Lifetimes!AQ1</f>
        <v>GeotextilesIU</v>
      </c>
    </row>
    <row r="38" spans="1:6">
      <c r="A38" s="330" t="s">
        <v>202</v>
      </c>
      <c r="B38" s="68" t="s">
        <v>1413</v>
      </c>
      <c r="C38" s="312" t="s">
        <v>1166</v>
      </c>
      <c r="D38" s="306" t="str">
        <f t="shared" si="1"/>
        <v>OK</v>
      </c>
      <c r="E38" s="594" t="s">
        <v>1452</v>
      </c>
      <c r="F38" s="618" t="str">
        <f>Lifetimes!AR1</f>
        <v>BuildingTextilesDis</v>
      </c>
    </row>
    <row r="39" spans="1:6">
      <c r="A39" s="330" t="s">
        <v>1453</v>
      </c>
      <c r="B39" s="68" t="s">
        <v>1410</v>
      </c>
      <c r="C39" s="312" t="s">
        <v>1454</v>
      </c>
      <c r="D39" s="306" t="str">
        <f t="shared" si="1"/>
        <v>OK</v>
      </c>
      <c r="E39" s="37"/>
      <c r="F39" s="618" t="str">
        <f>Lifetimes!AS1</f>
        <v>BuildingTextilesIU</v>
      </c>
    </row>
    <row r="40" spans="1:6">
      <c r="A40" s="330" t="s">
        <v>1455</v>
      </c>
      <c r="B40" s="68" t="s">
        <v>1410</v>
      </c>
      <c r="C40" s="312" t="s">
        <v>1456</v>
      </c>
      <c r="D40" s="306" t="str">
        <f t="shared" si="1"/>
        <v>OK</v>
      </c>
      <c r="E40" s="37"/>
      <c r="F40" s="618" t="str">
        <f>Lifetimes!AT1</f>
        <v>OtherTechnicalTextiles</v>
      </c>
    </row>
    <row r="41" spans="1:6">
      <c r="A41" s="330" t="s">
        <v>1457</v>
      </c>
      <c r="B41" s="68" t="s">
        <v>1410</v>
      </c>
      <c r="C41" s="312" t="s">
        <v>1457</v>
      </c>
      <c r="D41" s="306" t="str">
        <f t="shared" si="1"/>
        <v>OK</v>
      </c>
      <c r="E41" s="37"/>
      <c r="F41" s="618" t="str">
        <f>Lifetimes!AU1</f>
        <v>TextileCoatingDis</v>
      </c>
    </row>
    <row r="42" spans="1:6">
      <c r="A42" s="330" t="s">
        <v>234</v>
      </c>
      <c r="B42" s="68" t="s">
        <v>1410</v>
      </c>
      <c r="C42" s="312" t="s">
        <v>1458</v>
      </c>
      <c r="D42" s="306" t="str">
        <f t="shared" si="1"/>
        <v>OK</v>
      </c>
      <c r="E42" s="37"/>
      <c r="F42" s="618" t="str">
        <f>Lifetimes!AV1</f>
        <v>TextileCoatingIU</v>
      </c>
    </row>
    <row r="43" spans="1:6">
      <c r="A43" s="330" t="s">
        <v>204</v>
      </c>
      <c r="B43" s="68" t="s">
        <v>1410</v>
      </c>
      <c r="C43" s="312" t="s">
        <v>204</v>
      </c>
      <c r="D43" s="306" t="str">
        <f t="shared" si="1"/>
        <v>OK</v>
      </c>
      <c r="E43" s="37"/>
      <c r="F43" s="618" t="str">
        <f>Lifetimes!AW1</f>
        <v>ConcreteProfInDis</v>
      </c>
    </row>
    <row r="44" spans="1:6">
      <c r="A44" s="330" t="s">
        <v>1459</v>
      </c>
      <c r="B44" s="68" t="s">
        <v>1410</v>
      </c>
      <c r="C44" s="312" t="s">
        <v>1459</v>
      </c>
      <c r="D44" s="306" t="str">
        <f t="shared" si="1"/>
        <v>OK</v>
      </c>
      <c r="E44" s="37"/>
      <c r="F44" s="618" t="str">
        <f>Lifetimes!AX1</f>
        <v>ConcreteProfInIU</v>
      </c>
    </row>
    <row r="45" spans="1:6">
      <c r="A45" s="330" t="s">
        <v>1460</v>
      </c>
      <c r="B45" s="68" t="s">
        <v>1410</v>
      </c>
      <c r="C45" s="312" t="s">
        <v>1461</v>
      </c>
      <c r="D45" s="306" t="str">
        <f t="shared" si="1"/>
        <v>OK</v>
      </c>
      <c r="E45" s="37"/>
      <c r="F45" s="618" t="str">
        <f>Lifetimes!AY1</f>
        <v>ConcreteProfOutDis</v>
      </c>
    </row>
    <row r="46" spans="1:6">
      <c r="A46" s="330" t="s">
        <v>243</v>
      </c>
      <c r="B46" s="68" t="s">
        <v>1416</v>
      </c>
      <c r="C46" s="312" t="s">
        <v>243</v>
      </c>
      <c r="D46" s="306" t="str">
        <f t="shared" si="1"/>
        <v>OK</v>
      </c>
      <c r="E46" s="37"/>
      <c r="F46" s="618" t="str">
        <f>Lifetimes!AZ1</f>
        <v>ConcreteProfOutIU</v>
      </c>
    </row>
    <row r="47" spans="1:6">
      <c r="A47" s="330" t="s">
        <v>1462</v>
      </c>
      <c r="B47" s="68" t="s">
        <v>1410</v>
      </c>
      <c r="C47" s="312" t="s">
        <v>1463</v>
      </c>
      <c r="D47" s="306" t="str">
        <f t="shared" si="1"/>
        <v>OK</v>
      </c>
      <c r="E47" s="37"/>
      <c r="F47" s="618" t="str">
        <f>Lifetimes!BA1</f>
        <v>LacquerDiyInDis</v>
      </c>
    </row>
    <row r="48" spans="1:6">
      <c r="A48" s="330" t="s">
        <v>178</v>
      </c>
      <c r="B48" s="68" t="s">
        <v>1410</v>
      </c>
      <c r="C48" s="312" t="s">
        <v>1464</v>
      </c>
      <c r="D48" s="306" t="str">
        <f t="shared" si="1"/>
        <v>OK</v>
      </c>
      <c r="E48" s="37"/>
      <c r="F48" s="618" t="str">
        <f>Lifetimes!BB1</f>
        <v>LacquerDiyInIU</v>
      </c>
    </row>
    <row r="49" spans="1:6">
      <c r="A49" s="502" t="s">
        <v>245</v>
      </c>
      <c r="B49" s="68" t="s">
        <v>1416</v>
      </c>
      <c r="C49" s="312" t="s">
        <v>245</v>
      </c>
      <c r="D49" s="306" t="str">
        <f t="shared" si="1"/>
        <v>OK</v>
      </c>
      <c r="E49" s="37"/>
      <c r="F49" s="618" t="str">
        <f>Lifetimes!BC1</f>
        <v>LacquerDiyOutDis</v>
      </c>
    </row>
    <row r="50" spans="1:6">
      <c r="A50" s="330" t="s">
        <v>1465</v>
      </c>
      <c r="B50" s="68" t="s">
        <v>1410</v>
      </c>
      <c r="C50" s="312" t="s">
        <v>1466</v>
      </c>
      <c r="D50" s="306" t="str">
        <f t="shared" si="1"/>
        <v>OK</v>
      </c>
      <c r="E50" s="37"/>
      <c r="F50" s="618" t="str">
        <f>Lifetimes!BD1</f>
        <v>LacquerDiyOutIU</v>
      </c>
    </row>
    <row r="51" spans="1:6">
      <c r="A51" s="330" t="s">
        <v>1467</v>
      </c>
      <c r="B51" s="68" t="s">
        <v>1410</v>
      </c>
      <c r="C51" s="312" t="s">
        <v>1468</v>
      </c>
      <c r="D51" s="306" t="str">
        <f t="shared" si="1"/>
        <v>OK</v>
      </c>
      <c r="E51" s="37"/>
      <c r="F51" s="618" t="str">
        <f>Lifetimes!BE1</f>
        <v>LacquerProfInDis</v>
      </c>
    </row>
    <row r="52" spans="1:6">
      <c r="A52" s="330" t="s">
        <v>1469</v>
      </c>
      <c r="B52" s="68" t="s">
        <v>1410</v>
      </c>
      <c r="C52" s="312" t="s">
        <v>1469</v>
      </c>
      <c r="D52" s="306" t="str">
        <f t="shared" si="1"/>
        <v>OK</v>
      </c>
      <c r="E52" s="37"/>
      <c r="F52" s="618" t="str">
        <f>Lifetimes!BF1</f>
        <v>LacquerProfInIU</v>
      </c>
    </row>
    <row r="53" spans="1:6">
      <c r="A53" s="330" t="s">
        <v>185</v>
      </c>
      <c r="B53" s="68" t="s">
        <v>1410</v>
      </c>
      <c r="C53" s="312" t="s">
        <v>185</v>
      </c>
      <c r="D53" s="306" t="str">
        <f t="shared" si="1"/>
        <v>OK</v>
      </c>
      <c r="E53" s="37"/>
      <c r="F53" s="618" t="str">
        <f>Lifetimes!BG1</f>
        <v>LacquerProfOutDis</v>
      </c>
    </row>
    <row r="54" spans="1:6">
      <c r="A54" s="330" t="s">
        <v>1470</v>
      </c>
      <c r="B54" s="68" t="s">
        <v>1410</v>
      </c>
      <c r="C54" s="312" t="s">
        <v>1256</v>
      </c>
      <c r="D54" s="306" t="str">
        <f t="shared" si="1"/>
        <v>Change Type of compartment to Stock</v>
      </c>
      <c r="E54" s="37" t="s">
        <v>1429</v>
      </c>
      <c r="F54" s="618" t="str">
        <f>Lifetimes!BH1</f>
        <v>LacquerProfOutIU</v>
      </c>
    </row>
    <row r="55" spans="1:6">
      <c r="A55" s="330" t="s">
        <v>1471</v>
      </c>
      <c r="B55" s="68" t="s">
        <v>1410</v>
      </c>
      <c r="C55" s="312" t="s">
        <v>1472</v>
      </c>
      <c r="D55" s="306" t="str">
        <f t="shared" si="1"/>
        <v>OK</v>
      </c>
      <c r="E55" s="37"/>
      <c r="F55" s="618" t="str">
        <f>Lifetimes!BI1</f>
        <v>OtherPaintUsesDiyInDis</v>
      </c>
    </row>
    <row r="56" spans="1:6">
      <c r="A56" s="330" t="s">
        <v>112</v>
      </c>
      <c r="B56" s="68" t="s">
        <v>1410</v>
      </c>
      <c r="C56" s="312" t="s">
        <v>1473</v>
      </c>
      <c r="D56" s="306" t="str">
        <f t="shared" si="1"/>
        <v>OK</v>
      </c>
      <c r="E56" s="37"/>
      <c r="F56" s="618" t="str">
        <f>Lifetimes!BJ1</f>
        <v>OtherPaintUsesDiyInIU</v>
      </c>
    </row>
    <row r="57" spans="1:6">
      <c r="A57" s="330" t="s">
        <v>1474</v>
      </c>
      <c r="B57" s="68" t="s">
        <v>1410</v>
      </c>
      <c r="C57" s="312" t="s">
        <v>1475</v>
      </c>
      <c r="D57" s="306" t="str">
        <f t="shared" si="1"/>
        <v>OK</v>
      </c>
      <c r="E57" s="37"/>
      <c r="F57" s="618" t="str">
        <f>Lifetimes!BK1</f>
        <v>OtherPaintUsesDiyOutDis</v>
      </c>
    </row>
    <row r="58" spans="1:6">
      <c r="A58" s="330" t="s">
        <v>179</v>
      </c>
      <c r="B58" s="68" t="s">
        <v>1410</v>
      </c>
      <c r="C58" s="312" t="s">
        <v>179</v>
      </c>
      <c r="D58" s="306" t="str">
        <f t="shared" si="1"/>
        <v>OK</v>
      </c>
      <c r="E58" s="37"/>
      <c r="F58" s="618" t="str">
        <f>Lifetimes!BL1</f>
        <v>OtherPaintUsesDiyOutIU</v>
      </c>
    </row>
    <row r="59" spans="1:6">
      <c r="A59" s="330" t="s">
        <v>228</v>
      </c>
      <c r="B59" s="68" t="s">
        <v>1410</v>
      </c>
      <c r="C59" s="312" t="s">
        <v>1476</v>
      </c>
      <c r="D59" s="306" t="str">
        <f t="shared" si="1"/>
        <v>OK</v>
      </c>
      <c r="E59" s="37"/>
      <c r="F59" s="618" t="str">
        <f>Lifetimes!BM1</f>
        <v>OtherPaintUsesProfInDis</v>
      </c>
    </row>
    <row r="60" spans="1:6">
      <c r="A60" s="330" t="s">
        <v>304</v>
      </c>
      <c r="B60" s="68" t="s">
        <v>1410</v>
      </c>
      <c r="C60" s="312" t="s">
        <v>1477</v>
      </c>
      <c r="D60" s="306" t="str">
        <f t="shared" si="1"/>
        <v>OK</v>
      </c>
      <c r="E60" s="37"/>
      <c r="F60" s="618" t="str">
        <f>Lifetimes!BN1</f>
        <v>OtherPaintUsesProfInIU</v>
      </c>
    </row>
    <row r="61" spans="1:6">
      <c r="A61" s="330" t="s">
        <v>1170</v>
      </c>
      <c r="B61" s="68" t="s">
        <v>1410</v>
      </c>
      <c r="C61" s="312" t="s">
        <v>1478</v>
      </c>
      <c r="D61" s="306" t="str">
        <f t="shared" si="1"/>
        <v>OK</v>
      </c>
      <c r="E61" s="37"/>
      <c r="F61" s="618" t="str">
        <f>Lifetimes!BO1</f>
        <v>OtherPaintUsesProfOutDis</v>
      </c>
    </row>
    <row r="62" spans="1:6">
      <c r="A62" s="330" t="s">
        <v>1479</v>
      </c>
      <c r="B62" s="68" t="s">
        <v>1410</v>
      </c>
      <c r="C62" s="312" t="s">
        <v>1480</v>
      </c>
      <c r="D62" s="306" t="str">
        <f t="shared" si="1"/>
        <v>OK</v>
      </c>
      <c r="E62" s="37"/>
      <c r="F62" s="618" t="str">
        <f>Lifetimes!BP1</f>
        <v>OtherPaintUsesProfOutIU</v>
      </c>
    </row>
    <row r="63" spans="1:6">
      <c r="A63" s="330" t="s">
        <v>184</v>
      </c>
      <c r="B63" s="68" t="s">
        <v>1416</v>
      </c>
      <c r="C63" s="312" t="s">
        <v>184</v>
      </c>
      <c r="D63" s="306" t="str">
        <f t="shared" si="1"/>
        <v>OK</v>
      </c>
      <c r="E63" s="37"/>
      <c r="F63" s="618" t="str">
        <f>Lifetimes!BQ1</f>
        <v>PaintsPreMadeWoodInDis</v>
      </c>
    </row>
    <row r="64" spans="1:6">
      <c r="A64" s="330" t="s">
        <v>1481</v>
      </c>
      <c r="B64" s="68" t="s">
        <v>1410</v>
      </c>
      <c r="C64" s="312" t="s">
        <v>1482</v>
      </c>
      <c r="D64" s="306" t="str">
        <f t="shared" si="1"/>
        <v>OK</v>
      </c>
      <c r="E64" s="37"/>
      <c r="F64" s="618" t="str">
        <f>Lifetimes!BR1</f>
        <v>PaintsPreMadeWoodInIU</v>
      </c>
    </row>
    <row r="65" spans="1:6">
      <c r="A65" s="330" t="s">
        <v>322</v>
      </c>
      <c r="B65" s="68" t="s">
        <v>1410</v>
      </c>
      <c r="C65" s="312" t="s">
        <v>1483</v>
      </c>
      <c r="D65" s="306" t="str">
        <f t="shared" si="1"/>
        <v>OK</v>
      </c>
      <c r="E65" s="37"/>
      <c r="F65" s="618" t="str">
        <f>Lifetimes!BS1</f>
        <v>PaintsPreMadeWoodOutDis</v>
      </c>
    </row>
    <row r="66" spans="1:6">
      <c r="A66" s="330" t="s">
        <v>326</v>
      </c>
      <c r="B66" s="68" t="s">
        <v>1410</v>
      </c>
      <c r="C66" s="312" t="s">
        <v>1484</v>
      </c>
      <c r="D66" s="306" t="str">
        <f t="shared" si="1"/>
        <v>OK</v>
      </c>
      <c r="E66" s="37"/>
      <c r="F66" s="618" t="str">
        <f>Lifetimes!BT1</f>
        <v>PaintsPreMadeWoodOutIU</v>
      </c>
    </row>
    <row r="67" spans="1:6">
      <c r="A67" s="330" t="s">
        <v>315</v>
      </c>
      <c r="B67" s="68" t="s">
        <v>1410</v>
      </c>
      <c r="C67" s="312" t="s">
        <v>1485</v>
      </c>
      <c r="D67" s="306" t="str">
        <f t="shared" ref="D67:D98" si="2">IF(B67=IF(COUNTIF($F$5:$F$209,C67),"Stock","Flow/Sink"),"OK",IF(B67="Stock","Compartment missing in Lifetimes_pairs",IF(IF(COUNTIF($F$5:$F$161,C67),"Stock","Flow/Sink")="Stock","Change Type of compartment to Stock","OK")))</f>
        <v>OK</v>
      </c>
      <c r="E67" s="37"/>
      <c r="F67" s="618" t="str">
        <f>Lifetimes!BU1</f>
        <v>PlasterDiyInDis</v>
      </c>
    </row>
    <row r="68" spans="1:6">
      <c r="A68" s="330" t="s">
        <v>223</v>
      </c>
      <c r="B68" s="68" t="s">
        <v>1410</v>
      </c>
      <c r="C68" s="312" t="s">
        <v>1486</v>
      </c>
      <c r="D68" s="306" t="str">
        <f t="shared" si="2"/>
        <v>OK</v>
      </c>
      <c r="E68" s="37"/>
      <c r="F68" s="618" t="str">
        <f>Lifetimes!BV1</f>
        <v>PlasterDiyInIU</v>
      </c>
    </row>
    <row r="69" spans="1:6">
      <c r="A69" s="330" t="s">
        <v>348</v>
      </c>
      <c r="B69" s="68" t="s">
        <v>1413</v>
      </c>
      <c r="C69" s="312" t="s">
        <v>1271</v>
      </c>
      <c r="D69" s="306" t="str">
        <f t="shared" si="2"/>
        <v>OK</v>
      </c>
      <c r="E69" s="37"/>
      <c r="F69" s="618" t="str">
        <f>Lifetimes!BW1</f>
        <v>PlasterDiyOutDis</v>
      </c>
    </row>
    <row r="70" spans="1:6">
      <c r="A70" s="330" t="s">
        <v>342</v>
      </c>
      <c r="B70" s="68" t="s">
        <v>1416</v>
      </c>
      <c r="C70" s="312" t="s">
        <v>1487</v>
      </c>
      <c r="D70" s="306" t="str">
        <f t="shared" si="2"/>
        <v>OK</v>
      </c>
      <c r="E70" s="37"/>
      <c r="F70" s="618" t="str">
        <f>Lifetimes!BX1</f>
        <v>PlasterDiyOutIU</v>
      </c>
    </row>
    <row r="71" spans="1:6">
      <c r="A71" s="330" t="s">
        <v>361</v>
      </c>
      <c r="B71" s="68" t="s">
        <v>1416</v>
      </c>
      <c r="C71" s="312" t="s">
        <v>1488</v>
      </c>
      <c r="D71" s="306" t="str">
        <f t="shared" si="2"/>
        <v>OK</v>
      </c>
      <c r="E71" s="37"/>
      <c r="F71" s="618" t="str">
        <f>Lifetimes!BY1</f>
        <v>PlasterProfInDis</v>
      </c>
    </row>
    <row r="72" spans="1:6">
      <c r="A72" s="330" t="s">
        <v>235</v>
      </c>
      <c r="B72" s="68" t="s">
        <v>1413</v>
      </c>
      <c r="C72" s="312" t="s">
        <v>1167</v>
      </c>
      <c r="D72" s="306" t="str">
        <f t="shared" si="2"/>
        <v>OK</v>
      </c>
      <c r="E72" s="594"/>
      <c r="F72" s="618" t="str">
        <f>Lifetimes!BZ1</f>
        <v>PlasterProfInIU</v>
      </c>
    </row>
    <row r="73" spans="1:6">
      <c r="A73" s="330" t="s">
        <v>1489</v>
      </c>
      <c r="B73" s="68" t="s">
        <v>1410</v>
      </c>
      <c r="C73" s="312" t="s">
        <v>1490</v>
      </c>
      <c r="D73" s="306" t="str">
        <f t="shared" si="2"/>
        <v>OK</v>
      </c>
      <c r="E73" s="37"/>
      <c r="F73" s="618" t="str">
        <f>Lifetimes!CA1</f>
        <v>PlasterProfOutDis</v>
      </c>
    </row>
    <row r="74" spans="1:6">
      <c r="A74" s="330" t="s">
        <v>1491</v>
      </c>
      <c r="B74" s="68" t="s">
        <v>1410</v>
      </c>
      <c r="C74" s="312" t="s">
        <v>1492</v>
      </c>
      <c r="D74" s="306" t="str">
        <f t="shared" si="2"/>
        <v>OK</v>
      </c>
      <c r="E74" s="37"/>
      <c r="F74" s="618" t="str">
        <f>Lifetimes!CB1</f>
        <v>PlasterProfOutIU</v>
      </c>
    </row>
    <row r="75" spans="1:6">
      <c r="A75" s="330" t="s">
        <v>1493</v>
      </c>
      <c r="B75" s="68" t="s">
        <v>1410</v>
      </c>
      <c r="C75" s="312" t="s">
        <v>1494</v>
      </c>
      <c r="D75" s="306" t="str">
        <f t="shared" si="2"/>
        <v>OK</v>
      </c>
      <c r="E75" s="37"/>
      <c r="F75" s="618" t="str">
        <f>Lifetimes!CC1</f>
        <v>ShipProfDis</v>
      </c>
    </row>
    <row r="76" spans="1:6">
      <c r="A76" s="330" t="s">
        <v>368</v>
      </c>
      <c r="B76" s="68" t="s">
        <v>1410</v>
      </c>
      <c r="C76" s="312" t="s">
        <v>1495</v>
      </c>
      <c r="D76" s="306" t="str">
        <f t="shared" si="2"/>
        <v>OK</v>
      </c>
      <c r="E76" s="37"/>
      <c r="F76" s="618" t="str">
        <f>Lifetimes!CD1</f>
        <v>ShipProfIU</v>
      </c>
    </row>
    <row r="77" spans="1:6">
      <c r="A77" s="330" t="s">
        <v>324</v>
      </c>
      <c r="B77" s="68" t="s">
        <v>1410</v>
      </c>
      <c r="C77" s="312" t="s">
        <v>1496</v>
      </c>
      <c r="D77" s="306" t="str">
        <f t="shared" si="2"/>
        <v>OK</v>
      </c>
      <c r="E77" s="37"/>
      <c r="F77" s="618" t="str">
        <f>Lifetimes!CE1</f>
        <v>ShipDiyDis</v>
      </c>
    </row>
    <row r="78" spans="1:6">
      <c r="A78" s="330" t="s">
        <v>327</v>
      </c>
      <c r="B78" s="68" t="s">
        <v>1410</v>
      </c>
      <c r="C78" s="312" t="s">
        <v>1497</v>
      </c>
      <c r="D78" s="306" t="str">
        <f t="shared" si="2"/>
        <v>OK</v>
      </c>
      <c r="E78" s="37"/>
      <c r="F78" s="618" t="str">
        <f>Lifetimes!CF1</f>
        <v>ShipDiyIU</v>
      </c>
    </row>
    <row r="79" spans="1:6">
      <c r="A79" s="330" t="s">
        <v>335</v>
      </c>
      <c r="B79" s="68" t="s">
        <v>1410</v>
      </c>
      <c r="C79" s="312" t="s">
        <v>1498</v>
      </c>
      <c r="D79" s="306" t="str">
        <f t="shared" si="2"/>
        <v>OK</v>
      </c>
      <c r="E79" s="37"/>
      <c r="F79" s="618" t="str">
        <f>Lifetimes!CG1</f>
        <v>WallPaintDiyIndoorAppliedDis</v>
      </c>
    </row>
    <row r="80" spans="1:6">
      <c r="A80" s="330" t="s">
        <v>203</v>
      </c>
      <c r="B80" s="68" t="s">
        <v>1413</v>
      </c>
      <c r="C80" s="312" t="s">
        <v>1075</v>
      </c>
      <c r="D80" s="306" t="str">
        <f t="shared" si="2"/>
        <v>OK</v>
      </c>
      <c r="E80" s="594"/>
      <c r="F80" s="618" t="str">
        <f>Lifetimes!CH1</f>
        <v>WallPaintDiyIndoorAppliedIU</v>
      </c>
    </row>
    <row r="81" spans="1:6">
      <c r="A81" s="330" t="s">
        <v>236</v>
      </c>
      <c r="B81" s="68" t="s">
        <v>1413</v>
      </c>
      <c r="C81" s="312" t="s">
        <v>1169</v>
      </c>
      <c r="D81" s="306" t="str">
        <f t="shared" si="2"/>
        <v>OK</v>
      </c>
      <c r="E81" s="594"/>
      <c r="F81" s="618" t="str">
        <f>Lifetimes!CI1</f>
        <v>WallPaintDiyOutDis</v>
      </c>
    </row>
    <row r="82" spans="1:6">
      <c r="A82" s="330" t="s">
        <v>237</v>
      </c>
      <c r="B82" s="68" t="s">
        <v>1413</v>
      </c>
      <c r="C82" s="312" t="s">
        <v>1168</v>
      </c>
      <c r="D82" s="306" t="str">
        <f t="shared" si="2"/>
        <v>OK</v>
      </c>
      <c r="E82" s="594"/>
      <c r="F82" s="619" t="str">
        <f>Lifetimes!CJ1</f>
        <v>WallPaintDiyOutIU</v>
      </c>
    </row>
    <row r="83" spans="1:6">
      <c r="A83" s="330" t="s">
        <v>1499</v>
      </c>
      <c r="B83" s="68" t="s">
        <v>1410</v>
      </c>
      <c r="C83" s="312" t="s">
        <v>127</v>
      </c>
      <c r="D83" s="306" t="str">
        <f t="shared" si="2"/>
        <v>OK</v>
      </c>
      <c r="E83" s="37"/>
      <c r="F83" s="619" t="str">
        <f>Lifetimes!CK1</f>
        <v>WallPaintProfInDis</v>
      </c>
    </row>
    <row r="84" spans="1:6">
      <c r="A84" s="330" t="s">
        <v>1500</v>
      </c>
      <c r="B84" s="68" t="s">
        <v>1410</v>
      </c>
      <c r="C84" s="312" t="s">
        <v>1257</v>
      </c>
      <c r="D84" s="306" t="str">
        <f t="shared" si="2"/>
        <v>Change Type of compartment to Stock</v>
      </c>
      <c r="E84" s="37" t="s">
        <v>1429</v>
      </c>
      <c r="F84" s="619" t="str">
        <f>Lifetimes!CL1</f>
        <v>WallPaintProfInIU</v>
      </c>
    </row>
    <row r="85" spans="1:6">
      <c r="A85" s="330" t="s">
        <v>238</v>
      </c>
      <c r="B85" s="68" t="s">
        <v>1413</v>
      </c>
      <c r="C85" s="312" t="s">
        <v>1276</v>
      </c>
      <c r="D85" s="306" t="str">
        <f t="shared" si="2"/>
        <v>OK</v>
      </c>
      <c r="E85" s="37"/>
      <c r="F85" s="619" t="str">
        <f>Lifetimes!CM1</f>
        <v>WallPaintProfOutDis</v>
      </c>
    </row>
    <row r="86" spans="1:6">
      <c r="A86" s="330" t="s">
        <v>231</v>
      </c>
      <c r="B86" s="370" t="s">
        <v>1416</v>
      </c>
      <c r="C86" s="312" t="s">
        <v>1501</v>
      </c>
      <c r="D86" s="306" t="str">
        <f t="shared" si="2"/>
        <v>OK</v>
      </c>
      <c r="E86" s="37"/>
      <c r="F86" s="619" t="str">
        <f>Lifetimes!CN1</f>
        <v>WallPaintProfOutIU</v>
      </c>
    </row>
    <row r="87" spans="1:6">
      <c r="A87" s="330" t="s">
        <v>39</v>
      </c>
      <c r="B87" s="68" t="s">
        <v>1410</v>
      </c>
      <c r="C87" s="312" t="s">
        <v>39</v>
      </c>
      <c r="D87" s="306" t="str">
        <f t="shared" si="2"/>
        <v>OK</v>
      </c>
      <c r="E87" s="37"/>
      <c r="F87" s="619" t="str">
        <f>Lifetimes!CO1</f>
        <v>WoodStainDiyInDis</v>
      </c>
    </row>
    <row r="88" spans="1:6">
      <c r="A88" s="330" t="s">
        <v>244</v>
      </c>
      <c r="B88" s="68" t="s">
        <v>1410</v>
      </c>
      <c r="C88" s="312" t="s">
        <v>1502</v>
      </c>
      <c r="D88" s="306" t="str">
        <f t="shared" si="2"/>
        <v>OK</v>
      </c>
      <c r="E88" s="37"/>
      <c r="F88" s="619" t="str">
        <f>Lifetimes!CP1</f>
        <v>WoodStainDiyInIU</v>
      </c>
    </row>
    <row r="89" spans="1:6">
      <c r="A89" s="330" t="s">
        <v>283</v>
      </c>
      <c r="B89" s="68" t="s">
        <v>1410</v>
      </c>
      <c r="C89" s="312" t="s">
        <v>1503</v>
      </c>
      <c r="D89" s="306" t="str">
        <f t="shared" si="2"/>
        <v>OK</v>
      </c>
      <c r="E89" s="37"/>
      <c r="F89" s="619" t="str">
        <f>Lifetimes!CQ1</f>
        <v>WoodStainDiyOutDis</v>
      </c>
    </row>
    <row r="90" spans="1:6">
      <c r="A90" s="330" t="s">
        <v>239</v>
      </c>
      <c r="B90" s="68" t="s">
        <v>1410</v>
      </c>
      <c r="C90" s="312" t="s">
        <v>1504</v>
      </c>
      <c r="D90" s="306" t="str">
        <f t="shared" si="2"/>
        <v>OK</v>
      </c>
      <c r="E90" s="37"/>
      <c r="F90" s="619" t="str">
        <f>Lifetimes!CR1</f>
        <v>WoodStainDiyOutIU</v>
      </c>
    </row>
    <row r="91" spans="1:6">
      <c r="A91" s="330" t="s">
        <v>354</v>
      </c>
      <c r="B91" s="68" t="s">
        <v>1410</v>
      </c>
      <c r="C91" s="312" t="s">
        <v>354</v>
      </c>
      <c r="D91" s="306" t="str">
        <f t="shared" si="2"/>
        <v>OK</v>
      </c>
      <c r="E91" s="594"/>
      <c r="F91" s="619" t="str">
        <f>Lifetimes!CS1</f>
        <v>WoodStainProfInDis</v>
      </c>
    </row>
    <row r="92" spans="1:6">
      <c r="A92" s="330" t="s">
        <v>1505</v>
      </c>
      <c r="B92" s="68" t="s">
        <v>1410</v>
      </c>
      <c r="C92" s="312" t="s">
        <v>1506</v>
      </c>
      <c r="D92" s="306" t="str">
        <f t="shared" si="2"/>
        <v>OK</v>
      </c>
      <c r="E92" s="37"/>
      <c r="F92" s="619" t="str">
        <f>Lifetimes!CT1</f>
        <v>WoodStainProfInIU</v>
      </c>
    </row>
    <row r="93" spans="1:6">
      <c r="A93" s="330" t="s">
        <v>1507</v>
      </c>
      <c r="B93" s="68" t="s">
        <v>1410</v>
      </c>
      <c r="C93" s="312" t="s">
        <v>1508</v>
      </c>
      <c r="D93" s="306" t="str">
        <f t="shared" si="2"/>
        <v>OK</v>
      </c>
      <c r="E93" s="37"/>
      <c r="F93" s="619" t="str">
        <f>Lifetimes!CU1</f>
        <v>WoodStainProfOutDis</v>
      </c>
    </row>
    <row r="94" spans="1:6" ht="15.75" thickBot="1">
      <c r="A94" s="330" t="s">
        <v>1175</v>
      </c>
      <c r="B94" s="68" t="s">
        <v>1410</v>
      </c>
      <c r="C94" s="312" t="s">
        <v>1509</v>
      </c>
      <c r="D94" s="306" t="str">
        <f t="shared" si="2"/>
        <v>OK</v>
      </c>
      <c r="E94" s="37"/>
      <c r="F94" s="620" t="str">
        <f>Lifetimes!CV1</f>
        <v>WoodStainProfOutIU</v>
      </c>
    </row>
    <row r="95" spans="1:6">
      <c r="A95" s="330" t="s">
        <v>385</v>
      </c>
      <c r="B95" s="68" t="s">
        <v>1410</v>
      </c>
      <c r="C95" s="312" t="s">
        <v>1510</v>
      </c>
      <c r="D95" s="306" t="str">
        <f t="shared" si="2"/>
        <v>OK</v>
      </c>
      <c r="E95" s="37"/>
      <c r="F95"/>
    </row>
    <row r="96" spans="1:6">
      <c r="A96" s="330" t="s">
        <v>386</v>
      </c>
      <c r="B96" s="68" t="s">
        <v>1410</v>
      </c>
      <c r="C96" s="312" t="s">
        <v>1511</v>
      </c>
      <c r="D96" s="306" t="str">
        <f t="shared" si="2"/>
        <v>OK</v>
      </c>
      <c r="E96" s="37"/>
      <c r="F96"/>
    </row>
    <row r="97" spans="1:6">
      <c r="A97" s="330" t="s">
        <v>1512</v>
      </c>
      <c r="B97" s="68" t="s">
        <v>1410</v>
      </c>
      <c r="C97" s="312" t="s">
        <v>1513</v>
      </c>
      <c r="D97" s="306" t="str">
        <f t="shared" si="2"/>
        <v>OK</v>
      </c>
      <c r="E97" s="37"/>
      <c r="F97"/>
    </row>
    <row r="98" spans="1:6">
      <c r="A98" s="330" t="s">
        <v>176</v>
      </c>
      <c r="B98" s="68" t="s">
        <v>1416</v>
      </c>
      <c r="C98" s="312" t="s">
        <v>1514</v>
      </c>
      <c r="D98" s="306" t="str">
        <f t="shared" si="2"/>
        <v>OK</v>
      </c>
      <c r="E98" s="37"/>
      <c r="F98"/>
    </row>
    <row r="99" spans="1:6">
      <c r="A99" s="330" t="s">
        <v>251</v>
      </c>
      <c r="B99" s="68" t="s">
        <v>1416</v>
      </c>
      <c r="C99" s="312" t="s">
        <v>1515</v>
      </c>
      <c r="D99" s="306" t="str">
        <f t="shared" ref="D99:D130" si="3">IF(B99=IF(COUNTIF($F$5:$F$209,C99),"Stock","Flow/Sink"),"OK",IF(B99="Stock","Compartment missing in Lifetimes_pairs",IF(IF(COUNTIF($F$5:$F$161,C99),"Stock","Flow/Sink")="Stock","Change Type of compartment to Stock","OK")))</f>
        <v>OK</v>
      </c>
      <c r="E99" s="37"/>
      <c r="F99"/>
    </row>
    <row r="100" spans="1:6">
      <c r="A100" s="330" t="s">
        <v>418</v>
      </c>
      <c r="B100" s="68" t="s">
        <v>1416</v>
      </c>
      <c r="C100" s="312" t="s">
        <v>1516</v>
      </c>
      <c r="D100" s="306" t="str">
        <f t="shared" si="3"/>
        <v>OK</v>
      </c>
      <c r="E100" s="37"/>
      <c r="F100"/>
    </row>
    <row r="101" spans="1:6">
      <c r="A101" s="330" t="s">
        <v>1517</v>
      </c>
      <c r="B101" s="68" t="s">
        <v>1410</v>
      </c>
      <c r="C101" s="312" t="s">
        <v>1518</v>
      </c>
      <c r="D101" s="306" t="str">
        <f t="shared" si="3"/>
        <v>OK</v>
      </c>
      <c r="E101" s="37"/>
      <c r="F101"/>
    </row>
    <row r="102" spans="1:6">
      <c r="A102" s="330" t="s">
        <v>1519</v>
      </c>
      <c r="B102" s="68" t="s">
        <v>1410</v>
      </c>
      <c r="C102" s="312" t="s">
        <v>1520</v>
      </c>
      <c r="D102" s="306" t="str">
        <f t="shared" si="3"/>
        <v>OK</v>
      </c>
      <c r="E102" s="37"/>
      <c r="F102"/>
    </row>
    <row r="103" spans="1:6">
      <c r="A103" s="330" t="s">
        <v>248</v>
      </c>
      <c r="B103" s="68" t="s">
        <v>1416</v>
      </c>
      <c r="C103" s="312" t="s">
        <v>1521</v>
      </c>
      <c r="D103" s="306" t="str">
        <f t="shared" si="3"/>
        <v>OK</v>
      </c>
      <c r="E103" s="37"/>
      <c r="F103"/>
    </row>
    <row r="104" spans="1:6">
      <c r="A104" s="330" t="s">
        <v>400</v>
      </c>
      <c r="B104" s="68" t="s">
        <v>1410</v>
      </c>
      <c r="C104" s="312" t="s">
        <v>1522</v>
      </c>
      <c r="D104" s="306" t="str">
        <f t="shared" si="3"/>
        <v>OK</v>
      </c>
      <c r="E104" s="37"/>
      <c r="F104"/>
    </row>
    <row r="105" spans="1:6">
      <c r="A105" s="330" t="s">
        <v>402</v>
      </c>
      <c r="B105" s="68" t="s">
        <v>1410</v>
      </c>
      <c r="C105" s="312" t="s">
        <v>1523</v>
      </c>
      <c r="D105" s="306" t="str">
        <f t="shared" si="3"/>
        <v>OK</v>
      </c>
      <c r="E105" s="37"/>
      <c r="F105"/>
    </row>
    <row r="106" spans="1:6">
      <c r="A106" s="330" t="s">
        <v>1524</v>
      </c>
      <c r="B106" s="68" t="s">
        <v>1410</v>
      </c>
      <c r="C106" s="312" t="s">
        <v>1525</v>
      </c>
      <c r="D106" s="306" t="str">
        <f t="shared" si="3"/>
        <v>OK</v>
      </c>
      <c r="E106" s="37"/>
      <c r="F106"/>
    </row>
    <row r="107" spans="1:6">
      <c r="A107" s="330" t="s">
        <v>1526</v>
      </c>
      <c r="B107" s="68" t="s">
        <v>1410</v>
      </c>
      <c r="C107" s="312" t="s">
        <v>1527</v>
      </c>
      <c r="D107" s="306" t="str">
        <f t="shared" si="3"/>
        <v>OK</v>
      </c>
      <c r="E107" s="37"/>
      <c r="F107"/>
    </row>
    <row r="108" spans="1:6">
      <c r="A108" s="330" t="s">
        <v>284</v>
      </c>
      <c r="B108" s="68" t="s">
        <v>1410</v>
      </c>
      <c r="C108" s="312" t="s">
        <v>1528</v>
      </c>
      <c r="D108" s="306" t="str">
        <f t="shared" si="3"/>
        <v>OK</v>
      </c>
      <c r="E108" s="37"/>
      <c r="F108"/>
    </row>
    <row r="109" spans="1:6">
      <c r="A109" s="330" t="s">
        <v>286</v>
      </c>
      <c r="B109" s="68" t="s">
        <v>1410</v>
      </c>
      <c r="C109" s="312" t="s">
        <v>1529</v>
      </c>
      <c r="D109" s="306" t="str">
        <f t="shared" si="3"/>
        <v>OK</v>
      </c>
      <c r="E109" s="37"/>
      <c r="F109"/>
    </row>
    <row r="110" spans="1:6">
      <c r="A110" s="330" t="s">
        <v>264</v>
      </c>
      <c r="B110" s="68" t="s">
        <v>1410</v>
      </c>
      <c r="C110" s="312" t="s">
        <v>1530</v>
      </c>
      <c r="D110" s="306" t="str">
        <f t="shared" si="3"/>
        <v>OK</v>
      </c>
      <c r="E110" s="37"/>
      <c r="F110"/>
    </row>
    <row r="111" spans="1:6">
      <c r="A111" s="330" t="s">
        <v>266</v>
      </c>
      <c r="B111" s="68" t="s">
        <v>1410</v>
      </c>
      <c r="C111" s="312" t="s">
        <v>1531</v>
      </c>
      <c r="D111" s="306" t="str">
        <f t="shared" si="3"/>
        <v>OK</v>
      </c>
      <c r="E111" s="37"/>
      <c r="F111"/>
    </row>
    <row r="112" spans="1:6">
      <c r="A112" s="330" t="s">
        <v>1532</v>
      </c>
      <c r="B112" s="68" t="s">
        <v>1410</v>
      </c>
      <c r="C112" s="312" t="s">
        <v>1532</v>
      </c>
      <c r="D112" s="306" t="str">
        <f t="shared" si="3"/>
        <v>OK</v>
      </c>
      <c r="E112" s="37"/>
      <c r="F112"/>
    </row>
    <row r="113" spans="1:6">
      <c r="A113" s="330" t="s">
        <v>188</v>
      </c>
      <c r="B113" s="68" t="s">
        <v>1416</v>
      </c>
      <c r="C113" s="312" t="s">
        <v>1533</v>
      </c>
      <c r="D113" s="306" t="str">
        <f t="shared" si="3"/>
        <v>OK</v>
      </c>
      <c r="E113" s="37"/>
      <c r="F113"/>
    </row>
    <row r="114" spans="1:6">
      <c r="A114" s="330" t="s">
        <v>265</v>
      </c>
      <c r="B114" s="68" t="s">
        <v>1416</v>
      </c>
      <c r="C114" s="312" t="s">
        <v>1534</v>
      </c>
      <c r="D114" s="306" t="str">
        <f t="shared" si="3"/>
        <v>OK</v>
      </c>
      <c r="E114" s="37"/>
      <c r="F114"/>
    </row>
    <row r="115" spans="1:6">
      <c r="A115" s="330" t="s">
        <v>258</v>
      </c>
      <c r="B115" s="68" t="s">
        <v>1416</v>
      </c>
      <c r="C115" s="312" t="s">
        <v>1535</v>
      </c>
      <c r="D115" s="306" t="str">
        <f t="shared" si="3"/>
        <v>OK</v>
      </c>
      <c r="E115" s="37"/>
      <c r="F115"/>
    </row>
    <row r="116" spans="1:6">
      <c r="A116" s="330" t="s">
        <v>1536</v>
      </c>
      <c r="B116" s="68" t="s">
        <v>1410</v>
      </c>
      <c r="C116" s="312" t="s">
        <v>1537</v>
      </c>
      <c r="D116" s="306" t="str">
        <f t="shared" si="3"/>
        <v>OK</v>
      </c>
      <c r="E116" s="37"/>
      <c r="F116"/>
    </row>
    <row r="117" spans="1:6">
      <c r="A117" s="330" t="s">
        <v>241</v>
      </c>
      <c r="B117" s="68" t="s">
        <v>1410</v>
      </c>
      <c r="C117" s="312" t="s">
        <v>241</v>
      </c>
      <c r="D117" s="306" t="str">
        <f t="shared" si="3"/>
        <v>OK</v>
      </c>
      <c r="E117" s="37"/>
      <c r="F117"/>
    </row>
    <row r="118" spans="1:6">
      <c r="A118" s="330" t="s">
        <v>1538</v>
      </c>
      <c r="B118" s="68" t="s">
        <v>1410</v>
      </c>
      <c r="C118" s="312" t="s">
        <v>1539</v>
      </c>
      <c r="D118" s="306" t="str">
        <f t="shared" si="3"/>
        <v>OK</v>
      </c>
      <c r="E118" s="37"/>
      <c r="F118"/>
    </row>
    <row r="119" spans="1:6">
      <c r="A119" s="330" t="s">
        <v>1540</v>
      </c>
      <c r="B119" s="68" t="s">
        <v>1410</v>
      </c>
      <c r="C119" s="312" t="s">
        <v>1541</v>
      </c>
      <c r="D119" s="306" t="str">
        <f t="shared" si="3"/>
        <v>OK</v>
      </c>
      <c r="E119" s="37" t="s">
        <v>1542</v>
      </c>
      <c r="F119"/>
    </row>
    <row r="120" spans="1:6">
      <c r="A120" s="330" t="s">
        <v>121</v>
      </c>
      <c r="B120" s="68" t="s">
        <v>1410</v>
      </c>
      <c r="C120" s="312" t="s">
        <v>1543</v>
      </c>
      <c r="D120" s="306" t="str">
        <f t="shared" si="3"/>
        <v>OK</v>
      </c>
      <c r="E120" s="37"/>
      <c r="F120"/>
    </row>
    <row r="121" spans="1:6">
      <c r="A121" s="330" t="s">
        <v>287</v>
      </c>
      <c r="B121" s="68" t="s">
        <v>1410</v>
      </c>
      <c r="C121" s="312" t="s">
        <v>1544</v>
      </c>
      <c r="D121" s="306" t="str">
        <f t="shared" si="3"/>
        <v>OK</v>
      </c>
      <c r="E121" s="37"/>
      <c r="F121"/>
    </row>
    <row r="122" spans="1:6">
      <c r="A122" s="330" t="s">
        <v>289</v>
      </c>
      <c r="B122" s="68" t="s">
        <v>1410</v>
      </c>
      <c r="C122" s="312" t="s">
        <v>1545</v>
      </c>
      <c r="D122" s="306" t="str">
        <f t="shared" si="3"/>
        <v>OK</v>
      </c>
      <c r="E122" s="37"/>
      <c r="F122"/>
    </row>
    <row r="123" spans="1:6">
      <c r="A123" s="330" t="s">
        <v>1546</v>
      </c>
      <c r="B123" s="68" t="s">
        <v>1410</v>
      </c>
      <c r="C123" s="312" t="s">
        <v>1547</v>
      </c>
      <c r="D123" s="306" t="str">
        <f t="shared" si="3"/>
        <v>OK</v>
      </c>
      <c r="E123" s="37"/>
      <c r="F123"/>
    </row>
    <row r="124" spans="1:6">
      <c r="A124" s="330" t="s">
        <v>425</v>
      </c>
      <c r="B124" s="68" t="s">
        <v>1416</v>
      </c>
      <c r="C124" s="312" t="s">
        <v>1548</v>
      </c>
      <c r="D124" s="306" t="str">
        <f t="shared" si="3"/>
        <v>OK</v>
      </c>
      <c r="E124" s="37"/>
      <c r="F124"/>
    </row>
    <row r="125" spans="1:6">
      <c r="A125" s="330" t="s">
        <v>225</v>
      </c>
      <c r="B125" s="68" t="s">
        <v>1410</v>
      </c>
      <c r="C125" s="312" t="s">
        <v>1549</v>
      </c>
      <c r="D125" s="306" t="str">
        <f t="shared" si="3"/>
        <v>OK</v>
      </c>
      <c r="E125" s="37"/>
      <c r="F125"/>
    </row>
    <row r="126" spans="1:6">
      <c r="A126" s="330" t="s">
        <v>1550</v>
      </c>
      <c r="B126" s="68" t="s">
        <v>1410</v>
      </c>
      <c r="C126" s="312" t="s">
        <v>1550</v>
      </c>
      <c r="D126" s="306" t="str">
        <f t="shared" si="3"/>
        <v>OK</v>
      </c>
      <c r="E126" s="37"/>
      <c r="F126"/>
    </row>
    <row r="127" spans="1:6">
      <c r="A127" s="330" t="s">
        <v>209</v>
      </c>
      <c r="B127" s="68" t="s">
        <v>1410</v>
      </c>
      <c r="C127" s="312" t="s">
        <v>1551</v>
      </c>
      <c r="D127" s="306" t="str">
        <f t="shared" si="3"/>
        <v>OK</v>
      </c>
      <c r="E127" s="37"/>
      <c r="F127"/>
    </row>
    <row r="128" spans="1:6">
      <c r="A128" s="330" t="s">
        <v>215</v>
      </c>
      <c r="B128" s="68" t="s">
        <v>1410</v>
      </c>
      <c r="C128" s="312" t="s">
        <v>1552</v>
      </c>
      <c r="D128" s="306" t="str">
        <f t="shared" si="3"/>
        <v>OK</v>
      </c>
      <c r="E128" s="37"/>
      <c r="F128"/>
    </row>
    <row r="129" spans="1:6">
      <c r="A129" s="330" t="s">
        <v>363</v>
      </c>
      <c r="B129" s="68" t="s">
        <v>1410</v>
      </c>
      <c r="C129" s="312" t="s">
        <v>1553</v>
      </c>
      <c r="D129" s="306" t="str">
        <f t="shared" si="3"/>
        <v>OK</v>
      </c>
      <c r="E129" s="37"/>
      <c r="F129"/>
    </row>
    <row r="130" spans="1:6">
      <c r="A130" s="330" t="s">
        <v>232</v>
      </c>
      <c r="B130" s="68" t="s">
        <v>1410</v>
      </c>
      <c r="C130" s="312" t="s">
        <v>1554</v>
      </c>
      <c r="D130" s="306" t="str">
        <f t="shared" si="3"/>
        <v>OK</v>
      </c>
      <c r="E130" s="37"/>
      <c r="F130"/>
    </row>
    <row r="131" spans="1:6">
      <c r="A131" s="330" t="s">
        <v>1555</v>
      </c>
      <c r="B131" s="68" t="s">
        <v>1410</v>
      </c>
      <c r="C131" s="312" t="s">
        <v>1556</v>
      </c>
      <c r="D131" s="306" t="str">
        <f t="shared" ref="D131:D136" si="4">IF(B131=IF(COUNTIF($F$5:$F$209,C131),"Stock","Flow/Sink"),"OK",IF(B131="Stock","Compartment missing in Lifetimes_pairs",IF(IF(COUNTIF($F$5:$F$161,C131),"Stock","Flow/Sink")="Stock","Change Type of compartment to Stock","OK")))</f>
        <v>OK</v>
      </c>
      <c r="E131" s="37"/>
      <c r="F131"/>
    </row>
    <row r="132" spans="1:6">
      <c r="A132" s="330" t="s">
        <v>1557</v>
      </c>
      <c r="B132" s="68" t="s">
        <v>1410</v>
      </c>
      <c r="C132" s="312" t="s">
        <v>1558</v>
      </c>
      <c r="D132" s="306" t="str">
        <f t="shared" si="4"/>
        <v>OK</v>
      </c>
      <c r="E132" s="37"/>
      <c r="F132"/>
    </row>
    <row r="133" spans="1:6">
      <c r="A133" s="330" t="s">
        <v>1172</v>
      </c>
      <c r="B133" s="68" t="s">
        <v>1410</v>
      </c>
      <c r="C133" s="312" t="s">
        <v>1559</v>
      </c>
      <c r="D133" s="306" t="str">
        <f t="shared" si="4"/>
        <v>OK</v>
      </c>
      <c r="E133" s="37"/>
      <c r="F133"/>
    </row>
    <row r="134" spans="1:6">
      <c r="A134" s="330" t="s">
        <v>337</v>
      </c>
      <c r="B134" s="68" t="s">
        <v>1410</v>
      </c>
      <c r="C134" s="312" t="s">
        <v>1560</v>
      </c>
      <c r="D134" s="306" t="str">
        <f t="shared" si="4"/>
        <v>OK</v>
      </c>
      <c r="E134" s="37"/>
      <c r="F134"/>
    </row>
    <row r="135" spans="1:6">
      <c r="A135" s="330" t="s">
        <v>1561</v>
      </c>
      <c r="B135" s="68" t="s">
        <v>1410</v>
      </c>
      <c r="C135" s="312" t="s">
        <v>1562</v>
      </c>
      <c r="D135" s="306" t="str">
        <f t="shared" si="4"/>
        <v>OK</v>
      </c>
      <c r="E135" s="37"/>
      <c r="F135"/>
    </row>
    <row r="136" spans="1:6" ht="15.75" thickBot="1">
      <c r="A136" s="450" t="s">
        <v>1563</v>
      </c>
      <c r="B136" s="72" t="s">
        <v>1410</v>
      </c>
      <c r="C136" s="325" t="s">
        <v>1563</v>
      </c>
      <c r="D136" s="575" t="str">
        <f t="shared" si="4"/>
        <v>OK</v>
      </c>
      <c r="E136" s="38"/>
      <c r="F136"/>
    </row>
    <row r="137" spans="1:6">
      <c r="A137"/>
      <c r="F137"/>
    </row>
    <row r="138" spans="1:6">
      <c r="A138"/>
      <c r="F138"/>
    </row>
    <row r="139" spans="1:6">
      <c r="A139"/>
      <c r="F139"/>
    </row>
    <row r="140" spans="1:6">
      <c r="A140"/>
      <c r="F140"/>
    </row>
    <row r="141" spans="1:6">
      <c r="A141"/>
      <c r="F141"/>
    </row>
    <row r="142" spans="1:6">
      <c r="A142"/>
      <c r="F142"/>
    </row>
    <row r="143" spans="1:6">
      <c r="A143"/>
      <c r="F143"/>
    </row>
    <row r="144" spans="1:6">
      <c r="A144"/>
      <c r="F144"/>
    </row>
    <row r="145" spans="1:6">
      <c r="A145"/>
      <c r="F145"/>
    </row>
    <row r="146" spans="1:6">
      <c r="A146"/>
      <c r="F146"/>
    </row>
    <row r="147" spans="1:6">
      <c r="A147"/>
      <c r="F147"/>
    </row>
    <row r="148" spans="1:6">
      <c r="A148"/>
      <c r="F148"/>
    </row>
    <row r="149" spans="1:6">
      <c r="A149"/>
      <c r="F149"/>
    </row>
    <row r="150" spans="1:6">
      <c r="A150"/>
      <c r="F150"/>
    </row>
    <row r="151" spans="1:6">
      <c r="A151"/>
      <c r="F151"/>
    </row>
    <row r="152" spans="1:6">
      <c r="A152"/>
      <c r="F152"/>
    </row>
    <row r="153" spans="1:6">
      <c r="A153"/>
      <c r="F153"/>
    </row>
    <row r="154" spans="1:6">
      <c r="A154"/>
      <c r="F154"/>
    </row>
    <row r="155" spans="1:6">
      <c r="A155"/>
      <c r="F155"/>
    </row>
    <row r="156" spans="1:6">
      <c r="A156"/>
      <c r="F156"/>
    </row>
    <row r="157" spans="1:6">
      <c r="A157"/>
      <c r="F157"/>
    </row>
    <row r="158" spans="1:6">
      <c r="A158"/>
      <c r="F158"/>
    </row>
    <row r="159" spans="1:6">
      <c r="A159"/>
      <c r="F159"/>
    </row>
    <row r="160" spans="1:6">
      <c r="A160"/>
      <c r="F160"/>
    </row>
    <row r="161" spans="1:6">
      <c r="A161"/>
      <c r="F161"/>
    </row>
    <row r="162" spans="1:6">
      <c r="A162"/>
      <c r="F162"/>
    </row>
    <row r="163" spans="1:6">
      <c r="A163"/>
      <c r="F163"/>
    </row>
    <row r="164" spans="1:6">
      <c r="A164"/>
      <c r="F164"/>
    </row>
    <row r="165" spans="1:6">
      <c r="A165"/>
      <c r="F165"/>
    </row>
    <row r="166" spans="1:6">
      <c r="A166"/>
      <c r="F166"/>
    </row>
    <row r="167" spans="1:6">
      <c r="A167"/>
      <c r="F167"/>
    </row>
    <row r="168" spans="1:6">
      <c r="A168"/>
      <c r="F168"/>
    </row>
    <row r="169" spans="1:6">
      <c r="A169"/>
      <c r="F169"/>
    </row>
    <row r="170" spans="1:6">
      <c r="A170"/>
      <c r="F170"/>
    </row>
    <row r="171" spans="1:6">
      <c r="A171"/>
      <c r="F171"/>
    </row>
    <row r="172" spans="1:6">
      <c r="A172"/>
      <c r="F172"/>
    </row>
    <row r="173" spans="1:6">
      <c r="A173"/>
      <c r="F173"/>
    </row>
    <row r="174" spans="1:6">
      <c r="A174"/>
      <c r="F174"/>
    </row>
    <row r="175" spans="1:6">
      <c r="A175"/>
      <c r="F175"/>
    </row>
    <row r="176" spans="1:6">
      <c r="A176"/>
      <c r="F176"/>
    </row>
    <row r="177" spans="1:6">
      <c r="A177"/>
      <c r="F177"/>
    </row>
    <row r="178" spans="1:6">
      <c r="A178"/>
      <c r="F178"/>
    </row>
    <row r="179" spans="1:6">
      <c r="A179"/>
      <c r="F179"/>
    </row>
    <row r="180" spans="1:6">
      <c r="A180"/>
      <c r="F180"/>
    </row>
    <row r="181" spans="1:6">
      <c r="A181"/>
      <c r="F181"/>
    </row>
    <row r="182" spans="1:6">
      <c r="A182"/>
      <c r="F182"/>
    </row>
    <row r="183" spans="1:6">
      <c r="A183"/>
      <c r="F183"/>
    </row>
    <row r="184" spans="1:6">
      <c r="A184"/>
      <c r="F184"/>
    </row>
    <row r="185" spans="1:6">
      <c r="A185"/>
      <c r="F185"/>
    </row>
    <row r="186" spans="1:6">
      <c r="A186"/>
      <c r="F186"/>
    </row>
    <row r="187" spans="1:6">
      <c r="A187"/>
      <c r="F187"/>
    </row>
    <row r="188" spans="1:6">
      <c r="A188"/>
      <c r="F188"/>
    </row>
    <row r="189" spans="1:6">
      <c r="A189"/>
      <c r="F189"/>
    </row>
    <row r="190" spans="1:6">
      <c r="A190"/>
      <c r="F190"/>
    </row>
    <row r="191" spans="1:6">
      <c r="A191"/>
      <c r="F191"/>
    </row>
    <row r="192" spans="1:6">
      <c r="A192"/>
      <c r="F192"/>
    </row>
    <row r="193" spans="1:6">
      <c r="A193"/>
      <c r="F193"/>
    </row>
    <row r="194" spans="1:6">
      <c r="A194"/>
      <c r="F194"/>
    </row>
    <row r="195" spans="1:6">
      <c r="A195"/>
      <c r="F195"/>
    </row>
    <row r="196" spans="1:6">
      <c r="A196"/>
      <c r="F196"/>
    </row>
    <row r="197" spans="1:6">
      <c r="A197"/>
      <c r="F197"/>
    </row>
    <row r="198" spans="1:6">
      <c r="A198"/>
      <c r="F198"/>
    </row>
    <row r="199" spans="1:6">
      <c r="A199"/>
      <c r="F199"/>
    </row>
    <row r="200" spans="1:6">
      <c r="A200"/>
      <c r="F200"/>
    </row>
    <row r="201" spans="1:6">
      <c r="A201"/>
      <c r="F201"/>
    </row>
    <row r="202" spans="1:6">
      <c r="A202"/>
      <c r="F202"/>
    </row>
    <row r="203" spans="1:6">
      <c r="A203"/>
      <c r="F203"/>
    </row>
    <row r="204" spans="1:6">
      <c r="A204"/>
      <c r="F204"/>
    </row>
    <row r="205" spans="1:6">
      <c r="A205"/>
      <c r="F205"/>
    </row>
    <row r="206" spans="1:6">
      <c r="A206"/>
      <c r="F206"/>
    </row>
    <row r="207" spans="1:6">
      <c r="A207"/>
      <c r="F207"/>
    </row>
    <row r="208" spans="1:6">
      <c r="A208"/>
      <c r="F208"/>
    </row>
    <row r="209" spans="1:6">
      <c r="A209"/>
      <c r="F209"/>
    </row>
    <row r="210" spans="1:6">
      <c r="A210"/>
      <c r="F210"/>
    </row>
    <row r="211" spans="1:6">
      <c r="A211"/>
      <c r="F211"/>
    </row>
    <row r="212" spans="1:6">
      <c r="A212"/>
      <c r="F212"/>
    </row>
    <row r="213" spans="1:6">
      <c r="A213"/>
      <c r="F213"/>
    </row>
    <row r="214" spans="1:6">
      <c r="A214"/>
      <c r="F214"/>
    </row>
    <row r="215" spans="1:6">
      <c r="A215"/>
      <c r="F215"/>
    </row>
    <row r="216" spans="1:6">
      <c r="A216"/>
      <c r="F216"/>
    </row>
    <row r="217" spans="1:6">
      <c r="A217"/>
      <c r="F217"/>
    </row>
    <row r="218" spans="1:6">
      <c r="A218"/>
      <c r="F218"/>
    </row>
    <row r="219" spans="1:6">
      <c r="A219"/>
      <c r="F219"/>
    </row>
    <row r="220" spans="1:6">
      <c r="A220"/>
      <c r="F220"/>
    </row>
    <row r="221" spans="1:6">
      <c r="A221"/>
      <c r="F221"/>
    </row>
    <row r="222" spans="1:6">
      <c r="A222"/>
      <c r="F222"/>
    </row>
    <row r="223" spans="1:6">
      <c r="A223"/>
      <c r="F223"/>
    </row>
    <row r="224" spans="1:6">
      <c r="A224"/>
      <c r="F224"/>
    </row>
    <row r="225" spans="1:6">
      <c r="A225"/>
      <c r="F225"/>
    </row>
    <row r="226" spans="1:6">
      <c r="A226"/>
      <c r="F226"/>
    </row>
    <row r="227" spans="1:6">
      <c r="A227"/>
      <c r="F227"/>
    </row>
    <row r="228" spans="1:6">
      <c r="A228"/>
      <c r="F228"/>
    </row>
    <row r="229" spans="1:6">
      <c r="A229"/>
      <c r="F229"/>
    </row>
    <row r="230" spans="1:6">
      <c r="A230"/>
      <c r="F230"/>
    </row>
    <row r="231" spans="1:6">
      <c r="A231"/>
      <c r="F231"/>
    </row>
    <row r="232" spans="1:6">
      <c r="A232"/>
      <c r="F232"/>
    </row>
    <row r="233" spans="1:6">
      <c r="A233"/>
      <c r="F233"/>
    </row>
    <row r="234" spans="1:6">
      <c r="A234"/>
      <c r="F234"/>
    </row>
    <row r="235" spans="1:6">
      <c r="A235"/>
      <c r="F235"/>
    </row>
    <row r="236" spans="1:6">
      <c r="A236"/>
      <c r="F236"/>
    </row>
    <row r="237" spans="1:6">
      <c r="A237"/>
      <c r="F237"/>
    </row>
    <row r="238" spans="1:6">
      <c r="A238"/>
      <c r="F238"/>
    </row>
    <row r="239" spans="1:6">
      <c r="A239"/>
      <c r="F239"/>
    </row>
    <row r="240" spans="1:6">
      <c r="A240"/>
      <c r="F240"/>
    </row>
    <row r="241" spans="1:6">
      <c r="A241"/>
      <c r="F241"/>
    </row>
    <row r="242" spans="1:6">
      <c r="A242"/>
      <c r="F242"/>
    </row>
    <row r="243" spans="1:6">
      <c r="A243"/>
      <c r="F243"/>
    </row>
    <row r="244" spans="1:6">
      <c r="A244"/>
      <c r="F244"/>
    </row>
    <row r="245" spans="1:6">
      <c r="A245"/>
      <c r="F245"/>
    </row>
    <row r="246" spans="1:6">
      <c r="A246"/>
      <c r="F246"/>
    </row>
    <row r="247" spans="1:6">
      <c r="A247"/>
      <c r="F247"/>
    </row>
    <row r="248" spans="1:6">
      <c r="A248"/>
      <c r="F248"/>
    </row>
    <row r="249" spans="1:6">
      <c r="A249"/>
      <c r="F249"/>
    </row>
    <row r="250" spans="1:6">
      <c r="A250"/>
      <c r="F250"/>
    </row>
    <row r="251" spans="1:6">
      <c r="A251"/>
      <c r="F251"/>
    </row>
    <row r="252" spans="1:6">
      <c r="A252"/>
      <c r="F252"/>
    </row>
    <row r="253" spans="1:6">
      <c r="A253"/>
      <c r="F253"/>
    </row>
    <row r="254" spans="1:6">
      <c r="A254"/>
      <c r="F254"/>
    </row>
    <row r="255" spans="1:6">
      <c r="A255"/>
      <c r="F255"/>
    </row>
    <row r="256" spans="1:6">
      <c r="A256"/>
      <c r="F256"/>
    </row>
    <row r="257" spans="1:6">
      <c r="A257"/>
      <c r="F257"/>
    </row>
    <row r="258" spans="1:6">
      <c r="A258"/>
      <c r="F258"/>
    </row>
    <row r="259" spans="1:6">
      <c r="A259"/>
      <c r="F259"/>
    </row>
    <row r="260" spans="1:6">
      <c r="A260"/>
      <c r="F260"/>
    </row>
    <row r="261" spans="1:6">
      <c r="A261"/>
      <c r="F261"/>
    </row>
    <row r="262" spans="1:6">
      <c r="A262"/>
      <c r="F262"/>
    </row>
    <row r="263" spans="1:6">
      <c r="A263"/>
      <c r="F263"/>
    </row>
    <row r="264" spans="1:6">
      <c r="A264"/>
      <c r="F264"/>
    </row>
    <row r="265" spans="1:6">
      <c r="A265"/>
      <c r="F265"/>
    </row>
    <row r="266" spans="1:6">
      <c r="A266"/>
      <c r="F266"/>
    </row>
    <row r="267" spans="1:6">
      <c r="A267"/>
      <c r="F267"/>
    </row>
    <row r="268" spans="1:6">
      <c r="A268"/>
      <c r="F268"/>
    </row>
    <row r="269" spans="1:6">
      <c r="A269"/>
      <c r="F269"/>
    </row>
    <row r="270" spans="1:6">
      <c r="A270"/>
      <c r="F270"/>
    </row>
    <row r="271" spans="1:6">
      <c r="A271"/>
      <c r="F271"/>
    </row>
    <row r="272" spans="1:6">
      <c r="A272"/>
      <c r="F272"/>
    </row>
    <row r="273" spans="1:6">
      <c r="A273"/>
      <c r="F273"/>
    </row>
    <row r="274" spans="1:6">
      <c r="A274"/>
      <c r="F274"/>
    </row>
    <row r="275" spans="1:6">
      <c r="A275"/>
      <c r="F275"/>
    </row>
    <row r="276" spans="1:6">
      <c r="A276"/>
      <c r="F276"/>
    </row>
    <row r="277" spans="1:6">
      <c r="A277"/>
      <c r="F277"/>
    </row>
    <row r="278" spans="1:6">
      <c r="A278"/>
      <c r="F278"/>
    </row>
    <row r="279" spans="1:6">
      <c r="A279"/>
      <c r="F279"/>
    </row>
    <row r="280" spans="1:6">
      <c r="A280"/>
      <c r="F280"/>
    </row>
    <row r="281" spans="1:6">
      <c r="A281"/>
      <c r="F281"/>
    </row>
    <row r="282" spans="1:6">
      <c r="A282"/>
      <c r="F282"/>
    </row>
    <row r="283" spans="1:6">
      <c r="A283"/>
      <c r="F283"/>
    </row>
    <row r="284" spans="1:6">
      <c r="A284"/>
      <c r="F284"/>
    </row>
    <row r="285" spans="1:6">
      <c r="A285"/>
      <c r="F285"/>
    </row>
    <row r="286" spans="1:6">
      <c r="A286"/>
      <c r="F286"/>
    </row>
    <row r="287" spans="1:6">
      <c r="A287"/>
      <c r="F287"/>
    </row>
    <row r="288" spans="1:6">
      <c r="A288"/>
      <c r="F288"/>
    </row>
    <row r="289" spans="1:6">
      <c r="A289"/>
      <c r="F289"/>
    </row>
    <row r="290" spans="1:6">
      <c r="A290"/>
      <c r="F290"/>
    </row>
    <row r="291" spans="1:6">
      <c r="A291"/>
      <c r="F291"/>
    </row>
    <row r="292" spans="1:6">
      <c r="A292"/>
      <c r="F292"/>
    </row>
    <row r="293" spans="1:6">
      <c r="A293"/>
      <c r="F293"/>
    </row>
    <row r="294" spans="1:6">
      <c r="A294"/>
      <c r="F294"/>
    </row>
    <row r="295" spans="1:6">
      <c r="A295"/>
      <c r="F295"/>
    </row>
    <row r="296" spans="1:6">
      <c r="A296"/>
      <c r="F296"/>
    </row>
    <row r="297" spans="1:6">
      <c r="A297"/>
      <c r="F297"/>
    </row>
    <row r="298" spans="1:6">
      <c r="A298"/>
      <c r="F298"/>
    </row>
    <row r="299" spans="1:6">
      <c r="A299"/>
      <c r="F299"/>
    </row>
    <row r="300" spans="1:6">
      <c r="A300"/>
      <c r="F300"/>
    </row>
    <row r="301" spans="1:6">
      <c r="A301"/>
      <c r="F301"/>
    </row>
    <row r="302" spans="1:6">
      <c r="A302"/>
      <c r="F302"/>
    </row>
    <row r="303" spans="1:6">
      <c r="A303"/>
      <c r="F303"/>
    </row>
    <row r="304" spans="1:6">
      <c r="A304"/>
      <c r="F304"/>
    </row>
    <row r="305" spans="1:6">
      <c r="A305"/>
      <c r="F305"/>
    </row>
    <row r="306" spans="1:6">
      <c r="A306"/>
      <c r="F306"/>
    </row>
    <row r="307" spans="1:6">
      <c r="A307"/>
      <c r="F307"/>
    </row>
    <row r="308" spans="1:6">
      <c r="A308"/>
      <c r="F308"/>
    </row>
    <row r="309" spans="1:6">
      <c r="A309"/>
      <c r="F309"/>
    </row>
    <row r="310" spans="1:6">
      <c r="A310"/>
      <c r="F310"/>
    </row>
    <row r="311" spans="1:6">
      <c r="A311"/>
      <c r="F311"/>
    </row>
    <row r="312" spans="1:6">
      <c r="A312"/>
      <c r="F312"/>
    </row>
    <row r="313" spans="1:6">
      <c r="A313"/>
      <c r="F313"/>
    </row>
    <row r="314" spans="1:6">
      <c r="A314"/>
      <c r="F314"/>
    </row>
    <row r="315" spans="1:6">
      <c r="A315"/>
      <c r="F315"/>
    </row>
    <row r="316" spans="1:6">
      <c r="A316"/>
      <c r="F316"/>
    </row>
    <row r="317" spans="1:6">
      <c r="A317"/>
      <c r="F317"/>
    </row>
    <row r="318" spans="1:6">
      <c r="A318"/>
      <c r="F318"/>
    </row>
    <row r="319" spans="1:6">
      <c r="A319"/>
      <c r="F319"/>
    </row>
    <row r="320" spans="1:6">
      <c r="A320"/>
      <c r="F320"/>
    </row>
    <row r="321" spans="1:6">
      <c r="A321"/>
      <c r="F321"/>
    </row>
    <row r="322" spans="1:6">
      <c r="A322"/>
      <c r="F322"/>
    </row>
    <row r="323" spans="1:6">
      <c r="A323"/>
      <c r="F323"/>
    </row>
    <row r="324" spans="1:6">
      <c r="A324"/>
      <c r="F324"/>
    </row>
    <row r="325" spans="1:6">
      <c r="A325"/>
      <c r="F325"/>
    </row>
    <row r="326" spans="1:6">
      <c r="A326"/>
      <c r="F326"/>
    </row>
    <row r="327" spans="1:6">
      <c r="A327"/>
      <c r="F327"/>
    </row>
    <row r="328" spans="1:6">
      <c r="A328"/>
      <c r="F328"/>
    </row>
    <row r="329" spans="1:6">
      <c r="A329"/>
      <c r="F329"/>
    </row>
    <row r="330" spans="1:6">
      <c r="A330"/>
      <c r="F330"/>
    </row>
    <row r="331" spans="1:6">
      <c r="A331"/>
      <c r="F331"/>
    </row>
    <row r="332" spans="1:6">
      <c r="A332"/>
      <c r="F332"/>
    </row>
    <row r="333" spans="1:6">
      <c r="A333"/>
      <c r="F333"/>
    </row>
    <row r="334" spans="1:6">
      <c r="A334"/>
      <c r="F334"/>
    </row>
    <row r="335" spans="1:6">
      <c r="A335"/>
      <c r="F335"/>
    </row>
    <row r="336" spans="1:6">
      <c r="A336"/>
      <c r="F336"/>
    </row>
    <row r="337" spans="1:6">
      <c r="A337"/>
      <c r="F337"/>
    </row>
    <row r="338" spans="1:6">
      <c r="A338"/>
      <c r="F338"/>
    </row>
    <row r="339" spans="1:6">
      <c r="A339"/>
      <c r="F339"/>
    </row>
    <row r="340" spans="1:6">
      <c r="A340"/>
      <c r="F340"/>
    </row>
    <row r="341" spans="1:6">
      <c r="A341"/>
      <c r="F341"/>
    </row>
    <row r="342" spans="1:6">
      <c r="A342"/>
      <c r="F342"/>
    </row>
    <row r="343" spans="1:6">
      <c r="A343"/>
      <c r="F343"/>
    </row>
    <row r="344" spans="1:6">
      <c r="A344"/>
      <c r="F344"/>
    </row>
    <row r="345" spans="1:6">
      <c r="A345"/>
      <c r="F345"/>
    </row>
    <row r="346" spans="1:6">
      <c r="A346"/>
      <c r="F346"/>
    </row>
    <row r="347" spans="1:6">
      <c r="A347"/>
      <c r="F347"/>
    </row>
    <row r="348" spans="1:6">
      <c r="A348"/>
      <c r="F348"/>
    </row>
    <row r="349" spans="1:6">
      <c r="A349"/>
      <c r="F349"/>
    </row>
    <row r="350" spans="1:6">
      <c r="A350"/>
      <c r="F350"/>
    </row>
    <row r="351" spans="1:6">
      <c r="A351"/>
      <c r="F351"/>
    </row>
    <row r="352" spans="1:6">
      <c r="A352"/>
      <c r="F352"/>
    </row>
    <row r="353" spans="1:6">
      <c r="A353"/>
      <c r="F353"/>
    </row>
    <row r="354" spans="1:6">
      <c r="A354"/>
      <c r="F354"/>
    </row>
    <row r="355" spans="1:6">
      <c r="A355"/>
      <c r="F355"/>
    </row>
    <row r="356" spans="1:6">
      <c r="A356"/>
      <c r="F356"/>
    </row>
    <row r="357" spans="1:6">
      <c r="A357"/>
      <c r="F357"/>
    </row>
    <row r="358" spans="1:6">
      <c r="A358"/>
      <c r="F358"/>
    </row>
    <row r="359" spans="1:6">
      <c r="A359"/>
      <c r="F359"/>
    </row>
    <row r="360" spans="1:6">
      <c r="A360"/>
      <c r="F360"/>
    </row>
    <row r="361" spans="1:6">
      <c r="A361"/>
      <c r="F361"/>
    </row>
    <row r="362" spans="1:6">
      <c r="A362"/>
      <c r="F362"/>
    </row>
    <row r="363" spans="1:6">
      <c r="A363"/>
      <c r="F363"/>
    </row>
    <row r="364" spans="1:6">
      <c r="A364"/>
      <c r="F364"/>
    </row>
    <row r="365" spans="1:6">
      <c r="A365"/>
      <c r="F365"/>
    </row>
    <row r="366" spans="1:6">
      <c r="A366"/>
      <c r="F366"/>
    </row>
    <row r="367" spans="1:6">
      <c r="A367"/>
      <c r="F367"/>
    </row>
    <row r="368" spans="1:6">
      <c r="A368"/>
      <c r="F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sheetData>
  <autoFilter ref="A2:F136" xr:uid="{3B175452-2B1A-4461-B635-C388F58109C0}"/>
  <sortState xmlns:xlrd2="http://schemas.microsoft.com/office/spreadsheetml/2017/richdata2" ref="A3:C136">
    <sortCondition ref="A3:A136"/>
  </sortState>
  <conditionalFormatting sqref="D3:D136">
    <cfRule type="containsText" dxfId="13" priority="1" operator="containsText" text="change">
      <formula>NOT(ISERROR(SEARCH("change",D3)))</formula>
    </cfRule>
  </conditionalFormatting>
  <conditionalFormatting sqref="D3:E136">
    <cfRule type="containsText" dxfId="12" priority="2" operator="containsText" text="OK">
      <formula>NOT(ISERROR(SEARCH("OK",D3)))</formula>
    </cfRule>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DCA69-2DC7-473A-9435-80DA0225099E}">
  <sheetPr>
    <tabColor rgb="FF92D050"/>
  </sheetPr>
  <dimension ref="A1:F231"/>
  <sheetViews>
    <sheetView topLeftCell="A210" zoomScaleNormal="100" workbookViewId="0">
      <selection activeCell="A228" sqref="A228"/>
    </sheetView>
  </sheetViews>
  <sheetFormatPr defaultRowHeight="15"/>
  <cols>
    <col min="1" max="1" width="56.28515625" bestFit="1" customWidth="1"/>
    <col min="2" max="2" width="22.28515625" bestFit="1" customWidth="1"/>
    <col min="3" max="3" width="56" bestFit="1" customWidth="1"/>
    <col min="4" max="4" width="11.140625" customWidth="1"/>
    <col min="5" max="5" width="35.7109375" style="6" customWidth="1"/>
    <col min="6" max="6" width="27.7109375" style="6" bestFit="1" customWidth="1"/>
  </cols>
  <sheetData>
    <row r="1" spans="1:6" s="4" customFormat="1" ht="30" customHeight="1" thickBot="1">
      <c r="A1" s="616" t="s">
        <v>1564</v>
      </c>
      <c r="B1" s="616" t="s">
        <v>1404</v>
      </c>
      <c r="C1" s="616" t="s">
        <v>1405</v>
      </c>
      <c r="D1" s="616" t="s">
        <v>1406</v>
      </c>
      <c r="E1" s="616"/>
      <c r="F1" s="616"/>
    </row>
    <row r="2" spans="1:6" ht="30" customHeight="1" thickBot="1">
      <c r="A2" s="144" t="s">
        <v>1395</v>
      </c>
      <c r="B2" s="65" t="s">
        <v>1396</v>
      </c>
      <c r="C2" s="145" t="s">
        <v>1397</v>
      </c>
      <c r="D2" s="65" t="s">
        <v>1407</v>
      </c>
      <c r="E2" s="65" t="s">
        <v>1408</v>
      </c>
      <c r="F2" s="58" t="s">
        <v>1409</v>
      </c>
    </row>
    <row r="3" spans="1:6" ht="15" customHeight="1" thickBot="1">
      <c r="A3" s="501" t="s">
        <v>970</v>
      </c>
      <c r="B3" s="96" t="s">
        <v>1413</v>
      </c>
      <c r="C3" s="96" t="s">
        <v>1253</v>
      </c>
      <c r="D3" s="101" t="str">
        <f t="shared" ref="D3:D66" si="0">IF(B3=IF(COUNTIF($F$3:$F$150,C3),"Stock","Flow/Sink"),"OK",IF(B3="Stock","Compartment missing in Lifetimes, available as pair?",IF(IF(COUNTIF($F$3:$F$150,C3),"Stock","Flow/Sink")="Stock","Change Type of compartment to Stock","OK")))</f>
        <v>OK</v>
      </c>
      <c r="E3" s="576"/>
      <c r="F3" s="621" t="str">
        <f>Lifetimes!B1</f>
        <v>AgriculturalFilmsIU</v>
      </c>
    </row>
    <row r="4" spans="1:6" ht="15" customHeight="1" thickBot="1">
      <c r="A4" s="330" t="s">
        <v>968</v>
      </c>
      <c r="B4" s="97" t="s">
        <v>1413</v>
      </c>
      <c r="C4" s="97" t="s">
        <v>984</v>
      </c>
      <c r="D4" s="101" t="str">
        <f t="shared" si="0"/>
        <v>OK</v>
      </c>
      <c r="E4" s="82"/>
      <c r="F4" s="622" t="str">
        <f>Lifetimes!C1</f>
        <v>AgriculturalFilmsDis</v>
      </c>
    </row>
    <row r="5" spans="1:6" ht="15" customHeight="1" thickBot="1">
      <c r="A5" s="330" t="s">
        <v>971</v>
      </c>
      <c r="B5" s="97" t="s">
        <v>1410</v>
      </c>
      <c r="C5" s="97" t="s">
        <v>1565</v>
      </c>
      <c r="D5" s="101" t="str">
        <f t="shared" si="0"/>
        <v>OK</v>
      </c>
      <c r="E5" s="82"/>
      <c r="F5" s="622" t="str">
        <f>Lifetimes!D1</f>
        <v>AgriculturalPackagingBottles</v>
      </c>
    </row>
    <row r="6" spans="1:6" ht="15" customHeight="1" thickBot="1">
      <c r="A6" s="330" t="s">
        <v>964</v>
      </c>
      <c r="B6" s="97" t="s">
        <v>1413</v>
      </c>
      <c r="C6" s="97" t="s">
        <v>1254</v>
      </c>
      <c r="D6" s="101" t="str">
        <f t="shared" si="0"/>
        <v>OK</v>
      </c>
      <c r="E6" s="82"/>
      <c r="F6" s="622" t="str">
        <f>Lifetimes!E1</f>
        <v>AgriculturalPackagingFilms</v>
      </c>
    </row>
    <row r="7" spans="1:6" ht="15" customHeight="1" thickBot="1">
      <c r="A7" s="330" t="s">
        <v>969</v>
      </c>
      <c r="B7" s="97" t="s">
        <v>1413</v>
      </c>
      <c r="C7" s="97" t="s">
        <v>979</v>
      </c>
      <c r="D7" s="101" t="str">
        <f t="shared" si="0"/>
        <v>OK</v>
      </c>
      <c r="E7" s="82"/>
      <c r="F7" s="622" t="str">
        <f>Lifetimes!F1</f>
        <v>AgriculturalPipesIU</v>
      </c>
    </row>
    <row r="8" spans="1:6" ht="15" customHeight="1" thickBot="1">
      <c r="A8" s="74" t="s">
        <v>153</v>
      </c>
      <c r="B8" s="97" t="s">
        <v>1413</v>
      </c>
      <c r="C8" s="97" t="s">
        <v>1269</v>
      </c>
      <c r="D8" s="101" t="str">
        <f t="shared" si="0"/>
        <v>OK</v>
      </c>
      <c r="E8" s="82"/>
      <c r="F8" s="622" t="str">
        <f>Lifetimes!G1</f>
        <v>AgriculturalPipesDis</v>
      </c>
    </row>
    <row r="9" spans="1:6" s="16" customFormat="1" ht="15.75" thickBot="1">
      <c r="A9" s="74" t="s">
        <v>162</v>
      </c>
      <c r="B9" s="97" t="s">
        <v>1413</v>
      </c>
      <c r="C9" s="97" t="s">
        <v>1270</v>
      </c>
      <c r="D9" s="101" t="str">
        <f t="shared" si="0"/>
        <v>OK</v>
      </c>
      <c r="E9" s="82"/>
      <c r="F9" s="622" t="str">
        <f>Lifetimes!H1</f>
        <v>AgriculturalPPP</v>
      </c>
    </row>
    <row r="10" spans="1:6" ht="15.75" thickBot="1">
      <c r="A10" s="74" t="s">
        <v>171</v>
      </c>
      <c r="B10" s="97" t="s">
        <v>1413</v>
      </c>
      <c r="C10" s="97" t="s">
        <v>1274</v>
      </c>
      <c r="D10" s="101" t="str">
        <f t="shared" si="0"/>
        <v>OK</v>
      </c>
      <c r="E10" s="82"/>
      <c r="F10" s="622" t="str">
        <f>Lifetimes!I1</f>
        <v>BuildingPackagingFilms</v>
      </c>
    </row>
    <row r="11" spans="1:6" ht="15.75" thickBot="1">
      <c r="A11" s="74" t="s">
        <v>172</v>
      </c>
      <c r="B11" s="97" t="s">
        <v>1413</v>
      </c>
      <c r="C11" s="97" t="s">
        <v>1275</v>
      </c>
      <c r="D11" s="101" t="str">
        <f t="shared" si="0"/>
        <v>OK</v>
      </c>
      <c r="E11" s="82"/>
      <c r="F11" s="622" t="str">
        <f>Lifetimes!J1</f>
        <v>ConsumerBags</v>
      </c>
    </row>
    <row r="12" spans="1:6" ht="15.75" thickBot="1">
      <c r="A12" s="74" t="s">
        <v>194</v>
      </c>
      <c r="B12" s="97" t="s">
        <v>1413</v>
      </c>
      <c r="C12" s="97" t="s">
        <v>1261</v>
      </c>
      <c r="D12" s="101" t="str">
        <f t="shared" si="0"/>
        <v>OK</v>
      </c>
      <c r="E12" s="82"/>
      <c r="F12" s="622" t="str">
        <f>Lifetimes!K1</f>
        <v>ConsumerBottles</v>
      </c>
    </row>
    <row r="13" spans="1:6" ht="15.75" thickBot="1">
      <c r="A13" s="74" t="s">
        <v>196</v>
      </c>
      <c r="B13" s="503" t="s">
        <v>1410</v>
      </c>
      <c r="C13" s="97" t="s">
        <v>1566</v>
      </c>
      <c r="D13" s="101" t="str">
        <f t="shared" si="0"/>
        <v>OK</v>
      </c>
      <c r="E13" s="82"/>
      <c r="F13" s="622" t="str">
        <f>Lifetimes!L1</f>
        <v>ConsumerFilms</v>
      </c>
    </row>
    <row r="14" spans="1:6" ht="15.75" thickBot="1">
      <c r="A14" s="502" t="s">
        <v>197</v>
      </c>
      <c r="B14" s="503" t="s">
        <v>1413</v>
      </c>
      <c r="C14" s="97" t="s">
        <v>1263</v>
      </c>
      <c r="D14" s="101" t="str">
        <f t="shared" si="0"/>
        <v>OK</v>
      </c>
      <c r="E14" s="82"/>
      <c r="F14" s="622" t="str">
        <f>Lifetimes!M1</f>
        <v>ConsumerOther</v>
      </c>
    </row>
    <row r="15" spans="1:6" ht="15.75" thickBot="1">
      <c r="A15" s="502" t="s">
        <v>198</v>
      </c>
      <c r="B15" s="503" t="s">
        <v>1413</v>
      </c>
      <c r="C15" s="97" t="s">
        <v>1262</v>
      </c>
      <c r="D15" s="101" t="str">
        <f t="shared" si="0"/>
        <v>OK</v>
      </c>
      <c r="E15" s="82"/>
      <c r="F15" s="622" t="str">
        <f>Lifetimes!N1</f>
        <v>Cosmetics</v>
      </c>
    </row>
    <row r="16" spans="1:6" ht="15.75" thickBot="1">
      <c r="A16" s="368" t="s">
        <v>167</v>
      </c>
      <c r="B16" s="503" t="s">
        <v>1410</v>
      </c>
      <c r="C16" s="503" t="s">
        <v>1567</v>
      </c>
      <c r="D16" s="101" t="str">
        <f t="shared" si="0"/>
        <v>OK</v>
      </c>
      <c r="E16" s="82"/>
      <c r="F16" s="622" t="str">
        <f>Lifetimes!O1</f>
        <v>Household</v>
      </c>
    </row>
    <row r="17" spans="1:6" ht="15.75" thickBot="1">
      <c r="A17" s="368" t="s">
        <v>206</v>
      </c>
      <c r="B17" s="503" t="s">
        <v>1410</v>
      </c>
      <c r="C17" s="503" t="s">
        <v>1568</v>
      </c>
      <c r="D17" s="101" t="str">
        <f t="shared" si="0"/>
        <v>OK</v>
      </c>
      <c r="E17" s="82"/>
      <c r="F17" s="622" t="str">
        <f>Lifetimes!P1</f>
        <v>NonConsumerBags</v>
      </c>
    </row>
    <row r="18" spans="1:6" ht="15.75" thickBot="1">
      <c r="A18" s="368" t="s">
        <v>207</v>
      </c>
      <c r="B18" s="503" t="s">
        <v>1410</v>
      </c>
      <c r="C18" s="503" t="s">
        <v>1569</v>
      </c>
      <c r="D18" s="101" t="str">
        <f t="shared" si="0"/>
        <v>OK</v>
      </c>
      <c r="E18" s="82"/>
      <c r="F18" s="622" t="str">
        <f>Lifetimes!Q1</f>
        <v>NonConsumerOther</v>
      </c>
    </row>
    <row r="19" spans="1:6" ht="15.75" thickBot="1">
      <c r="A19" s="74" t="s">
        <v>432</v>
      </c>
      <c r="B19" s="97" t="s">
        <v>1410</v>
      </c>
      <c r="C19" s="97" t="s">
        <v>1570</v>
      </c>
      <c r="D19" s="101" t="str">
        <f t="shared" si="0"/>
        <v>OK</v>
      </c>
      <c r="E19" s="82"/>
      <c r="F19" s="622" t="str">
        <f>Lifetimes!R1</f>
        <v>OtherNonConsumerFilms</v>
      </c>
    </row>
    <row r="20" spans="1:6" ht="15.75" thickBot="1">
      <c r="A20" s="330" t="s">
        <v>453</v>
      </c>
      <c r="B20" s="97" t="s">
        <v>1410</v>
      </c>
      <c r="C20" s="97" t="s">
        <v>1571</v>
      </c>
      <c r="D20" s="101" t="str">
        <f t="shared" si="0"/>
        <v>OK</v>
      </c>
      <c r="E20" s="82"/>
      <c r="F20" s="622" t="str">
        <f>Lifetimes!S1</f>
        <v>OtherOther</v>
      </c>
    </row>
    <row r="21" spans="1:6" ht="15.75" thickBot="1">
      <c r="A21" s="330" t="s">
        <v>451</v>
      </c>
      <c r="B21" s="97" t="s">
        <v>1413</v>
      </c>
      <c r="C21" s="97" t="s">
        <v>1279</v>
      </c>
      <c r="D21" s="101" t="str">
        <f t="shared" si="0"/>
        <v>OK</v>
      </c>
      <c r="E21" s="82"/>
      <c r="F21" s="622" t="str">
        <f>Lifetimes!T1</f>
        <v>PipesDucts</v>
      </c>
    </row>
    <row r="22" spans="1:6" ht="15.75" thickBot="1">
      <c r="A22" s="330" t="s">
        <v>456</v>
      </c>
      <c r="B22" s="97" t="s">
        <v>1413</v>
      </c>
      <c r="C22" s="97" t="s">
        <v>1280</v>
      </c>
      <c r="D22" s="101" t="str">
        <f t="shared" si="0"/>
        <v>OK</v>
      </c>
      <c r="E22" s="82"/>
      <c r="F22" s="622" t="str">
        <f>Lifetimes!U1</f>
        <v>OtherOilGas</v>
      </c>
    </row>
    <row r="23" spans="1:6" ht="15.75" thickBot="1">
      <c r="A23" s="330" t="s">
        <v>452</v>
      </c>
      <c r="B23" s="97" t="s">
        <v>1410</v>
      </c>
      <c r="C23" s="97" t="s">
        <v>1572</v>
      </c>
      <c r="D23" s="101" t="str">
        <f t="shared" si="0"/>
        <v>OK</v>
      </c>
      <c r="E23" s="82"/>
      <c r="F23" s="622" t="str">
        <f>Lifetimes!V1</f>
        <v>InfillSportsFieldDis</v>
      </c>
    </row>
    <row r="24" spans="1:6" ht="15.75" thickBot="1">
      <c r="A24" s="330" t="s">
        <v>454</v>
      </c>
      <c r="B24" s="97" t="s">
        <v>1413</v>
      </c>
      <c r="C24" s="97" t="s">
        <v>1281</v>
      </c>
      <c r="D24" s="101" t="str">
        <f t="shared" si="0"/>
        <v>OK</v>
      </c>
      <c r="E24" s="82"/>
      <c r="F24" s="622" t="str">
        <f>Lifetimes!W1</f>
        <v>InfillSportsFieldU</v>
      </c>
    </row>
    <row r="25" spans="1:6" ht="15.75" thickBot="1">
      <c r="A25" s="330" t="s">
        <v>455</v>
      </c>
      <c r="B25" s="97" t="s">
        <v>1413</v>
      </c>
      <c r="C25" s="97" t="s">
        <v>1282</v>
      </c>
      <c r="D25" s="101" t="str">
        <f t="shared" si="0"/>
        <v>OK</v>
      </c>
      <c r="E25" s="82"/>
      <c r="F25" s="622" t="str">
        <f>Lifetimes!AE1</f>
        <v>ClothingDis</v>
      </c>
    </row>
    <row r="26" spans="1:6" ht="15.75" thickBot="1">
      <c r="A26" s="74" t="s">
        <v>156</v>
      </c>
      <c r="B26" s="97" t="s">
        <v>1410</v>
      </c>
      <c r="C26" s="97" t="s">
        <v>1573</v>
      </c>
      <c r="D26" s="101" t="str">
        <f t="shared" si="0"/>
        <v>OK</v>
      </c>
      <c r="E26" s="82"/>
      <c r="F26" s="622" t="str">
        <f>Lifetimes!AF1</f>
        <v>ClothingIUWearTear</v>
      </c>
    </row>
    <row r="27" spans="1:6" ht="15.75" thickBot="1">
      <c r="A27" s="74" t="s">
        <v>227</v>
      </c>
      <c r="B27" s="97" t="s">
        <v>1410</v>
      </c>
      <c r="C27" s="97" t="s">
        <v>1574</v>
      </c>
      <c r="D27" s="101" t="str">
        <f t="shared" si="0"/>
        <v>OK</v>
      </c>
      <c r="E27" s="82"/>
      <c r="F27" s="622" t="str">
        <f>Lifetimes!AG1</f>
        <v>ClothingIUWashDry</v>
      </c>
    </row>
    <row r="28" spans="1:6" ht="15.75" thickBot="1">
      <c r="A28" s="74" t="s">
        <v>109</v>
      </c>
      <c r="B28" s="97" t="s">
        <v>1410</v>
      </c>
      <c r="C28" s="97" t="s">
        <v>1575</v>
      </c>
      <c r="D28" s="101" t="str">
        <f t="shared" si="0"/>
        <v>OK</v>
      </c>
      <c r="E28" s="82"/>
      <c r="F28" s="622" t="str">
        <f>Lifetimes!AH1</f>
        <v>HomeTextilesDis</v>
      </c>
    </row>
    <row r="29" spans="1:6" ht="15.75" thickBot="1">
      <c r="A29" s="74" t="s">
        <v>267</v>
      </c>
      <c r="B29" s="97" t="s">
        <v>1416</v>
      </c>
      <c r="C29" s="97" t="s">
        <v>1576</v>
      </c>
      <c r="D29" s="101" t="str">
        <f t="shared" si="0"/>
        <v>OK</v>
      </c>
      <c r="E29" s="82"/>
      <c r="F29" s="622" t="str">
        <f>Lifetimes!AI1</f>
        <v>HomeTextilesIU</v>
      </c>
    </row>
    <row r="30" spans="1:6" ht="15.75" thickBot="1">
      <c r="A30" s="74" t="s">
        <v>159</v>
      </c>
      <c r="B30" s="97" t="s">
        <v>1410</v>
      </c>
      <c r="C30" s="97" t="s">
        <v>1577</v>
      </c>
      <c r="D30" s="101" t="str">
        <f t="shared" si="0"/>
        <v>OK</v>
      </c>
      <c r="E30" s="82"/>
      <c r="F30" s="622" t="str">
        <f>Lifetimes!AJ1</f>
        <v>TechHomeTextilesDis</v>
      </c>
    </row>
    <row r="31" spans="1:6" ht="15.75" thickBot="1">
      <c r="A31" s="74" t="s">
        <v>268</v>
      </c>
      <c r="B31" s="97" t="s">
        <v>1410</v>
      </c>
      <c r="C31" s="97" t="s">
        <v>1578</v>
      </c>
      <c r="D31" s="101" t="str">
        <f t="shared" si="0"/>
        <v>OK</v>
      </c>
      <c r="E31" s="82"/>
      <c r="F31" s="622" t="str">
        <f>Lifetimes!AK1</f>
        <v>TechHomeTextilesIU</v>
      </c>
    </row>
    <row r="32" spans="1:6" ht="15.75" thickBot="1">
      <c r="A32" s="74" t="s">
        <v>186</v>
      </c>
      <c r="B32" s="97" t="s">
        <v>1413</v>
      </c>
      <c r="C32" s="97" t="s">
        <v>1272</v>
      </c>
      <c r="D32" s="101" t="str">
        <f t="shared" si="0"/>
        <v>OK</v>
      </c>
      <c r="E32" s="82"/>
      <c r="F32" s="622" t="str">
        <f>Lifetimes!AL1</f>
        <v>MedicalTextiles</v>
      </c>
    </row>
    <row r="33" spans="1:6" ht="15.75" thickBot="1">
      <c r="A33" s="74" t="s">
        <v>187</v>
      </c>
      <c r="B33" s="97" t="s">
        <v>1413</v>
      </c>
      <c r="C33" s="97" t="s">
        <v>1273</v>
      </c>
      <c r="D33" s="101" t="str">
        <f t="shared" si="0"/>
        <v>OK</v>
      </c>
      <c r="E33" s="82"/>
      <c r="F33" s="622" t="str">
        <f>Lifetimes!AM1</f>
        <v>AgrotextilesDis</v>
      </c>
    </row>
    <row r="34" spans="1:6" ht="15.75" thickBot="1">
      <c r="A34" s="330" t="s">
        <v>269</v>
      </c>
      <c r="B34" s="97" t="s">
        <v>1410</v>
      </c>
      <c r="C34" s="97" t="s">
        <v>269</v>
      </c>
      <c r="D34" s="101" t="str">
        <f t="shared" si="0"/>
        <v>OK</v>
      </c>
      <c r="E34" s="82"/>
      <c r="F34" s="622" t="str">
        <f>Lifetimes!AN1</f>
        <v>AgrotextilesIU</v>
      </c>
    </row>
    <row r="35" spans="1:6" ht="15.75" thickBot="1">
      <c r="A35" s="330" t="s">
        <v>270</v>
      </c>
      <c r="B35" s="97" t="s">
        <v>1410</v>
      </c>
      <c r="C35" s="97" t="s">
        <v>1579</v>
      </c>
      <c r="D35" s="101" t="str">
        <f t="shared" si="0"/>
        <v>OK</v>
      </c>
      <c r="E35" s="82"/>
      <c r="F35" s="622" t="str">
        <f>Lifetimes!AO1</f>
        <v>MobilityTextiles</v>
      </c>
    </row>
    <row r="36" spans="1:6" ht="15.75" thickBot="1">
      <c r="A36" s="330" t="s">
        <v>271</v>
      </c>
      <c r="B36" s="97" t="s">
        <v>1410</v>
      </c>
      <c r="C36" s="97" t="s">
        <v>1580</v>
      </c>
      <c r="D36" s="101" t="str">
        <f t="shared" si="0"/>
        <v>OK</v>
      </c>
      <c r="E36" s="82"/>
      <c r="F36" s="622" t="str">
        <f>Lifetimes!AP1</f>
        <v>GeotextilesDis</v>
      </c>
    </row>
    <row r="37" spans="1:6" ht="15.75" thickBot="1">
      <c r="A37" s="330" t="s">
        <v>380</v>
      </c>
      <c r="B37" s="97" t="s">
        <v>1410</v>
      </c>
      <c r="C37" s="97" t="s">
        <v>1581</v>
      </c>
      <c r="D37" s="101" t="str">
        <f t="shared" si="0"/>
        <v>OK</v>
      </c>
      <c r="E37" s="82"/>
      <c r="F37" s="622" t="str">
        <f>Lifetimes!AQ1</f>
        <v>GeotextilesIU</v>
      </c>
    </row>
    <row r="38" spans="1:6" ht="15.75" thickBot="1">
      <c r="A38" s="330" t="s">
        <v>275</v>
      </c>
      <c r="B38" s="97" t="s">
        <v>1410</v>
      </c>
      <c r="C38" s="97" t="s">
        <v>1582</v>
      </c>
      <c r="D38" s="101" t="str">
        <f t="shared" si="0"/>
        <v>OK</v>
      </c>
      <c r="E38" s="82"/>
      <c r="F38" s="622" t="str">
        <f>Lifetimes!AR1</f>
        <v>BuildingTextilesDis</v>
      </c>
    </row>
    <row r="39" spans="1:6" ht="15.75" thickBot="1">
      <c r="A39" s="502" t="s">
        <v>189</v>
      </c>
      <c r="B39" s="97" t="s">
        <v>1410</v>
      </c>
      <c r="C39" s="97" t="s">
        <v>1583</v>
      </c>
      <c r="D39" s="101" t="str">
        <f t="shared" si="0"/>
        <v>OK</v>
      </c>
      <c r="E39" s="82"/>
      <c r="F39" s="622" t="str">
        <f>Lifetimes!AS1</f>
        <v>BuildingTextilesIU</v>
      </c>
    </row>
    <row r="40" spans="1:6" ht="15.75" thickBot="1">
      <c r="A40" s="74" t="s">
        <v>190</v>
      </c>
      <c r="B40" s="97" t="s">
        <v>1413</v>
      </c>
      <c r="C40" s="97" t="s">
        <v>1264</v>
      </c>
      <c r="D40" s="101" t="str">
        <f t="shared" si="0"/>
        <v>OK</v>
      </c>
      <c r="E40" s="82"/>
      <c r="F40" s="622" t="str">
        <f>Lifetimes!AT1</f>
        <v>OtherTechnicalTextiles</v>
      </c>
    </row>
    <row r="41" spans="1:6" ht="15.75" thickBot="1">
      <c r="A41" s="74" t="s">
        <v>191</v>
      </c>
      <c r="B41" s="97" t="s">
        <v>1413</v>
      </c>
      <c r="C41" s="97" t="s">
        <v>1265</v>
      </c>
      <c r="D41" s="101" t="str">
        <f t="shared" si="0"/>
        <v>OK</v>
      </c>
      <c r="E41" s="82"/>
      <c r="F41" s="622" t="str">
        <f>Lifetimes!AU1</f>
        <v>TextileCoatingDis</v>
      </c>
    </row>
    <row r="42" spans="1:6" ht="15.75" thickBot="1">
      <c r="A42" s="74" t="s">
        <v>114</v>
      </c>
      <c r="B42" s="97" t="s">
        <v>1410</v>
      </c>
      <c r="C42" s="97" t="s">
        <v>1584</v>
      </c>
      <c r="D42" s="101" t="str">
        <f t="shared" si="0"/>
        <v>OK</v>
      </c>
      <c r="E42" s="82"/>
      <c r="F42" s="622" t="str">
        <f>Lifetimes!AV1</f>
        <v>TextileCoatingIU</v>
      </c>
    </row>
    <row r="43" spans="1:6" ht="15.75" thickBot="1">
      <c r="A43" s="74" t="s">
        <v>1585</v>
      </c>
      <c r="B43" s="97" t="s">
        <v>1410</v>
      </c>
      <c r="C43" s="97" t="s">
        <v>1586</v>
      </c>
      <c r="D43" s="101" t="str">
        <f t="shared" si="0"/>
        <v>OK</v>
      </c>
      <c r="E43" s="82"/>
      <c r="F43" s="622" t="str">
        <f>Lifetimes!AW1</f>
        <v>ConcreteProfInDis</v>
      </c>
    </row>
    <row r="44" spans="1:6" ht="15.75" thickBot="1">
      <c r="A44" s="74" t="s">
        <v>1587</v>
      </c>
      <c r="B44" s="97" t="s">
        <v>1410</v>
      </c>
      <c r="C44" s="97" t="s">
        <v>1588</v>
      </c>
      <c r="D44" s="101" t="str">
        <f t="shared" si="0"/>
        <v>OK</v>
      </c>
      <c r="E44" s="82"/>
      <c r="F44" s="622" t="str">
        <f>Lifetimes!AX1</f>
        <v>ConcreteProfInIU</v>
      </c>
    </row>
    <row r="45" spans="1:6" ht="15.75" thickBot="1">
      <c r="A45" s="74" t="s">
        <v>1589</v>
      </c>
      <c r="B45" s="97" t="s">
        <v>1410</v>
      </c>
      <c r="C45" s="97" t="s">
        <v>1590</v>
      </c>
      <c r="D45" s="101" t="str">
        <f t="shared" si="0"/>
        <v>OK</v>
      </c>
      <c r="E45" s="82"/>
      <c r="F45" s="622" t="str">
        <f>Lifetimes!AY1</f>
        <v>ConcreteProfOutDis</v>
      </c>
    </row>
    <row r="46" spans="1:6" ht="15.75" thickBot="1">
      <c r="A46" s="74" t="s">
        <v>1591</v>
      </c>
      <c r="B46" s="97" t="s">
        <v>1410</v>
      </c>
      <c r="C46" s="97" t="s">
        <v>1592</v>
      </c>
      <c r="D46" s="101" t="str">
        <f t="shared" si="0"/>
        <v>OK</v>
      </c>
      <c r="E46" s="82"/>
      <c r="F46" s="622" t="str">
        <f>Lifetimes!AZ1</f>
        <v>ConcreteProfOutIU</v>
      </c>
    </row>
    <row r="47" spans="1:6" ht="15.75" thickBot="1">
      <c r="A47" s="74" t="s">
        <v>1593</v>
      </c>
      <c r="B47" s="97" t="s">
        <v>1410</v>
      </c>
      <c r="C47" s="97" t="s">
        <v>1594</v>
      </c>
      <c r="D47" s="101" t="str">
        <f t="shared" si="0"/>
        <v>OK</v>
      </c>
      <c r="E47" s="82"/>
      <c r="F47" s="622" t="str">
        <f>Lifetimes!BA1</f>
        <v>LacquerDiyInDis</v>
      </c>
    </row>
    <row r="48" spans="1:6" ht="15.75" thickBot="1">
      <c r="A48" s="74" t="s">
        <v>1595</v>
      </c>
      <c r="B48" s="97" t="s">
        <v>1410</v>
      </c>
      <c r="C48" s="97" t="s">
        <v>1596</v>
      </c>
      <c r="D48" s="101" t="str">
        <f t="shared" si="0"/>
        <v>OK</v>
      </c>
      <c r="E48" s="82"/>
      <c r="F48" s="622" t="str">
        <f>Lifetimes!BB1</f>
        <v>LacquerDiyInIU</v>
      </c>
    </row>
    <row r="49" spans="1:6" ht="15.75" thickBot="1">
      <c r="A49" s="74" t="s">
        <v>1597</v>
      </c>
      <c r="B49" s="97" t="s">
        <v>1410</v>
      </c>
      <c r="C49" s="97" t="s">
        <v>1598</v>
      </c>
      <c r="D49" s="101" t="str">
        <f t="shared" si="0"/>
        <v>OK</v>
      </c>
      <c r="E49" s="82"/>
      <c r="F49" s="622" t="str">
        <f>Lifetimes!BC1</f>
        <v>LacquerDiyOutDis</v>
      </c>
    </row>
    <row r="50" spans="1:6" ht="15.75" thickBot="1">
      <c r="A50" s="74" t="s">
        <v>1599</v>
      </c>
      <c r="B50" s="97" t="s">
        <v>1410</v>
      </c>
      <c r="C50" s="97" t="s">
        <v>1600</v>
      </c>
      <c r="D50" s="101" t="str">
        <f t="shared" si="0"/>
        <v>OK</v>
      </c>
      <c r="E50" s="82"/>
      <c r="F50" s="622" t="str">
        <f>Lifetimes!BD1</f>
        <v>LacquerDiyOutIU</v>
      </c>
    </row>
    <row r="51" spans="1:6" ht="15.75" thickBot="1">
      <c r="A51" s="74" t="s">
        <v>1601</v>
      </c>
      <c r="B51" s="97" t="s">
        <v>1410</v>
      </c>
      <c r="C51" s="97" t="s">
        <v>1602</v>
      </c>
      <c r="D51" s="101" t="str">
        <f t="shared" si="0"/>
        <v>OK</v>
      </c>
      <c r="E51" s="82"/>
      <c r="F51" s="622" t="str">
        <f>Lifetimes!BE1</f>
        <v>LacquerProfInDis</v>
      </c>
    </row>
    <row r="52" spans="1:6" ht="15.75" thickBot="1">
      <c r="A52" s="74" t="s">
        <v>1603</v>
      </c>
      <c r="B52" s="97" t="s">
        <v>1410</v>
      </c>
      <c r="C52" s="97" t="s">
        <v>1604</v>
      </c>
      <c r="D52" s="101" t="str">
        <f t="shared" si="0"/>
        <v>OK</v>
      </c>
      <c r="E52" s="82"/>
      <c r="F52" s="622" t="str">
        <f>Lifetimes!BF1</f>
        <v>LacquerProfInIU</v>
      </c>
    </row>
    <row r="53" spans="1:6" ht="15.75" thickBot="1">
      <c r="A53" s="74" t="s">
        <v>1605</v>
      </c>
      <c r="B53" s="97" t="s">
        <v>1410</v>
      </c>
      <c r="C53" s="97" t="s">
        <v>1606</v>
      </c>
      <c r="D53" s="101" t="str">
        <f t="shared" si="0"/>
        <v>OK</v>
      </c>
      <c r="E53" s="82"/>
      <c r="F53" s="622" t="str">
        <f>Lifetimes!BG1</f>
        <v>LacquerProfOutDis</v>
      </c>
    </row>
    <row r="54" spans="1:6" ht="15.75" thickBot="1">
      <c r="A54" s="74" t="s">
        <v>254</v>
      </c>
      <c r="B54" s="97" t="s">
        <v>1416</v>
      </c>
      <c r="C54" s="97" t="s">
        <v>1607</v>
      </c>
      <c r="D54" s="101" t="str">
        <f t="shared" si="0"/>
        <v>OK</v>
      </c>
      <c r="E54" s="82"/>
      <c r="F54" s="622" t="str">
        <f>Lifetimes!BH1</f>
        <v>LacquerProfOutIU</v>
      </c>
    </row>
    <row r="55" spans="1:6" ht="15.75" thickBot="1">
      <c r="A55" s="74" t="s">
        <v>309</v>
      </c>
      <c r="B55" s="97" t="s">
        <v>1410</v>
      </c>
      <c r="C55" s="97" t="s">
        <v>1608</v>
      </c>
      <c r="D55" s="101" t="str">
        <f t="shared" si="0"/>
        <v>OK</v>
      </c>
      <c r="E55" s="82"/>
      <c r="F55" s="622" t="str">
        <f>Lifetimes!BI1</f>
        <v>OtherPaintUsesDiyInDis</v>
      </c>
    </row>
    <row r="56" spans="1:6" ht="15.75" thickBot="1">
      <c r="A56" s="74" t="s">
        <v>311</v>
      </c>
      <c r="B56" s="97" t="s">
        <v>1413</v>
      </c>
      <c r="C56" s="97" t="s">
        <v>1259</v>
      </c>
      <c r="D56" s="101" t="str">
        <f t="shared" si="0"/>
        <v>OK</v>
      </c>
      <c r="E56" s="82"/>
      <c r="F56" s="622" t="str">
        <f>Lifetimes!BJ1</f>
        <v>OtherPaintUsesDiyInIU</v>
      </c>
    </row>
    <row r="57" spans="1:6" ht="15.75" thickBot="1">
      <c r="A57" s="74" t="s">
        <v>312</v>
      </c>
      <c r="B57" s="97" t="s">
        <v>1413</v>
      </c>
      <c r="C57" s="97" t="s">
        <v>1260</v>
      </c>
      <c r="D57" s="101" t="str">
        <f t="shared" si="0"/>
        <v>OK</v>
      </c>
      <c r="E57" s="82"/>
      <c r="F57" s="622" t="str">
        <f>Lifetimes!BK1</f>
        <v>OtherPaintUsesDiyOutDis</v>
      </c>
    </row>
    <row r="58" spans="1:6" ht="15.75" thickBot="1">
      <c r="A58" s="74" t="s">
        <v>37</v>
      </c>
      <c r="B58" s="97" t="s">
        <v>1410</v>
      </c>
      <c r="C58" s="97" t="s">
        <v>1609</v>
      </c>
      <c r="D58" s="101" t="str">
        <f t="shared" si="0"/>
        <v>OK</v>
      </c>
      <c r="E58" s="82"/>
      <c r="F58" s="622" t="str">
        <f>Lifetimes!BL1</f>
        <v>OtherPaintUsesDiyOutIU</v>
      </c>
    </row>
    <row r="59" spans="1:6" ht="15.75" thickBot="1">
      <c r="A59" s="74" t="s">
        <v>1610</v>
      </c>
      <c r="B59" s="97" t="s">
        <v>1410</v>
      </c>
      <c r="C59" s="97" t="s">
        <v>1611</v>
      </c>
      <c r="D59" s="101" t="str">
        <f t="shared" si="0"/>
        <v>OK</v>
      </c>
      <c r="E59" s="82"/>
      <c r="F59" s="622" t="str">
        <f>Lifetimes!BM1</f>
        <v>OtherPaintUsesProfInDis</v>
      </c>
    </row>
    <row r="60" spans="1:6" ht="15.75" thickBot="1">
      <c r="A60" s="74" t="s">
        <v>1612</v>
      </c>
      <c r="B60" s="97" t="s">
        <v>1410</v>
      </c>
      <c r="C60" s="97" t="s">
        <v>1613</v>
      </c>
      <c r="D60" s="101" t="str">
        <f t="shared" si="0"/>
        <v>OK</v>
      </c>
      <c r="E60" s="82"/>
      <c r="F60" s="622" t="str">
        <f>Lifetimes!BN1</f>
        <v>OtherPaintUsesProfInIU</v>
      </c>
    </row>
    <row r="61" spans="1:6" ht="15.75" thickBot="1">
      <c r="A61" s="74" t="s">
        <v>1614</v>
      </c>
      <c r="B61" s="97" t="s">
        <v>1410</v>
      </c>
      <c r="C61" s="97" t="s">
        <v>1615</v>
      </c>
      <c r="D61" s="101" t="str">
        <f t="shared" si="0"/>
        <v>OK</v>
      </c>
      <c r="E61" s="82"/>
      <c r="F61" s="622" t="str">
        <f>Lifetimes!BO1</f>
        <v>OtherPaintUsesProfOutDis</v>
      </c>
    </row>
    <row r="62" spans="1:6" ht="15.75" thickBot="1">
      <c r="A62" s="74" t="s">
        <v>1616</v>
      </c>
      <c r="B62" s="97" t="s">
        <v>1410</v>
      </c>
      <c r="C62" s="97" t="s">
        <v>1617</v>
      </c>
      <c r="D62" s="101" t="str">
        <f t="shared" si="0"/>
        <v>OK</v>
      </c>
      <c r="E62" s="82"/>
      <c r="F62" s="622" t="str">
        <f>Lifetimes!BP1</f>
        <v>OtherPaintUsesProfOutIU</v>
      </c>
    </row>
    <row r="63" spans="1:6" ht="15.75" thickBot="1">
      <c r="A63" s="74" t="s">
        <v>314</v>
      </c>
      <c r="B63" s="97" t="s">
        <v>1410</v>
      </c>
      <c r="C63" s="97" t="s">
        <v>1618</v>
      </c>
      <c r="D63" s="101" t="str">
        <f t="shared" si="0"/>
        <v>OK</v>
      </c>
      <c r="E63" s="82"/>
      <c r="F63" s="622" t="str">
        <f>Lifetimes!BQ1</f>
        <v>PaintsPreMadeWoodInDis</v>
      </c>
    </row>
    <row r="64" spans="1:6" ht="15.75" thickBot="1">
      <c r="A64" s="74" t="s">
        <v>440</v>
      </c>
      <c r="B64" s="97" t="s">
        <v>1410</v>
      </c>
      <c r="C64" s="97" t="s">
        <v>1619</v>
      </c>
      <c r="D64" s="101" t="str">
        <f t="shared" si="0"/>
        <v>OK</v>
      </c>
      <c r="E64" s="82"/>
      <c r="F64" s="622" t="str">
        <f>Lifetimes!BR1</f>
        <v>PaintsPreMadeWoodInIU</v>
      </c>
    </row>
    <row r="65" spans="1:6" ht="15.75" thickBot="1">
      <c r="A65" s="330" t="s">
        <v>496</v>
      </c>
      <c r="B65" s="97" t="s">
        <v>1410</v>
      </c>
      <c r="C65" s="97" t="s">
        <v>1620</v>
      </c>
      <c r="D65" s="101" t="str">
        <f t="shared" si="0"/>
        <v>OK</v>
      </c>
      <c r="E65" s="82"/>
      <c r="F65" s="622" t="str">
        <f>Lifetimes!BS1</f>
        <v>PaintsPreMadeWoodOutDis</v>
      </c>
    </row>
    <row r="66" spans="1:6" ht="15.75" thickBot="1">
      <c r="A66" s="330" t="s">
        <v>500</v>
      </c>
      <c r="B66" s="97" t="s">
        <v>1413</v>
      </c>
      <c r="C66" s="97" t="s">
        <v>1283</v>
      </c>
      <c r="D66" s="101" t="str">
        <f t="shared" si="0"/>
        <v>OK</v>
      </c>
      <c r="E66" s="82"/>
      <c r="F66" s="622" t="str">
        <f>Lifetimes!BT1</f>
        <v>PaintsPreMadeWoodOutIU</v>
      </c>
    </row>
    <row r="67" spans="1:6" ht="15.75" thickBot="1">
      <c r="A67" s="330" t="s">
        <v>499</v>
      </c>
      <c r="B67" s="97" t="s">
        <v>1413</v>
      </c>
      <c r="C67" s="97" t="s">
        <v>1284</v>
      </c>
      <c r="D67" s="101" t="str">
        <f t="shared" ref="D67:D130" si="1">IF(B67=IF(COUNTIF($F$3:$F$150,C67),"Stock","Flow/Sink"),"OK",IF(B67="Stock","Compartment missing in Lifetimes, available as pair?",IF(IF(COUNTIF($F$3:$F$150,C67),"Stock","Flow/Sink")="Stock","Change Type of compartment to Stock","OK")))</f>
        <v>OK</v>
      </c>
      <c r="E67" s="82"/>
      <c r="F67" s="622" t="str">
        <f>Lifetimes!BU1</f>
        <v>PlasterDiyInDis</v>
      </c>
    </row>
    <row r="68" spans="1:6" ht="15.75" thickBot="1">
      <c r="A68" s="330" t="s">
        <v>495</v>
      </c>
      <c r="B68" s="97" t="s">
        <v>1410</v>
      </c>
      <c r="C68" s="97" t="s">
        <v>1621</v>
      </c>
      <c r="D68" s="101" t="str">
        <f t="shared" si="1"/>
        <v>OK</v>
      </c>
      <c r="E68" s="82"/>
      <c r="F68" s="622" t="str">
        <f>Lifetimes!BV1</f>
        <v>PlasterDiyInIU</v>
      </c>
    </row>
    <row r="69" spans="1:6" ht="15.75" thickBot="1">
      <c r="A69" s="330" t="s">
        <v>498</v>
      </c>
      <c r="B69" s="97" t="s">
        <v>1413</v>
      </c>
      <c r="C69" s="97" t="s">
        <v>1285</v>
      </c>
      <c r="D69" s="101" t="str">
        <f t="shared" si="1"/>
        <v>OK</v>
      </c>
      <c r="E69" s="82"/>
      <c r="F69" s="622" t="str">
        <f>Lifetimes!BW1</f>
        <v>PlasterDiyOutDis</v>
      </c>
    </row>
    <row r="70" spans="1:6" ht="15.75" thickBot="1">
      <c r="A70" s="330" t="s">
        <v>497</v>
      </c>
      <c r="B70" s="97" t="s">
        <v>1413</v>
      </c>
      <c r="C70" s="97" t="s">
        <v>1286</v>
      </c>
      <c r="D70" s="101" t="str">
        <f t="shared" si="1"/>
        <v>OK</v>
      </c>
      <c r="E70" s="82"/>
      <c r="F70" s="622" t="str">
        <f>Lifetimes!BX1</f>
        <v>PlasterDiyOutIU</v>
      </c>
    </row>
    <row r="71" spans="1:6" ht="15.75" thickBot="1">
      <c r="A71" s="74" t="s">
        <v>434</v>
      </c>
      <c r="B71" s="97" t="s">
        <v>1410</v>
      </c>
      <c r="C71" s="97" t="s">
        <v>1622</v>
      </c>
      <c r="D71" s="101" t="str">
        <f t="shared" si="1"/>
        <v>OK</v>
      </c>
      <c r="E71" s="82"/>
      <c r="F71" s="622" t="str">
        <f>Lifetimes!BY1</f>
        <v>PlasterProfInDis</v>
      </c>
    </row>
    <row r="72" spans="1:6" ht="15.75" thickBot="1">
      <c r="A72" s="330" t="s">
        <v>458</v>
      </c>
      <c r="B72" s="97" t="s">
        <v>1410</v>
      </c>
      <c r="C72" s="97" t="s">
        <v>1623</v>
      </c>
      <c r="D72" s="101" t="str">
        <f t="shared" si="1"/>
        <v>OK</v>
      </c>
      <c r="E72" s="82"/>
      <c r="F72" s="622" t="str">
        <f>Lifetimes!BZ1</f>
        <v>PlasterProfInIU</v>
      </c>
    </row>
    <row r="73" spans="1:6" ht="15.75" thickBot="1">
      <c r="A73" s="330" t="s">
        <v>462</v>
      </c>
      <c r="B73" s="97" t="s">
        <v>1413</v>
      </c>
      <c r="C73" s="97" t="s">
        <v>1287</v>
      </c>
      <c r="D73" s="101" t="str">
        <f t="shared" si="1"/>
        <v>OK</v>
      </c>
      <c r="E73" s="82"/>
      <c r="F73" s="622" t="str">
        <f>Lifetimes!CA1</f>
        <v>PlasterProfOutDis</v>
      </c>
    </row>
    <row r="74" spans="1:6" ht="15.75" thickBot="1">
      <c r="A74" s="330" t="s">
        <v>461</v>
      </c>
      <c r="B74" s="97" t="s">
        <v>1413</v>
      </c>
      <c r="C74" s="97" t="s">
        <v>1288</v>
      </c>
      <c r="D74" s="101" t="str">
        <f t="shared" si="1"/>
        <v>OK</v>
      </c>
      <c r="E74" s="82"/>
      <c r="F74" s="622" t="str">
        <f>Lifetimes!CB1</f>
        <v>PlasterProfOutIU</v>
      </c>
    </row>
    <row r="75" spans="1:6" ht="15.75" thickBot="1">
      <c r="A75" s="330" t="s">
        <v>457</v>
      </c>
      <c r="B75" s="97" t="s">
        <v>1410</v>
      </c>
      <c r="C75" s="97" t="s">
        <v>1624</v>
      </c>
      <c r="D75" s="101" t="str">
        <f t="shared" si="1"/>
        <v>OK</v>
      </c>
      <c r="E75" s="82"/>
      <c r="F75" s="622" t="str">
        <f>Lifetimes!CC1</f>
        <v>ShipProfDis</v>
      </c>
    </row>
    <row r="76" spans="1:6" ht="15.75" thickBot="1">
      <c r="A76" s="330" t="s">
        <v>460</v>
      </c>
      <c r="B76" s="97" t="s">
        <v>1413</v>
      </c>
      <c r="C76" s="97" t="s">
        <v>1289</v>
      </c>
      <c r="D76" s="101" t="str">
        <f t="shared" si="1"/>
        <v>OK</v>
      </c>
      <c r="E76" s="82"/>
      <c r="F76" s="622" t="str">
        <f>Lifetimes!CD1</f>
        <v>ShipProfIU</v>
      </c>
    </row>
    <row r="77" spans="1:6" ht="15.75" thickBot="1">
      <c r="A77" s="330" t="s">
        <v>459</v>
      </c>
      <c r="B77" s="97" t="s">
        <v>1413</v>
      </c>
      <c r="C77" s="97" t="s">
        <v>1290</v>
      </c>
      <c r="D77" s="101" t="str">
        <f t="shared" si="1"/>
        <v>OK</v>
      </c>
      <c r="E77" s="82"/>
      <c r="F77" s="622" t="str">
        <f>Lifetimes!CE1</f>
        <v>ShipDiyDis</v>
      </c>
    </row>
    <row r="78" spans="1:6" ht="15.75" thickBot="1">
      <c r="A78" s="74" t="s">
        <v>1625</v>
      </c>
      <c r="B78" s="97" t="s">
        <v>1410</v>
      </c>
      <c r="C78" s="97" t="s">
        <v>1626</v>
      </c>
      <c r="D78" s="101" t="str">
        <f t="shared" si="1"/>
        <v>OK</v>
      </c>
      <c r="E78" s="82"/>
      <c r="F78" s="622" t="str">
        <f>Lifetimes!CF1</f>
        <v>ShipDiyIU</v>
      </c>
    </row>
    <row r="79" spans="1:6" ht="15.75" thickBot="1">
      <c r="A79" s="74" t="s">
        <v>1627</v>
      </c>
      <c r="B79" s="97" t="s">
        <v>1410</v>
      </c>
      <c r="C79" s="97" t="s">
        <v>1628</v>
      </c>
      <c r="D79" s="101" t="str">
        <f t="shared" si="1"/>
        <v>OK</v>
      </c>
      <c r="E79" s="82"/>
      <c r="F79" s="622" t="str">
        <f>Lifetimes!CG1</f>
        <v>WallPaintDiyIndoorAppliedDis</v>
      </c>
    </row>
    <row r="80" spans="1:6" ht="15.75" thickBot="1">
      <c r="A80" s="74" t="s">
        <v>1629</v>
      </c>
      <c r="B80" s="97" t="s">
        <v>1410</v>
      </c>
      <c r="C80" s="97" t="s">
        <v>1630</v>
      </c>
      <c r="D80" s="101" t="str">
        <f t="shared" si="1"/>
        <v>OK</v>
      </c>
      <c r="E80" s="82"/>
      <c r="F80" s="623" t="str">
        <f>Lifetimes!CH1</f>
        <v>WallPaintDiyIndoorAppliedIU</v>
      </c>
    </row>
    <row r="81" spans="1:6" ht="15.75" thickBot="1">
      <c r="A81" s="74" t="s">
        <v>1631</v>
      </c>
      <c r="B81" s="97" t="s">
        <v>1410</v>
      </c>
      <c r="C81" s="97" t="s">
        <v>1632</v>
      </c>
      <c r="D81" s="101" t="str">
        <f t="shared" si="1"/>
        <v>OK</v>
      </c>
      <c r="E81" s="82"/>
      <c r="F81" s="623" t="str">
        <f>Lifetimes!CI1</f>
        <v>WallPaintDiyOutDis</v>
      </c>
    </row>
    <row r="82" spans="1:6" ht="15.75" thickBot="1">
      <c r="A82" s="74" t="s">
        <v>346</v>
      </c>
      <c r="B82" s="97" t="s">
        <v>1413</v>
      </c>
      <c r="C82" s="97" t="s">
        <v>1268</v>
      </c>
      <c r="D82" s="101" t="str">
        <f t="shared" si="1"/>
        <v>OK</v>
      </c>
      <c r="E82" s="82"/>
      <c r="F82" s="623" t="str">
        <f>Lifetimes!CJ1</f>
        <v>WallPaintDiyOutIU</v>
      </c>
    </row>
    <row r="83" spans="1:6" ht="15.75" thickBot="1">
      <c r="A83" s="74" t="s">
        <v>338</v>
      </c>
      <c r="B83" s="97" t="s">
        <v>1410</v>
      </c>
      <c r="C83" s="97" t="s">
        <v>1633</v>
      </c>
      <c r="D83" s="101" t="str">
        <f t="shared" si="1"/>
        <v>OK</v>
      </c>
      <c r="E83" s="82"/>
      <c r="F83" s="623" t="str">
        <f>Lifetimes!CK1</f>
        <v>WallPaintProfInDis</v>
      </c>
    </row>
    <row r="84" spans="1:6" ht="15.75" thickBot="1">
      <c r="A84" s="74" t="s">
        <v>334</v>
      </c>
      <c r="B84" s="97" t="s">
        <v>1410</v>
      </c>
      <c r="C84" s="97" t="s">
        <v>1634</v>
      </c>
      <c r="D84" s="101" t="str">
        <f t="shared" si="1"/>
        <v>OK</v>
      </c>
      <c r="E84" s="82"/>
      <c r="F84" s="623" t="str">
        <f>Lifetimes!CL1</f>
        <v>WallPaintProfInIU</v>
      </c>
    </row>
    <row r="85" spans="1:6" ht="15.75" thickBot="1">
      <c r="A85" s="74" t="s">
        <v>362</v>
      </c>
      <c r="B85" s="97" t="s">
        <v>1410</v>
      </c>
      <c r="C85" s="97" t="s">
        <v>1635</v>
      </c>
      <c r="D85" s="101" t="str">
        <f t="shared" si="1"/>
        <v>OK</v>
      </c>
      <c r="E85" s="82"/>
      <c r="F85" s="623" t="str">
        <f>Lifetimes!CM1</f>
        <v>WallPaintProfOutDis</v>
      </c>
    </row>
    <row r="86" spans="1:6" ht="15.75" thickBot="1">
      <c r="A86" s="74" t="s">
        <v>444</v>
      </c>
      <c r="B86" s="97" t="s">
        <v>1410</v>
      </c>
      <c r="C86" s="97" t="s">
        <v>1636</v>
      </c>
      <c r="D86" s="101" t="str">
        <f t="shared" si="1"/>
        <v>OK</v>
      </c>
      <c r="E86" s="82"/>
      <c r="F86" s="623" t="str">
        <f>Lifetimes!CN1</f>
        <v>WallPaintProfOutIU</v>
      </c>
    </row>
    <row r="87" spans="1:6" ht="15.75" thickBot="1">
      <c r="A87" s="330" t="s">
        <v>522</v>
      </c>
      <c r="B87" s="97" t="s">
        <v>1410</v>
      </c>
      <c r="C87" s="97" t="s">
        <v>1637</v>
      </c>
      <c r="D87" s="101" t="str">
        <f t="shared" si="1"/>
        <v>OK</v>
      </c>
      <c r="E87" s="82"/>
      <c r="F87" s="623" t="str">
        <f>Lifetimes!CO1</f>
        <v>WoodStainDiyInDis</v>
      </c>
    </row>
    <row r="88" spans="1:6" ht="15.75" thickBot="1">
      <c r="A88" s="330" t="s">
        <v>465</v>
      </c>
      <c r="B88" s="97" t="s">
        <v>1413</v>
      </c>
      <c r="C88" s="97" t="s">
        <v>1291</v>
      </c>
      <c r="D88" s="101" t="str">
        <f t="shared" si="1"/>
        <v>OK</v>
      </c>
      <c r="E88" s="82"/>
      <c r="F88" s="623" t="str">
        <f>Lifetimes!CP1</f>
        <v>WoodStainDiyInIU</v>
      </c>
    </row>
    <row r="89" spans="1:6" ht="15.75" thickBot="1">
      <c r="A89" s="330" t="s">
        <v>524</v>
      </c>
      <c r="B89" s="97" t="s">
        <v>1413</v>
      </c>
      <c r="C89" s="97" t="s">
        <v>1292</v>
      </c>
      <c r="D89" s="101" t="str">
        <f t="shared" si="1"/>
        <v>OK</v>
      </c>
      <c r="E89" s="82"/>
      <c r="F89" s="623" t="str">
        <f>Lifetimes!CQ1</f>
        <v>WoodStainDiyOutDis</v>
      </c>
    </row>
    <row r="90" spans="1:6" ht="15.75" thickBot="1">
      <c r="A90" s="330" t="s">
        <v>521</v>
      </c>
      <c r="B90" s="97" t="s">
        <v>1410</v>
      </c>
      <c r="C90" s="97" t="s">
        <v>1638</v>
      </c>
      <c r="D90" s="101" t="str">
        <f t="shared" si="1"/>
        <v>OK</v>
      </c>
      <c r="E90" s="82"/>
      <c r="F90" s="623" t="str">
        <f>Lifetimes!CR1</f>
        <v>WoodStainDiyOutIU</v>
      </c>
    </row>
    <row r="91" spans="1:6" ht="15.75" thickBot="1">
      <c r="A91" s="330" t="s">
        <v>472</v>
      </c>
      <c r="B91" s="97" t="s">
        <v>1413</v>
      </c>
      <c r="C91" s="97" t="s">
        <v>1293</v>
      </c>
      <c r="D91" s="101" t="str">
        <f t="shared" si="1"/>
        <v>OK</v>
      </c>
      <c r="E91" s="82"/>
      <c r="F91" s="623" t="str">
        <f>Lifetimes!CS1</f>
        <v>WoodStainProfInDis</v>
      </c>
    </row>
    <row r="92" spans="1:6" ht="15.75" thickBot="1">
      <c r="A92" s="330" t="s">
        <v>523</v>
      </c>
      <c r="B92" s="97" t="s">
        <v>1413</v>
      </c>
      <c r="C92" s="97" t="s">
        <v>1294</v>
      </c>
      <c r="D92" s="101" t="str">
        <f t="shared" si="1"/>
        <v>OK</v>
      </c>
      <c r="E92" s="82"/>
      <c r="F92" s="623" t="str">
        <f>Lifetimes!CT1</f>
        <v>WoodStainProfInIU</v>
      </c>
    </row>
    <row r="93" spans="1:6" ht="15.75" thickBot="1">
      <c r="A93" s="74" t="s">
        <v>438</v>
      </c>
      <c r="B93" s="97" t="s">
        <v>1410</v>
      </c>
      <c r="C93" s="97" t="s">
        <v>1639</v>
      </c>
      <c r="D93" s="101" t="str">
        <f t="shared" si="1"/>
        <v>OK</v>
      </c>
      <c r="E93" s="82"/>
      <c r="F93" s="623" t="str">
        <f>Lifetimes!CU1</f>
        <v>WoodStainProfOutDis</v>
      </c>
    </row>
    <row r="94" spans="1:6" ht="15.75" thickBot="1">
      <c r="A94" s="330" t="s">
        <v>486</v>
      </c>
      <c r="B94" s="97" t="s">
        <v>1410</v>
      </c>
      <c r="C94" s="97" t="s">
        <v>1640</v>
      </c>
      <c r="D94" s="101" t="str">
        <f t="shared" si="1"/>
        <v>OK</v>
      </c>
      <c r="E94" s="82"/>
      <c r="F94" s="624" t="str">
        <f>Lifetimes!CV1</f>
        <v>WoodStainProfOutIU</v>
      </c>
    </row>
    <row r="95" spans="1:6" ht="15.75" thickBot="1">
      <c r="A95" s="330" t="s">
        <v>477</v>
      </c>
      <c r="B95" s="97" t="s">
        <v>1413</v>
      </c>
      <c r="C95" s="97" t="s">
        <v>1295</v>
      </c>
      <c r="D95" s="101" t="str">
        <f t="shared" si="1"/>
        <v>OK</v>
      </c>
      <c r="E95" s="82"/>
      <c r="F95">
        <f>Lifetimes!CW1</f>
        <v>0</v>
      </c>
    </row>
    <row r="96" spans="1:6" ht="15.75" thickBot="1">
      <c r="A96" s="330" t="s">
        <v>488</v>
      </c>
      <c r="B96" s="97" t="s">
        <v>1413</v>
      </c>
      <c r="C96" s="97" t="s">
        <v>1296</v>
      </c>
      <c r="D96" s="101" t="str">
        <f t="shared" si="1"/>
        <v>OK</v>
      </c>
      <c r="E96" s="82"/>
      <c r="F96">
        <f>Lifetimes!CX1</f>
        <v>0</v>
      </c>
    </row>
    <row r="97" spans="1:6" ht="15.75" thickBot="1">
      <c r="A97" s="330" t="s">
        <v>485</v>
      </c>
      <c r="B97" s="97" t="s">
        <v>1410</v>
      </c>
      <c r="C97" s="97" t="s">
        <v>1641</v>
      </c>
      <c r="D97" s="101" t="str">
        <f t="shared" si="1"/>
        <v>OK</v>
      </c>
      <c r="E97" s="82"/>
      <c r="F97">
        <f>Lifetimes!CY1</f>
        <v>0</v>
      </c>
    </row>
    <row r="98" spans="1:6" ht="15.75" thickBot="1">
      <c r="A98" s="330" t="s">
        <v>480</v>
      </c>
      <c r="B98" s="97" t="s">
        <v>1413</v>
      </c>
      <c r="C98" s="97" t="s">
        <v>1297</v>
      </c>
      <c r="D98" s="101" t="str">
        <f t="shared" si="1"/>
        <v>OK</v>
      </c>
      <c r="E98" s="82"/>
      <c r="F98">
        <f>Lifetimes!CZ1</f>
        <v>0</v>
      </c>
    </row>
    <row r="99" spans="1:6" ht="15.75" thickBot="1">
      <c r="A99" s="330" t="s">
        <v>487</v>
      </c>
      <c r="B99" s="97" t="s">
        <v>1413</v>
      </c>
      <c r="C99" s="97" t="s">
        <v>1298</v>
      </c>
      <c r="D99" s="101" t="str">
        <f t="shared" si="1"/>
        <v>OK</v>
      </c>
      <c r="E99" s="82"/>
      <c r="F99">
        <f>Lifetimes!DA1</f>
        <v>0</v>
      </c>
    </row>
    <row r="100" spans="1:6" ht="15.75" thickBot="1">
      <c r="A100" s="74" t="s">
        <v>1642</v>
      </c>
      <c r="B100" s="97" t="s">
        <v>1410</v>
      </c>
      <c r="C100" s="97" t="s">
        <v>1643</v>
      </c>
      <c r="D100" s="101" t="str">
        <f t="shared" si="1"/>
        <v>OK</v>
      </c>
      <c r="E100" s="82"/>
      <c r="F100">
        <f>Lifetimes!DB1</f>
        <v>0</v>
      </c>
    </row>
    <row r="101" spans="1:6" ht="15.75" thickBot="1">
      <c r="A101" s="74" t="s">
        <v>1644</v>
      </c>
      <c r="B101" s="97" t="s">
        <v>1410</v>
      </c>
      <c r="C101" s="97" t="s">
        <v>1645</v>
      </c>
      <c r="D101" s="101" t="str">
        <f t="shared" si="1"/>
        <v>OK</v>
      </c>
      <c r="E101" s="82"/>
      <c r="F101">
        <f>Lifetimes!DC1</f>
        <v>0</v>
      </c>
    </row>
    <row r="102" spans="1:6" ht="15.75" thickBot="1">
      <c r="A102" s="74" t="s">
        <v>1646</v>
      </c>
      <c r="B102" s="97" t="s">
        <v>1410</v>
      </c>
      <c r="C102" s="97" t="s">
        <v>1647</v>
      </c>
      <c r="D102" s="101" t="str">
        <f t="shared" si="1"/>
        <v>OK</v>
      </c>
      <c r="E102" s="82"/>
      <c r="F102">
        <f>Lifetimes!DD1</f>
        <v>0</v>
      </c>
    </row>
    <row r="103" spans="1:6" ht="15.75" thickBot="1">
      <c r="A103" s="74" t="s">
        <v>1648</v>
      </c>
      <c r="B103" s="97" t="s">
        <v>1410</v>
      </c>
      <c r="C103" s="97" t="s">
        <v>1649</v>
      </c>
      <c r="D103" s="101" t="str">
        <f t="shared" si="1"/>
        <v>OK</v>
      </c>
      <c r="E103" s="82"/>
      <c r="F103">
        <f>Lifetimes!DE1</f>
        <v>0</v>
      </c>
    </row>
    <row r="104" spans="1:6" ht="15.75" thickBot="1">
      <c r="A104" s="74" t="s">
        <v>1650</v>
      </c>
      <c r="B104" s="97" t="s">
        <v>1410</v>
      </c>
      <c r="C104" s="97" t="s">
        <v>1651</v>
      </c>
      <c r="D104" s="101" t="str">
        <f t="shared" si="1"/>
        <v>OK</v>
      </c>
      <c r="E104" s="82"/>
      <c r="F104">
        <f>Lifetimes!DF1</f>
        <v>0</v>
      </c>
    </row>
    <row r="105" spans="1:6" ht="15.75" thickBot="1">
      <c r="A105" s="74" t="s">
        <v>1652</v>
      </c>
      <c r="B105" s="97" t="s">
        <v>1410</v>
      </c>
      <c r="C105" s="97" t="s">
        <v>1653</v>
      </c>
      <c r="D105" s="101" t="str">
        <f t="shared" si="1"/>
        <v>OK</v>
      </c>
      <c r="E105" s="82"/>
      <c r="F105">
        <f>Lifetimes!DG1</f>
        <v>0</v>
      </c>
    </row>
    <row r="106" spans="1:6" ht="15.75" thickBot="1">
      <c r="A106" s="74" t="s">
        <v>1654</v>
      </c>
      <c r="B106" s="97" t="s">
        <v>1410</v>
      </c>
      <c r="C106" s="97" t="s">
        <v>1655</v>
      </c>
      <c r="D106" s="101" t="str">
        <f t="shared" si="1"/>
        <v>OK</v>
      </c>
      <c r="E106" s="82"/>
      <c r="F106">
        <f>Lifetimes!DH1</f>
        <v>0</v>
      </c>
    </row>
    <row r="107" spans="1:6" ht="15.75" thickBot="1">
      <c r="A107" s="74" t="s">
        <v>1656</v>
      </c>
      <c r="B107" s="97" t="s">
        <v>1410</v>
      </c>
      <c r="C107" s="97" t="s">
        <v>1657</v>
      </c>
      <c r="D107" s="101" t="str">
        <f t="shared" si="1"/>
        <v>OK</v>
      </c>
      <c r="E107" s="82"/>
      <c r="F107">
        <f>Lifetimes!DI1</f>
        <v>0</v>
      </c>
    </row>
    <row r="108" spans="1:6" ht="15.75" thickBot="1">
      <c r="A108" s="74" t="s">
        <v>1658</v>
      </c>
      <c r="B108" s="97" t="s">
        <v>1410</v>
      </c>
      <c r="C108" s="97" t="s">
        <v>1659</v>
      </c>
      <c r="D108" s="101" t="str">
        <f t="shared" si="1"/>
        <v>OK</v>
      </c>
      <c r="E108" s="82"/>
      <c r="F108">
        <f>Lifetimes!DJ1</f>
        <v>0</v>
      </c>
    </row>
    <row r="109" spans="1:6" ht="15.75" thickBot="1">
      <c r="A109" s="74" t="s">
        <v>1660</v>
      </c>
      <c r="B109" s="97" t="s">
        <v>1410</v>
      </c>
      <c r="C109" s="97" t="s">
        <v>1661</v>
      </c>
      <c r="D109" s="101" t="str">
        <f t="shared" si="1"/>
        <v>OK</v>
      </c>
      <c r="E109" s="82"/>
      <c r="F109">
        <f>Lifetimes!DK1</f>
        <v>0</v>
      </c>
    </row>
    <row r="110" spans="1:6" ht="15.75" thickBot="1">
      <c r="A110" s="74" t="s">
        <v>1662</v>
      </c>
      <c r="B110" s="97" t="s">
        <v>1410</v>
      </c>
      <c r="C110" s="97" t="s">
        <v>1663</v>
      </c>
      <c r="D110" s="101" t="str">
        <f t="shared" si="1"/>
        <v>OK</v>
      </c>
      <c r="E110" s="82"/>
      <c r="F110">
        <f>Lifetimes!DL1</f>
        <v>0</v>
      </c>
    </row>
    <row r="111" spans="1:6" ht="15.75" thickBot="1">
      <c r="A111" s="74" t="s">
        <v>118</v>
      </c>
      <c r="B111" s="97" t="s">
        <v>1410</v>
      </c>
      <c r="C111" s="97" t="s">
        <v>118</v>
      </c>
      <c r="D111" s="101" t="str">
        <f t="shared" si="1"/>
        <v>OK</v>
      </c>
      <c r="E111" s="82"/>
      <c r="F111">
        <f>Lifetimes!DM1</f>
        <v>0</v>
      </c>
    </row>
    <row r="112" spans="1:6" ht="15.75" thickBot="1">
      <c r="A112" s="330" t="s">
        <v>439</v>
      </c>
      <c r="B112" s="97" t="s">
        <v>1410</v>
      </c>
      <c r="C112" s="97" t="s">
        <v>1664</v>
      </c>
      <c r="D112" s="101" t="str">
        <f t="shared" si="1"/>
        <v>OK</v>
      </c>
      <c r="E112" s="82"/>
      <c r="F112">
        <f>Lifetimes!DN1</f>
        <v>0</v>
      </c>
    </row>
    <row r="113" spans="1:6" ht="15.75" thickBot="1">
      <c r="A113" s="330" t="s">
        <v>492</v>
      </c>
      <c r="B113" s="97" t="s">
        <v>1410</v>
      </c>
      <c r="C113" s="97" t="s">
        <v>1665</v>
      </c>
      <c r="D113" s="101" t="str">
        <f t="shared" si="1"/>
        <v>OK</v>
      </c>
      <c r="E113" s="82"/>
      <c r="F113">
        <f>Lifetimes!DO1</f>
        <v>0</v>
      </c>
    </row>
    <row r="114" spans="1:6" ht="15.75" thickBot="1">
      <c r="A114" s="330" t="s">
        <v>489</v>
      </c>
      <c r="B114" s="97" t="s">
        <v>1413</v>
      </c>
      <c r="C114" s="97" t="s">
        <v>1299</v>
      </c>
      <c r="D114" s="101" t="str">
        <f t="shared" si="1"/>
        <v>OK</v>
      </c>
      <c r="E114" s="82"/>
      <c r="F114">
        <f>Lifetimes!DP1</f>
        <v>0</v>
      </c>
    </row>
    <row r="115" spans="1:6" ht="15.75" thickBot="1">
      <c r="A115" s="330" t="s">
        <v>494</v>
      </c>
      <c r="B115" s="97" t="s">
        <v>1413</v>
      </c>
      <c r="C115" s="97" t="s">
        <v>1300</v>
      </c>
      <c r="D115" s="101" t="str">
        <f t="shared" si="1"/>
        <v>OK</v>
      </c>
      <c r="E115" s="82"/>
      <c r="F115">
        <f>Lifetimes!DQ1</f>
        <v>0</v>
      </c>
    </row>
    <row r="116" spans="1:6" ht="15.75" thickBot="1">
      <c r="A116" s="330" t="s">
        <v>491</v>
      </c>
      <c r="B116" s="97" t="s">
        <v>1410</v>
      </c>
      <c r="C116" s="97" t="s">
        <v>1666</v>
      </c>
      <c r="D116" s="101" t="str">
        <f t="shared" si="1"/>
        <v>OK</v>
      </c>
      <c r="E116" s="82"/>
      <c r="F116">
        <f>Lifetimes!DR1</f>
        <v>0</v>
      </c>
    </row>
    <row r="117" spans="1:6" ht="15.75" thickBot="1">
      <c r="A117" s="330" t="s">
        <v>490</v>
      </c>
      <c r="B117" s="97" t="s">
        <v>1413</v>
      </c>
      <c r="C117" s="97" t="s">
        <v>1301</v>
      </c>
      <c r="D117" s="101" t="str">
        <f t="shared" si="1"/>
        <v>OK</v>
      </c>
      <c r="E117" s="82"/>
      <c r="F117">
        <f>Lifetimes!DS1</f>
        <v>0</v>
      </c>
    </row>
    <row r="118" spans="1:6" ht="15.75" thickBot="1">
      <c r="A118" s="330" t="s">
        <v>493</v>
      </c>
      <c r="B118" s="97" t="s">
        <v>1413</v>
      </c>
      <c r="C118" s="97" t="s">
        <v>1302</v>
      </c>
      <c r="D118" s="101" t="str">
        <f t="shared" si="1"/>
        <v>OK</v>
      </c>
      <c r="E118" s="82"/>
      <c r="F118">
        <f>Lifetimes!DT1</f>
        <v>0</v>
      </c>
    </row>
    <row r="119" spans="1:6" ht="15.75" thickBot="1">
      <c r="A119" s="74" t="s">
        <v>259</v>
      </c>
      <c r="B119" s="97" t="s">
        <v>1410</v>
      </c>
      <c r="C119" s="97" t="s">
        <v>1667</v>
      </c>
      <c r="D119" s="101" t="str">
        <f t="shared" si="1"/>
        <v>OK</v>
      </c>
      <c r="E119" s="82"/>
      <c r="F119">
        <f>Lifetimes!DU1</f>
        <v>0</v>
      </c>
    </row>
    <row r="120" spans="1:6" ht="15.75" thickBot="1">
      <c r="A120" s="74" t="s">
        <v>261</v>
      </c>
      <c r="B120" s="97" t="s">
        <v>1410</v>
      </c>
      <c r="C120" s="97" t="s">
        <v>1668</v>
      </c>
      <c r="D120" s="101" t="str">
        <f t="shared" si="1"/>
        <v>OK</v>
      </c>
      <c r="E120" s="82"/>
      <c r="F120">
        <f>Lifetimes!DV1</f>
        <v>0</v>
      </c>
    </row>
    <row r="121" spans="1:6" ht="15.75" thickBot="1">
      <c r="A121" s="74" t="s">
        <v>262</v>
      </c>
      <c r="B121" s="97" t="s">
        <v>1410</v>
      </c>
      <c r="C121" s="97" t="s">
        <v>1669</v>
      </c>
      <c r="D121" s="101" t="str">
        <f t="shared" si="1"/>
        <v>OK</v>
      </c>
      <c r="E121" s="82"/>
      <c r="F121">
        <f>Lifetimes!DW1</f>
        <v>0</v>
      </c>
    </row>
    <row r="122" spans="1:6" ht="15.75" thickBot="1">
      <c r="A122" s="74" t="s">
        <v>160</v>
      </c>
      <c r="B122" s="97" t="s">
        <v>1410</v>
      </c>
      <c r="C122" s="97" t="s">
        <v>1670</v>
      </c>
      <c r="D122" s="101" t="str">
        <f t="shared" si="1"/>
        <v>OK</v>
      </c>
      <c r="E122" s="82"/>
      <c r="F122">
        <f>Lifetimes!DX1</f>
        <v>0</v>
      </c>
    </row>
    <row r="123" spans="1:6" ht="15.75" thickBot="1">
      <c r="A123" s="74" t="s">
        <v>443</v>
      </c>
      <c r="B123" s="97" t="s">
        <v>1410</v>
      </c>
      <c r="C123" s="97" t="s">
        <v>1671</v>
      </c>
      <c r="D123" s="101" t="str">
        <f t="shared" si="1"/>
        <v>OK</v>
      </c>
      <c r="E123" s="82"/>
      <c r="F123">
        <f>Lifetimes!DY1</f>
        <v>0</v>
      </c>
    </row>
    <row r="124" spans="1:6" ht="15.75" thickBot="1">
      <c r="A124" s="330" t="s">
        <v>516</v>
      </c>
      <c r="B124" s="97" t="s">
        <v>1410</v>
      </c>
      <c r="C124" s="97" t="s">
        <v>1672</v>
      </c>
      <c r="D124" s="101" t="str">
        <f t="shared" si="1"/>
        <v>OK</v>
      </c>
      <c r="E124" s="82"/>
      <c r="F124">
        <f>Lifetimes!DZ1</f>
        <v>0</v>
      </c>
    </row>
    <row r="125" spans="1:6" ht="15.75" thickBot="1">
      <c r="A125" s="330" t="s">
        <v>520</v>
      </c>
      <c r="B125" s="97" t="s">
        <v>1413</v>
      </c>
      <c r="C125" s="97" t="s">
        <v>1303</v>
      </c>
      <c r="D125" s="101" t="str">
        <f t="shared" si="1"/>
        <v>OK</v>
      </c>
      <c r="E125" s="82"/>
      <c r="F125">
        <f>Lifetimes!EA1</f>
        <v>0</v>
      </c>
    </row>
    <row r="126" spans="1:6" ht="15.75" thickBot="1">
      <c r="A126" s="330" t="s">
        <v>519</v>
      </c>
      <c r="B126" s="97" t="s">
        <v>1413</v>
      </c>
      <c r="C126" s="97" t="s">
        <v>1304</v>
      </c>
      <c r="D126" s="101" t="str">
        <f t="shared" si="1"/>
        <v>OK</v>
      </c>
      <c r="E126" s="82"/>
      <c r="F126">
        <f>Lifetimes!EB1</f>
        <v>0</v>
      </c>
    </row>
    <row r="127" spans="1:6" ht="15.75" thickBot="1">
      <c r="A127" s="330" t="s">
        <v>515</v>
      </c>
      <c r="B127" s="97" t="s">
        <v>1410</v>
      </c>
      <c r="C127" s="97" t="s">
        <v>1673</v>
      </c>
      <c r="D127" s="101" t="str">
        <f t="shared" si="1"/>
        <v>OK</v>
      </c>
      <c r="E127" s="82"/>
      <c r="F127">
        <f>Lifetimes!EC1</f>
        <v>0</v>
      </c>
    </row>
    <row r="128" spans="1:6" ht="15.75" thickBot="1">
      <c r="A128" s="330" t="s">
        <v>518</v>
      </c>
      <c r="B128" s="97" t="s">
        <v>1413</v>
      </c>
      <c r="C128" s="97" t="s">
        <v>1305</v>
      </c>
      <c r="D128" s="101" t="str">
        <f t="shared" si="1"/>
        <v>OK</v>
      </c>
      <c r="E128" s="82"/>
      <c r="F128">
        <f>Lifetimes!ED1</f>
        <v>0</v>
      </c>
    </row>
    <row r="129" spans="1:6" ht="15.75" thickBot="1">
      <c r="A129" s="330" t="s">
        <v>517</v>
      </c>
      <c r="B129" s="97" t="s">
        <v>1413</v>
      </c>
      <c r="C129" s="97" t="s">
        <v>1306</v>
      </c>
      <c r="D129" s="101" t="str">
        <f t="shared" si="1"/>
        <v>OK</v>
      </c>
      <c r="E129" s="82"/>
      <c r="F129">
        <f>Lifetimes!EE1</f>
        <v>0</v>
      </c>
    </row>
    <row r="130" spans="1:6" ht="15.75" thickBot="1">
      <c r="A130" s="74" t="s">
        <v>437</v>
      </c>
      <c r="B130" s="97" t="s">
        <v>1410</v>
      </c>
      <c r="C130" s="97" t="s">
        <v>1674</v>
      </c>
      <c r="D130" s="101" t="str">
        <f t="shared" si="1"/>
        <v>OK</v>
      </c>
      <c r="E130" s="82"/>
      <c r="F130">
        <f>Lifetimes!EF1</f>
        <v>0</v>
      </c>
    </row>
    <row r="131" spans="1:6" ht="15.75" thickBot="1">
      <c r="A131" s="330" t="s">
        <v>479</v>
      </c>
      <c r="B131" s="97" t="s">
        <v>1410</v>
      </c>
      <c r="C131" s="97" t="s">
        <v>1675</v>
      </c>
      <c r="D131" s="101" t="str">
        <f t="shared" ref="D131:D194" si="2">IF(B131=IF(COUNTIF($F$3:$F$150,C131),"Stock","Flow/Sink"),"OK",IF(B131="Stock","Compartment missing in Lifetimes, available as pair?",IF(IF(COUNTIF($F$3:$F$150,C131),"Stock","Flow/Sink")="Stock","Change Type of compartment to Stock","OK")))</f>
        <v>OK</v>
      </c>
      <c r="E131" s="82"/>
      <c r="F131">
        <f>Lifetimes!EG1</f>
        <v>0</v>
      </c>
    </row>
    <row r="132" spans="1:6" ht="15.75" thickBot="1">
      <c r="A132" s="330" t="s">
        <v>484</v>
      </c>
      <c r="B132" s="97" t="s">
        <v>1413</v>
      </c>
      <c r="C132" s="97" t="s">
        <v>1307</v>
      </c>
      <c r="D132" s="101" t="str">
        <f t="shared" si="2"/>
        <v>OK</v>
      </c>
      <c r="E132" s="82"/>
      <c r="F132">
        <f>Lifetimes!EH1</f>
        <v>0</v>
      </c>
    </row>
    <row r="133" spans="1:6" ht="15.75" thickBot="1">
      <c r="A133" s="330" t="s">
        <v>483</v>
      </c>
      <c r="B133" s="97" t="s">
        <v>1413</v>
      </c>
      <c r="C133" s="97" t="s">
        <v>1308</v>
      </c>
      <c r="D133" s="101" t="str">
        <f t="shared" si="2"/>
        <v>OK</v>
      </c>
      <c r="E133" s="82"/>
      <c r="F133">
        <f>Lifetimes!EI1</f>
        <v>0</v>
      </c>
    </row>
    <row r="134" spans="1:6" ht="15.75" thickBot="1">
      <c r="A134" s="330" t="s">
        <v>478</v>
      </c>
      <c r="B134" s="97" t="s">
        <v>1410</v>
      </c>
      <c r="C134" s="97" t="s">
        <v>1676</v>
      </c>
      <c r="D134" s="101" t="str">
        <f t="shared" si="2"/>
        <v>OK</v>
      </c>
      <c r="E134" s="82"/>
      <c r="F134">
        <f>Lifetimes!EJ1</f>
        <v>0</v>
      </c>
    </row>
    <row r="135" spans="1:6" ht="15.75" thickBot="1">
      <c r="A135" s="330" t="s">
        <v>482</v>
      </c>
      <c r="B135" s="97" t="s">
        <v>1413</v>
      </c>
      <c r="C135" s="97" t="s">
        <v>1309</v>
      </c>
      <c r="D135" s="101" t="str">
        <f t="shared" si="2"/>
        <v>OK</v>
      </c>
      <c r="E135" s="82"/>
      <c r="F135">
        <f>Lifetimes!EK1</f>
        <v>0</v>
      </c>
    </row>
    <row r="136" spans="1:6" ht="15.75" thickBot="1">
      <c r="A136" s="330" t="s">
        <v>481</v>
      </c>
      <c r="B136" s="97" t="s">
        <v>1413</v>
      </c>
      <c r="C136" s="97" t="s">
        <v>1310</v>
      </c>
      <c r="D136" s="101" t="str">
        <f t="shared" si="2"/>
        <v>OK</v>
      </c>
      <c r="E136" s="82"/>
      <c r="F136">
        <f>Lifetimes!EL1</f>
        <v>0</v>
      </c>
    </row>
    <row r="137" spans="1:6" ht="15.75" thickBot="1">
      <c r="A137" s="74" t="s">
        <v>260</v>
      </c>
      <c r="B137" s="97" t="s">
        <v>1416</v>
      </c>
      <c r="C137" s="97" t="s">
        <v>1677</v>
      </c>
      <c r="D137" s="101" t="str">
        <f t="shared" si="2"/>
        <v>OK</v>
      </c>
      <c r="E137" s="83"/>
      <c r="F137">
        <f>Lifetimes!EM1</f>
        <v>0</v>
      </c>
    </row>
    <row r="138" spans="1:6" ht="15.75" thickBot="1">
      <c r="A138" s="74" t="s">
        <v>1678</v>
      </c>
      <c r="B138" s="97" t="s">
        <v>1410</v>
      </c>
      <c r="C138" s="97" t="s">
        <v>1679</v>
      </c>
      <c r="D138" s="101" t="str">
        <f t="shared" si="2"/>
        <v>OK</v>
      </c>
      <c r="F138">
        <f>Lifetimes!EN1</f>
        <v>0</v>
      </c>
    </row>
    <row r="139" spans="1:6" ht="15.75" thickBot="1">
      <c r="A139" s="330" t="s">
        <v>301</v>
      </c>
      <c r="B139" s="97" t="s">
        <v>1410</v>
      </c>
      <c r="C139" s="97" t="s">
        <v>1680</v>
      </c>
      <c r="D139" s="101" t="str">
        <f t="shared" si="2"/>
        <v>OK</v>
      </c>
      <c r="F139">
        <f>Lifetimes!EO1</f>
        <v>0</v>
      </c>
    </row>
    <row r="140" spans="1:6" ht="15.75" thickBot="1">
      <c r="A140" s="330" t="s">
        <v>394</v>
      </c>
      <c r="B140" s="97" t="s">
        <v>1410</v>
      </c>
      <c r="C140" s="97" t="s">
        <v>1681</v>
      </c>
      <c r="D140" s="101" t="str">
        <f t="shared" si="2"/>
        <v>OK</v>
      </c>
      <c r="F140">
        <f>Lifetimes!EP1</f>
        <v>0</v>
      </c>
    </row>
    <row r="141" spans="1:6" ht="15.75" thickBot="1">
      <c r="A141" s="330" t="s">
        <v>378</v>
      </c>
      <c r="B141" s="97" t="s">
        <v>1416</v>
      </c>
      <c r="C141" s="97" t="s">
        <v>1682</v>
      </c>
      <c r="D141" s="101" t="str">
        <f t="shared" si="2"/>
        <v>OK</v>
      </c>
      <c r="F141">
        <f>Lifetimes!EQ1</f>
        <v>0</v>
      </c>
    </row>
    <row r="142" spans="1:6" ht="15.75" thickBot="1">
      <c r="A142" s="330" t="s">
        <v>395</v>
      </c>
      <c r="B142" s="97" t="s">
        <v>1410</v>
      </c>
      <c r="C142" s="97" t="s">
        <v>1683</v>
      </c>
      <c r="D142" s="101" t="str">
        <f t="shared" si="2"/>
        <v>OK</v>
      </c>
      <c r="F142">
        <f>Lifetimes!ER1</f>
        <v>0</v>
      </c>
    </row>
    <row r="143" spans="1:6" ht="15.75" thickBot="1">
      <c r="A143" s="74" t="s">
        <v>240</v>
      </c>
      <c r="B143" s="97" t="s">
        <v>1410</v>
      </c>
      <c r="C143" s="97" t="s">
        <v>1684</v>
      </c>
      <c r="D143" s="101" t="str">
        <f t="shared" si="2"/>
        <v>OK</v>
      </c>
      <c r="F143">
        <f>Lifetimes!ES1</f>
        <v>0</v>
      </c>
    </row>
    <row r="144" spans="1:6" ht="15.75" thickBot="1">
      <c r="A144" s="330" t="s">
        <v>431</v>
      </c>
      <c r="B144" s="97" t="s">
        <v>1416</v>
      </c>
      <c r="C144" s="97" t="s">
        <v>1685</v>
      </c>
      <c r="D144" s="101" t="str">
        <f t="shared" si="2"/>
        <v>OK</v>
      </c>
      <c r="F144">
        <f>Lifetimes!ET1</f>
        <v>0</v>
      </c>
    </row>
    <row r="145" spans="1:6" ht="15.75" thickBot="1">
      <c r="A145" s="74" t="s">
        <v>161</v>
      </c>
      <c r="B145" s="97" t="s">
        <v>1410</v>
      </c>
      <c r="C145" s="97" t="s">
        <v>1686</v>
      </c>
      <c r="D145" s="101" t="str">
        <f t="shared" si="2"/>
        <v>OK</v>
      </c>
      <c r="F145">
        <f>Lifetimes!EU1</f>
        <v>0</v>
      </c>
    </row>
    <row r="146" spans="1:6" ht="15.75" thickBot="1">
      <c r="A146" s="74" t="s">
        <v>445</v>
      </c>
      <c r="B146" s="97" t="s">
        <v>1410</v>
      </c>
      <c r="C146" s="97" t="s">
        <v>1687</v>
      </c>
      <c r="D146" s="101" t="str">
        <f t="shared" si="2"/>
        <v>OK</v>
      </c>
      <c r="F146">
        <f>Lifetimes!EV1</f>
        <v>0</v>
      </c>
    </row>
    <row r="147" spans="1:6" ht="15.75" thickBot="1">
      <c r="A147" s="74" t="s">
        <v>448</v>
      </c>
      <c r="B147" s="97" t="s">
        <v>1413</v>
      </c>
      <c r="C147" s="97" t="s">
        <v>1311</v>
      </c>
      <c r="D147" s="101" t="str">
        <f t="shared" si="2"/>
        <v>OK</v>
      </c>
      <c r="F147">
        <f>Lifetimes!EW1</f>
        <v>0</v>
      </c>
    </row>
    <row r="148" spans="1:6" ht="15.75" thickBot="1">
      <c r="A148" s="368" t="s">
        <v>447</v>
      </c>
      <c r="B148" s="97" t="s">
        <v>1413</v>
      </c>
      <c r="C148" s="503" t="s">
        <v>1312</v>
      </c>
      <c r="D148" s="101" t="str">
        <f t="shared" si="2"/>
        <v>OK</v>
      </c>
      <c r="F148">
        <f>Lifetimes!EX1</f>
        <v>0</v>
      </c>
    </row>
    <row r="149" spans="1:6" ht="15.75" thickBot="1">
      <c r="A149" s="74" t="s">
        <v>446</v>
      </c>
      <c r="B149" s="97" t="s">
        <v>1410</v>
      </c>
      <c r="C149" s="97" t="s">
        <v>1688</v>
      </c>
      <c r="D149" s="101" t="str">
        <f t="shared" si="2"/>
        <v>OK</v>
      </c>
      <c r="F149">
        <f>Lifetimes!EY1</f>
        <v>0</v>
      </c>
    </row>
    <row r="150" spans="1:6" ht="15.75" thickBot="1">
      <c r="A150" s="74" t="s">
        <v>450</v>
      </c>
      <c r="B150" s="97" t="s">
        <v>1413</v>
      </c>
      <c r="C150" s="97" t="s">
        <v>1313</v>
      </c>
      <c r="D150" s="101" t="str">
        <f t="shared" si="2"/>
        <v>OK</v>
      </c>
      <c r="F150">
        <f>Lifetimes!EZ1</f>
        <v>0</v>
      </c>
    </row>
    <row r="151" spans="1:6" ht="15.75" thickBot="1">
      <c r="A151" s="368" t="s">
        <v>449</v>
      </c>
      <c r="B151" s="97" t="s">
        <v>1413</v>
      </c>
      <c r="C151" s="97" t="s">
        <v>1314</v>
      </c>
      <c r="D151" s="101" t="str">
        <f t="shared" si="2"/>
        <v>OK</v>
      </c>
      <c r="F151">
        <f>Lifetimes!FA1</f>
        <v>0</v>
      </c>
    </row>
    <row r="152" spans="1:6" ht="15.75" thickBot="1">
      <c r="A152" s="502" t="s">
        <v>355</v>
      </c>
      <c r="B152" s="97" t="s">
        <v>1410</v>
      </c>
      <c r="C152" s="97" t="s">
        <v>1689</v>
      </c>
      <c r="D152" s="101" t="str">
        <f t="shared" si="2"/>
        <v>OK</v>
      </c>
      <c r="F152">
        <f>Lifetimes!FB1</f>
        <v>0</v>
      </c>
    </row>
    <row r="153" spans="1:6" ht="15.75" thickBot="1">
      <c r="A153" s="74" t="s">
        <v>242</v>
      </c>
      <c r="B153" s="97" t="s">
        <v>1413</v>
      </c>
      <c r="C153" s="97" t="s">
        <v>1266</v>
      </c>
      <c r="D153" s="101" t="str">
        <f t="shared" si="2"/>
        <v>OK</v>
      </c>
      <c r="F153">
        <f>Lifetimes!FC1</f>
        <v>0</v>
      </c>
    </row>
    <row r="154" spans="1:6" ht="15.75" thickBot="1">
      <c r="A154" s="74" t="s">
        <v>356</v>
      </c>
      <c r="B154" s="97" t="s">
        <v>1413</v>
      </c>
      <c r="C154" s="97" t="s">
        <v>1267</v>
      </c>
      <c r="D154" s="101" t="str">
        <f t="shared" si="2"/>
        <v>OK</v>
      </c>
      <c r="F154">
        <f>Lifetimes!FD1</f>
        <v>0</v>
      </c>
    </row>
    <row r="155" spans="1:6" ht="15.75" thickBot="1">
      <c r="A155" s="502" t="s">
        <v>422</v>
      </c>
      <c r="B155" s="97" t="s">
        <v>1410</v>
      </c>
      <c r="C155" s="97" t="s">
        <v>1690</v>
      </c>
      <c r="D155" s="101" t="str">
        <f t="shared" si="2"/>
        <v>OK</v>
      </c>
      <c r="F155">
        <f>Lifetimes!FE1</f>
        <v>0</v>
      </c>
    </row>
    <row r="156" spans="1:6" ht="15.75" thickBot="1">
      <c r="A156" s="74" t="s">
        <v>350</v>
      </c>
      <c r="B156" s="97" t="s">
        <v>1413</v>
      </c>
      <c r="C156" s="97" t="s">
        <v>1277</v>
      </c>
      <c r="D156" s="101" t="str">
        <f t="shared" si="2"/>
        <v>OK</v>
      </c>
      <c r="F156">
        <f>Lifetimes!FF1</f>
        <v>0</v>
      </c>
    </row>
    <row r="157" spans="1:6" ht="15.75" thickBot="1">
      <c r="A157" s="74" t="s">
        <v>360</v>
      </c>
      <c r="B157" s="97" t="s">
        <v>1413</v>
      </c>
      <c r="C157" s="97" t="s">
        <v>1278</v>
      </c>
      <c r="D157" s="101" t="str">
        <f t="shared" si="2"/>
        <v>OK</v>
      </c>
      <c r="F157">
        <f>Lifetimes!FG1</f>
        <v>0</v>
      </c>
    </row>
    <row r="158" spans="1:6" ht="15.75" thickBot="1">
      <c r="A158" s="74" t="s">
        <v>256</v>
      </c>
      <c r="B158" s="97" t="s">
        <v>1410</v>
      </c>
      <c r="C158" s="97" t="s">
        <v>1691</v>
      </c>
      <c r="D158" s="101" t="str">
        <f t="shared" si="2"/>
        <v>OK</v>
      </c>
      <c r="F158">
        <f>Lifetimes!FH1</f>
        <v>0</v>
      </c>
    </row>
    <row r="159" spans="1:6" ht="15.75" thickBot="1">
      <c r="A159" s="330" t="s">
        <v>396</v>
      </c>
      <c r="B159" s="97" t="s">
        <v>1410</v>
      </c>
      <c r="C159" s="97" t="s">
        <v>1692</v>
      </c>
      <c r="D159" s="101" t="str">
        <f t="shared" si="2"/>
        <v>OK</v>
      </c>
      <c r="F159">
        <f>Lifetimes!FI1</f>
        <v>0</v>
      </c>
    </row>
    <row r="160" spans="1:6" ht="15.75" thickBot="1">
      <c r="A160" s="330" t="s">
        <v>398</v>
      </c>
      <c r="B160" s="97" t="s">
        <v>1410</v>
      </c>
      <c r="C160" s="97" t="s">
        <v>1693</v>
      </c>
      <c r="D160" s="101" t="str">
        <f t="shared" si="2"/>
        <v>OK</v>
      </c>
      <c r="F160">
        <f>Lifetimes!FJ1</f>
        <v>0</v>
      </c>
    </row>
    <row r="161" spans="1:6" ht="15.75" thickBot="1">
      <c r="A161" s="74" t="s">
        <v>442</v>
      </c>
      <c r="B161" s="97" t="s">
        <v>1410</v>
      </c>
      <c r="C161" s="97" t="s">
        <v>1694</v>
      </c>
      <c r="D161" s="101" t="str">
        <f t="shared" si="2"/>
        <v>OK</v>
      </c>
      <c r="F161">
        <f>Lifetimes!FK1</f>
        <v>0</v>
      </c>
    </row>
    <row r="162" spans="1:6" ht="15.75" thickBot="1">
      <c r="A162" s="330" t="s">
        <v>508</v>
      </c>
      <c r="B162" s="97" t="s">
        <v>1410</v>
      </c>
      <c r="C162" s="97" t="s">
        <v>1695</v>
      </c>
      <c r="D162" s="101" t="str">
        <f t="shared" si="2"/>
        <v>OK</v>
      </c>
      <c r="F162">
        <f>Lifetimes!FL1</f>
        <v>0</v>
      </c>
    </row>
    <row r="163" spans="1:6" ht="15.75" thickBot="1">
      <c r="A163" s="74" t="s">
        <v>512</v>
      </c>
      <c r="B163" s="97" t="s">
        <v>1410</v>
      </c>
      <c r="C163" s="97" t="s">
        <v>1696</v>
      </c>
      <c r="D163" s="101" t="str">
        <f t="shared" si="2"/>
        <v>OK</v>
      </c>
      <c r="F163">
        <f>Lifetimes!FM1</f>
        <v>0</v>
      </c>
    </row>
    <row r="164" spans="1:6" ht="15.75" thickBot="1">
      <c r="A164" s="330" t="s">
        <v>509</v>
      </c>
      <c r="B164" s="97" t="s">
        <v>1413</v>
      </c>
      <c r="C164" s="97" t="s">
        <v>1315</v>
      </c>
      <c r="D164" s="101" t="str">
        <f t="shared" si="2"/>
        <v>OK</v>
      </c>
      <c r="F164">
        <f>Lifetimes!FN1</f>
        <v>0</v>
      </c>
    </row>
    <row r="165" spans="1:6" ht="15.75" thickBot="1">
      <c r="A165" s="330" t="s">
        <v>514</v>
      </c>
      <c r="B165" s="97" t="s">
        <v>1413</v>
      </c>
      <c r="C165" s="97" t="s">
        <v>1316</v>
      </c>
      <c r="D165" s="101" t="str">
        <f t="shared" si="2"/>
        <v>OK</v>
      </c>
      <c r="F165">
        <f>Lifetimes!FO1</f>
        <v>0</v>
      </c>
    </row>
    <row r="166" spans="1:6" ht="15.75" thickBot="1">
      <c r="A166" s="74" t="s">
        <v>513</v>
      </c>
      <c r="B166" s="97" t="s">
        <v>1410</v>
      </c>
      <c r="C166" s="97" t="s">
        <v>1697</v>
      </c>
      <c r="D166" s="101" t="str">
        <f t="shared" si="2"/>
        <v>OK</v>
      </c>
      <c r="F166">
        <f>Lifetimes!FP1</f>
        <v>0</v>
      </c>
    </row>
    <row r="167" spans="1:6" ht="15.75" thickBot="1">
      <c r="A167" s="330" t="s">
        <v>507</v>
      </c>
      <c r="B167" s="97" t="s">
        <v>1410</v>
      </c>
      <c r="C167" s="97" t="s">
        <v>1698</v>
      </c>
      <c r="D167" s="101" t="str">
        <f t="shared" si="2"/>
        <v>OK</v>
      </c>
      <c r="F167">
        <f>Lifetimes!FQ1</f>
        <v>0</v>
      </c>
    </row>
    <row r="168" spans="1:6" ht="15.75" thickBot="1">
      <c r="A168" s="330" t="s">
        <v>511</v>
      </c>
      <c r="B168" s="97" t="s">
        <v>1413</v>
      </c>
      <c r="C168" s="97" t="s">
        <v>1317</v>
      </c>
      <c r="D168" s="101" t="str">
        <f t="shared" si="2"/>
        <v>OK</v>
      </c>
      <c r="F168">
        <f>Lifetimes!FR1</f>
        <v>0</v>
      </c>
    </row>
    <row r="169" spans="1:6" ht="15.75" thickBot="1">
      <c r="A169" s="330" t="s">
        <v>510</v>
      </c>
      <c r="B169" s="97" t="s">
        <v>1413</v>
      </c>
      <c r="C169" s="97" t="s">
        <v>1318</v>
      </c>
      <c r="D169" s="101" t="str">
        <f t="shared" si="2"/>
        <v>OK</v>
      </c>
      <c r="F169">
        <f>Lifetimes!FS1</f>
        <v>0</v>
      </c>
    </row>
    <row r="170" spans="1:6" ht="15.75" thickBot="1">
      <c r="A170" s="74" t="s">
        <v>436</v>
      </c>
      <c r="B170" s="97" t="s">
        <v>1410</v>
      </c>
      <c r="C170" s="97" t="s">
        <v>1699</v>
      </c>
      <c r="D170" s="101" t="str">
        <f t="shared" si="2"/>
        <v>OK</v>
      </c>
      <c r="F170">
        <f>Lifetimes!FT1</f>
        <v>0</v>
      </c>
    </row>
    <row r="171" spans="1:6" ht="15.75" thickBot="1">
      <c r="A171" s="330" t="s">
        <v>471</v>
      </c>
      <c r="B171" s="97" t="s">
        <v>1410</v>
      </c>
      <c r="C171" s="97" t="s">
        <v>1700</v>
      </c>
      <c r="D171" s="101" t="str">
        <f t="shared" si="2"/>
        <v>OK</v>
      </c>
      <c r="F171">
        <f>Lifetimes!FU1</f>
        <v>0</v>
      </c>
    </row>
    <row r="172" spans="1:6" ht="15.75" thickBot="1">
      <c r="A172" s="330" t="s">
        <v>476</v>
      </c>
      <c r="B172" s="97" t="s">
        <v>1413</v>
      </c>
      <c r="C172" s="97" t="s">
        <v>1319</v>
      </c>
      <c r="D172" s="101" t="str">
        <f t="shared" si="2"/>
        <v>OK</v>
      </c>
      <c r="F172">
        <f>Lifetimes!FV1</f>
        <v>0</v>
      </c>
    </row>
    <row r="173" spans="1:6" ht="15.75" thickBot="1">
      <c r="A173" s="330" t="s">
        <v>475</v>
      </c>
      <c r="B173" s="97" t="s">
        <v>1413</v>
      </c>
      <c r="C173" s="97" t="s">
        <v>1320</v>
      </c>
      <c r="D173" s="101" t="str">
        <f t="shared" si="2"/>
        <v>OK</v>
      </c>
      <c r="F173">
        <f>Lifetimes!FW1</f>
        <v>0</v>
      </c>
    </row>
    <row r="174" spans="1:6" ht="15.75" thickBot="1">
      <c r="A174" s="330" t="s">
        <v>470</v>
      </c>
      <c r="B174" s="97" t="s">
        <v>1410</v>
      </c>
      <c r="C174" s="97" t="s">
        <v>1701</v>
      </c>
      <c r="D174" s="101" t="str">
        <f t="shared" si="2"/>
        <v>OK</v>
      </c>
      <c r="F174">
        <f>Lifetimes!FX1</f>
        <v>0</v>
      </c>
    </row>
    <row r="175" spans="1:6" ht="15.75" thickBot="1">
      <c r="A175" s="330" t="s">
        <v>474</v>
      </c>
      <c r="B175" s="97" t="s">
        <v>1413</v>
      </c>
      <c r="C175" s="97" t="s">
        <v>1321</v>
      </c>
      <c r="D175" s="101" t="str">
        <f t="shared" si="2"/>
        <v>OK</v>
      </c>
      <c r="F175">
        <f>Lifetimes!FY1</f>
        <v>0</v>
      </c>
    </row>
    <row r="176" spans="1:6" ht="15.75" thickBot="1">
      <c r="A176" s="330" t="s">
        <v>473</v>
      </c>
      <c r="B176" s="97" t="s">
        <v>1413</v>
      </c>
      <c r="C176" s="97" t="s">
        <v>1322</v>
      </c>
      <c r="D176" s="101" t="str">
        <f t="shared" si="2"/>
        <v>OK</v>
      </c>
      <c r="F176">
        <f>Lifetimes!FZ1</f>
        <v>0</v>
      </c>
    </row>
    <row r="177" spans="1:6" ht="15.75" thickBot="1">
      <c r="A177" s="74" t="s">
        <v>1702</v>
      </c>
      <c r="B177" s="97" t="s">
        <v>1410</v>
      </c>
      <c r="C177" s="97" t="s">
        <v>1703</v>
      </c>
      <c r="D177" s="101" t="str">
        <f t="shared" si="2"/>
        <v>OK</v>
      </c>
      <c r="F177">
        <f>Lifetimes!GA1</f>
        <v>0</v>
      </c>
    </row>
    <row r="178" spans="1:6" ht="15.75" thickBot="1">
      <c r="A178" s="74" t="s">
        <v>1704</v>
      </c>
      <c r="B178" s="97" t="s">
        <v>1410</v>
      </c>
      <c r="C178" s="97" t="s">
        <v>1705</v>
      </c>
      <c r="D178" s="101" t="str">
        <f t="shared" si="2"/>
        <v>OK</v>
      </c>
      <c r="F178">
        <f>Lifetimes!GB1</f>
        <v>0</v>
      </c>
    </row>
    <row r="179" spans="1:6" ht="15.75" thickBot="1">
      <c r="A179" s="74" t="s">
        <v>1706</v>
      </c>
      <c r="B179" s="97" t="s">
        <v>1410</v>
      </c>
      <c r="C179" s="97" t="s">
        <v>1707</v>
      </c>
      <c r="D179" s="101" t="str">
        <f t="shared" si="2"/>
        <v>OK</v>
      </c>
      <c r="F179">
        <f>Lifetimes!GC1</f>
        <v>0</v>
      </c>
    </row>
    <row r="180" spans="1:6" ht="15.75" thickBot="1">
      <c r="A180" s="74" t="s">
        <v>1708</v>
      </c>
      <c r="B180" s="97" t="s">
        <v>1410</v>
      </c>
      <c r="C180" s="97" t="s">
        <v>1709</v>
      </c>
      <c r="D180" s="101" t="str">
        <f t="shared" si="2"/>
        <v>OK</v>
      </c>
      <c r="F180">
        <f>Lifetimes!GD1</f>
        <v>0</v>
      </c>
    </row>
    <row r="181" spans="1:6" ht="15.75" thickBot="1">
      <c r="A181" s="74" t="s">
        <v>441</v>
      </c>
      <c r="B181" s="97" t="s">
        <v>1410</v>
      </c>
      <c r="C181" s="97" t="s">
        <v>1710</v>
      </c>
      <c r="D181" s="101" t="str">
        <f t="shared" si="2"/>
        <v>OK</v>
      </c>
      <c r="F181">
        <f>Lifetimes!GE1</f>
        <v>0</v>
      </c>
    </row>
    <row r="182" spans="1:6" ht="15.75" thickBot="1">
      <c r="A182" s="330" t="s">
        <v>502</v>
      </c>
      <c r="B182" s="97" t="s">
        <v>1410</v>
      </c>
      <c r="C182" s="97" t="s">
        <v>1711</v>
      </c>
      <c r="D182" s="101" t="str">
        <f t="shared" si="2"/>
        <v>OK</v>
      </c>
      <c r="F182">
        <f>Lifetimes!GF1</f>
        <v>0</v>
      </c>
    </row>
    <row r="183" spans="1:6" ht="15.75" thickBot="1">
      <c r="A183" s="330" t="s">
        <v>506</v>
      </c>
      <c r="B183" s="97" t="s">
        <v>1413</v>
      </c>
      <c r="C183" s="97" t="s">
        <v>1323</v>
      </c>
      <c r="D183" s="101" t="str">
        <f t="shared" si="2"/>
        <v>OK</v>
      </c>
      <c r="F183">
        <f>Lifetimes!GG1</f>
        <v>0</v>
      </c>
    </row>
    <row r="184" spans="1:6" ht="15.75" thickBot="1">
      <c r="A184" s="330" t="s">
        <v>505</v>
      </c>
      <c r="B184" s="97" t="s">
        <v>1413</v>
      </c>
      <c r="C184" s="97" t="s">
        <v>1324</v>
      </c>
      <c r="D184" s="101" t="str">
        <f t="shared" si="2"/>
        <v>OK</v>
      </c>
      <c r="F184">
        <f>Lifetimes!GH1</f>
        <v>0</v>
      </c>
    </row>
    <row r="185" spans="1:6" ht="15.75" thickBot="1">
      <c r="A185" s="330" t="s">
        <v>501</v>
      </c>
      <c r="B185" s="97" t="s">
        <v>1410</v>
      </c>
      <c r="C185" s="97" t="s">
        <v>1712</v>
      </c>
      <c r="D185" s="101" t="str">
        <f t="shared" si="2"/>
        <v>OK</v>
      </c>
      <c r="F185">
        <f>Lifetimes!GI1</f>
        <v>0</v>
      </c>
    </row>
    <row r="186" spans="1:6" ht="15.75" thickBot="1">
      <c r="A186" s="330" t="s">
        <v>504</v>
      </c>
      <c r="B186" s="97" t="s">
        <v>1413</v>
      </c>
      <c r="C186" s="97" t="s">
        <v>1325</v>
      </c>
      <c r="D186" s="101" t="str">
        <f t="shared" si="2"/>
        <v>OK</v>
      </c>
      <c r="F186">
        <f>Lifetimes!GJ1</f>
        <v>0</v>
      </c>
    </row>
    <row r="187" spans="1:6" ht="15.75" thickBot="1">
      <c r="A187" s="330" t="s">
        <v>503</v>
      </c>
      <c r="B187" s="97" t="s">
        <v>1413</v>
      </c>
      <c r="C187" s="97" t="s">
        <v>1326</v>
      </c>
      <c r="D187" s="101" t="str">
        <f t="shared" si="2"/>
        <v>OK</v>
      </c>
      <c r="F187">
        <f>Lifetimes!GK1</f>
        <v>0</v>
      </c>
    </row>
    <row r="188" spans="1:6" ht="15.75" thickBot="1">
      <c r="A188" s="74" t="s">
        <v>435</v>
      </c>
      <c r="B188" s="97" t="s">
        <v>1410</v>
      </c>
      <c r="C188" s="97" t="s">
        <v>1713</v>
      </c>
      <c r="D188" s="101" t="str">
        <f t="shared" si="2"/>
        <v>OK</v>
      </c>
      <c r="F188">
        <f>Lifetimes!GL1</f>
        <v>0</v>
      </c>
    </row>
    <row r="189" spans="1:6" ht="15.75" thickBot="1">
      <c r="A189" s="330" t="s">
        <v>464</v>
      </c>
      <c r="B189" s="97" t="s">
        <v>1410</v>
      </c>
      <c r="C189" s="97" t="s">
        <v>1714</v>
      </c>
      <c r="D189" s="101" t="str">
        <f t="shared" si="2"/>
        <v>OK</v>
      </c>
      <c r="F189">
        <f>Lifetimes!GM1</f>
        <v>0</v>
      </c>
    </row>
    <row r="190" spans="1:6" ht="15.75" thickBot="1">
      <c r="A190" s="330" t="s">
        <v>469</v>
      </c>
      <c r="B190" s="97" t="s">
        <v>1413</v>
      </c>
      <c r="C190" s="97" t="s">
        <v>1327</v>
      </c>
      <c r="D190" s="101" t="str">
        <f t="shared" si="2"/>
        <v>OK</v>
      </c>
      <c r="F190">
        <f>Lifetimes!GN1</f>
        <v>0</v>
      </c>
    </row>
    <row r="191" spans="1:6" ht="15.75" thickBot="1">
      <c r="A191" s="330" t="s">
        <v>468</v>
      </c>
      <c r="B191" s="97" t="s">
        <v>1413</v>
      </c>
      <c r="C191" s="97" t="s">
        <v>1328</v>
      </c>
      <c r="D191" s="101" t="str">
        <f t="shared" si="2"/>
        <v>OK</v>
      </c>
      <c r="F191">
        <f>Lifetimes!GO1</f>
        <v>0</v>
      </c>
    </row>
    <row r="192" spans="1:6" ht="15.75" thickBot="1">
      <c r="A192" s="330" t="s">
        <v>463</v>
      </c>
      <c r="B192" s="97" t="s">
        <v>1410</v>
      </c>
      <c r="C192" s="97" t="s">
        <v>1715</v>
      </c>
      <c r="D192" s="101" t="str">
        <f t="shared" si="2"/>
        <v>OK</v>
      </c>
      <c r="F192">
        <f>Lifetimes!GP1</f>
        <v>0</v>
      </c>
    </row>
    <row r="193" spans="1:6" ht="15.75" thickBot="1">
      <c r="A193" s="330" t="s">
        <v>467</v>
      </c>
      <c r="B193" s="97" t="s">
        <v>1413</v>
      </c>
      <c r="C193" s="97" t="s">
        <v>1329</v>
      </c>
      <c r="D193" s="101" t="str">
        <f t="shared" si="2"/>
        <v>OK</v>
      </c>
      <c r="F193">
        <f>Lifetimes!GQ1</f>
        <v>0</v>
      </c>
    </row>
    <row r="194" spans="1:6" ht="15.75" thickBot="1">
      <c r="A194" s="330" t="s">
        <v>466</v>
      </c>
      <c r="B194" s="97" t="s">
        <v>1413</v>
      </c>
      <c r="C194" s="68" t="s">
        <v>1330</v>
      </c>
      <c r="D194" s="101" t="str">
        <f t="shared" si="2"/>
        <v>OK</v>
      </c>
      <c r="F194">
        <f>Lifetimes!GR1</f>
        <v>0</v>
      </c>
    </row>
    <row r="195" spans="1:6" ht="15.75" thickBot="1">
      <c r="A195" s="943" t="s">
        <v>143</v>
      </c>
      <c r="B195" s="626" t="s">
        <v>1410</v>
      </c>
      <c r="C195" s="944" t="s">
        <v>1716</v>
      </c>
      <c r="D195" s="101" t="str">
        <f t="shared" ref="D195:D231" si="3">IF(B195=IF(COUNTIF($F$3:$F$150,C195),"Stock","Flow/Sink"),"OK",IF(B195="Stock","Compartment missing in Lifetimes, available as pair?",IF(IF(COUNTIF($F$3:$F$150,C195),"Stock","Flow/Sink")="Stock","Change Type of compartment to Stock","OK")))</f>
        <v>OK</v>
      </c>
      <c r="F195">
        <f>Lifetimes!GS1</f>
        <v>0</v>
      </c>
    </row>
    <row r="196" spans="1:6" ht="15.75" thickBot="1">
      <c r="A196" s="945" t="s">
        <v>417</v>
      </c>
      <c r="B196" s="227" t="s">
        <v>1410</v>
      </c>
      <c r="C196" s="227" t="s">
        <v>1717</v>
      </c>
      <c r="D196" s="942" t="str">
        <f t="shared" si="3"/>
        <v>OK</v>
      </c>
      <c r="F196">
        <f>Lifetimes!GT1</f>
        <v>0</v>
      </c>
    </row>
    <row r="197" spans="1:6" ht="15.75" thickBot="1">
      <c r="A197" s="946" t="s">
        <v>2043</v>
      </c>
      <c r="B197" s="227" t="s">
        <v>1410</v>
      </c>
      <c r="C197" s="227" t="s">
        <v>2131</v>
      </c>
      <c r="D197" s="942" t="str">
        <f t="shared" si="3"/>
        <v>OK</v>
      </c>
      <c r="E197"/>
      <c r="F197"/>
    </row>
    <row r="198" spans="1:6" ht="15.75" thickBot="1">
      <c r="A198" s="946" t="s">
        <v>2046</v>
      </c>
      <c r="B198" s="227" t="s">
        <v>1410</v>
      </c>
      <c r="C198" s="227" t="s">
        <v>2132</v>
      </c>
      <c r="D198" s="942" t="str">
        <f t="shared" si="3"/>
        <v>OK</v>
      </c>
      <c r="E198"/>
      <c r="F198"/>
    </row>
    <row r="199" spans="1:6" ht="15.75" thickBot="1">
      <c r="A199" s="946" t="s">
        <v>2054</v>
      </c>
      <c r="B199" s="227" t="s">
        <v>1413</v>
      </c>
      <c r="C199" s="227" t="s">
        <v>2137</v>
      </c>
      <c r="D199" s="942" t="str">
        <f t="shared" si="3"/>
        <v>Compartment missing in Lifetimes, available as pair?</v>
      </c>
      <c r="E199"/>
      <c r="F199"/>
    </row>
    <row r="200" spans="1:6" ht="15.75" thickBot="1">
      <c r="A200" s="946" t="s">
        <v>2056</v>
      </c>
      <c r="B200" s="227" t="s">
        <v>1413</v>
      </c>
      <c r="C200" s="227" t="s">
        <v>2056</v>
      </c>
      <c r="D200" s="942" t="str">
        <f t="shared" si="3"/>
        <v>Compartment missing in Lifetimes, available as pair?</v>
      </c>
      <c r="E200"/>
      <c r="F200"/>
    </row>
    <row r="201" spans="1:6" ht="15.75" thickBot="1">
      <c r="A201" s="946" t="s">
        <v>2057</v>
      </c>
      <c r="B201" s="227" t="s">
        <v>1413</v>
      </c>
      <c r="C201" s="227" t="s">
        <v>2146</v>
      </c>
      <c r="D201" s="942" t="str">
        <f t="shared" si="3"/>
        <v>Compartment missing in Lifetimes, available as pair?</v>
      </c>
      <c r="E201"/>
      <c r="F201"/>
    </row>
    <row r="202" spans="1:6" ht="15.75" thickBot="1">
      <c r="A202" s="946" t="s">
        <v>2199</v>
      </c>
      <c r="B202" s="227" t="s">
        <v>1413</v>
      </c>
      <c r="C202" s="227" t="s">
        <v>2142</v>
      </c>
      <c r="D202" s="942" t="str">
        <f t="shared" si="3"/>
        <v>Compartment missing in Lifetimes, available as pair?</v>
      </c>
      <c r="E202"/>
      <c r="F202"/>
    </row>
    <row r="203" spans="1:6" ht="15.75" thickBot="1">
      <c r="A203" s="946" t="s">
        <v>2061</v>
      </c>
      <c r="B203" s="227" t="s">
        <v>1413</v>
      </c>
      <c r="C203" s="227" t="s">
        <v>2141</v>
      </c>
      <c r="D203" s="942" t="str">
        <f t="shared" si="3"/>
        <v>Compartment missing in Lifetimes, available as pair?</v>
      </c>
      <c r="E203"/>
      <c r="F203"/>
    </row>
    <row r="204" spans="1:6" ht="15.75" thickBot="1">
      <c r="A204" s="946" t="s">
        <v>2198</v>
      </c>
      <c r="B204" s="227" t="s">
        <v>1413</v>
      </c>
      <c r="C204" s="227" t="s">
        <v>2149</v>
      </c>
      <c r="D204" s="942" t="str">
        <f t="shared" si="3"/>
        <v>Compartment missing in Lifetimes, available as pair?</v>
      </c>
      <c r="E204"/>
      <c r="F204"/>
    </row>
    <row r="205" spans="1:6" ht="15.75" thickBot="1">
      <c r="A205" s="946" t="s">
        <v>2200</v>
      </c>
      <c r="B205" s="227" t="s">
        <v>1413</v>
      </c>
      <c r="C205" s="227" t="s">
        <v>2150</v>
      </c>
      <c r="D205" s="942" t="str">
        <f t="shared" si="3"/>
        <v>Compartment missing in Lifetimes, available as pair?</v>
      </c>
      <c r="E205"/>
      <c r="F205"/>
    </row>
    <row r="206" spans="1:6" ht="15.75" thickBot="1">
      <c r="A206" s="946" t="s">
        <v>2201</v>
      </c>
      <c r="B206" s="227" t="s">
        <v>1413</v>
      </c>
      <c r="C206" s="227" t="s">
        <v>2143</v>
      </c>
      <c r="D206" s="942" t="str">
        <f t="shared" si="3"/>
        <v>Compartment missing in Lifetimes, available as pair?</v>
      </c>
      <c r="E206"/>
      <c r="F206"/>
    </row>
    <row r="207" spans="1:6" ht="15.75" thickBot="1">
      <c r="A207" s="946" t="s">
        <v>2202</v>
      </c>
      <c r="B207" s="227" t="s">
        <v>1413</v>
      </c>
      <c r="C207" s="227" t="s">
        <v>2144</v>
      </c>
      <c r="D207" s="942" t="str">
        <f t="shared" si="3"/>
        <v>Compartment missing in Lifetimes, available as pair?</v>
      </c>
      <c r="E207"/>
      <c r="F207"/>
    </row>
    <row r="208" spans="1:6" ht="15.75" thickBot="1">
      <c r="A208" s="946" t="s">
        <v>2203</v>
      </c>
      <c r="B208" s="227" t="s">
        <v>1413</v>
      </c>
      <c r="C208" s="227" t="s">
        <v>2145</v>
      </c>
      <c r="D208" s="942" t="str">
        <f t="shared" si="3"/>
        <v>Compartment missing in Lifetimes, available as pair?</v>
      </c>
      <c r="E208"/>
      <c r="F208"/>
    </row>
    <row r="209" spans="1:4" ht="15.75" thickBot="1">
      <c r="A209" s="946" t="s">
        <v>2065</v>
      </c>
      <c r="B209" s="227" t="s">
        <v>1413</v>
      </c>
      <c r="C209" s="227" t="s">
        <v>2065</v>
      </c>
      <c r="D209" s="942" t="str">
        <f t="shared" si="3"/>
        <v>Compartment missing in Lifetimes, available as pair?</v>
      </c>
    </row>
    <row r="210" spans="1:4" ht="15.75" thickBot="1">
      <c r="A210" s="946" t="s">
        <v>2066</v>
      </c>
      <c r="B210" s="227" t="s">
        <v>1413</v>
      </c>
      <c r="C210" s="227" t="s">
        <v>2136</v>
      </c>
      <c r="D210" s="942" t="str">
        <f t="shared" si="3"/>
        <v>Compartment missing in Lifetimes, available as pair?</v>
      </c>
    </row>
    <row r="211" spans="1:4" ht="15.75" thickBot="1">
      <c r="A211" s="946" t="s">
        <v>2067</v>
      </c>
      <c r="B211" s="227" t="s">
        <v>1413</v>
      </c>
      <c r="C211" s="227" t="s">
        <v>2067</v>
      </c>
      <c r="D211" s="942" t="str">
        <f t="shared" si="3"/>
        <v>Compartment missing in Lifetimes, available as pair?</v>
      </c>
    </row>
    <row r="212" spans="1:4" ht="15.75" thickBot="1">
      <c r="A212" s="946" t="s">
        <v>2083</v>
      </c>
      <c r="B212" s="227" t="s">
        <v>1410</v>
      </c>
      <c r="C212" s="227" t="s">
        <v>2138</v>
      </c>
      <c r="D212" s="942" t="str">
        <f t="shared" si="3"/>
        <v>OK</v>
      </c>
    </row>
    <row r="213" spans="1:4" ht="15.75" thickBot="1">
      <c r="A213" s="946" t="s">
        <v>2086</v>
      </c>
      <c r="B213" s="227" t="s">
        <v>1410</v>
      </c>
      <c r="C213" s="227" t="s">
        <v>2151</v>
      </c>
      <c r="D213" s="942" t="str">
        <f t="shared" si="3"/>
        <v>OK</v>
      </c>
    </row>
    <row r="214" spans="1:4" ht="15.75" thickBot="1">
      <c r="A214" s="946" t="s">
        <v>2087</v>
      </c>
      <c r="B214" s="227" t="s">
        <v>1410</v>
      </c>
      <c r="C214" s="227" t="s">
        <v>2155</v>
      </c>
      <c r="D214" s="942" t="str">
        <f t="shared" si="3"/>
        <v>OK</v>
      </c>
    </row>
    <row r="215" spans="1:4" ht="15.75" thickBot="1">
      <c r="A215" s="946" t="s">
        <v>2088</v>
      </c>
      <c r="B215" s="227" t="s">
        <v>1410</v>
      </c>
      <c r="C215" s="227" t="s">
        <v>2152</v>
      </c>
      <c r="D215" s="942" t="str">
        <f t="shared" si="3"/>
        <v>OK</v>
      </c>
    </row>
    <row r="216" spans="1:4" ht="15.75" thickBot="1">
      <c r="A216" s="946" t="s">
        <v>2084</v>
      </c>
      <c r="B216" s="227" t="s">
        <v>1410</v>
      </c>
      <c r="C216" s="227" t="s">
        <v>2139</v>
      </c>
      <c r="D216" s="942" t="str">
        <f t="shared" si="3"/>
        <v>OK</v>
      </c>
    </row>
    <row r="217" spans="1:4" ht="15.75" thickBot="1">
      <c r="A217" s="946" t="s">
        <v>2085</v>
      </c>
      <c r="B217" s="227" t="s">
        <v>1410</v>
      </c>
      <c r="C217" s="227" t="s">
        <v>2140</v>
      </c>
      <c r="D217" s="942" t="str">
        <f t="shared" si="3"/>
        <v>OK</v>
      </c>
    </row>
    <row r="218" spans="1:4" ht="15.75" thickBot="1">
      <c r="A218" s="946" t="s">
        <v>2093</v>
      </c>
      <c r="B218" s="227" t="s">
        <v>1410</v>
      </c>
      <c r="C218" s="227" t="s">
        <v>2147</v>
      </c>
      <c r="D218" s="942" t="str">
        <f t="shared" si="3"/>
        <v>OK</v>
      </c>
    </row>
    <row r="219" spans="1:4" ht="15.75" thickBot="1">
      <c r="A219" s="946" t="s">
        <v>2094</v>
      </c>
      <c r="B219" s="227" t="s">
        <v>1410</v>
      </c>
      <c r="C219" s="227" t="s">
        <v>2148</v>
      </c>
      <c r="D219" s="942" t="str">
        <f t="shared" si="3"/>
        <v>OK</v>
      </c>
    </row>
    <row r="220" spans="1:4" ht="15.75" thickBot="1">
      <c r="A220" s="946" t="s">
        <v>2095</v>
      </c>
      <c r="B220" s="227" t="s">
        <v>1410</v>
      </c>
      <c r="C220" s="227" t="s">
        <v>2156</v>
      </c>
      <c r="D220" s="942" t="str">
        <f t="shared" si="3"/>
        <v>OK</v>
      </c>
    </row>
    <row r="221" spans="1:4" ht="15.75" thickBot="1">
      <c r="A221" s="946" t="s">
        <v>2096</v>
      </c>
      <c r="B221" s="227" t="s">
        <v>1410</v>
      </c>
      <c r="C221" s="227" t="s">
        <v>2157</v>
      </c>
      <c r="D221" s="942" t="str">
        <f t="shared" si="3"/>
        <v>OK</v>
      </c>
    </row>
    <row r="222" spans="1:4" ht="15.75" thickBot="1">
      <c r="A222" s="946" t="s">
        <v>2097</v>
      </c>
      <c r="B222" s="227" t="s">
        <v>1410</v>
      </c>
      <c r="C222" s="227" t="s">
        <v>2158</v>
      </c>
      <c r="D222" s="942" t="str">
        <f t="shared" si="3"/>
        <v>OK</v>
      </c>
    </row>
    <row r="223" spans="1:4" ht="15.75" thickBot="1">
      <c r="A223" s="946" t="s">
        <v>2098</v>
      </c>
      <c r="B223" s="227" t="s">
        <v>1410</v>
      </c>
      <c r="C223" s="227" t="s">
        <v>2159</v>
      </c>
      <c r="D223" s="942" t="str">
        <f t="shared" si="3"/>
        <v>OK</v>
      </c>
    </row>
    <row r="224" spans="1:4" ht="15.75" thickBot="1">
      <c r="A224" s="946" t="s">
        <v>2119</v>
      </c>
      <c r="B224" s="227" t="s">
        <v>1410</v>
      </c>
      <c r="C224" s="227" t="s">
        <v>2133</v>
      </c>
      <c r="D224" s="942" t="str">
        <f t="shared" si="3"/>
        <v>OK</v>
      </c>
    </row>
    <row r="225" spans="1:4" ht="15.75" thickBot="1">
      <c r="A225" s="946" t="s">
        <v>2120</v>
      </c>
      <c r="B225" s="227" t="s">
        <v>1410</v>
      </c>
      <c r="C225" s="227" t="s">
        <v>2134</v>
      </c>
      <c r="D225" s="942" t="str">
        <f t="shared" si="3"/>
        <v>OK</v>
      </c>
    </row>
    <row r="226" spans="1:4" ht="15.75" thickBot="1">
      <c r="A226" s="946" t="s">
        <v>2121</v>
      </c>
      <c r="B226" s="227" t="s">
        <v>1410</v>
      </c>
      <c r="C226" s="227" t="s">
        <v>2135</v>
      </c>
      <c r="D226" s="942" t="str">
        <f t="shared" si="3"/>
        <v>OK</v>
      </c>
    </row>
    <row r="227" spans="1:4" ht="15.75" thickBot="1">
      <c r="A227" s="946" t="s">
        <v>2122</v>
      </c>
      <c r="B227" s="227" t="s">
        <v>1410</v>
      </c>
      <c r="C227" s="227" t="s">
        <v>2153</v>
      </c>
      <c r="D227" s="942" t="str">
        <f t="shared" si="3"/>
        <v>OK</v>
      </c>
    </row>
    <row r="228" spans="1:4" ht="15.75" thickBot="1">
      <c r="A228" s="946" t="s">
        <v>2124</v>
      </c>
      <c r="B228" s="227" t="s">
        <v>1410</v>
      </c>
      <c r="C228" s="227" t="s">
        <v>2154</v>
      </c>
      <c r="D228" s="942" t="str">
        <f t="shared" si="3"/>
        <v>OK</v>
      </c>
    </row>
    <row r="229" spans="1:4" ht="15.75" thickBot="1">
      <c r="A229" s="628" t="s">
        <v>2173</v>
      </c>
      <c r="B229" s="227" t="s">
        <v>1410</v>
      </c>
      <c r="C229" s="227" t="s">
        <v>2182</v>
      </c>
      <c r="D229" s="942" t="str">
        <f t="shared" si="3"/>
        <v>OK</v>
      </c>
    </row>
    <row r="230" spans="1:4" ht="15.75" thickBot="1">
      <c r="A230" s="628" t="s">
        <v>2179</v>
      </c>
      <c r="B230" s="227" t="s">
        <v>1410</v>
      </c>
      <c r="C230" s="227" t="s">
        <v>2183</v>
      </c>
      <c r="D230" s="942" t="str">
        <f t="shared" si="3"/>
        <v>OK</v>
      </c>
    </row>
    <row r="231" spans="1:4">
      <c r="A231" s="628" t="s">
        <v>2178</v>
      </c>
      <c r="B231" s="227" t="s">
        <v>1410</v>
      </c>
      <c r="C231" s="227" t="s">
        <v>2184</v>
      </c>
      <c r="D231" s="942" t="str">
        <f t="shared" si="3"/>
        <v>OK</v>
      </c>
    </row>
  </sheetData>
  <autoFilter ref="A2:C197" xr:uid="{5B2DCA69-2DC7-473A-9435-80DA0225099E}">
    <sortState xmlns:xlrd2="http://schemas.microsoft.com/office/spreadsheetml/2017/richdata2" ref="A3:C197">
      <sortCondition ref="A2:A197"/>
    </sortState>
  </autoFilter>
  <sortState xmlns:xlrd2="http://schemas.microsoft.com/office/spreadsheetml/2017/richdata2" ref="B9:C64">
    <sortCondition ref="B9:B64"/>
  </sortState>
  <conditionalFormatting sqref="D3:E3 D4:D231">
    <cfRule type="containsText" dxfId="11" priority="3" operator="containsText" text="OK">
      <formula>NOT(ISERROR(SEARCH("OK",D3)))</formula>
    </cfRule>
  </conditionalFormatting>
  <conditionalFormatting sqref="E4:E137">
    <cfRule type="containsText" dxfId="10" priority="1" operator="containsText" text="OK">
      <formula>NOT(ISERROR(SEARCH("OK",E4)))</formula>
    </cfRule>
  </conditionalFormatting>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8055-9BB1-4954-8166-2676409C811E}">
  <sheetPr>
    <tabColor rgb="FF92D050"/>
  </sheetPr>
  <dimension ref="A1:AA271"/>
  <sheetViews>
    <sheetView zoomScale="90" zoomScaleNormal="90" workbookViewId="0">
      <pane ySplit="2" topLeftCell="A227" activePane="bottomLeft" state="frozen"/>
      <selection pane="bottomLeft" activeCell="K254" sqref="K254"/>
    </sheetView>
  </sheetViews>
  <sheetFormatPr defaultRowHeight="15"/>
  <cols>
    <col min="1" max="1" width="9.140625" style="6" bestFit="1" customWidth="1"/>
    <col min="2" max="3" width="9" style="6" bestFit="1" customWidth="1"/>
    <col min="4" max="4" width="5.7109375" customWidth="1"/>
    <col min="5" max="5" width="35.28515625" bestFit="1" customWidth="1"/>
    <col min="6" max="6" width="16.85546875" bestFit="1" customWidth="1"/>
    <col min="7" max="7" width="35.28515625" bestFit="1" customWidth="1"/>
    <col min="8" max="8" width="16.140625" bestFit="1" customWidth="1"/>
    <col min="9" max="9" width="8.7109375" customWidth="1"/>
    <col min="10" max="10" width="36.42578125" style="16" customWidth="1"/>
    <col min="11" max="11" width="22.28515625" style="4" customWidth="1"/>
    <col min="12" max="12" width="32.42578125" customWidth="1"/>
    <col min="13" max="13" width="18.42578125" customWidth="1"/>
    <col min="14" max="14" width="9" customWidth="1"/>
    <col min="15" max="15" width="55.7109375" bestFit="1" customWidth="1"/>
    <col min="16" max="16" width="30.85546875" customWidth="1"/>
    <col min="17" max="17" width="29.28515625" customWidth="1"/>
    <col min="18" max="18" width="20.7109375" customWidth="1"/>
    <col min="27" max="27" width="80.7109375" style="16" customWidth="1"/>
  </cols>
  <sheetData>
    <row r="1" spans="1:27" ht="30" customHeight="1" thickBot="1">
      <c r="A1" s="1155" t="s">
        <v>7</v>
      </c>
      <c r="B1" s="1156"/>
      <c r="C1" s="1157"/>
      <c r="E1" s="1155" t="s">
        <v>1718</v>
      </c>
      <c r="F1" s="1156"/>
      <c r="G1" s="1156"/>
      <c r="H1" s="1157"/>
      <c r="J1" s="1158" t="s">
        <v>1719</v>
      </c>
      <c r="K1" s="1159"/>
      <c r="L1" s="1159"/>
      <c r="M1" s="1160"/>
      <c r="N1" s="93"/>
      <c r="O1" s="93"/>
      <c r="P1" s="93"/>
    </row>
    <row r="2" spans="1:27" s="6" customFormat="1" ht="61.9" customHeight="1" thickBot="1">
      <c r="A2" s="48" t="s">
        <v>9</v>
      </c>
      <c r="B2" s="48" t="s">
        <v>12</v>
      </c>
      <c r="C2" s="84" t="s">
        <v>1151</v>
      </c>
      <c r="E2" s="48" t="s">
        <v>9</v>
      </c>
      <c r="F2" s="48" t="s">
        <v>1720</v>
      </c>
      <c r="G2" s="48" t="s">
        <v>12</v>
      </c>
      <c r="H2" s="91" t="s">
        <v>1721</v>
      </c>
      <c r="J2" s="86" t="s">
        <v>1722</v>
      </c>
      <c r="K2" s="94" t="s">
        <v>1723</v>
      </c>
      <c r="L2" s="86" t="s">
        <v>1724</v>
      </c>
      <c r="M2" s="94" t="s">
        <v>1725</v>
      </c>
      <c r="N2" s="86"/>
      <c r="O2" s="86" t="s">
        <v>1335</v>
      </c>
      <c r="P2" s="86" t="s">
        <v>1726</v>
      </c>
      <c r="Q2" s="627" t="s">
        <v>1727</v>
      </c>
      <c r="R2" s="627" t="s">
        <v>1728</v>
      </c>
      <c r="AA2" s="464" t="s">
        <v>1729</v>
      </c>
    </row>
    <row r="3" spans="1:27" ht="15.75" thickBot="1">
      <c r="A3" s="79" t="str" cm="1">
        <f t="array" ref="A3:A19">_xlfn.UNIQUE(Input_EU!C:C)</f>
        <v>Material</v>
      </c>
      <c r="B3" s="79" t="str" cm="1">
        <f t="array" ref="B3:B19">_xlfn.UNIQUE(Input_NL!C:C)</f>
        <v>Material</v>
      </c>
      <c r="C3" s="80" t="str" cm="1">
        <f t="array" ref="C3:C20">_xlfn.UNIQUE('Transfer coefficients'!D:D)</f>
        <v>Material</v>
      </c>
      <c r="E3" s="87" t="str" cm="1">
        <f t="array" ref="E3:E16">_xlfn.UNIQUE(Input_EU!A:A)</f>
        <v>Compartment</v>
      </c>
      <c r="F3" s="90"/>
      <c r="G3" s="87" t="str" cm="1">
        <f t="array" ref="G3:G15">_xlfn.UNIQUE(Input_NL!A:A)</f>
        <v>Compartment</v>
      </c>
      <c r="H3" s="92"/>
      <c r="J3" s="310" t="str" cm="1">
        <f t="array" ref="J3:J256">_xlfn.UNIQUE('Transfer coefficients'!A:A)</f>
        <v>From</v>
      </c>
      <c r="K3" s="308"/>
      <c r="L3" s="310" t="str" cm="1">
        <f t="array" ref="L3:L263">_xlfn.UNIQUE('Transfer coefficients'!B:B)</f>
        <v>To</v>
      </c>
      <c r="M3" s="85"/>
      <c r="N3" s="6"/>
      <c r="O3" s="6"/>
      <c r="P3" s="6"/>
      <c r="AA3" s="465" t="s">
        <v>1730</v>
      </c>
    </row>
    <row r="4" spans="1:27">
      <c r="A4" s="67" t="str">
        <v>PS</v>
      </c>
      <c r="B4" s="67" t="str">
        <v>LDPE</v>
      </c>
      <c r="C4" s="81" t="str">
        <v>PVC</v>
      </c>
      <c r="E4" s="88" t="str">
        <v>Agriculture</v>
      </c>
      <c r="F4" s="101" t="str">
        <f t="shared" ref="F4:F8" si="0">IF(COUNTIF(G:G,E4), "OK", "Missing")</f>
        <v>OK</v>
      </c>
      <c r="G4" s="88" t="str">
        <v>Agriculture</v>
      </c>
      <c r="H4" s="101" t="str">
        <f>IF(COUNTIF(E:E,G4), "OK", "Missing")</f>
        <v>OK</v>
      </c>
      <c r="J4" s="307" t="str">
        <v>Agriculture</v>
      </c>
      <c r="K4" s="311" t="str">
        <f>IF(ISBLANK(J4),"",IF(COUNTIF(L:L,J4),IF(_xlfn.XLOOKUP(J4,'Compartments_Kawecki&amp;Nowack19'!A:A,'Compartments_Kawecki&amp;Nowack19'!B:B,_xlfn.XLOOKUP(J4,Compartments_Added!A:A,Compartments_Added!B:B))="Stock","OK stock","OK flow"),IF(COUNTIF($G$4:$G$18,J4),IF(COUNTIF($E$4:$E$18,J4),"OK input","Missing"),"Missing")))</f>
        <v>OK input</v>
      </c>
      <c r="L4" s="307" t="str">
        <v>Agricultural greenhouse films (discarded)</v>
      </c>
      <c r="M4" s="311" t="str">
        <f>IF(COUNTIF(J:J,L4),IF(_xlfn.XLOOKUP(L4,'Compartments_Kawecki&amp;Nowack19'!A:A,'Compartments_Kawecki&amp;Nowack19'!B:B,_xlfn.XLOOKUP(L4,Compartments_Added!A:A,Compartments_Added!B:B))="Stock","OK stock","OK flow"),IF(_xlfn.XLOOKUP(L4,'Compartments_Kawecki&amp;Nowack19'!A:A,'Compartments_Kawecki&amp;Nowack19'!B:B,_xlfn.XLOOKUP(L4,Compartments_Added!A:A,Compartments_Added!B:B))="Sink","OK, Sink","Missing"))</f>
        <v>OK stock</v>
      </c>
      <c r="N4" s="6"/>
      <c r="O4" s="6" t="str">
        <f>Lifetimes_pairs!A2</f>
        <v>Agricultural packaging bottles</v>
      </c>
      <c r="P4" s="6" t="str">
        <f>Lifetimes_pairs!B2</f>
        <v>AgriculturalPackagingBottles</v>
      </c>
      <c r="Q4" t="str">
        <f>Lifetimes!B1</f>
        <v>AgriculturalFilmsIU</v>
      </c>
      <c r="R4" t="str">
        <f>IF(COUNTIF(P:P,Q4), "OK", "Missing")</f>
        <v>OK</v>
      </c>
      <c r="AA4" s="465" t="s">
        <v>1731</v>
      </c>
    </row>
    <row r="5" spans="1:27">
      <c r="A5" s="37" t="str">
        <v>PP</v>
      </c>
      <c r="B5" s="37" t="str">
        <v>PVC</v>
      </c>
      <c r="C5" s="82" t="str">
        <v>PS</v>
      </c>
      <c r="E5" s="69" t="str">
        <v>Domestic primary plastic production</v>
      </c>
      <c r="F5" s="69" t="str">
        <f t="shared" si="0"/>
        <v>OK</v>
      </c>
      <c r="G5" s="69" t="str">
        <v>Domestic primary plastic production</v>
      </c>
      <c r="H5" s="69" t="str">
        <f t="shared" ref="H5:H15" si="1">IF(COUNTIF(E:E,G5), "OK", "Missing")</f>
        <v>OK</v>
      </c>
      <c r="J5" s="306" t="str">
        <v>Packaging</v>
      </c>
      <c r="K5" s="311" t="str">
        <f>IF(ISBLANK(J5),"",IF(COUNTIF(L:L,J5),IF(_xlfn.XLOOKUP(J5,'Compartments_Kawecki&amp;Nowack19'!A:A,'Compartments_Kawecki&amp;Nowack19'!B:B,_xlfn.XLOOKUP(J5,Compartments_Added!A:A,Compartments_Added!B:B))="Stock","OK stock","OK flow"),IF(COUNTIF($G$4:$G$18,J5),IF(COUNTIF($E$4:$E$18,J5),"OK input","Missing"),"Missing")))</f>
        <v>OK input</v>
      </c>
      <c r="L5" s="306" t="str">
        <v>Agricultural greenhouse films (in use)</v>
      </c>
      <c r="M5" s="311" t="str">
        <f>IF(COUNTIF(J:J,L5),IF(_xlfn.XLOOKUP(L5,'Compartments_Kawecki&amp;Nowack19'!A:A,'Compartments_Kawecki&amp;Nowack19'!B:B,_xlfn.XLOOKUP(L5,Compartments_Added!A:A,Compartments_Added!B:B))="Stock","OK stock","OK flow"),IF(_xlfn.XLOOKUP(L5,'Compartments_Kawecki&amp;Nowack19'!A:A,'Compartments_Kawecki&amp;Nowack19'!B:B,_xlfn.XLOOKUP(L5,Compartments_Added!A:A,Compartments_Added!B:B))="Sink","OK, Sink","Missing"))</f>
        <v>OK stock</v>
      </c>
      <c r="N5" s="6"/>
      <c r="O5" s="6" t="str">
        <f>Lifetimes_pairs!A3</f>
        <v>Ship paint (prof) (in use)</v>
      </c>
      <c r="P5" s="6" t="str">
        <f>Lifetimes_pairs!B3</f>
        <v>ShipProfIU</v>
      </c>
      <c r="Q5" t="str">
        <f>Lifetimes!C1</f>
        <v>AgriculturalFilmsDis</v>
      </c>
      <c r="R5" t="str">
        <f t="shared" ref="R5:R68" si="2">IF(COUNTIF(P:P,Q5), "OK", "Missing")</f>
        <v>OK</v>
      </c>
      <c r="AA5" s="465" t="s">
        <v>1732</v>
      </c>
    </row>
    <row r="6" spans="1:27">
      <c r="A6" s="37" t="str">
        <v>HDPE</v>
      </c>
      <c r="B6" s="37" t="str">
        <v>HDPE</v>
      </c>
      <c r="C6" s="82" t="str">
        <v>PP</v>
      </c>
      <c r="E6" s="69" t="str">
        <v>Household textiles (product sector)</v>
      </c>
      <c r="F6" s="69" t="str">
        <f t="shared" si="0"/>
        <v>OK</v>
      </c>
      <c r="G6" s="69" t="str">
        <v>Household textiles (product sector)</v>
      </c>
      <c r="H6" s="69" t="str">
        <f t="shared" si="1"/>
        <v>OK</v>
      </c>
      <c r="J6" s="306" t="str">
        <v>Agricultural waste collection</v>
      </c>
      <c r="K6" s="311" t="str">
        <f>IF(ISBLANK(J6),"",IF(COUNTIF(L:L,J6),IF(_xlfn.XLOOKUP(J6,'Compartments_Kawecki&amp;Nowack19'!A:A,'Compartments_Kawecki&amp;Nowack19'!B:B,_xlfn.XLOOKUP(J6,Compartments_Added!A:A,Compartments_Added!B:B))="Stock","OK stock","OK flow"),IF(COUNTIF($G$4:$G$18,J6),IF(COUNTIF($E$4:$E$18,J6),"OK input","Missing"),"Missing")))</f>
        <v>OK flow</v>
      </c>
      <c r="L6" s="306" t="str">
        <v>Agricultural mulching films</v>
      </c>
      <c r="M6" s="311" t="str">
        <f>IF(COUNTIF(J:J,L6),IF(_xlfn.XLOOKUP(L6,'Compartments_Kawecki&amp;Nowack19'!A:A,'Compartments_Kawecki&amp;Nowack19'!B:B,_xlfn.XLOOKUP(L6,Compartments_Added!A:A,Compartments_Added!B:B))="Stock","OK stock","OK flow"),IF(_xlfn.XLOOKUP(L6,'Compartments_Kawecki&amp;Nowack19'!A:A,'Compartments_Kawecki&amp;Nowack19'!B:B,_xlfn.XLOOKUP(L6,Compartments_Added!A:A,Compartments_Added!B:B))="Sink","OK, Sink","Missing"))</f>
        <v>OK flow</v>
      </c>
      <c r="N6" s="6"/>
      <c r="O6" s="6" t="str">
        <f>Lifetimes_pairs!A4</f>
        <v>Ship paint (recr) (in use)</v>
      </c>
      <c r="P6" s="6" t="str">
        <f>Lifetimes_pairs!B4</f>
        <v>ShipDiyIU</v>
      </c>
      <c r="Q6" t="str">
        <f>Lifetimes!D1</f>
        <v>AgriculturalPackagingBottles</v>
      </c>
      <c r="R6" t="str">
        <f t="shared" si="2"/>
        <v>OK</v>
      </c>
      <c r="AA6" s="465" t="s">
        <v>1733</v>
      </c>
    </row>
    <row r="7" spans="1:27">
      <c r="A7" s="37" t="str">
        <v>PVC</v>
      </c>
      <c r="B7" s="37" t="str">
        <v>PS</v>
      </c>
      <c r="C7" s="82" t="str">
        <v>LDPE</v>
      </c>
      <c r="E7" s="69" t="str">
        <v>Import of primary plastics</v>
      </c>
      <c r="F7" s="69" t="str">
        <f t="shared" si="0"/>
        <v>OK</v>
      </c>
      <c r="G7" s="69" t="str">
        <v>Import of primary plastics</v>
      </c>
      <c r="H7" s="69" t="str">
        <f t="shared" si="1"/>
        <v>OK</v>
      </c>
      <c r="J7" s="306" t="str">
        <v>Agricultural waste collection (micro)</v>
      </c>
      <c r="K7" s="311" t="str">
        <f>IF(ISBLANK(J7),"",IF(COUNTIF(L:L,J7),IF(_xlfn.XLOOKUP(J7,'Compartments_Kawecki&amp;Nowack19'!A:A,'Compartments_Kawecki&amp;Nowack19'!B:B,_xlfn.XLOOKUP(J7,Compartments_Added!A:A,Compartments_Added!B:B))="Stock","OK stock","OK flow"),IF(COUNTIF($G$4:$G$18,J7),IF(COUNTIF($E$4:$E$18,J7),"OK input","Missing"),"Missing")))</f>
        <v>OK flow</v>
      </c>
      <c r="L7" s="306" t="str">
        <v>Agricultural other</v>
      </c>
      <c r="M7" s="311" t="str">
        <f>IF(COUNTIF(J:J,L7),IF(_xlfn.XLOOKUP(L7,'Compartments_Kawecki&amp;Nowack19'!A:A,'Compartments_Kawecki&amp;Nowack19'!B:B,_xlfn.XLOOKUP(L7,Compartments_Added!A:A,Compartments_Added!B:B))="Stock","OK stock","OK flow"),IF(_xlfn.XLOOKUP(L7,'Compartments_Kawecki&amp;Nowack19'!A:A,'Compartments_Kawecki&amp;Nowack19'!B:B,_xlfn.XLOOKUP(L7,Compartments_Added!A:A,Compartments_Added!B:B))="Sink","OK, Sink","Missing"))</f>
        <v>OK flow</v>
      </c>
      <c r="N7" s="6"/>
      <c r="O7" s="6" t="str">
        <f>Lifetimes_pairs!A5</f>
        <v>Ship paint (prof) (discarded)</v>
      </c>
      <c r="P7" s="6" t="str">
        <f>Lifetimes_pairs!B5</f>
        <v>ShipProfDis</v>
      </c>
      <c r="Q7" t="str">
        <f>Lifetimes!E1</f>
        <v>AgriculturalPackagingFilms</v>
      </c>
      <c r="R7" t="str">
        <f t="shared" si="2"/>
        <v>OK</v>
      </c>
      <c r="AA7" s="465" t="s">
        <v>1734</v>
      </c>
    </row>
    <row r="8" spans="1:27">
      <c r="A8" s="37" t="str">
        <v>LDPE</v>
      </c>
      <c r="B8" s="37" t="str">
        <v>PP</v>
      </c>
      <c r="C8" s="82" t="str">
        <v>HDPE</v>
      </c>
      <c r="E8" s="69" t="str">
        <v>Intentionally produced microparticles</v>
      </c>
      <c r="F8" s="69" t="str">
        <f t="shared" si="0"/>
        <v>OK</v>
      </c>
      <c r="G8" s="69" t="str">
        <v>Intentionally produced microparticles</v>
      </c>
      <c r="H8" s="69" t="str">
        <f t="shared" si="1"/>
        <v>OK</v>
      </c>
      <c r="J8" s="306" t="str">
        <v>Agricultural packaging bottles</v>
      </c>
      <c r="K8" s="311" t="str">
        <f>IF(ISBLANK(J8),"",IF(COUNTIF(L:L,J8),IF(_xlfn.XLOOKUP(J8,'Compartments_Kawecki&amp;Nowack19'!A:A,'Compartments_Kawecki&amp;Nowack19'!B:B,_xlfn.XLOOKUP(J8,Compartments_Added!A:A,Compartments_Added!B:B))="Stock","OK stock","OK flow"),IF(COUNTIF($G$4:$G$18,J8),IF(COUNTIF($E$4:$E$18,J8),"OK input","Missing"),"Missing")))</f>
        <v>OK stock</v>
      </c>
      <c r="L8" s="306" t="str">
        <v>Agricultural packaging bottles</v>
      </c>
      <c r="M8" s="311" t="str">
        <f>IF(COUNTIF(J:J,L8),IF(_xlfn.XLOOKUP(L8,'Compartments_Kawecki&amp;Nowack19'!A:A,'Compartments_Kawecki&amp;Nowack19'!B:B,_xlfn.XLOOKUP(L8,Compartments_Added!A:A,Compartments_Added!B:B))="Stock","OK stock","OK flow"),IF(_xlfn.XLOOKUP(L8,'Compartments_Kawecki&amp;Nowack19'!A:A,'Compartments_Kawecki&amp;Nowack19'!B:B,_xlfn.XLOOKUP(L8,Compartments_Added!A:A,Compartments_Added!B:B))="Sink","OK, Sink","Missing"))</f>
        <v>OK stock</v>
      </c>
      <c r="N8" s="6"/>
      <c r="O8" s="6" t="str">
        <f>Lifetimes_pairs!A6</f>
        <v>Ship paint (recr) (discarded)</v>
      </c>
      <c r="P8" s="6" t="str">
        <f>Lifetimes_pairs!B6</f>
        <v>ShipDiyDis</v>
      </c>
      <c r="Q8" t="str">
        <f>Lifetimes!F1</f>
        <v>AgriculturalPipesIU</v>
      </c>
      <c r="R8" t="str">
        <f t="shared" si="2"/>
        <v>OK</v>
      </c>
      <c r="AA8" s="465" t="s">
        <v>1735</v>
      </c>
    </row>
    <row r="9" spans="1:27">
      <c r="A9" s="37" t="str">
        <v>ABS</v>
      </c>
      <c r="B9" s="37" t="str">
        <v>EPS</v>
      </c>
      <c r="C9" s="82" t="str">
        <v>EPS</v>
      </c>
      <c r="E9" s="69" t="str">
        <v>Packaging</v>
      </c>
      <c r="F9" s="69" t="str">
        <f>IF(COUNTIF(G:G,E9), "OK", "Missing")</f>
        <v>OK</v>
      </c>
      <c r="G9" s="69" t="str">
        <v>Packaging</v>
      </c>
      <c r="H9" s="69" t="str">
        <f t="shared" si="1"/>
        <v>OK</v>
      </c>
      <c r="J9" s="306" t="str">
        <v>Agricultural packaging films</v>
      </c>
      <c r="K9" s="311" t="str">
        <f>IF(ISBLANK(J9),"",IF(COUNTIF(L:L,J9),IF(_xlfn.XLOOKUP(J9,'Compartments_Kawecki&amp;Nowack19'!A:A,'Compartments_Kawecki&amp;Nowack19'!B:B,_xlfn.XLOOKUP(J9,Compartments_Added!A:A,Compartments_Added!B:B))="Stock","OK stock","OK flow"),IF(COUNTIF($G$4:$G$18,J9),IF(COUNTIF($E$4:$E$18,J9),"OK input","Missing"),"Missing")))</f>
        <v>OK stock</v>
      </c>
      <c r="L9" s="306" t="str">
        <v>Agricultural packaging films</v>
      </c>
      <c r="M9" s="311" t="str">
        <f>IF(COUNTIF(J:J,L9),IF(_xlfn.XLOOKUP(L9,'Compartments_Kawecki&amp;Nowack19'!A:A,'Compartments_Kawecki&amp;Nowack19'!B:B,_xlfn.XLOOKUP(L9,Compartments_Added!A:A,Compartments_Added!B:B))="Stock","OK stock","OK flow"),IF(_xlfn.XLOOKUP(L9,'Compartments_Kawecki&amp;Nowack19'!A:A,'Compartments_Kawecki&amp;Nowack19'!B:B,_xlfn.XLOOKUP(L9,Compartments_Added!A:A,Compartments_Added!B:B))="Sink","OK, Sink","Missing"))</f>
        <v>OK stock</v>
      </c>
      <c r="N9" s="6"/>
      <c r="O9" s="6" t="str">
        <f>Lifetimes_pairs!A7</f>
        <v>Concrete paint (prof) outdoor (in use)</v>
      </c>
      <c r="P9" s="6" t="str">
        <f>Lifetimes_pairs!B7</f>
        <v>ConcreteProfOutIU</v>
      </c>
      <c r="Q9" t="str">
        <f>Lifetimes!G1</f>
        <v>AgriculturalPipesDis</v>
      </c>
      <c r="R9" t="str">
        <f t="shared" si="2"/>
        <v>OK</v>
      </c>
      <c r="AA9" s="465" t="s">
        <v>1736</v>
      </c>
    </row>
    <row r="10" spans="1:27">
      <c r="A10" s="37" t="str">
        <v>PC</v>
      </c>
      <c r="B10" s="37" t="str">
        <v>PET</v>
      </c>
      <c r="C10" s="82" t="str">
        <v>PET</v>
      </c>
      <c r="E10" s="69" t="str">
        <v>Paint</v>
      </c>
      <c r="F10" s="69" t="str">
        <f>IF(COUNTIF(G:G,E10), "OK", "Missing")</f>
        <v>OK</v>
      </c>
      <c r="G10" s="69" t="str">
        <v>Paint</v>
      </c>
      <c r="H10" s="69" t="str">
        <f t="shared" si="1"/>
        <v>OK</v>
      </c>
      <c r="J10" s="306" t="str">
        <v>Compost (macro)</v>
      </c>
      <c r="K10" s="311" t="str">
        <f>IF(ISBLANK(J10),"",IF(COUNTIF(L:L,J10),IF(_xlfn.XLOOKUP(J10,'Compartments_Kawecki&amp;Nowack19'!A:A,'Compartments_Kawecki&amp;Nowack19'!B:B,_xlfn.XLOOKUP(J10,Compartments_Added!A:A,Compartments_Added!B:B))="Stock","OK stock","OK flow"),IF(COUNTIF($G$4:$G$18,J10),IF(COUNTIF($E$4:$E$18,J10),"OK input","Missing"),"Missing")))</f>
        <v>OK flow</v>
      </c>
      <c r="L10" s="306" t="str">
        <v>Agricultural pipes (discarded)</v>
      </c>
      <c r="M10" s="311" t="str">
        <f>IF(COUNTIF(J:J,L10),IF(_xlfn.XLOOKUP(L10,'Compartments_Kawecki&amp;Nowack19'!A:A,'Compartments_Kawecki&amp;Nowack19'!B:B,_xlfn.XLOOKUP(L10,Compartments_Added!A:A,Compartments_Added!B:B))="Stock","OK stock","OK flow"),IF(_xlfn.XLOOKUP(L10,'Compartments_Kawecki&amp;Nowack19'!A:A,'Compartments_Kawecki&amp;Nowack19'!B:B,_xlfn.XLOOKUP(L10,Compartments_Added!A:A,Compartments_Added!B:B))="Sink","OK, Sink","Missing"))</f>
        <v>OK stock</v>
      </c>
      <c r="N10" s="6"/>
      <c r="O10" s="6" t="str">
        <f>Lifetimes_pairs!A8</f>
        <v>Concrete paint (prof) indoor (in use)</v>
      </c>
      <c r="P10" s="6" t="str">
        <f>Lifetimes_pairs!B8</f>
        <v>ConcreteProfInIU</v>
      </c>
      <c r="Q10" t="str">
        <f>Lifetimes!H1</f>
        <v>AgriculturalPPP</v>
      </c>
      <c r="R10" t="str">
        <f t="shared" si="2"/>
        <v>Missing</v>
      </c>
      <c r="AA10" s="465" t="s">
        <v>1737</v>
      </c>
    </row>
    <row r="11" spans="1:27">
      <c r="A11" s="37" t="str">
        <v>EPS</v>
      </c>
      <c r="B11" s="37" t="str">
        <v>ABS</v>
      </c>
      <c r="C11" s="82" t="str">
        <v>OTHER</v>
      </c>
      <c r="E11" s="69" t="str">
        <v>Technical textiles</v>
      </c>
      <c r="F11" s="69" t="str">
        <f t="shared" ref="F11:F18" si="3">IF(COUNTIF(G:G,E11), "OK", "Missing")</f>
        <v>OK</v>
      </c>
      <c r="G11" s="69" t="str">
        <v>Technical textiles</v>
      </c>
      <c r="H11" s="69" t="str">
        <f t="shared" si="1"/>
        <v>OK</v>
      </c>
      <c r="J11" s="306" t="str">
        <v>Agrotextiles</v>
      </c>
      <c r="K11" s="311" t="str">
        <f>IF(ISBLANK(J11),"",IF(COUNTIF(L:L,J11),IF(_xlfn.XLOOKUP(J11,'Compartments_Kawecki&amp;Nowack19'!A:A,'Compartments_Kawecki&amp;Nowack19'!B:B,_xlfn.XLOOKUP(J11,Compartments_Added!A:A,Compartments_Added!B:B))="Stock","OK stock","OK flow"),IF(COUNTIF($G$4:$G$18,J11),IF(COUNTIF($E$4:$E$18,J11),"OK input","Missing"),"Missing")))</f>
        <v>OK flow</v>
      </c>
      <c r="L11" s="306" t="str">
        <v>Agricultural pipes (in use)</v>
      </c>
      <c r="M11" s="311" t="str">
        <f>IF(COUNTIF(J:J,L11),IF(_xlfn.XLOOKUP(L11,'Compartments_Kawecki&amp;Nowack19'!A:A,'Compartments_Kawecki&amp;Nowack19'!B:B,_xlfn.XLOOKUP(L11,Compartments_Added!A:A,Compartments_Added!B:B))="Stock","OK stock","OK flow"),IF(_xlfn.XLOOKUP(L11,'Compartments_Kawecki&amp;Nowack19'!A:A,'Compartments_Kawecki&amp;Nowack19'!B:B,_xlfn.XLOOKUP(L11,Compartments_Added!A:A,Compartments_Added!B:B))="Sink","OK, Sink","Missing"))</f>
        <v>OK stock</v>
      </c>
      <c r="N11" s="6"/>
      <c r="O11" s="6" t="str">
        <f>Lifetimes_pairs!A9</f>
        <v>Concrete paint (prof) outdoor (discarded)</v>
      </c>
      <c r="P11" s="6" t="str">
        <f>Lifetimes_pairs!B9</f>
        <v>ConcreteProfOutDis</v>
      </c>
      <c r="Q11" t="str">
        <f>Lifetimes!I1</f>
        <v>BuildingPackagingFilms</v>
      </c>
      <c r="R11" t="str">
        <f t="shared" si="2"/>
        <v>Missing</v>
      </c>
      <c r="AA11" s="465" t="s">
        <v>1738</v>
      </c>
    </row>
    <row r="12" spans="1:27">
      <c r="A12" s="37" t="str">
        <v>PA</v>
      </c>
      <c r="B12" s="37" t="str">
        <v>PC</v>
      </c>
      <c r="C12" s="82" t="str">
        <v>any</v>
      </c>
      <c r="E12" s="69" t="str">
        <v>Tyre wear</v>
      </c>
      <c r="F12" s="69" t="str">
        <f t="shared" si="3"/>
        <v>OK</v>
      </c>
      <c r="G12" s="69" t="str">
        <v>Tyre wear</v>
      </c>
      <c r="H12" s="69" t="str">
        <f t="shared" si="1"/>
        <v>OK</v>
      </c>
      <c r="J12" s="306" t="str">
        <v>Agricultural mulching films</v>
      </c>
      <c r="K12" s="311" t="str">
        <f>IF(ISBLANK(J12),"",IF(COUNTIF(L:L,J12),IF(_xlfn.XLOOKUP(J12,'Compartments_Kawecki&amp;Nowack19'!A:A,'Compartments_Kawecki&amp;Nowack19'!B:B,_xlfn.XLOOKUP(J12,Compartments_Added!A:A,Compartments_Added!B:B))="Stock","OK stock","OK flow"),IF(COUNTIF($G$4:$G$18,J12),IF(COUNTIF($E$4:$E$18,J12),"OK input","Missing"),"Missing")))</f>
        <v>OK flow</v>
      </c>
      <c r="L12" s="306" t="str">
        <v>Agricultural plastic recycling</v>
      </c>
      <c r="M12" s="311" t="str">
        <f>IF(COUNTIF(J:J,L12),IF(_xlfn.XLOOKUP(L12,'Compartments_Kawecki&amp;Nowack19'!A:A,'Compartments_Kawecki&amp;Nowack19'!B:B,_xlfn.XLOOKUP(L12,Compartments_Added!A:A,Compartments_Added!B:B))="Stock","OK stock","OK flow"),IF(_xlfn.XLOOKUP(L12,'Compartments_Kawecki&amp;Nowack19'!A:A,'Compartments_Kawecki&amp;Nowack19'!B:B,_xlfn.XLOOKUP(L12,Compartments_Added!A:A,Compartments_Added!B:B))="Sink","OK, Sink","Missing"))</f>
        <v>OK flow</v>
      </c>
      <c r="N12" s="6"/>
      <c r="O12" s="6" t="str">
        <f>Lifetimes_pairs!A10</f>
        <v>Concrete paint (prof) indoor (discarded)</v>
      </c>
      <c r="P12" s="6" t="str">
        <f>Lifetimes_pairs!B10</f>
        <v>ConcreteProfInDis</v>
      </c>
      <c r="Q12" t="str">
        <f>Lifetimes!J1</f>
        <v>ConsumerBags</v>
      </c>
      <c r="R12" t="str">
        <f t="shared" si="2"/>
        <v>OK</v>
      </c>
      <c r="AA12" s="465" t="s">
        <v>1739</v>
      </c>
    </row>
    <row r="13" spans="1:27">
      <c r="A13" s="37" t="str">
        <v>PMMA</v>
      </c>
      <c r="B13" s="37" t="str">
        <v>PMMA</v>
      </c>
      <c r="C13" s="82" t="str">
        <v>RUBBER</v>
      </c>
      <c r="E13" s="69" t="str">
        <v>Import of clothing (Global)</v>
      </c>
      <c r="F13" s="69" t="str">
        <f>IF(COUNTIF(G:G,E13), "OK", "Missing")</f>
        <v>OK</v>
      </c>
      <c r="G13" s="69" t="str">
        <v>Import of clothing (EU)</v>
      </c>
      <c r="H13" s="69" t="str">
        <f t="shared" si="1"/>
        <v>Missing</v>
      </c>
      <c r="J13" s="306" t="str">
        <v>Agricultural other</v>
      </c>
      <c r="K13" s="311" t="str">
        <f>IF(ISBLANK(J13),"",IF(COUNTIF(L:L,J13),IF(_xlfn.XLOOKUP(J13,'Compartments_Kawecki&amp;Nowack19'!A:A,'Compartments_Kawecki&amp;Nowack19'!B:B,_xlfn.XLOOKUP(J13,Compartments_Added!A:A,Compartments_Added!B:B))="Stock","OK stock","OK flow"),IF(COUNTIF($G$4:$G$18,J13),IF(COUNTIF($E$4:$E$18,J13),"OK input","Missing"),"Missing")))</f>
        <v>OK flow</v>
      </c>
      <c r="L13" s="306" t="str">
        <v>Incineration</v>
      </c>
      <c r="M13" s="311" t="str">
        <f>IF(COUNTIF(J:J,L13),IF(_xlfn.XLOOKUP(L13,'Compartments_Kawecki&amp;Nowack19'!A:A,'Compartments_Kawecki&amp;Nowack19'!B:B,_xlfn.XLOOKUP(L13,Compartments_Added!A:A,Compartments_Added!B:B))="Stock","OK stock","OK flow"),IF(_xlfn.XLOOKUP(L13,'Compartments_Kawecki&amp;Nowack19'!A:A,'Compartments_Kawecki&amp;Nowack19'!B:B,_xlfn.XLOOKUP(L13,Compartments_Added!A:A,Compartments_Added!B:B))="Sink","OK, Sink","Missing"))</f>
        <v>OK flow</v>
      </c>
      <c r="N13" s="6"/>
      <c r="O13" s="6" t="str">
        <f>Lifetimes_pairs!A11</f>
        <v>Lacquer (prof) outdoor (in use)</v>
      </c>
      <c r="P13" s="6" t="str">
        <f>Lifetimes_pairs!B11</f>
        <v>LacquerProfOutIU</v>
      </c>
      <c r="Q13" t="str">
        <f>Lifetimes!K1</f>
        <v>ConsumerBottles</v>
      </c>
      <c r="R13" t="str">
        <f t="shared" si="2"/>
        <v>OK</v>
      </c>
      <c r="AA13" s="465" t="s">
        <v>1740</v>
      </c>
    </row>
    <row r="14" spans="1:27">
      <c r="A14" s="37" t="str">
        <v>PUR</v>
      </c>
      <c r="B14" s="37" t="str">
        <v>PA</v>
      </c>
      <c r="C14" s="82" t="str">
        <v>PUR</v>
      </c>
      <c r="E14" s="69" t="str">
        <v>Import of plastic sheets</v>
      </c>
      <c r="F14" s="69" t="str">
        <f t="shared" si="3"/>
        <v>Missing</v>
      </c>
      <c r="G14" s="69" t="str">
        <v>Import of clothing (Global)</v>
      </c>
      <c r="H14" s="69" t="str">
        <f t="shared" si="1"/>
        <v>OK</v>
      </c>
      <c r="J14" s="306" t="str">
        <v>Agricultural pipes (in use)</v>
      </c>
      <c r="K14" s="311" t="str">
        <f>IF(ISBLANK(J14),"",IF(COUNTIF(L:L,J14),IF(_xlfn.XLOOKUP(J14,'Compartments_Kawecki&amp;Nowack19'!A:A,'Compartments_Kawecki&amp;Nowack19'!B:B,_xlfn.XLOOKUP(J14,Compartments_Added!A:A,Compartments_Added!B:B))="Stock","OK stock","OK flow"),IF(COUNTIF($G$4:$G$18,J14),IF(COUNTIF($E$4:$E$18,J14),"OK input","Missing"),"Missing")))</f>
        <v>OK stock</v>
      </c>
      <c r="L14" s="306" t="str">
        <v>Landfill</v>
      </c>
      <c r="M14" s="311" t="str">
        <f>IF(COUNTIF(J:J,L14),IF(_xlfn.XLOOKUP(L14,'Compartments_Kawecki&amp;Nowack19'!A:A,'Compartments_Kawecki&amp;Nowack19'!B:B,_xlfn.XLOOKUP(L14,Compartments_Added!A:A,Compartments_Added!B:B))="Stock","OK stock","OK flow"),IF(_xlfn.XLOOKUP(L14,'Compartments_Kawecki&amp;Nowack19'!A:A,'Compartments_Kawecki&amp;Nowack19'!B:B,_xlfn.XLOOKUP(L14,Compartments_Added!A:A,Compartments_Added!B:B))="Sink","OK, Sink","Missing"))</f>
        <v>OK, Sink</v>
      </c>
      <c r="N14" s="6"/>
      <c r="O14" s="6" t="str">
        <f>Lifetimes_pairs!A12</f>
        <v>Lacquer (prof) indoor (in use)</v>
      </c>
      <c r="P14" s="6" t="str">
        <f>Lifetimes_pairs!B12</f>
        <v>LacquerProfInIU</v>
      </c>
      <c r="Q14" t="str">
        <f>Lifetimes!L1</f>
        <v>ConsumerFilms</v>
      </c>
      <c r="R14" t="str">
        <f t="shared" si="2"/>
        <v>OK</v>
      </c>
      <c r="AA14" s="465" t="s">
        <v>1741</v>
      </c>
    </row>
    <row r="15" spans="1:27">
      <c r="A15" s="37" t="str">
        <v>PET</v>
      </c>
      <c r="B15" s="37" t="str">
        <v>PUR</v>
      </c>
      <c r="C15" s="82" t="str">
        <v>ABS</v>
      </c>
      <c r="E15" s="69" t="str">
        <v>Import of yarn</v>
      </c>
      <c r="F15" s="69" t="str">
        <f t="shared" si="3"/>
        <v>Missing</v>
      </c>
      <c r="G15" s="69">
        <v>0</v>
      </c>
      <c r="H15" s="69" t="str">
        <f t="shared" si="1"/>
        <v>OK</v>
      </c>
      <c r="J15" s="306" t="str">
        <v>Agricultural greenhouse films (in use)</v>
      </c>
      <c r="K15" s="311" t="str">
        <f>IF(ISBLANK(J15),"",IF(COUNTIF(L:L,J15),IF(_xlfn.XLOOKUP(J15,'Compartments_Kawecki&amp;Nowack19'!A:A,'Compartments_Kawecki&amp;Nowack19'!B:B,_xlfn.XLOOKUP(J15,Compartments_Added!A:A,Compartments_Added!B:B))="Stock","OK stock","OK flow"),IF(COUNTIF($G$4:$G$18,J15),IF(COUNTIF($E$4:$E$18,J15),"OK input","Missing"),"Missing")))</f>
        <v>OK stock</v>
      </c>
      <c r="L15" s="306" t="str">
        <v>Residential soil (macro)</v>
      </c>
      <c r="M15" s="311" t="str">
        <f>IF(COUNTIF(J:J,L15),IF(_xlfn.XLOOKUP(L15,'Compartments_Kawecki&amp;Nowack19'!A:A,'Compartments_Kawecki&amp;Nowack19'!B:B,_xlfn.XLOOKUP(L15,Compartments_Added!A:A,Compartments_Added!B:B))="Stock","OK stock","OK flow"),IF(_xlfn.XLOOKUP(L15,'Compartments_Kawecki&amp;Nowack19'!A:A,'Compartments_Kawecki&amp;Nowack19'!B:B,_xlfn.XLOOKUP(L15,Compartments_Added!A:A,Compartments_Added!B:B))="Sink","OK, Sink","Missing"))</f>
        <v>OK, Sink</v>
      </c>
      <c r="N15" s="6"/>
      <c r="O15" s="6" t="str">
        <f>Lifetimes_pairs!A13</f>
        <v>Lacquer (prof) outdoor (discarded)</v>
      </c>
      <c r="P15" s="6" t="str">
        <f>Lifetimes_pairs!B13</f>
        <v>LacquerProfOutDis</v>
      </c>
      <c r="Q15" t="str">
        <f>Lifetimes!M1</f>
        <v>ConsumerOther</v>
      </c>
      <c r="R15" t="str">
        <f t="shared" si="2"/>
        <v>OK</v>
      </c>
      <c r="AA15" s="465" t="s">
        <v>1742</v>
      </c>
    </row>
    <row r="16" spans="1:27">
      <c r="A16" s="37" t="str">
        <v>OTHER</v>
      </c>
      <c r="B16" s="37" t="str">
        <v>OTHER</v>
      </c>
      <c r="C16" s="82" t="str">
        <v>PA</v>
      </c>
      <c r="E16" s="69">
        <v>0</v>
      </c>
      <c r="F16" s="69" t="str">
        <f t="shared" si="3"/>
        <v>OK</v>
      </c>
      <c r="G16" s="69"/>
      <c r="H16" s="69" t="str">
        <f>IF(COUNTIF(E:E,G16), "OK", "Missing")</f>
        <v>OK</v>
      </c>
      <c r="J16" s="306" t="str">
        <v>Compost (micro)</v>
      </c>
      <c r="K16" s="311" t="str">
        <f>IF(ISBLANK(J16),"",IF(COUNTIF(L:L,J16),IF(_xlfn.XLOOKUP(J16,'Compartments_Kawecki&amp;Nowack19'!A:A,'Compartments_Kawecki&amp;Nowack19'!B:B,_xlfn.XLOOKUP(J16,Compartments_Added!A:A,Compartments_Added!B:B))="Stock","OK stock","OK flow"),IF(COUNTIF($G$4:$G$18,J16),IF(COUNTIF($E$4:$E$18,J16),"OK input","Missing"),"Missing")))</f>
        <v>OK flow</v>
      </c>
      <c r="L16" s="306" t="str">
        <v>Agricultural soil (macro)</v>
      </c>
      <c r="M16" s="311" t="str">
        <f>IF(COUNTIF(J:J,L16),IF(_xlfn.XLOOKUP(L16,'Compartments_Kawecki&amp;Nowack19'!A:A,'Compartments_Kawecki&amp;Nowack19'!B:B,_xlfn.XLOOKUP(L16,Compartments_Added!A:A,Compartments_Added!B:B))="Stock","OK stock","OK flow"),IF(_xlfn.XLOOKUP(L16,'Compartments_Kawecki&amp;Nowack19'!A:A,'Compartments_Kawecki&amp;Nowack19'!B:B,_xlfn.XLOOKUP(L16,Compartments_Added!A:A,Compartments_Added!B:B))="Sink","OK, Sink","Missing"))</f>
        <v>OK, Sink</v>
      </c>
      <c r="N16" s="6"/>
      <c r="O16" s="6" t="str">
        <f>Lifetimes_pairs!A14</f>
        <v>Lacquer (prof) indoor (discarded)</v>
      </c>
      <c r="P16" s="6" t="str">
        <f>Lifetimes_pairs!B14</f>
        <v>LacquerProfInDis</v>
      </c>
      <c r="Q16" t="str">
        <f>Lifetimes!N1</f>
        <v>Cosmetics</v>
      </c>
      <c r="R16" t="str">
        <f t="shared" si="2"/>
        <v>Missing</v>
      </c>
      <c r="AA16" s="465" t="s">
        <v>1743</v>
      </c>
    </row>
    <row r="17" spans="1:27">
      <c r="A17" s="37" t="str">
        <v>Acryl</v>
      </c>
      <c r="B17" s="37" t="str">
        <v>Acryl</v>
      </c>
      <c r="C17" s="82" t="str">
        <v>PC</v>
      </c>
      <c r="E17" s="69"/>
      <c r="F17" s="69" t="str">
        <f t="shared" si="3"/>
        <v>OK</v>
      </c>
      <c r="G17" s="69"/>
      <c r="H17" s="69" t="str">
        <f t="shared" ref="H17:H18" si="4">IF(COUNTIF(E:E,G17), "OK", "Missing")</f>
        <v>OK</v>
      </c>
      <c r="J17" s="306" t="str">
        <v>Controlled release fertilizer</v>
      </c>
      <c r="K17" s="311" t="str">
        <f>IF(ISBLANK(J17),"",IF(COUNTIF(L:L,J17),IF(_xlfn.XLOOKUP(J17,'Compartments_Kawecki&amp;Nowack19'!A:A,'Compartments_Kawecki&amp;Nowack19'!B:B,_xlfn.XLOOKUP(J17,Compartments_Added!A:A,Compartments_Added!B:B))="Stock","OK stock","OK flow"),IF(COUNTIF($G$4:$G$18,J17),IF(COUNTIF($E$4:$E$18,J17),"OK input","Missing"),"Missing")))</f>
        <v>OK flow</v>
      </c>
      <c r="L17" s="306" t="str">
        <v>Agrotextiles (discarded)</v>
      </c>
      <c r="M17" s="311" t="str">
        <f>IF(COUNTIF(J:J,L17),IF(_xlfn.XLOOKUP(L17,'Compartments_Kawecki&amp;Nowack19'!A:A,'Compartments_Kawecki&amp;Nowack19'!B:B,_xlfn.XLOOKUP(L17,Compartments_Added!A:A,Compartments_Added!B:B))="Stock","OK stock","OK flow"),IF(_xlfn.XLOOKUP(L17,'Compartments_Kawecki&amp;Nowack19'!A:A,'Compartments_Kawecki&amp;Nowack19'!B:B,_xlfn.XLOOKUP(L17,Compartments_Added!A:A,Compartments_Added!B:B))="Sink","OK, Sink","Missing"))</f>
        <v>OK stock</v>
      </c>
      <c r="N17" s="6"/>
      <c r="O17" s="6" t="str">
        <f>Lifetimes_pairs!A15</f>
        <v>Wood stain (prof) outdoor (in use)</v>
      </c>
      <c r="P17" s="6" t="str">
        <f>Lifetimes_pairs!B15</f>
        <v>WoodStainProfOutIU</v>
      </c>
      <c r="Q17" t="str">
        <f>Lifetimes!O1</f>
        <v>Household</v>
      </c>
      <c r="R17" t="str">
        <f t="shared" si="2"/>
        <v>Missing</v>
      </c>
      <c r="AA17" s="465" t="s">
        <v>1744</v>
      </c>
    </row>
    <row r="18" spans="1:27" ht="15.75" thickBot="1">
      <c r="A18" s="37" t="str">
        <v>RUBBER</v>
      </c>
      <c r="B18" s="37" t="str">
        <v>RUBBER</v>
      </c>
      <c r="C18" s="82" t="str">
        <v>PMMA</v>
      </c>
      <c r="E18" s="89"/>
      <c r="F18" s="89" t="str">
        <f t="shared" si="3"/>
        <v>OK</v>
      </c>
      <c r="G18" s="89"/>
      <c r="H18" s="89" t="str">
        <f t="shared" si="4"/>
        <v>OK</v>
      </c>
      <c r="J18" s="306" t="str">
        <v>Fertilizer additives</v>
      </c>
      <c r="K18" s="311" t="str">
        <f>IF(ISBLANK(J18),"",IF(COUNTIF(L:L,J18),IF(_xlfn.XLOOKUP(J18,'Compartments_Kawecki&amp;Nowack19'!A:A,'Compartments_Kawecki&amp;Nowack19'!B:B,_xlfn.XLOOKUP(J18,Compartments_Added!A:A,Compartments_Added!B:B))="Stock","OK stock","OK flow"),IF(COUNTIF($G$4:$G$18,J18),IF(COUNTIF($E$4:$E$18,J18),"OK input","Missing"),"Missing")))</f>
        <v>OK flow</v>
      </c>
      <c r="L18" s="306" t="str">
        <v>Agricultural soil (micro)</v>
      </c>
      <c r="M18" s="311" t="str">
        <f>IF(COUNTIF(J:J,L18),IF(_xlfn.XLOOKUP(L18,'Compartments_Kawecki&amp;Nowack19'!A:A,'Compartments_Kawecki&amp;Nowack19'!B:B,_xlfn.XLOOKUP(L18,Compartments_Added!A:A,Compartments_Added!B:B))="Stock","OK stock","OK flow"),IF(_xlfn.XLOOKUP(L18,'Compartments_Kawecki&amp;Nowack19'!A:A,'Compartments_Kawecki&amp;Nowack19'!B:B,_xlfn.XLOOKUP(L18,Compartments_Added!A:A,Compartments_Added!B:B))="Sink","OK, Sink","Missing"))</f>
        <v>OK, Sink</v>
      </c>
      <c r="N18" s="6"/>
      <c r="O18" s="6" t="str">
        <f>Lifetimes_pairs!A16</f>
        <v>Wood stain (prof) indoor (in use)</v>
      </c>
      <c r="P18" s="6" t="str">
        <f>Lifetimes_pairs!B16</f>
        <v>WoodStainProfInIU</v>
      </c>
      <c r="Q18" t="str">
        <f>Lifetimes!P1</f>
        <v>NonConsumerBags</v>
      </c>
      <c r="R18" t="str">
        <f t="shared" si="2"/>
        <v>OK</v>
      </c>
      <c r="AA18" s="465" t="s">
        <v>1745</v>
      </c>
    </row>
    <row r="19" spans="1:27">
      <c r="A19" s="37">
        <v>0</v>
      </c>
      <c r="B19" s="37">
        <v>0</v>
      </c>
      <c r="C19" s="82" t="str">
        <v>Acryl</v>
      </c>
      <c r="J19" s="306" t="str">
        <v>Plant protection products</v>
      </c>
      <c r="K19" s="311" t="str">
        <f>IF(ISBLANK(J19),"",IF(COUNTIF(L:L,J19),IF(_xlfn.XLOOKUP(J19,'Compartments_Kawecki&amp;Nowack19'!A:A,'Compartments_Kawecki&amp;Nowack19'!B:B,_xlfn.XLOOKUP(J19,Compartments_Added!A:A,Compartments_Added!B:B))="Stock","OK stock","OK flow"),IF(COUNTIF($G$4:$G$18,J19),IF(COUNTIF($E$4:$E$18,J19),"OK input","Missing"),"Missing")))</f>
        <v>OK flow</v>
      </c>
      <c r="L19" s="306" t="str">
        <v>Agrotextiles (in use)</v>
      </c>
      <c r="M19" s="311" t="str">
        <f>IF(COUNTIF(J:J,L19),IF(_xlfn.XLOOKUP(L19,'Compartments_Kawecki&amp;Nowack19'!A:A,'Compartments_Kawecki&amp;Nowack19'!B:B,_xlfn.XLOOKUP(L19,Compartments_Added!A:A,Compartments_Added!B:B))="Stock","OK stock","OK flow"),IF(_xlfn.XLOOKUP(L19,'Compartments_Kawecki&amp;Nowack19'!A:A,'Compartments_Kawecki&amp;Nowack19'!B:B,_xlfn.XLOOKUP(L19,Compartments_Added!A:A,Compartments_Added!B:B))="Sink","OK, Sink","Missing"))</f>
        <v>OK stock</v>
      </c>
      <c r="N19" s="6"/>
      <c r="O19" s="6" t="str">
        <f>Lifetimes_pairs!A17</f>
        <v>Wood stain (prof) outdoor (discarded)</v>
      </c>
      <c r="P19" s="6" t="str">
        <f>Lifetimes_pairs!B17</f>
        <v>WoodStainProfOutDis</v>
      </c>
      <c r="Q19" t="str">
        <f>Lifetimes!Q1</f>
        <v>NonConsumerOther</v>
      </c>
      <c r="R19" t="str">
        <f t="shared" si="2"/>
        <v>OK</v>
      </c>
      <c r="AA19" s="465" t="s">
        <v>1746</v>
      </c>
    </row>
    <row r="20" spans="1:27" ht="15.75" thickBot="1">
      <c r="A20" s="38"/>
      <c r="B20" s="38"/>
      <c r="C20" s="83">
        <v>0</v>
      </c>
      <c r="J20" s="306" t="str">
        <v>Seed coating</v>
      </c>
      <c r="K20" s="311" t="str">
        <f>IF(ISBLANK(J20),"",IF(COUNTIF(L:L,J20),IF(_xlfn.XLOOKUP(J20,'Compartments_Kawecki&amp;Nowack19'!A:A,'Compartments_Kawecki&amp;Nowack19'!B:B,_xlfn.XLOOKUP(J20,Compartments_Added!A:A,Compartments_Added!B:B))="Stock","OK stock","OK flow"),IF(COUNTIF($G$4:$G$18,J20),IF(COUNTIF($E$4:$E$18,J20),"OK input","Missing"),"Missing")))</f>
        <v>OK flow</v>
      </c>
      <c r="L20" s="306" t="str">
        <v>Agricultural waste collection</v>
      </c>
      <c r="M20" s="311" t="str">
        <f>IF(COUNTIF(J:J,L20),IF(_xlfn.XLOOKUP(L20,'Compartments_Kawecki&amp;Nowack19'!A:A,'Compartments_Kawecki&amp;Nowack19'!B:B,_xlfn.XLOOKUP(L20,Compartments_Added!A:A,Compartments_Added!B:B))="Stock","OK stock","OK flow"),IF(_xlfn.XLOOKUP(L20,'Compartments_Kawecki&amp;Nowack19'!A:A,'Compartments_Kawecki&amp;Nowack19'!B:B,_xlfn.XLOOKUP(L20,Compartments_Added!A:A,Compartments_Added!B:B))="Sink","OK, Sink","Missing"))</f>
        <v>OK flow</v>
      </c>
      <c r="N20" s="6"/>
      <c r="O20" s="6" t="str">
        <f>Lifetimes_pairs!A18</f>
        <v>Wood stain (prof) indoor (discarded)</v>
      </c>
      <c r="P20" s="6" t="str">
        <f>Lifetimes_pairs!B18</f>
        <v>WoodStainProfInDis</v>
      </c>
      <c r="Q20" t="str">
        <f>Lifetimes!R1</f>
        <v>OtherNonConsumerFilms</v>
      </c>
      <c r="R20" t="str">
        <f t="shared" si="2"/>
        <v>OK</v>
      </c>
      <c r="AA20" s="465" t="s">
        <v>1747</v>
      </c>
    </row>
    <row r="21" spans="1:27">
      <c r="J21" s="306" t="str">
        <v>Agricultural pipes (discarded)</v>
      </c>
      <c r="K21" s="311" t="str">
        <f>IF(ISBLANK(J21),"",IF(COUNTIF(L:L,J21),IF(_xlfn.XLOOKUP(J21,'Compartments_Kawecki&amp;Nowack19'!A:A,'Compartments_Kawecki&amp;Nowack19'!B:B,_xlfn.XLOOKUP(J21,Compartments_Added!A:A,Compartments_Added!B:B))="Stock","OK stock","OK flow"),IF(COUNTIF($G$4:$G$18,J21),IF(COUNTIF($E$4:$E$18,J21),"OK input","Missing"),"Missing")))</f>
        <v>OK stock</v>
      </c>
      <c r="L21" s="306" t="str">
        <v>Agricultural waste collection (micro)</v>
      </c>
      <c r="M21" s="311" t="str">
        <f>IF(COUNTIF(J:J,L21),IF(_xlfn.XLOOKUP(L21,'Compartments_Kawecki&amp;Nowack19'!A:A,'Compartments_Kawecki&amp;Nowack19'!B:B,_xlfn.XLOOKUP(L21,Compartments_Added!A:A,Compartments_Added!B:B))="Stock","OK stock","OK flow"),IF(_xlfn.XLOOKUP(L21,'Compartments_Kawecki&amp;Nowack19'!A:A,'Compartments_Kawecki&amp;Nowack19'!B:B,_xlfn.XLOOKUP(L21,Compartments_Added!A:A,Compartments_Added!B:B))="Sink","OK, Sink","Missing"))</f>
        <v>OK flow</v>
      </c>
      <c r="N21" s="6"/>
      <c r="O21" s="6" t="str">
        <f>Lifetimes_pairs!A19</f>
        <v>Wall paint (prof) outdoor (in use)</v>
      </c>
      <c r="P21" s="6" t="str">
        <f>Lifetimes_pairs!B19</f>
        <v>WallPaintProfOutIU</v>
      </c>
      <c r="Q21" t="str">
        <f>Lifetimes!S1</f>
        <v>OtherOther</v>
      </c>
      <c r="R21" t="str">
        <f t="shared" si="2"/>
        <v>Missing</v>
      </c>
      <c r="AA21" s="465" t="s">
        <v>1748</v>
      </c>
    </row>
    <row r="22" spans="1:27">
      <c r="J22" s="306" t="str">
        <v>Agricultural greenhouse films (discarded)</v>
      </c>
      <c r="K22" s="311" t="str">
        <f>IF(ISBLANK(J22),"",IF(COUNTIF(L:L,J22),IF(_xlfn.XLOOKUP(J22,'Compartments_Kawecki&amp;Nowack19'!A:A,'Compartments_Kawecki&amp;Nowack19'!B:B,_xlfn.XLOOKUP(J22,Compartments_Added!A:A,Compartments_Added!B:B))="Stock","OK stock","OK flow"),IF(COUNTIF($G$4:$G$18,J22),IF(COUNTIF($E$4:$E$18,J22),"OK input","Missing"),"Missing")))</f>
        <v>OK stock</v>
      </c>
      <c r="L22" s="306" t="str">
        <v>Collected organic waste</v>
      </c>
      <c r="M22" s="311" t="str">
        <f>IF(COUNTIF(J:J,L22),IF(_xlfn.XLOOKUP(L22,'Compartments_Kawecki&amp;Nowack19'!A:A,'Compartments_Kawecki&amp;Nowack19'!B:B,_xlfn.XLOOKUP(L22,Compartments_Added!A:A,Compartments_Added!B:B))="Stock","OK stock","OK flow"),IF(_xlfn.XLOOKUP(L22,'Compartments_Kawecki&amp;Nowack19'!A:A,'Compartments_Kawecki&amp;Nowack19'!B:B,_xlfn.XLOOKUP(L22,Compartments_Added!A:A,Compartments_Added!B:B))="Sink","OK, Sink","Missing"))</f>
        <v>OK flow</v>
      </c>
      <c r="N22" s="6"/>
      <c r="O22" s="6" t="str">
        <f>Lifetimes_pairs!A20</f>
        <v>Wall paint (prof) indoor (in use)</v>
      </c>
      <c r="P22" s="6" t="str">
        <f>Lifetimes_pairs!B20</f>
        <v>WallPaintProfInIU</v>
      </c>
      <c r="Q22" t="str">
        <f>Lifetimes!T1</f>
        <v>PipesDucts</v>
      </c>
      <c r="R22" t="str">
        <f t="shared" si="2"/>
        <v>Missing</v>
      </c>
      <c r="AA22" s="465" t="s">
        <v>1749</v>
      </c>
    </row>
    <row r="23" spans="1:27">
      <c r="J23" s="306" t="str">
        <v>Agrotextiles (discarded)</v>
      </c>
      <c r="K23" s="311" t="str">
        <f>IF(ISBLANK(J23),"",IF(COUNTIF(L:L,J23),IF(_xlfn.XLOOKUP(J23,'Compartments_Kawecki&amp;Nowack19'!A:A,'Compartments_Kawecki&amp;Nowack19'!B:B,_xlfn.XLOOKUP(J23,Compartments_Added!A:A,Compartments_Added!B:B))="Stock","OK stock","OK flow"),IF(COUNTIF($G$4:$G$18,J23),IF(COUNTIF($E$4:$E$18,J23),"OK input","Missing"),"Missing")))</f>
        <v>OK stock</v>
      </c>
      <c r="L23" s="306" t="str">
        <v>Dumping</v>
      </c>
      <c r="M23" s="311" t="str">
        <f>IF(COUNTIF(J:J,L23),IF(_xlfn.XLOOKUP(L23,'Compartments_Kawecki&amp;Nowack19'!A:A,'Compartments_Kawecki&amp;Nowack19'!B:B,_xlfn.XLOOKUP(L23,Compartments_Added!A:A,Compartments_Added!B:B))="Stock","OK stock","OK flow"),IF(_xlfn.XLOOKUP(L23,'Compartments_Kawecki&amp;Nowack19'!A:A,'Compartments_Kawecki&amp;Nowack19'!B:B,_xlfn.XLOOKUP(L23,Compartments_Added!A:A,Compartments_Added!B:B))="Sink","OK, Sink","Missing"))</f>
        <v>OK flow</v>
      </c>
      <c r="N23" s="6"/>
      <c r="O23" s="6" t="str">
        <f>Lifetimes_pairs!A21</f>
        <v>Wall paint (prof) outdoor (discarded)</v>
      </c>
      <c r="P23" s="6" t="str">
        <f>Lifetimes_pairs!B21</f>
        <v>WallPaintProfOutDis</v>
      </c>
      <c r="Q23" t="str">
        <f>Lifetimes!U1</f>
        <v>OtherOilGas</v>
      </c>
      <c r="R23" t="str">
        <f t="shared" si="2"/>
        <v>Missing</v>
      </c>
      <c r="AA23" s="465" t="s">
        <v>1750</v>
      </c>
    </row>
    <row r="24" spans="1:27">
      <c r="J24" s="306" t="str">
        <v>Agrotextiles (in use)</v>
      </c>
      <c r="K24" s="311" t="str">
        <f>IF(ISBLANK(J24),"",IF(COUNTIF(L:L,J24),IF(_xlfn.XLOOKUP(J24,'Compartments_Kawecki&amp;Nowack19'!A:A,'Compartments_Kawecki&amp;Nowack19'!B:B,_xlfn.XLOOKUP(J24,Compartments_Added!A:A,Compartments_Added!B:B))="Stock","OK stock","OK flow"),IF(COUNTIF($G$4:$G$18,J24),IF(COUNTIF($E$4:$E$18,J24),"OK input","Missing"),"Missing")))</f>
        <v>OK stock</v>
      </c>
      <c r="L24" s="306" t="str">
        <v>Building textiles (discarded)</v>
      </c>
      <c r="M24" s="311" t="str">
        <f>IF(COUNTIF(J:J,L24),IF(_xlfn.XLOOKUP(L24,'Compartments_Kawecki&amp;Nowack19'!A:A,'Compartments_Kawecki&amp;Nowack19'!B:B,_xlfn.XLOOKUP(L24,Compartments_Added!A:A,Compartments_Added!B:B))="Stock","OK stock","OK flow"),IF(_xlfn.XLOOKUP(L24,'Compartments_Kawecki&amp;Nowack19'!A:A,'Compartments_Kawecki&amp;Nowack19'!B:B,_xlfn.XLOOKUP(L24,Compartments_Added!A:A,Compartments_Added!B:B))="Sink","OK, Sink","Missing"))</f>
        <v>OK stock</v>
      </c>
      <c r="N24" s="6"/>
      <c r="O24" s="6" t="str">
        <f>Lifetimes_pairs!A22</f>
        <v>Wall paint (prof) indoor (discarded)</v>
      </c>
      <c r="P24" s="6" t="str">
        <f>Lifetimes_pairs!B22</f>
        <v>WallPaintProfInDis</v>
      </c>
      <c r="Q24" t="str">
        <f>Lifetimes!V1</f>
        <v>InfillSportsFieldDis</v>
      </c>
      <c r="R24" t="str">
        <f t="shared" si="2"/>
        <v>OK</v>
      </c>
      <c r="S24" t="s">
        <v>2014</v>
      </c>
      <c r="AA24" s="465" t="s">
        <v>1751</v>
      </c>
    </row>
    <row r="25" spans="1:27">
      <c r="J25" s="306" t="str">
        <v>Building textiles</v>
      </c>
      <c r="K25" s="311" t="str">
        <f>IF(ISBLANK(J25),"",IF(COUNTIF(L:L,J25),IF(_xlfn.XLOOKUP(J25,'Compartments_Kawecki&amp;Nowack19'!A:A,'Compartments_Kawecki&amp;Nowack19'!B:B,_xlfn.XLOOKUP(J25,Compartments_Added!A:A,Compartments_Added!B:B))="Stock","OK stock","OK flow"),IF(COUNTIF($G$4:$G$18,J25),IF(COUNTIF($E$4:$E$18,J25),"OK input","Missing"),"Missing")))</f>
        <v>OK flow</v>
      </c>
      <c r="L25" s="306" t="str">
        <v>Building textiles (in use)</v>
      </c>
      <c r="M25" s="311" t="str">
        <f>IF(COUNTIF(J:J,L25),IF(_xlfn.XLOOKUP(L25,'Compartments_Kawecki&amp;Nowack19'!A:A,'Compartments_Kawecki&amp;Nowack19'!B:B,_xlfn.XLOOKUP(L25,Compartments_Added!A:A,Compartments_Added!B:B))="Stock","OK stock","OK flow"),IF(_xlfn.XLOOKUP(L25,'Compartments_Kawecki&amp;Nowack19'!A:A,'Compartments_Kawecki&amp;Nowack19'!B:B,_xlfn.XLOOKUP(L25,Compartments_Added!A:A,Compartments_Added!B:B))="Sink","OK, Sink","Missing"))</f>
        <v>OK stock</v>
      </c>
      <c r="N25" s="6"/>
      <c r="O25" s="6" t="str">
        <f>Lifetimes_pairs!A23</f>
        <v>Plaster (prof) outdoor (in use)</v>
      </c>
      <c r="P25" s="6" t="str">
        <f>Lifetimes_pairs!B23</f>
        <v>PlasterProfOutIU</v>
      </c>
      <c r="Q25" t="str">
        <f>Lifetimes!W1</f>
        <v>InfillSportsFieldU</v>
      </c>
      <c r="R25" t="str">
        <f t="shared" si="2"/>
        <v>OK</v>
      </c>
      <c r="AA25" s="465" t="s">
        <v>1752</v>
      </c>
    </row>
    <row r="26" spans="1:27">
      <c r="J26" s="306" t="str">
        <v>Building textiles (discarded)</v>
      </c>
      <c r="K26" s="311" t="str">
        <f>IF(ISBLANK(J26),"",IF(COUNTIF(L:L,J26),IF(_xlfn.XLOOKUP(J26,'Compartments_Kawecki&amp;Nowack19'!A:A,'Compartments_Kawecki&amp;Nowack19'!B:B,_xlfn.XLOOKUP(J26,Compartments_Added!A:A,Compartments_Added!B:B))="Stock","OK stock","OK flow"),IF(COUNTIF($G$4:$G$18,J26),IF(COUNTIF($E$4:$E$18,J26),"OK input","Missing"),"Missing")))</f>
        <v>OK stock</v>
      </c>
      <c r="L26" s="306" t="str">
        <v>Construction and demolition incinerable waste collection</v>
      </c>
      <c r="M26" s="311" t="str">
        <f>IF(COUNTIF(J:J,L26),IF(_xlfn.XLOOKUP(L26,'Compartments_Kawecki&amp;Nowack19'!A:A,'Compartments_Kawecki&amp;Nowack19'!B:B,_xlfn.XLOOKUP(L26,Compartments_Added!A:A,Compartments_Added!B:B))="Stock","OK stock","OK flow"),IF(_xlfn.XLOOKUP(L26,'Compartments_Kawecki&amp;Nowack19'!A:A,'Compartments_Kawecki&amp;Nowack19'!B:B,_xlfn.XLOOKUP(L26,Compartments_Added!A:A,Compartments_Added!B:B))="Sink","OK, Sink","Missing"))</f>
        <v>OK flow</v>
      </c>
      <c r="N26" s="6"/>
      <c r="O26" s="6" t="str">
        <f>Lifetimes_pairs!A24</f>
        <v>Plaster (prof) indoor (in use)</v>
      </c>
      <c r="P26" s="6" t="str">
        <f>Lifetimes_pairs!B24</f>
        <v>PlasterProfInIU</v>
      </c>
      <c r="Q26" t="str">
        <f>Lifetimes!AE1</f>
        <v>ClothingDis</v>
      </c>
      <c r="R26" t="str">
        <f t="shared" si="2"/>
        <v>OK</v>
      </c>
      <c r="AA26" s="465" t="s">
        <v>1753</v>
      </c>
    </row>
    <row r="27" spans="1:27">
      <c r="J27" s="306" t="str">
        <v>Building textiles (in use)</v>
      </c>
      <c r="K27" s="311" t="str">
        <f>IF(ISBLANK(J27),"",IF(COUNTIF(L:L,J27),IF(_xlfn.XLOOKUP(J27,'Compartments_Kawecki&amp;Nowack19'!A:A,'Compartments_Kawecki&amp;Nowack19'!B:B,_xlfn.XLOOKUP(J27,Compartments_Added!A:A,Compartments_Added!B:B))="Stock","OK stock","OK flow"),IF(COUNTIF($G$4:$G$18,J27),IF(COUNTIF($E$4:$E$18,J27),"OK input","Missing"),"Missing")))</f>
        <v>OK stock</v>
      </c>
      <c r="L27" s="306" t="str">
        <v>Building packaging films</v>
      </c>
      <c r="M27" s="311" t="str">
        <f>IF(COUNTIF(J:J,L27),IF(_xlfn.XLOOKUP(L27,'Compartments_Kawecki&amp;Nowack19'!A:A,'Compartments_Kawecki&amp;Nowack19'!B:B,_xlfn.XLOOKUP(L27,Compartments_Added!A:A,Compartments_Added!B:B))="Stock","OK stock","OK flow"),IF(_xlfn.XLOOKUP(L27,'Compartments_Kawecki&amp;Nowack19'!A:A,'Compartments_Kawecki&amp;Nowack19'!B:B,_xlfn.XLOOKUP(L27,Compartments_Added!A:A,Compartments_Added!B:B))="Sink","OK, Sink","Missing"))</f>
        <v>OK flow</v>
      </c>
      <c r="N27" s="6"/>
      <c r="O27" s="6" t="str">
        <f>Lifetimes_pairs!A25</f>
        <v>Plaster (prof) outdoor (discarded)</v>
      </c>
      <c r="P27" s="6" t="str">
        <f>Lifetimes_pairs!B25</f>
        <v>PlasterProfOutDis</v>
      </c>
      <c r="Q27" t="str">
        <f>Lifetimes!AF1</f>
        <v>ClothingIUWearTear</v>
      </c>
      <c r="R27" t="str">
        <f t="shared" si="2"/>
        <v>OK</v>
      </c>
      <c r="AA27" s="465" t="s">
        <v>1754</v>
      </c>
    </row>
    <row r="28" spans="1:27">
      <c r="J28" s="306" t="str">
        <v>ELV textiles collection</v>
      </c>
      <c r="K28" s="311" t="str">
        <f>IF(ISBLANK(J28),"",IF(COUNTIF(L:L,J28),IF(_xlfn.XLOOKUP(J28,'Compartments_Kawecki&amp;Nowack19'!A:A,'Compartments_Kawecki&amp;Nowack19'!B:B,_xlfn.XLOOKUP(J28,Compartments_Added!A:A,Compartments_Added!B:B))="Stock","OK stock","OK flow"),IF(COUNTIF($G$4:$G$18,J28),IF(COUNTIF($E$4:$E$18,J28),"OK input","Missing"),"Missing")))</f>
        <v>OK flow</v>
      </c>
      <c r="L28" s="306" t="str">
        <v>Geotextiles (discarded)</v>
      </c>
      <c r="M28" s="311" t="str">
        <f>IF(COUNTIF(J:J,L28),IF(_xlfn.XLOOKUP(L28,'Compartments_Kawecki&amp;Nowack19'!A:A,'Compartments_Kawecki&amp;Nowack19'!B:B,_xlfn.XLOOKUP(L28,Compartments_Added!A:A,Compartments_Added!B:B))="Stock","OK stock","OK flow"),IF(_xlfn.XLOOKUP(L28,'Compartments_Kawecki&amp;Nowack19'!A:A,'Compartments_Kawecki&amp;Nowack19'!B:B,_xlfn.XLOOKUP(L28,Compartments_Added!A:A,Compartments_Added!B:B))="Sink","OK, Sink","Missing"))</f>
        <v>OK stock</v>
      </c>
      <c r="N28" s="6"/>
      <c r="O28" s="6" t="str">
        <f>Lifetimes_pairs!A26</f>
        <v>Plaster (prof) indoor (discarded)</v>
      </c>
      <c r="P28" s="6" t="str">
        <f>Lifetimes_pairs!B26</f>
        <v>PlasterProfInDis</v>
      </c>
      <c r="Q28" t="str">
        <f>Lifetimes!AG1</f>
        <v>ClothingIUWashDry</v>
      </c>
      <c r="R28" t="str">
        <f t="shared" si="2"/>
        <v>OK</v>
      </c>
      <c r="AA28" s="465" t="s">
        <v>1755</v>
      </c>
    </row>
    <row r="29" spans="1:27">
      <c r="J29" s="306" t="str">
        <v>Geotextiles</v>
      </c>
      <c r="K29" s="311" t="str">
        <f>IF(ISBLANK(J29),"",IF(COUNTIF(L:L,J29),IF(_xlfn.XLOOKUP(J29,'Compartments_Kawecki&amp;Nowack19'!A:A,'Compartments_Kawecki&amp;Nowack19'!B:B,_xlfn.XLOOKUP(J29,Compartments_Added!A:A,Compartments_Added!B:B))="Stock","OK stock","OK flow"),IF(COUNTIF($G$4:$G$18,J29),IF(COUNTIF($E$4:$E$18,J29),"OK input","Missing"),"Missing")))</f>
        <v>OK flow</v>
      </c>
      <c r="L29" s="306" t="str">
        <v>Geotextiles (in use)</v>
      </c>
      <c r="M29" s="311" t="str">
        <f>IF(COUNTIF(J:J,L29),IF(_xlfn.XLOOKUP(L29,'Compartments_Kawecki&amp;Nowack19'!A:A,'Compartments_Kawecki&amp;Nowack19'!B:B,_xlfn.XLOOKUP(L29,Compartments_Added!A:A,Compartments_Added!B:B))="Stock","OK stock","OK flow"),IF(_xlfn.XLOOKUP(L29,'Compartments_Kawecki&amp;Nowack19'!A:A,'Compartments_Kawecki&amp;Nowack19'!B:B,_xlfn.XLOOKUP(L29,Compartments_Added!A:A,Compartments_Added!B:B))="Sink","OK, Sink","Missing"))</f>
        <v>OK stock</v>
      </c>
      <c r="N29" s="6"/>
      <c r="O29" s="6" t="str">
        <f>Lifetimes_pairs!A27</f>
        <v>Other paint uses (prof) outdoor (in use)</v>
      </c>
      <c r="P29" s="6" t="str">
        <f>Lifetimes_pairs!B27</f>
        <v>OtherPaintUsesProfOutIU</v>
      </c>
      <c r="Q29" t="str">
        <f>Lifetimes!AH1</f>
        <v>HomeTextilesDis</v>
      </c>
      <c r="R29" t="str">
        <f t="shared" si="2"/>
        <v>OK</v>
      </c>
      <c r="AA29" s="465" t="s">
        <v>1756</v>
      </c>
    </row>
    <row r="30" spans="1:27">
      <c r="J30" s="306" t="str">
        <v>Geotextiles (discarded)</v>
      </c>
      <c r="K30" s="311" t="str">
        <f>IF(ISBLANK(J30),"",IF(COUNTIF(L:L,J30),IF(_xlfn.XLOOKUP(J30,'Compartments_Kawecki&amp;Nowack19'!A:A,'Compartments_Kawecki&amp;Nowack19'!B:B,_xlfn.XLOOKUP(J30,Compartments_Added!A:A,Compartments_Added!B:B))="Stock","OK stock","OK flow"),IF(COUNTIF($G$4:$G$18,J30),IF(COUNTIF($E$4:$E$18,J30),"OK input","Missing"),"Missing")))</f>
        <v>OK stock</v>
      </c>
      <c r="L30" s="306" t="str">
        <v>Sub-surface soil (micro)</v>
      </c>
      <c r="M30" s="311" t="str">
        <f>IF(COUNTIF(J:J,L30),IF(_xlfn.XLOOKUP(L30,'Compartments_Kawecki&amp;Nowack19'!A:A,'Compartments_Kawecki&amp;Nowack19'!B:B,_xlfn.XLOOKUP(L30,Compartments_Added!A:A,Compartments_Added!B:B))="Stock","OK stock","OK flow"),IF(_xlfn.XLOOKUP(L30,'Compartments_Kawecki&amp;Nowack19'!A:A,'Compartments_Kawecki&amp;Nowack19'!B:B,_xlfn.XLOOKUP(L30,Compartments_Added!A:A,Compartments_Added!B:B))="Sink","OK, Sink","Missing"))</f>
        <v>OK, Sink</v>
      </c>
      <c r="N30" s="6"/>
      <c r="O30" s="6" t="str">
        <f>Lifetimes_pairs!A28</f>
        <v>Other paint uses (prof) indoor (in use)</v>
      </c>
      <c r="P30" s="6" t="str">
        <f>Lifetimes_pairs!B28</f>
        <v>OtherPaintUsesProfInIU</v>
      </c>
      <c r="Q30" t="str">
        <f>Lifetimes!AI1</f>
        <v>HomeTextilesIU</v>
      </c>
      <c r="R30" t="str">
        <f t="shared" si="2"/>
        <v>OK</v>
      </c>
      <c r="AA30" s="465" t="s">
        <v>1757</v>
      </c>
    </row>
    <row r="31" spans="1:27">
      <c r="J31" s="306" t="str">
        <v>Geotextiles (in use)</v>
      </c>
      <c r="K31" s="311" t="str">
        <f>IF(ISBLANK(J31),"",IF(COUNTIF(L:L,J31),IF(_xlfn.XLOOKUP(J31,'Compartments_Kawecki&amp;Nowack19'!A:A,'Compartments_Kawecki&amp;Nowack19'!B:B,_xlfn.XLOOKUP(J31,Compartments_Added!A:A,Compartments_Added!B:B))="Stock","OK stock","OK flow"),IF(COUNTIF($G$4:$G$18,J31),IF(COUNTIF($E$4:$E$18,J31),"OK input","Missing"),"Missing")))</f>
        <v>OK stock</v>
      </c>
      <c r="L31" s="306" t="str">
        <v>Home textiles (discarded)</v>
      </c>
      <c r="M31" s="311" t="str">
        <f>IF(COUNTIF(J:J,L31),IF(_xlfn.XLOOKUP(L31,'Compartments_Kawecki&amp;Nowack19'!A:A,'Compartments_Kawecki&amp;Nowack19'!B:B,_xlfn.XLOOKUP(L31,Compartments_Added!A:A,Compartments_Added!B:B))="Stock","OK stock","OK flow"),IF(_xlfn.XLOOKUP(L31,'Compartments_Kawecki&amp;Nowack19'!A:A,'Compartments_Kawecki&amp;Nowack19'!B:B,_xlfn.XLOOKUP(L31,Compartments_Added!A:A,Compartments_Added!B:B))="Sink","OK, Sink","Missing"))</f>
        <v>OK stock</v>
      </c>
      <c r="N31" s="6"/>
      <c r="O31" s="6" t="str">
        <f>Lifetimes_pairs!A29</f>
        <v>Other paint uses (prof) outdoor (discarded)</v>
      </c>
      <c r="P31" s="6" t="str">
        <f>Lifetimes_pairs!B29</f>
        <v>OtherPaintUsesProfOutDis</v>
      </c>
      <c r="Q31" t="str">
        <f>Lifetimes!AJ1</f>
        <v>TechHomeTextilesDis</v>
      </c>
      <c r="R31" t="str">
        <f t="shared" si="2"/>
        <v>OK</v>
      </c>
      <c r="AA31" s="465" t="s">
        <v>1758</v>
      </c>
    </row>
    <row r="32" spans="1:27">
      <c r="J32" s="306" t="str">
        <v>Home textiles</v>
      </c>
      <c r="K32" s="311" t="str">
        <f>IF(ISBLANK(J32),"",IF(COUNTIF(L:L,J32),IF(_xlfn.XLOOKUP(J32,'Compartments_Kawecki&amp;Nowack19'!A:A,'Compartments_Kawecki&amp;Nowack19'!B:B,_xlfn.XLOOKUP(J32,Compartments_Added!A:A,Compartments_Added!B:B))="Stock","OK stock","OK flow"),IF(COUNTIF($G$4:$G$18,J32),IF(COUNTIF($E$4:$E$18,J32),"OK input","Missing"),"Missing")))</f>
        <v>OK flow</v>
      </c>
      <c r="L32" s="306" t="str">
        <v>Home textiles (in use)</v>
      </c>
      <c r="M32" s="311" t="str">
        <f>IF(COUNTIF(J:J,L32),IF(_xlfn.XLOOKUP(L32,'Compartments_Kawecki&amp;Nowack19'!A:A,'Compartments_Kawecki&amp;Nowack19'!B:B,_xlfn.XLOOKUP(L32,Compartments_Added!A:A,Compartments_Added!B:B))="Stock","OK stock","OK flow"),IF(_xlfn.XLOOKUP(L32,'Compartments_Kawecki&amp;Nowack19'!A:A,'Compartments_Kawecki&amp;Nowack19'!B:B,_xlfn.XLOOKUP(L32,Compartments_Added!A:A,Compartments_Added!B:B))="Sink","OK, Sink","Missing"))</f>
        <v>OK stock</v>
      </c>
      <c r="N32" s="6"/>
      <c r="O32" s="6" t="str">
        <f>Lifetimes_pairs!A30</f>
        <v>Other paint uses (prof) indoor (discarded)</v>
      </c>
      <c r="P32" s="6" t="str">
        <f>Lifetimes_pairs!B30</f>
        <v>OtherPaintUsesProfInDis</v>
      </c>
      <c r="Q32" t="str">
        <f>Lifetimes!AK1</f>
        <v>TechHomeTextilesIU</v>
      </c>
      <c r="R32" t="str">
        <f t="shared" si="2"/>
        <v>OK</v>
      </c>
      <c r="AA32" s="465" t="s">
        <v>1759</v>
      </c>
    </row>
    <row r="33" spans="10:27">
      <c r="J33" s="306" t="str">
        <v>Consumer bags</v>
      </c>
      <c r="K33" s="311" t="str">
        <f>IF(ISBLANK(J33),"",IF(COUNTIF(L:L,J33),IF(_xlfn.XLOOKUP(J33,'Compartments_Kawecki&amp;Nowack19'!A:A,'Compartments_Kawecki&amp;Nowack19'!B:B,_xlfn.XLOOKUP(J33,Compartments_Added!A:A,Compartments_Added!B:B))="Stock","OK stock","OK flow"),IF(COUNTIF($G$4:$G$18,J33),IF(COUNTIF($E$4:$E$18,J33),"OK input","Missing"),"Missing")))</f>
        <v>OK stock</v>
      </c>
      <c r="L33" s="306" t="str">
        <v>Collected organic waste (larger than 1 mm)</v>
      </c>
      <c r="M33" s="311" t="str">
        <f>IF(COUNTIF(J:J,L33),IF(_xlfn.XLOOKUP(L33,'Compartments_Kawecki&amp;Nowack19'!A:A,'Compartments_Kawecki&amp;Nowack19'!B:B,_xlfn.XLOOKUP(L33,Compartments_Added!A:A,Compartments_Added!B:B))="Stock","OK stock","OK flow"),IF(_xlfn.XLOOKUP(L33,'Compartments_Kawecki&amp;Nowack19'!A:A,'Compartments_Kawecki&amp;Nowack19'!B:B,_xlfn.XLOOKUP(L33,Compartments_Added!A:A,Compartments_Added!B:B))="Sink","OK, Sink","Missing"))</f>
        <v>OK flow</v>
      </c>
      <c r="N33" s="6"/>
      <c r="O33" s="6" t="str">
        <f>Lifetimes_pairs!A31</f>
        <v>Paints used in pre-made wooden products outdoor (in use)</v>
      </c>
      <c r="P33" s="6" t="str">
        <f>Lifetimes_pairs!B31</f>
        <v>PaintsPreMadeWoodOutIU</v>
      </c>
      <c r="Q33" t="str">
        <f>Lifetimes!AL1</f>
        <v>MedicalTextiles</v>
      </c>
      <c r="R33" t="str">
        <f t="shared" si="2"/>
        <v>OK</v>
      </c>
      <c r="AA33" s="465" t="s">
        <v>1760</v>
      </c>
    </row>
    <row r="34" spans="10:27">
      <c r="J34" s="306" t="str">
        <v>Consumer bottles</v>
      </c>
      <c r="K34" s="311" t="str">
        <f>IF(ISBLANK(J34),"",IF(COUNTIF(L:L,J34),IF(_xlfn.XLOOKUP(J34,'Compartments_Kawecki&amp;Nowack19'!A:A,'Compartments_Kawecki&amp;Nowack19'!B:B,_xlfn.XLOOKUP(J34,Compartments_Added!A:A,Compartments_Added!B:B))="Stock","OK stock","OK flow"),IF(COUNTIF($G$4:$G$18,J34),IF(COUNTIF($E$4:$E$18,J34),"OK input","Missing"),"Missing")))</f>
        <v>OK stock</v>
      </c>
      <c r="L34" s="306" t="str">
        <v>Collected organic waste (smaller than 1 mm)</v>
      </c>
      <c r="M34" s="311" t="str">
        <f>IF(COUNTIF(J:J,L34),IF(_xlfn.XLOOKUP(L34,'Compartments_Kawecki&amp;Nowack19'!A:A,'Compartments_Kawecki&amp;Nowack19'!B:B,_xlfn.XLOOKUP(L34,Compartments_Added!A:A,Compartments_Added!B:B))="Stock","OK stock","OK flow"),IF(_xlfn.XLOOKUP(L34,'Compartments_Kawecki&amp;Nowack19'!A:A,'Compartments_Kawecki&amp;Nowack19'!B:B,_xlfn.XLOOKUP(L34,Compartments_Added!A:A,Compartments_Added!B:B))="Sink","OK, Sink","Missing"))</f>
        <v>OK flow</v>
      </c>
      <c r="N34" s="6"/>
      <c r="O34" s="6" t="str">
        <f>Lifetimes_pairs!A32</f>
        <v>Paints used in pre-made wooden products indoor (in use)</v>
      </c>
      <c r="P34" s="6" t="str">
        <f>Lifetimes_pairs!B32</f>
        <v>PaintsPreMadeWoodInIU</v>
      </c>
      <c r="Q34" t="str">
        <f>Lifetimes!AM1</f>
        <v>AgrotextilesDis</v>
      </c>
      <c r="R34" t="str">
        <f t="shared" si="2"/>
        <v>OK</v>
      </c>
      <c r="AA34" s="465" t="s">
        <v>1761</v>
      </c>
    </row>
    <row r="35" spans="10:27">
      <c r="J35" s="306" t="str">
        <v>Consumer films</v>
      </c>
      <c r="K35" s="311" t="str">
        <f>IF(ISBLANK(J35),"",IF(COUNTIF(L:L,J35),IF(_xlfn.XLOOKUP(J35,'Compartments_Kawecki&amp;Nowack19'!A:A,'Compartments_Kawecki&amp;Nowack19'!B:B,_xlfn.XLOOKUP(J35,Compartments_Added!A:A,Compartments_Added!B:B))="Stock","OK stock","OK flow"),IF(COUNTIF($G$4:$G$18,J35),IF(COUNTIF($E$4:$E$18,J35),"OK input","Missing"),"Missing")))</f>
        <v>OK stock</v>
      </c>
      <c r="L35" s="306" t="str">
        <v>Combined sewer overflow (macro)</v>
      </c>
      <c r="M35" s="311" t="str">
        <f>IF(COUNTIF(J:J,L35),IF(_xlfn.XLOOKUP(L35,'Compartments_Kawecki&amp;Nowack19'!A:A,'Compartments_Kawecki&amp;Nowack19'!B:B,_xlfn.XLOOKUP(L35,Compartments_Added!A:A,Compartments_Added!B:B))="Stock","OK stock","OK flow"),IF(_xlfn.XLOOKUP(L35,'Compartments_Kawecki&amp;Nowack19'!A:A,'Compartments_Kawecki&amp;Nowack19'!B:B,_xlfn.XLOOKUP(L35,Compartments_Added!A:A,Compartments_Added!B:B))="Sink","OK, Sink","Missing"))</f>
        <v>OK flow</v>
      </c>
      <c r="N35" s="6"/>
      <c r="O35" s="6" t="str">
        <f>Lifetimes_pairs!A33</f>
        <v>Paints used in pre-made wooden products outdoor (discarded)</v>
      </c>
      <c r="P35" s="6" t="str">
        <f>Lifetimes_pairs!B33</f>
        <v>PaintsPreMadeWoodOutDis</v>
      </c>
      <c r="Q35" t="str">
        <f>Lifetimes!AN1</f>
        <v>AgrotextilesIU</v>
      </c>
      <c r="R35" t="str">
        <f t="shared" si="2"/>
        <v>OK</v>
      </c>
      <c r="AA35" s="465" t="s">
        <v>1762</v>
      </c>
    </row>
    <row r="36" spans="10:27">
      <c r="J36" s="306" t="str">
        <v>Other consumer packaging</v>
      </c>
      <c r="K36" s="311" t="str">
        <f>IF(ISBLANK(J36),"",IF(COUNTIF(L:L,J36),IF(_xlfn.XLOOKUP(J36,'Compartments_Kawecki&amp;Nowack19'!A:A,'Compartments_Kawecki&amp;Nowack19'!B:B,_xlfn.XLOOKUP(J36,Compartments_Added!A:A,Compartments_Added!B:B))="Stock","OK stock","OK flow"),IF(COUNTIF($G$4:$G$18,J36),IF(COUNTIF($E$4:$E$18,J36),"OK input","Missing"),"Missing")))</f>
        <v>OK stock</v>
      </c>
      <c r="L36" s="306" t="str">
        <v>Combined sewer overflow (micro)</v>
      </c>
      <c r="M36" s="311" t="str">
        <f>IF(COUNTIF(J:J,L36),IF(_xlfn.XLOOKUP(L36,'Compartments_Kawecki&amp;Nowack19'!A:A,'Compartments_Kawecki&amp;Nowack19'!B:B,_xlfn.XLOOKUP(L36,Compartments_Added!A:A,Compartments_Added!B:B))="Stock","OK stock","OK flow"),IF(_xlfn.XLOOKUP(L36,'Compartments_Kawecki&amp;Nowack19'!A:A,'Compartments_Kawecki&amp;Nowack19'!B:B,_xlfn.XLOOKUP(L36,Compartments_Added!A:A,Compartments_Added!B:B))="Sink","OK, Sink","Missing"))</f>
        <v>OK flow</v>
      </c>
      <c r="N36" s="6"/>
      <c r="O36" s="6" t="str">
        <f>Lifetimes_pairs!A34</f>
        <v>Paints used in pre-made wooden products indoor (discarded)</v>
      </c>
      <c r="P36" s="6" t="str">
        <f>Lifetimes_pairs!B34</f>
        <v>PaintsPreMadeWoodInDis</v>
      </c>
      <c r="Q36" t="str">
        <f>Lifetimes!AO1</f>
        <v>MobilityTextiles</v>
      </c>
      <c r="R36" t="str">
        <f t="shared" si="2"/>
        <v>OK</v>
      </c>
      <c r="AA36" s="465" t="s">
        <v>1763</v>
      </c>
    </row>
    <row r="37" spans="10:27">
      <c r="J37" s="306" t="str">
        <v>Collected organic waste</v>
      </c>
      <c r="K37" s="311" t="str">
        <f>IF(ISBLANK(J37),"",IF(COUNTIF(L:L,J37),IF(_xlfn.XLOOKUP(J37,'Compartments_Kawecki&amp;Nowack19'!A:A,'Compartments_Kawecki&amp;Nowack19'!B:B,_xlfn.XLOOKUP(J37,Compartments_Added!A:A,Compartments_Added!B:B))="Stock","OK stock","OK flow"),IF(COUNTIF($G$4:$G$18,J37),IF(COUNTIF($E$4:$E$18,J37),"OK input","Missing"),"Missing")))</f>
        <v>OK flow</v>
      </c>
      <c r="L37" s="306" t="str">
        <v>Compost (macro)</v>
      </c>
      <c r="M37" s="311" t="str">
        <f>IF(COUNTIF(J:J,L37),IF(_xlfn.XLOOKUP(L37,'Compartments_Kawecki&amp;Nowack19'!A:A,'Compartments_Kawecki&amp;Nowack19'!B:B,_xlfn.XLOOKUP(L37,Compartments_Added!A:A,Compartments_Added!B:B))="Stock","OK stock","OK flow"),IF(_xlfn.XLOOKUP(L37,'Compartments_Kawecki&amp;Nowack19'!A:A,'Compartments_Kawecki&amp;Nowack19'!B:B,_xlfn.XLOOKUP(L37,Compartments_Added!A:A,Compartments_Added!B:B))="Sink","OK, Sink","Missing"))</f>
        <v>OK flow</v>
      </c>
      <c r="N37" s="6"/>
      <c r="O37" s="6" t="str">
        <f>Lifetimes_pairs!A35</f>
        <v>Lacquer (DIY) outdoor (in use)</v>
      </c>
      <c r="P37" s="6" t="str">
        <f>Lifetimes_pairs!B35</f>
        <v>LacquerDiyOutIU</v>
      </c>
      <c r="Q37" t="str">
        <f>Lifetimes!AP1</f>
        <v>GeotextilesDis</v>
      </c>
      <c r="R37" t="str">
        <f t="shared" si="2"/>
        <v>OK</v>
      </c>
      <c r="AA37" s="465" t="s">
        <v>1764</v>
      </c>
    </row>
    <row r="38" spans="10:27">
      <c r="J38" s="306" t="str">
        <v>Wastewater treatment plant (macro)</v>
      </c>
      <c r="K38" s="311" t="str">
        <f>IF(ISBLANK(J38),"",IF(COUNTIF(L:L,J38),IF(_xlfn.XLOOKUP(J38,'Compartments_Kawecki&amp;Nowack19'!A:A,'Compartments_Kawecki&amp;Nowack19'!B:B,_xlfn.XLOOKUP(J38,Compartments_Added!A:A,Compartments_Added!B:B))="Stock","OK stock","OK flow"),IF(COUNTIF($G$4:$G$18,J38),IF(COUNTIF($E$4:$E$18,J38),"OK input","Missing"),"Missing")))</f>
        <v>OK flow</v>
      </c>
      <c r="L38" s="306" t="str">
        <v>Compost (micro)</v>
      </c>
      <c r="M38" s="311" t="str">
        <f>IF(COUNTIF(J:J,L38),IF(_xlfn.XLOOKUP(L38,'Compartments_Kawecki&amp;Nowack19'!A:A,'Compartments_Kawecki&amp;Nowack19'!B:B,_xlfn.XLOOKUP(L38,Compartments_Added!A:A,Compartments_Added!B:B))="Stock","OK stock","OK flow"),IF(_xlfn.XLOOKUP(L38,'Compartments_Kawecki&amp;Nowack19'!A:A,'Compartments_Kawecki&amp;Nowack19'!B:B,_xlfn.XLOOKUP(L38,Compartments_Added!A:A,Compartments_Added!B:B))="Sink","OK, Sink","Missing"))</f>
        <v>OK flow</v>
      </c>
      <c r="N38" s="6"/>
      <c r="O38" s="6" t="str">
        <f>Lifetimes_pairs!A36</f>
        <v>Lacquer (DIY) indoor (in use)</v>
      </c>
      <c r="P38" s="6" t="str">
        <f>Lifetimes_pairs!B36</f>
        <v>LacquerDiyInIU</v>
      </c>
      <c r="Q38" t="str">
        <f>Lifetimes!AQ1</f>
        <v>GeotextilesIU</v>
      </c>
      <c r="R38" t="str">
        <f t="shared" si="2"/>
        <v>OK</v>
      </c>
      <c r="AA38" s="465" t="s">
        <v>1765</v>
      </c>
    </row>
    <row r="39" spans="10:27">
      <c r="J39" s="306" t="str">
        <v>Wastewater treatment plant (micro)</v>
      </c>
      <c r="K39" s="311" t="str">
        <f>IF(ISBLANK(J39),"",IF(COUNTIF(L:L,J39),IF(_xlfn.XLOOKUP(J39,'Compartments_Kawecki&amp;Nowack19'!A:A,'Compartments_Kawecki&amp;Nowack19'!B:B,_xlfn.XLOOKUP(J39,Compartments_Added!A:A,Compartments_Added!B:B))="Stock","OK stock","OK flow"),IF(COUNTIF($G$4:$G$18,J39),IF(COUNTIF($E$4:$E$18,J39),"OK input","Missing"),"Missing")))</f>
        <v>OK flow</v>
      </c>
      <c r="L39" s="306" t="str">
        <v>Compost size separation (fictional process)</v>
      </c>
      <c r="M39" s="311" t="str">
        <f>IF(COUNTIF(J:J,L39),IF(_xlfn.XLOOKUP(L39,'Compartments_Kawecki&amp;Nowack19'!A:A,'Compartments_Kawecki&amp;Nowack19'!B:B,_xlfn.XLOOKUP(L39,Compartments_Added!A:A,Compartments_Added!B:B))="Stock","OK stock","OK flow"),IF(_xlfn.XLOOKUP(L39,'Compartments_Kawecki&amp;Nowack19'!A:A,'Compartments_Kawecki&amp;Nowack19'!B:B,_xlfn.XLOOKUP(L39,Compartments_Added!A:A,Compartments_Added!B:B))="Sink","OK, Sink","Missing"))</f>
        <v>OK flow</v>
      </c>
      <c r="N39" s="6"/>
      <c r="O39" s="6" t="str">
        <f>Lifetimes_pairs!A37</f>
        <v>Lacquer (DIY) outdoor (discarded)</v>
      </c>
      <c r="P39" s="6" t="str">
        <f>Lifetimes_pairs!B37</f>
        <v>LacquerDiyOutDis</v>
      </c>
      <c r="Q39" t="str">
        <f>Lifetimes!AR1</f>
        <v>BuildingTextilesDis</v>
      </c>
      <c r="R39" t="str">
        <f t="shared" si="2"/>
        <v>OK</v>
      </c>
      <c r="AA39" s="465" t="s">
        <v>1766</v>
      </c>
    </row>
    <row r="40" spans="10:27">
      <c r="J40" s="306" t="str">
        <v>Compost size separation (fictional process)</v>
      </c>
      <c r="K40" s="311" t="str">
        <f>IF(ISBLANK(J40),"",IF(COUNTIF(L:L,J40),IF(_xlfn.XLOOKUP(J40,'Compartments_Kawecki&amp;Nowack19'!A:A,'Compartments_Kawecki&amp;Nowack19'!B:B,_xlfn.XLOOKUP(J40,Compartments_Added!A:A,Compartments_Added!B:B))="Stock","OK stock","OK flow"),IF(COUNTIF($G$4:$G$18,J40),IF(COUNTIF($E$4:$E$18,J40),"OK input","Missing"),"Missing")))</f>
        <v>OK flow</v>
      </c>
      <c r="L40" s="306" t="str">
        <v>Mixed waste collection</v>
      </c>
      <c r="M40" s="311" t="str">
        <f>IF(COUNTIF(J:J,L40),IF(_xlfn.XLOOKUP(L40,'Compartments_Kawecki&amp;Nowack19'!A:A,'Compartments_Kawecki&amp;Nowack19'!B:B,_xlfn.XLOOKUP(L40,Compartments_Added!A:A,Compartments_Added!B:B))="Stock","OK stock","OK flow"),IF(_xlfn.XLOOKUP(L40,'Compartments_Kawecki&amp;Nowack19'!A:A,'Compartments_Kawecki&amp;Nowack19'!B:B,_xlfn.XLOOKUP(L40,Compartments_Added!A:A,Compartments_Added!B:B))="Sink","OK, Sink","Missing"))</f>
        <v>OK flow</v>
      </c>
      <c r="N40" s="6"/>
      <c r="O40" s="6" t="str">
        <f>Lifetimes_pairs!A38</f>
        <v>Lacquer (DIY) indoor (discarded)</v>
      </c>
      <c r="P40" s="6" t="str">
        <f>Lifetimes_pairs!B38</f>
        <v>LacquerDiyInDis</v>
      </c>
      <c r="Q40" t="str">
        <f>Lifetimes!AS1</f>
        <v>BuildingTextilesIU</v>
      </c>
      <c r="R40" t="str">
        <f t="shared" si="2"/>
        <v>OK</v>
      </c>
      <c r="AA40" s="465" t="s">
        <v>1767</v>
      </c>
    </row>
    <row r="41" spans="10:27">
      <c r="J41" s="306" t="str">
        <v>Collected organic waste (smaller than 1 mm)</v>
      </c>
      <c r="K41" s="311" t="str">
        <f>IF(ISBLANK(J41),"",IF(COUNTIF(L:L,J41),IF(_xlfn.XLOOKUP(J41,'Compartments_Kawecki&amp;Nowack19'!A:A,'Compartments_Kawecki&amp;Nowack19'!B:B,_xlfn.XLOOKUP(J41,Compartments_Added!A:A,Compartments_Added!B:B))="Stock","OK stock","OK flow"),IF(COUNTIF($G$4:$G$18,J41),IF(COUNTIF($E$4:$E$18,J41),"OK input","Missing"),"Missing")))</f>
        <v>OK flow</v>
      </c>
      <c r="L41" s="306" t="str">
        <v>Textile waste collection</v>
      </c>
      <c r="M41" s="311" t="str">
        <f>IF(COUNTIF(J:J,L41),IF(_xlfn.XLOOKUP(L41,'Compartments_Kawecki&amp;Nowack19'!A:A,'Compartments_Kawecki&amp;Nowack19'!B:B,_xlfn.XLOOKUP(L41,Compartments_Added!A:A,Compartments_Added!B:B))="Stock","OK stock","OK flow"),IF(_xlfn.XLOOKUP(L41,'Compartments_Kawecki&amp;Nowack19'!A:A,'Compartments_Kawecki&amp;Nowack19'!B:B,_xlfn.XLOOKUP(L41,Compartments_Added!A:A,Compartments_Added!B:B))="Sink","OK, Sink","Missing"))</f>
        <v>OK flow</v>
      </c>
      <c r="N41" s="6"/>
      <c r="O41" s="6" t="str">
        <f>Lifetimes_pairs!A39</f>
        <v>Wood stain (DIY) outdoor (in use)</v>
      </c>
      <c r="P41" s="6" t="str">
        <f>Lifetimes_pairs!B39</f>
        <v>WoodStainDiyOutIU</v>
      </c>
      <c r="Q41" t="str">
        <f>Lifetimes!AT1</f>
        <v>OtherTechnicalTextiles</v>
      </c>
      <c r="R41" t="str">
        <f t="shared" si="2"/>
        <v>OK</v>
      </c>
      <c r="AA41" s="518" t="s">
        <v>1768</v>
      </c>
    </row>
    <row r="42" spans="10:27">
      <c r="J42" s="306" t="str">
        <v>Collected organic waste (larger than 1 mm)</v>
      </c>
      <c r="K42" s="311" t="str">
        <f>IF(ISBLANK(J42),"",IF(COUNTIF(L:L,J42),IF(_xlfn.XLOOKUP(J42,'Compartments_Kawecki&amp;Nowack19'!A:A,'Compartments_Kawecki&amp;Nowack19'!B:B,_xlfn.XLOOKUP(J42,Compartments_Added!A:A,Compartments_Added!B:B))="Stock","OK stock","OK flow"),IF(COUNTIF($G$4:$G$18,J42),IF(COUNTIF($E$4:$E$18,J42),"OK input","Missing"),"Missing")))</f>
        <v>OK flow</v>
      </c>
      <c r="L42" s="306" t="str">
        <v>Consumer bags</v>
      </c>
      <c r="M42" s="311" t="str">
        <f>IF(COUNTIF(J:J,L42),IF(_xlfn.XLOOKUP(L42,'Compartments_Kawecki&amp;Nowack19'!A:A,'Compartments_Kawecki&amp;Nowack19'!B:B,_xlfn.XLOOKUP(L42,Compartments_Added!A:A,Compartments_Added!B:B))="Stock","OK stock","OK flow"),IF(_xlfn.XLOOKUP(L42,'Compartments_Kawecki&amp;Nowack19'!A:A,'Compartments_Kawecki&amp;Nowack19'!B:B,_xlfn.XLOOKUP(L42,Compartments_Added!A:A,Compartments_Added!B:B))="Sink","OK, Sink","Missing"))</f>
        <v>OK stock</v>
      </c>
      <c r="N42" s="6"/>
      <c r="O42" s="6" t="str">
        <f>Lifetimes_pairs!A40</f>
        <v>Wood stain (DIY) indoor (in use)</v>
      </c>
      <c r="P42" s="6" t="str">
        <f>Lifetimes_pairs!B40</f>
        <v>WoodStainDiyInIU</v>
      </c>
      <c r="Q42" t="str">
        <f>Lifetimes!AU1</f>
        <v>TextileCoatingDis</v>
      </c>
      <c r="R42" t="str">
        <f t="shared" si="2"/>
        <v>OK</v>
      </c>
      <c r="AA42" s="518" t="s">
        <v>1769</v>
      </c>
    </row>
    <row r="43" spans="10:27">
      <c r="J43" s="306" t="str">
        <v>Home textiles (discarded)</v>
      </c>
      <c r="K43" s="311" t="str">
        <f>IF(ISBLANK(J43),"",IF(COUNTIF(L:L,J43),IF(_xlfn.XLOOKUP(J43,'Compartments_Kawecki&amp;Nowack19'!A:A,'Compartments_Kawecki&amp;Nowack19'!B:B,_xlfn.XLOOKUP(J43,Compartments_Added!A:A,Compartments_Added!B:B))="Stock","OK stock","OK flow"),IF(COUNTIF($G$4:$G$18,J43),IF(COUNTIF($E$4:$E$18,J43),"OK input","Missing"),"Missing")))</f>
        <v>OK stock</v>
      </c>
      <c r="L43" s="306" t="str">
        <v>Consumer bottles</v>
      </c>
      <c r="M43" s="311" t="str">
        <f>IF(COUNTIF(J:J,L43),IF(_xlfn.XLOOKUP(L43,'Compartments_Kawecki&amp;Nowack19'!A:A,'Compartments_Kawecki&amp;Nowack19'!B:B,_xlfn.XLOOKUP(L43,Compartments_Added!A:A,Compartments_Added!B:B))="Stock","OK stock","OK flow"),IF(_xlfn.XLOOKUP(L43,'Compartments_Kawecki&amp;Nowack19'!A:A,'Compartments_Kawecki&amp;Nowack19'!B:B,_xlfn.XLOOKUP(L43,Compartments_Added!A:A,Compartments_Added!B:B))="Sink","OK, Sink","Missing"))</f>
        <v>OK stock</v>
      </c>
      <c r="N43" s="6"/>
      <c r="O43" s="6" t="str">
        <f>Lifetimes_pairs!A41</f>
        <v>Wood stain (DIY) outdoor (discarded)</v>
      </c>
      <c r="P43" s="6" t="str">
        <f>Lifetimes_pairs!B41</f>
        <v>WoodStainDiyOutDis</v>
      </c>
      <c r="Q43" t="str">
        <f>Lifetimes!AV1</f>
        <v>TextileCoatingIU</v>
      </c>
      <c r="R43" t="str">
        <f t="shared" si="2"/>
        <v>OK</v>
      </c>
      <c r="AA43" s="518" t="s">
        <v>1770</v>
      </c>
    </row>
    <row r="44" spans="10:27">
      <c r="J44" s="306" t="str">
        <v>Building packaging films</v>
      </c>
      <c r="K44" s="311" t="str">
        <f>IF(ISBLANK(J44),"",IF(COUNTIF(L:L,J44),IF(_xlfn.XLOOKUP(J44,'Compartments_Kawecki&amp;Nowack19'!A:A,'Compartments_Kawecki&amp;Nowack19'!B:B,_xlfn.XLOOKUP(J44,Compartments_Added!A:A,Compartments_Added!B:B))="Stock","OK stock","OK flow"),IF(COUNTIF($G$4:$G$18,J44),IF(COUNTIF($E$4:$E$18,J44),"OK input","Missing"),"Missing")))</f>
        <v>OK flow</v>
      </c>
      <c r="L44" s="306" t="str">
        <v>Consumer films</v>
      </c>
      <c r="M44" s="311" t="str">
        <f>IF(COUNTIF(J:J,L44),IF(_xlfn.XLOOKUP(L44,'Compartments_Kawecki&amp;Nowack19'!A:A,'Compartments_Kawecki&amp;Nowack19'!B:B,_xlfn.XLOOKUP(L44,Compartments_Added!A:A,Compartments_Added!B:B))="Stock","OK stock","OK flow"),IF(_xlfn.XLOOKUP(L44,'Compartments_Kawecki&amp;Nowack19'!A:A,'Compartments_Kawecki&amp;Nowack19'!B:B,_xlfn.XLOOKUP(L44,Compartments_Added!A:A,Compartments_Added!B:B))="Sink","OK, Sink","Missing"))</f>
        <v>OK stock</v>
      </c>
      <c r="N44" s="6"/>
      <c r="O44" s="6" t="str">
        <f>Lifetimes_pairs!A42</f>
        <v>Wood stain (DIY) indoor (discarded)</v>
      </c>
      <c r="P44" s="6" t="str">
        <f>Lifetimes_pairs!B42</f>
        <v>WoodStainDiyInDis</v>
      </c>
      <c r="Q44" t="str">
        <f>Lifetimes!AW1</f>
        <v>ConcreteProfInDis</v>
      </c>
      <c r="R44" t="str">
        <f t="shared" si="2"/>
        <v>OK</v>
      </c>
      <c r="AA44" s="518" t="s">
        <v>1771</v>
      </c>
    </row>
    <row r="45" spans="10:27">
      <c r="J45" s="306" t="str">
        <v>Intentionally produced microparticles</v>
      </c>
      <c r="K45" s="311" t="str">
        <f>IF(ISBLANK(J45),"",IF(COUNTIF(L:L,J45),IF(_xlfn.XLOOKUP(J45,'Compartments_Kawecki&amp;Nowack19'!A:A,'Compartments_Kawecki&amp;Nowack19'!B:B,_xlfn.XLOOKUP(J45,Compartments_Added!A:A,Compartments_Added!B:B))="Stock","OK stock","OK flow"),IF(COUNTIF($G$4:$G$18,J45),IF(COUNTIF($E$4:$E$18,J45),"OK input","Missing"),"Missing")))</f>
        <v>OK input</v>
      </c>
      <c r="L45" s="306" t="str">
        <v>Controlled release fertilizer</v>
      </c>
      <c r="M45" s="311" t="str">
        <f>IF(COUNTIF(J:J,L45),IF(_xlfn.XLOOKUP(L45,'Compartments_Kawecki&amp;Nowack19'!A:A,'Compartments_Kawecki&amp;Nowack19'!B:B,_xlfn.XLOOKUP(L45,Compartments_Added!A:A,Compartments_Added!B:B))="Stock","OK stock","OK flow"),IF(_xlfn.XLOOKUP(L45,'Compartments_Kawecki&amp;Nowack19'!A:A,'Compartments_Kawecki&amp;Nowack19'!B:B,_xlfn.XLOOKUP(L45,Compartments_Added!A:A,Compartments_Added!B:B))="Sink","OK, Sink","Missing"))</f>
        <v>OK flow</v>
      </c>
      <c r="N45" s="6"/>
      <c r="O45" s="6" t="str">
        <f>Lifetimes_pairs!A43</f>
        <v>Wall paint (DIY) outdoor (in use)</v>
      </c>
      <c r="P45" s="6" t="str">
        <f>Lifetimes_pairs!B43</f>
        <v>WallPaintDiyOutIU</v>
      </c>
      <c r="Q45" t="str">
        <f>Lifetimes!AX1</f>
        <v>ConcreteProfInIU</v>
      </c>
      <c r="R45" t="str">
        <f t="shared" si="2"/>
        <v>OK</v>
      </c>
      <c r="AA45" s="518" t="s">
        <v>1772</v>
      </c>
    </row>
    <row r="46" spans="10:27">
      <c r="J46" s="306" t="str">
        <v>Home textiles (in use)</v>
      </c>
      <c r="K46" s="311" t="str">
        <f>IF(ISBLANK(J46),"",IF(COUNTIF(L:L,J46),IF(_xlfn.XLOOKUP(J46,'Compartments_Kawecki&amp;Nowack19'!A:A,'Compartments_Kawecki&amp;Nowack19'!B:B,_xlfn.XLOOKUP(J46,Compartments_Added!A:A,Compartments_Added!B:B))="Stock","OK stock","OK flow"),IF(COUNTIF($G$4:$G$18,J46),IF(COUNTIF($E$4:$E$18,J46),"OK input","Missing"),"Missing")))</f>
        <v>OK stock</v>
      </c>
      <c r="L46" s="306" t="str">
        <v>Detergents and maintenance products</v>
      </c>
      <c r="M46" s="311" t="str">
        <f>IF(COUNTIF(J:J,L46),IF(_xlfn.XLOOKUP(L46,'Compartments_Kawecki&amp;Nowack19'!A:A,'Compartments_Kawecki&amp;Nowack19'!B:B,_xlfn.XLOOKUP(L46,Compartments_Added!A:A,Compartments_Added!B:B))="Stock","OK stock","OK flow"),IF(_xlfn.XLOOKUP(L46,'Compartments_Kawecki&amp;Nowack19'!A:A,'Compartments_Kawecki&amp;Nowack19'!B:B,_xlfn.XLOOKUP(L46,Compartments_Added!A:A,Compartments_Added!B:B))="Sink","OK, Sink","Missing"))</f>
        <v>OK flow</v>
      </c>
      <c r="N46" s="6"/>
      <c r="O46" s="6" t="str">
        <f>Lifetimes_pairs!A44</f>
        <v>Wall paint (DIY) indoor applied (in use)</v>
      </c>
      <c r="P46" s="6" t="str">
        <f>Lifetimes_pairs!B44</f>
        <v>WallPaintDiyIndoorAppliedIU</v>
      </c>
      <c r="Q46" t="str">
        <f>Lifetimes!AY1</f>
        <v>ConcreteProfOutDis</v>
      </c>
      <c r="R46" t="str">
        <f t="shared" si="2"/>
        <v>OK</v>
      </c>
      <c r="AA46" s="518" t="s">
        <v>1773</v>
      </c>
    </row>
    <row r="47" spans="10:27">
      <c r="J47" s="306" t="str">
        <v>Household textiles (product sector)</v>
      </c>
      <c r="K47" s="311" t="str">
        <f>IF(ISBLANK(J47),"",IF(COUNTIF(L:L,J47),IF(_xlfn.XLOOKUP(J47,'Compartments_Kawecki&amp;Nowack19'!A:A,'Compartments_Kawecki&amp;Nowack19'!B:B,_xlfn.XLOOKUP(J47,Compartments_Added!A:A,Compartments_Added!B:B))="Stock","OK stock","OK flow"),IF(COUNTIF($G$4:$G$18,J47),IF(COUNTIF($E$4:$E$18,J47),"OK input","Missing"),"Missing")))</f>
        <v>OK input</v>
      </c>
      <c r="L47" s="306" t="str">
        <v>Indoor air (micro)</v>
      </c>
      <c r="M47" s="311" t="str">
        <f>IF(COUNTIF(J:J,L47),IF(_xlfn.XLOOKUP(L47,'Compartments_Kawecki&amp;Nowack19'!A:A,'Compartments_Kawecki&amp;Nowack19'!B:B,_xlfn.XLOOKUP(L47,Compartments_Added!A:A,Compartments_Added!B:B))="Stock","OK stock","OK flow"),IF(_xlfn.XLOOKUP(L47,'Compartments_Kawecki&amp;Nowack19'!A:A,'Compartments_Kawecki&amp;Nowack19'!B:B,_xlfn.XLOOKUP(L47,Compartments_Added!A:A,Compartments_Added!B:B))="Sink","OK, Sink","Missing"))</f>
        <v>OK flow</v>
      </c>
      <c r="N47" s="6"/>
      <c r="O47" s="6" t="str">
        <f>Lifetimes_pairs!A45</f>
        <v>Wall paint (DIY) outdoor (discarded)</v>
      </c>
      <c r="P47" s="6" t="str">
        <f>Lifetimes_pairs!B45</f>
        <v>WallPaintDiyOutDis</v>
      </c>
      <c r="Q47" t="str">
        <f>Lifetimes!AZ1</f>
        <v>ConcreteProfOutIU</v>
      </c>
      <c r="R47" t="str">
        <f t="shared" si="2"/>
        <v>OK</v>
      </c>
      <c r="AA47" s="518" t="s">
        <v>1774</v>
      </c>
    </row>
    <row r="48" spans="10:27">
      <c r="J48" s="306" t="str">
        <v>Disposable cleaning cloths</v>
      </c>
      <c r="K48" s="311" t="str">
        <f>IF(ISBLANK(J48),"",IF(COUNTIF(L:L,J48),IF(_xlfn.XLOOKUP(J48,'Compartments_Kawecki&amp;Nowack19'!A:A,'Compartments_Kawecki&amp;Nowack19'!B:B,_xlfn.XLOOKUP(J48,Compartments_Added!A:A,Compartments_Added!B:B))="Stock","OK stock","OK flow"),IF(COUNTIF($G$4:$G$18,J48),IF(COUNTIF($E$4:$E$18,J48),"OK input","Missing"),"Missing")))</f>
        <v>OK flow</v>
      </c>
      <c r="L48" s="306" t="str">
        <v>Outdoor air (micro)</v>
      </c>
      <c r="M48" s="311" t="str">
        <f>IF(COUNTIF(J:J,L48),IF(_xlfn.XLOOKUP(L48,'Compartments_Kawecki&amp;Nowack19'!A:A,'Compartments_Kawecki&amp;Nowack19'!B:B,_xlfn.XLOOKUP(L48,Compartments_Added!A:A,Compartments_Added!B:B))="Stock","OK stock","OK flow"),IF(_xlfn.XLOOKUP(L48,'Compartments_Kawecki&amp;Nowack19'!A:A,'Compartments_Kawecki&amp;Nowack19'!B:B,_xlfn.XLOOKUP(L48,Compartments_Added!A:A,Compartments_Added!B:B))="Sink","OK, Sink","Missing"))</f>
        <v>OK, Sink</v>
      </c>
      <c r="N48" s="6"/>
      <c r="O48" s="6" t="str">
        <f>Lifetimes_pairs!A46</f>
        <v>Wall paint (DIY) indoor applied (discarded)</v>
      </c>
      <c r="P48" s="6" t="str">
        <f>Lifetimes_pairs!B46</f>
        <v>WallPaintDiyIndoorAppliedDis</v>
      </c>
      <c r="Q48" t="str">
        <f>Lifetimes!BA1</f>
        <v>LacquerDiyInDis</v>
      </c>
      <c r="R48" t="str">
        <f t="shared" si="2"/>
        <v>OK</v>
      </c>
      <c r="AA48" s="518" t="s">
        <v>1775</v>
      </c>
    </row>
    <row r="49" spans="10:27">
      <c r="J49" s="306" t="str">
        <v>Non-consumer bags</v>
      </c>
      <c r="K49" s="311" t="str">
        <f>IF(ISBLANK(J49),"",IF(COUNTIF(L:L,J49),IF(_xlfn.XLOOKUP(J49,'Compartments_Kawecki&amp;Nowack19'!A:A,'Compartments_Kawecki&amp;Nowack19'!B:B,_xlfn.XLOOKUP(J49,Compartments_Added!A:A,Compartments_Added!B:B))="Stock","OK stock","OK flow"),IF(COUNTIF($G$4:$G$18,J49),IF(COUNTIF($E$4:$E$18,J49),"OK input","Missing"),"Missing")))</f>
        <v>OK stock</v>
      </c>
      <c r="L49" s="306" t="str">
        <v>Wastewater (micro)</v>
      </c>
      <c r="M49" s="311" t="str">
        <f>IF(COUNTIF(J:J,L49),IF(_xlfn.XLOOKUP(L49,'Compartments_Kawecki&amp;Nowack19'!A:A,'Compartments_Kawecki&amp;Nowack19'!B:B,_xlfn.XLOOKUP(L49,Compartments_Added!A:A,Compartments_Added!B:B))="Stock","OK stock","OK flow"),IF(_xlfn.XLOOKUP(L49,'Compartments_Kawecki&amp;Nowack19'!A:A,'Compartments_Kawecki&amp;Nowack19'!B:B,_xlfn.XLOOKUP(L49,Compartments_Added!A:A,Compartments_Added!B:B))="Sink","OK, Sink","Missing"))</f>
        <v>OK flow</v>
      </c>
      <c r="N49" s="6"/>
      <c r="O49" s="6" t="str">
        <f>Lifetimes_pairs!A47</f>
        <v>Plaster (DIY) outdoor (in use)</v>
      </c>
      <c r="P49" s="6" t="str">
        <f>Lifetimes_pairs!B47</f>
        <v>PlasterDiyOutIU</v>
      </c>
      <c r="Q49" t="str">
        <f>Lifetimes!BB1</f>
        <v>LacquerDiyInIU</v>
      </c>
      <c r="R49" t="str">
        <f t="shared" si="2"/>
        <v>OK</v>
      </c>
      <c r="AA49" s="518" t="s">
        <v>1776</v>
      </c>
    </row>
    <row r="50" spans="10:27">
      <c r="J50" s="306" t="str">
        <v>Other non-consumer films</v>
      </c>
      <c r="K50" s="311" t="str">
        <f>IF(ISBLANK(J50),"",IF(COUNTIF(L:L,J50),IF(_xlfn.XLOOKUP(J50,'Compartments_Kawecki&amp;Nowack19'!A:A,'Compartments_Kawecki&amp;Nowack19'!B:B,_xlfn.XLOOKUP(J50,Compartments_Added!A:A,Compartments_Added!B:B))="Stock","OK stock","OK flow"),IF(COUNTIF($G$4:$G$18,J50),IF(COUNTIF($E$4:$E$18,J50),"OK input","Missing"),"Missing")))</f>
        <v>OK stock</v>
      </c>
      <c r="L50" s="306" t="str">
        <v>Disposable cleaning cloths</v>
      </c>
      <c r="M50" s="311" t="str">
        <f>IF(COUNTIF(J:J,L50),IF(_xlfn.XLOOKUP(L50,'Compartments_Kawecki&amp;Nowack19'!A:A,'Compartments_Kawecki&amp;Nowack19'!B:B,_xlfn.XLOOKUP(L50,Compartments_Added!A:A,Compartments_Added!B:B))="Stock","OK stock","OK flow"),IF(_xlfn.XLOOKUP(L50,'Compartments_Kawecki&amp;Nowack19'!A:A,'Compartments_Kawecki&amp;Nowack19'!B:B,_xlfn.XLOOKUP(L50,Compartments_Added!A:A,Compartments_Added!B:B))="Sink","OK, Sink","Missing"))</f>
        <v>OK flow</v>
      </c>
      <c r="N50" s="6"/>
      <c r="O50" s="6" t="str">
        <f>Lifetimes_pairs!A48</f>
        <v>Plaster (DIY) indoor (in use)</v>
      </c>
      <c r="P50" s="6" t="str">
        <f>Lifetimes_pairs!B48</f>
        <v>PlasterDiyInIU</v>
      </c>
      <c r="Q50" t="str">
        <f>Lifetimes!BC1</f>
        <v>LacquerDiyOutDis</v>
      </c>
      <c r="R50" t="str">
        <f t="shared" si="2"/>
        <v>OK</v>
      </c>
      <c r="AA50" s="518" t="s">
        <v>1777</v>
      </c>
    </row>
    <row r="51" spans="10:27">
      <c r="J51" s="306" t="str">
        <v>Other non-consumer packaging</v>
      </c>
      <c r="K51" s="311" t="str">
        <f>IF(ISBLANK(J51),"",IF(COUNTIF(L:L,J51),IF(_xlfn.XLOOKUP(J51,'Compartments_Kawecki&amp;Nowack19'!A:A,'Compartments_Kawecki&amp;Nowack19'!B:B,_xlfn.XLOOKUP(J51,Compartments_Added!A:A,Compartments_Added!B:B))="Stock","OK stock","OK flow"),IF(COUNTIF($G$4:$G$18,J51),IF(COUNTIF($E$4:$E$18,J51),"OK input","Missing"),"Missing")))</f>
        <v>OK stock</v>
      </c>
      <c r="L51" s="306" t="str">
        <v>Home textiles</v>
      </c>
      <c r="M51" s="311" t="str">
        <f>IF(COUNTIF(J:J,L51),IF(_xlfn.XLOOKUP(L51,'Compartments_Kawecki&amp;Nowack19'!A:A,'Compartments_Kawecki&amp;Nowack19'!B:B,_xlfn.XLOOKUP(L51,Compartments_Added!A:A,Compartments_Added!B:B))="Stock","OK stock","OK flow"),IF(_xlfn.XLOOKUP(L51,'Compartments_Kawecki&amp;Nowack19'!A:A,'Compartments_Kawecki&amp;Nowack19'!B:B,_xlfn.XLOOKUP(L51,Compartments_Added!A:A,Compartments_Added!B:B))="Sink","OK, Sink","Missing"))</f>
        <v>OK flow</v>
      </c>
      <c r="N51" s="6"/>
      <c r="O51" s="6" t="str">
        <f>Lifetimes_pairs!A49</f>
        <v>Plaster (DIY) outdoor (discarded)</v>
      </c>
      <c r="P51" s="6" t="str">
        <f>Lifetimes_pairs!B49</f>
        <v>PlasterDiyOutDis</v>
      </c>
      <c r="Q51" t="str">
        <f>Lifetimes!BD1</f>
        <v>LacquerDiyOutIU</v>
      </c>
      <c r="R51" t="str">
        <f t="shared" si="2"/>
        <v>OK</v>
      </c>
      <c r="AA51" s="518" t="s">
        <v>1778</v>
      </c>
    </row>
    <row r="52" spans="10:27">
      <c r="J52" s="306" t="str">
        <v>Other technical textiles</v>
      </c>
      <c r="K52" s="311" t="str">
        <f>IF(ISBLANK(J52),"",IF(COUNTIF(L:L,J52),IF(_xlfn.XLOOKUP(J52,'Compartments_Kawecki&amp;Nowack19'!A:A,'Compartments_Kawecki&amp;Nowack19'!B:B,_xlfn.XLOOKUP(J52,Compartments_Added!A:A,Compartments_Added!B:B))="Stock","OK stock","OK flow"),IF(COUNTIF($G$4:$G$18,J52),IF(COUNTIF($E$4:$E$18,J52),"OK input","Missing"),"Missing")))</f>
        <v>OK stock</v>
      </c>
      <c r="L52" s="306" t="str">
        <v>Elimination</v>
      </c>
      <c r="M52" s="311" t="str">
        <f>IF(COUNTIF(J:J,L52),IF(_xlfn.XLOOKUP(L52,'Compartments_Kawecki&amp;Nowack19'!A:A,'Compartments_Kawecki&amp;Nowack19'!B:B,_xlfn.XLOOKUP(L52,Compartments_Added!A:A,Compartments_Added!B:B))="Stock","OK stock","OK flow"),IF(_xlfn.XLOOKUP(L52,'Compartments_Kawecki&amp;Nowack19'!A:A,'Compartments_Kawecki&amp;Nowack19'!B:B,_xlfn.XLOOKUP(L52,Compartments_Added!A:A,Compartments_Added!B:B))="Sink","OK, Sink","Missing"))</f>
        <v>OK, Sink</v>
      </c>
      <c r="N52" s="6"/>
      <c r="O52" s="6" t="str">
        <f>Lifetimes_pairs!A50</f>
        <v>Plaster (DIY) indoor (discarded)</v>
      </c>
      <c r="P52" s="6" t="str">
        <f>Lifetimes_pairs!B50</f>
        <v>PlasterDiyInDis</v>
      </c>
      <c r="Q52" t="str">
        <f>Lifetimes!BE1</f>
        <v>LacquerProfInDis</v>
      </c>
      <c r="R52" t="str">
        <f t="shared" si="2"/>
        <v>OK</v>
      </c>
      <c r="AA52" s="518" t="s">
        <v>1779</v>
      </c>
    </row>
    <row r="53" spans="10:27">
      <c r="J53" s="306" t="str">
        <v>Panty liners</v>
      </c>
      <c r="K53" s="311" t="str">
        <f>IF(ISBLANK(J53),"",IF(COUNTIF(L:L,J53),IF(_xlfn.XLOOKUP(J53,'Compartments_Kawecki&amp;Nowack19'!A:A,'Compartments_Kawecki&amp;Nowack19'!B:B,_xlfn.XLOOKUP(J53,Compartments_Added!A:A,Compartments_Added!B:B))="Stock","OK stock","OK flow"),IF(COUNTIF($G$4:$G$18,J53),IF(COUNTIF($E$4:$E$18,J53),"OK input","Missing"),"Missing")))</f>
        <v>OK flow</v>
      </c>
      <c r="L53" s="306" t="str">
        <v>Export</v>
      </c>
      <c r="M53" s="311" t="str">
        <f>IF(COUNTIF(J:J,L53),IF(_xlfn.XLOOKUP(L53,'Compartments_Kawecki&amp;Nowack19'!A:A,'Compartments_Kawecki&amp;Nowack19'!B:B,_xlfn.XLOOKUP(L53,Compartments_Added!A:A,Compartments_Added!B:B))="Stock","OK stock","OK flow"),IF(_xlfn.XLOOKUP(L53,'Compartments_Kawecki&amp;Nowack19'!A:A,'Compartments_Kawecki&amp;Nowack19'!B:B,_xlfn.XLOOKUP(L53,Compartments_Added!A:A,Compartments_Added!B:B))="Sink","OK, Sink","Missing"))</f>
        <v>OK, Sink</v>
      </c>
      <c r="N53" s="6"/>
      <c r="O53" s="6" t="str">
        <f>Lifetimes_pairs!A51</f>
        <v>Other paint uses (DIY) outdoor (in use)</v>
      </c>
      <c r="P53" s="6" t="str">
        <f>Lifetimes_pairs!B51</f>
        <v>OtherPaintUsesDiyOutIU</v>
      </c>
      <c r="Q53" t="str">
        <f>Lifetimes!BF1</f>
        <v>LacquerProfInIU</v>
      </c>
      <c r="R53" t="str">
        <f t="shared" si="2"/>
        <v>OK</v>
      </c>
      <c r="AA53" s="518" t="s">
        <v>1780</v>
      </c>
    </row>
    <row r="54" spans="10:27">
      <c r="J54" s="306" t="str">
        <v>Sanitary pads</v>
      </c>
      <c r="K54" s="311" t="str">
        <f>IF(ISBLANK(J54),"",IF(COUNTIF(L:L,J54),IF(_xlfn.XLOOKUP(J54,'Compartments_Kawecki&amp;Nowack19'!A:A,'Compartments_Kawecki&amp;Nowack19'!B:B,_xlfn.XLOOKUP(J54,Compartments_Added!A:A,Compartments_Added!B:B))="Stock","OK stock","OK flow"),IF(COUNTIF($G$4:$G$18,J54),IF(COUNTIF($E$4:$E$18,J54),"OK input","Missing"),"Missing")))</f>
        <v>OK flow</v>
      </c>
      <c r="L54" s="306" t="str">
        <v>Secondary material reuse</v>
      </c>
      <c r="M54" s="311" t="str">
        <f>IF(COUNTIF(J:J,L54),IF(_xlfn.XLOOKUP(L54,'Compartments_Kawecki&amp;Nowack19'!A:A,'Compartments_Kawecki&amp;Nowack19'!B:B,_xlfn.XLOOKUP(L54,Compartments_Added!A:A,Compartments_Added!B:B))="Stock","OK stock","OK flow"),IF(_xlfn.XLOOKUP(L54,'Compartments_Kawecki&amp;Nowack19'!A:A,'Compartments_Kawecki&amp;Nowack19'!B:B,_xlfn.XLOOKUP(L54,Compartments_Added!A:A,Compartments_Added!B:B))="Sink","OK, Sink","Missing"))</f>
        <v>OK, Sink</v>
      </c>
      <c r="N54" s="6"/>
      <c r="O54" s="6" t="str">
        <f>Lifetimes_pairs!A52</f>
        <v>Other paint uses (DIY) indoor (in use)</v>
      </c>
      <c r="P54" s="6" t="str">
        <f>Lifetimes_pairs!B52</f>
        <v>OtherPaintUsesDiyInIU</v>
      </c>
      <c r="Q54" t="str">
        <f>Lifetimes!BG1</f>
        <v>LacquerProfOutDis</v>
      </c>
      <c r="R54" t="str">
        <f t="shared" si="2"/>
        <v>OK</v>
      </c>
      <c r="AA54" s="518" t="s">
        <v>1781</v>
      </c>
    </row>
    <row r="55" spans="10:27">
      <c r="J55" s="306" t="str">
        <v>Tampons</v>
      </c>
      <c r="K55" s="311" t="str">
        <f>IF(ISBLANK(J55),"",IF(COUNTIF(L:L,J55),IF(_xlfn.XLOOKUP(J55,'Compartments_Kawecki&amp;Nowack19'!A:A,'Compartments_Kawecki&amp;Nowack19'!B:B,_xlfn.XLOOKUP(J55,Compartments_Added!A:A,Compartments_Added!B:B))="Stock","OK stock","OK flow"),IF(COUNTIF($G$4:$G$18,J55),IF(COUNTIF($E$4:$E$18,J55),"OK input","Missing"),"Missing")))</f>
        <v>OK flow</v>
      </c>
      <c r="L55" s="306" t="str">
        <v>Residential soil (micro)</v>
      </c>
      <c r="M55" s="311" t="str">
        <f>IF(COUNTIF(J:J,L55),IF(_xlfn.XLOOKUP(L55,'Compartments_Kawecki&amp;Nowack19'!A:A,'Compartments_Kawecki&amp;Nowack19'!B:B,_xlfn.XLOOKUP(L55,Compartments_Added!A:A,Compartments_Added!B:B))="Stock","OK stock","OK flow"),IF(_xlfn.XLOOKUP(L55,'Compartments_Kawecki&amp;Nowack19'!A:A,'Compartments_Kawecki&amp;Nowack19'!B:B,_xlfn.XLOOKUP(L55,Compartments_Added!A:A,Compartments_Added!B:B))="Sink","OK, Sink","Missing"))</f>
        <v>OK, Sink</v>
      </c>
      <c r="N55" s="6"/>
      <c r="O55" s="6" t="str">
        <f>Lifetimes_pairs!A53</f>
        <v>Other paint uses (DIY) outdoor (discarded)</v>
      </c>
      <c r="P55" s="6" t="str">
        <f>Lifetimes_pairs!B53</f>
        <v>OtherPaintUsesDiyOutDis</v>
      </c>
      <c r="Q55" t="str">
        <f>Lifetimes!BH1</f>
        <v>LacquerProfOutIU</v>
      </c>
      <c r="R55" t="str">
        <f t="shared" si="2"/>
        <v>OK</v>
      </c>
      <c r="AA55" s="518" t="s">
        <v>1782</v>
      </c>
    </row>
    <row r="56" spans="10:27">
      <c r="J56" s="306" t="str">
        <v>Technical home textiles (discarded)</v>
      </c>
      <c r="K56" s="311" t="str">
        <f>IF(ISBLANK(J56),"",IF(COUNTIF(L:L,J56),IF(_xlfn.XLOOKUP(J56,'Compartments_Kawecki&amp;Nowack19'!A:A,'Compartments_Kawecki&amp;Nowack19'!B:B,_xlfn.XLOOKUP(J56,Compartments_Added!A:A,Compartments_Added!B:B))="Stock","OK stock","OK flow"),IF(COUNTIF($G$4:$G$18,J56),IF(COUNTIF($E$4:$E$18,J56),"OK input","Missing"),"Missing")))</f>
        <v>OK stock</v>
      </c>
      <c r="L56" s="306" t="str">
        <v>Industrial stormwater (micro)</v>
      </c>
      <c r="M56" s="311" t="str">
        <f>IF(COUNTIF(J:J,L56),IF(_xlfn.XLOOKUP(L56,'Compartments_Kawecki&amp;Nowack19'!A:A,'Compartments_Kawecki&amp;Nowack19'!B:B,_xlfn.XLOOKUP(L56,Compartments_Added!A:A,Compartments_Added!B:B))="Stock","OK stock","OK flow"),IF(_xlfn.XLOOKUP(L56,'Compartments_Kawecki&amp;Nowack19'!A:A,'Compartments_Kawecki&amp;Nowack19'!B:B,_xlfn.XLOOKUP(L56,Compartments_Added!A:A,Compartments_Added!B:B))="Sink","OK, Sink","Missing"))</f>
        <v>OK flow</v>
      </c>
      <c r="N56" s="6"/>
      <c r="O56" s="6" t="str">
        <f>Lifetimes_pairs!A54</f>
        <v>Other paint uses (DIY) indoor (discarded)</v>
      </c>
      <c r="P56" s="6" t="str">
        <f>Lifetimes_pairs!B54</f>
        <v>OtherPaintUsesDiyInDis</v>
      </c>
      <c r="Q56" t="str">
        <f>Lifetimes!BI1</f>
        <v>OtherPaintUsesDiyInDis</v>
      </c>
      <c r="R56" t="str">
        <f t="shared" si="2"/>
        <v>OK</v>
      </c>
      <c r="AA56" s="518" t="s">
        <v>1783</v>
      </c>
    </row>
    <row r="57" spans="10:27">
      <c r="J57" s="306" t="str">
        <v>Incineration</v>
      </c>
      <c r="K57" s="311" t="str">
        <f>IF(ISBLANK(J57),"",IF(COUNTIF(L:L,J57),IF(_xlfn.XLOOKUP(J57,'Compartments_Kawecki&amp;Nowack19'!A:A,'Compartments_Kawecki&amp;Nowack19'!B:B,_xlfn.XLOOKUP(J57,Compartments_Added!A:A,Compartments_Added!B:B))="Stock","OK stock","OK flow"),IF(COUNTIF($G$4:$G$18,J57),IF(COUNTIF($E$4:$E$18,J57),"OK input","Missing"),"Missing")))</f>
        <v>OK flow</v>
      </c>
      <c r="L57" s="306" t="str">
        <v>Transport of primary plastics</v>
      </c>
      <c r="M57" s="311" t="str">
        <f>IF(COUNTIF(J:J,L57),IF(_xlfn.XLOOKUP(L57,'Compartments_Kawecki&amp;Nowack19'!A:A,'Compartments_Kawecki&amp;Nowack19'!B:B,_xlfn.XLOOKUP(L57,Compartments_Added!A:A,Compartments_Added!B:B))="Stock","OK stock","OK flow"),IF(_xlfn.XLOOKUP(L57,'Compartments_Kawecki&amp;Nowack19'!A:A,'Compartments_Kawecki&amp;Nowack19'!B:B,_xlfn.XLOOKUP(L57,Compartments_Added!A:A,Compartments_Added!B:B))="Sink","OK, Sink","Missing"))</f>
        <v>OK flow</v>
      </c>
      <c r="N57" s="6"/>
      <c r="O57" s="6" t="str">
        <f>Lifetimes_pairs!A55</f>
        <v>Agricultural pipes (in use)</v>
      </c>
      <c r="P57" s="6" t="str">
        <f>Lifetimes_pairs!B55</f>
        <v>AgriculturalPipesIU</v>
      </c>
      <c r="Q57" t="str">
        <f>Lifetimes!BJ1</f>
        <v>OtherPaintUsesDiyInIU</v>
      </c>
      <c r="R57" t="str">
        <f t="shared" si="2"/>
        <v>OK</v>
      </c>
      <c r="AA57" s="518" t="s">
        <v>1784</v>
      </c>
    </row>
    <row r="58" spans="10:27">
      <c r="J58" s="306" t="str">
        <v>Packaging collection</v>
      </c>
      <c r="K58" s="311" t="str">
        <f>IF(ISBLANK(J58),"",IF(COUNTIF(L:L,J58),IF(_xlfn.XLOOKUP(J58,'Compartments_Kawecki&amp;Nowack19'!A:A,'Compartments_Kawecki&amp;Nowack19'!B:B,_xlfn.XLOOKUP(J58,Compartments_Added!A:A,Compartments_Added!B:B))="Stock","OK stock","OK flow"),IF(COUNTIF($G$4:$G$18,J58),IF(COUNTIF($E$4:$E$18,J58),"OK input","Missing"),"Missing")))</f>
        <v>OK flow</v>
      </c>
      <c r="L58" s="306" t="str">
        <v>Surface water (micro)</v>
      </c>
      <c r="M58" s="311" t="str">
        <f>IF(COUNTIF(J:J,L58),IF(_xlfn.XLOOKUP(L58,'Compartments_Kawecki&amp;Nowack19'!A:A,'Compartments_Kawecki&amp;Nowack19'!B:B,_xlfn.XLOOKUP(L58,Compartments_Added!A:A,Compartments_Added!B:B))="Stock","OK stock","OK flow"),IF(_xlfn.XLOOKUP(L58,'Compartments_Kawecki&amp;Nowack19'!A:A,'Compartments_Kawecki&amp;Nowack19'!B:B,_xlfn.XLOOKUP(L58,Compartments_Added!A:A,Compartments_Added!B:B))="Sink","OK, Sink","Missing"))</f>
        <v>OK, Sink</v>
      </c>
      <c r="N58" s="6"/>
      <c r="O58" s="6" t="str">
        <f>Lifetimes_pairs!A56</f>
        <v>Agricultural greenhouse films (in use)</v>
      </c>
      <c r="P58" s="6" t="str">
        <f>Lifetimes_pairs!B56</f>
        <v>AgriculturalFilmsIU</v>
      </c>
      <c r="Q58" t="str">
        <f>Lifetimes!BK1</f>
        <v>OtherPaintUsesDiyOutDis</v>
      </c>
      <c r="R58" t="str">
        <f t="shared" si="2"/>
        <v>OK</v>
      </c>
      <c r="AA58" s="518" t="s">
        <v>1785</v>
      </c>
    </row>
    <row r="59" spans="10:27">
      <c r="J59" s="306" t="str">
        <v>Agricultural plastic recycling</v>
      </c>
      <c r="K59" s="311" t="str">
        <f>IF(ISBLANK(J59),"",IF(COUNTIF(L:L,J59),IF(_xlfn.XLOOKUP(J59,'Compartments_Kawecki&amp;Nowack19'!A:A,'Compartments_Kawecki&amp;Nowack19'!B:B,_xlfn.XLOOKUP(J59,Compartments_Added!A:A,Compartments_Added!B:B))="Stock","OK stock","OK flow"),IF(COUNTIF($G$4:$G$18,J59),IF(COUNTIF($E$4:$E$18,J59),"OK input","Missing"),"Missing")))</f>
        <v>OK flow</v>
      </c>
      <c r="L59" s="306" t="str">
        <v>Wastewater treatment plant (micro)</v>
      </c>
      <c r="M59" s="311" t="str">
        <f>IF(COUNTIF(J:J,L59),IF(_xlfn.XLOOKUP(L59,'Compartments_Kawecki&amp;Nowack19'!A:A,'Compartments_Kawecki&amp;Nowack19'!B:B,_xlfn.XLOOKUP(L59,Compartments_Added!A:A,Compartments_Added!B:B))="Stock","OK stock","OK flow"),IF(_xlfn.XLOOKUP(L59,'Compartments_Kawecki&amp;Nowack19'!A:A,'Compartments_Kawecki&amp;Nowack19'!B:B,_xlfn.XLOOKUP(L59,Compartments_Added!A:A,Compartments_Added!B:B))="Sink","OK, Sink","Missing"))</f>
        <v>OK flow</v>
      </c>
      <c r="N59" s="6"/>
      <c r="O59" s="6" t="str">
        <f>Lifetimes_pairs!A57</f>
        <v>Agricultural pipes (discarded)</v>
      </c>
      <c r="P59" s="6" t="str">
        <f>Lifetimes_pairs!B57</f>
        <v>AgriculturalPipesDis</v>
      </c>
      <c r="Q59" t="str">
        <f>Lifetimes!BL1</f>
        <v>OtherPaintUsesDiyOutIU</v>
      </c>
      <c r="R59" t="str">
        <f t="shared" si="2"/>
        <v>OK</v>
      </c>
      <c r="AA59" s="518" t="s">
        <v>1786</v>
      </c>
    </row>
    <row r="60" spans="10:27">
      <c r="J60" s="306" t="str">
        <v>Domestic primary plastic production</v>
      </c>
      <c r="K60" s="311" t="str">
        <f>IF(ISBLANK(J60),"",IF(COUNTIF(L:L,J60),IF(_xlfn.XLOOKUP(J60,'Compartments_Kawecki&amp;Nowack19'!A:A,'Compartments_Kawecki&amp;Nowack19'!B:B,_xlfn.XLOOKUP(J60,Compartments_Added!A:A,Compartments_Added!B:B))="Stock","OK stock","OK flow"),IF(COUNTIF($G$4:$G$18,J60),IF(COUNTIF($E$4:$E$18,J60),"OK input","Missing"),"Missing")))</f>
        <v>OK input</v>
      </c>
      <c r="L60" s="306" t="str">
        <v>Plastic products</v>
      </c>
      <c r="M60" s="311" t="str">
        <f>IF(COUNTIF(J:J,L60),IF(_xlfn.XLOOKUP(L60,'Compartments_Kawecki&amp;Nowack19'!A:A,'Compartments_Kawecki&amp;Nowack19'!B:B,_xlfn.XLOOKUP(L60,Compartments_Added!A:A,Compartments_Added!B:B))="Stock","OK stock","OK flow"),IF(_xlfn.XLOOKUP(L60,'Compartments_Kawecki&amp;Nowack19'!A:A,'Compartments_Kawecki&amp;Nowack19'!B:B,_xlfn.XLOOKUP(L60,Compartments_Added!A:A,Compartments_Added!B:B))="Sink","OK, Sink","Missing"))</f>
        <v>OK, Sink</v>
      </c>
      <c r="N60" s="6"/>
      <c r="O60" s="6" t="str">
        <f>Lifetimes_pairs!A58</f>
        <v>Agricultural greenhouse films (discarded)</v>
      </c>
      <c r="P60" s="6" t="str">
        <f>Lifetimes_pairs!B58</f>
        <v>AgriculturalFilmsDis</v>
      </c>
      <c r="Q60" t="str">
        <f>Lifetimes!BM1</f>
        <v>OtherPaintUsesProfInDis</v>
      </c>
      <c r="R60" t="str">
        <f t="shared" si="2"/>
        <v>OK</v>
      </c>
      <c r="AA60" s="518" t="s">
        <v>1787</v>
      </c>
    </row>
    <row r="61" spans="10:27">
      <c r="J61" s="306" t="str">
        <v>Import of primary plastics</v>
      </c>
      <c r="K61" s="311" t="str">
        <f>IF(ISBLANK(J61),"",IF(COUNTIF(L:L,J61),IF(_xlfn.XLOOKUP(J61,'Compartments_Kawecki&amp;Nowack19'!A:A,'Compartments_Kawecki&amp;Nowack19'!B:B,_xlfn.XLOOKUP(J61,Compartments_Added!A:A,Compartments_Added!B:B))="Stock","OK stock","OK flow"),IF(COUNTIF($G$4:$G$18,J61),IF(COUNTIF($E$4:$E$18,J61),"OK input","Missing"),"Missing")))</f>
        <v>OK input</v>
      </c>
      <c r="L61" s="306" t="str">
        <v>Surface water (macro)</v>
      </c>
      <c r="M61" s="311" t="str">
        <f>IF(COUNTIF(J:J,L61),IF(_xlfn.XLOOKUP(L61,'Compartments_Kawecki&amp;Nowack19'!A:A,'Compartments_Kawecki&amp;Nowack19'!B:B,_xlfn.XLOOKUP(L61,Compartments_Added!A:A,Compartments_Added!B:B))="Stock","OK stock","OK flow"),IF(_xlfn.XLOOKUP(L61,'Compartments_Kawecki&amp;Nowack19'!A:A,'Compartments_Kawecki&amp;Nowack19'!B:B,_xlfn.XLOOKUP(L61,Compartments_Added!A:A,Compartments_Added!B:B))="Sink","OK, Sink","Missing"))</f>
        <v>OK, Sink</v>
      </c>
      <c r="N61" s="6"/>
      <c r="O61" s="6" t="str">
        <f>Lifetimes_pairs!A59</f>
        <v>Clothing (discarded)</v>
      </c>
      <c r="P61" s="6" t="str">
        <f>Lifetimes_pairs!B59</f>
        <v>ClothingDis</v>
      </c>
      <c r="Q61" t="str">
        <f>Lifetimes!BN1</f>
        <v>OtherPaintUsesProfInIU</v>
      </c>
      <c r="R61" t="str">
        <f t="shared" si="2"/>
        <v>OK</v>
      </c>
      <c r="AA61" s="518" t="s">
        <v>1788</v>
      </c>
    </row>
    <row r="62" spans="10:27">
      <c r="J62" s="306" t="str">
        <v>Industrial stormwater (micro)</v>
      </c>
      <c r="K62" s="311" t="str">
        <f>IF(ISBLANK(J62),"",IF(COUNTIF(L:L,J62),IF(_xlfn.XLOOKUP(J62,'Compartments_Kawecki&amp;Nowack19'!A:A,'Compartments_Kawecki&amp;Nowack19'!B:B,_xlfn.XLOOKUP(J62,Compartments_Added!A:A,Compartments_Added!B:B))="Stock","OK stock","OK flow"),IF(COUNTIF($G$4:$G$18,J62),IF(COUNTIF($E$4:$E$18,J62),"OK input","Missing"),"Missing")))</f>
        <v>OK flow</v>
      </c>
      <c r="L62" s="306" t="str">
        <v>Wastewater treatment plant (macro)</v>
      </c>
      <c r="M62" s="311" t="str">
        <f>IF(COUNTIF(J:J,L62),IF(_xlfn.XLOOKUP(L62,'Compartments_Kawecki&amp;Nowack19'!A:A,'Compartments_Kawecki&amp;Nowack19'!B:B,_xlfn.XLOOKUP(L62,Compartments_Added!A:A,Compartments_Added!B:B))="Stock","OK stock","OK flow"),IF(_xlfn.XLOOKUP(L62,'Compartments_Kawecki&amp;Nowack19'!A:A,'Compartments_Kawecki&amp;Nowack19'!B:B,_xlfn.XLOOKUP(L62,Compartments_Added!A:A,Compartments_Added!B:B))="Sink","OK, Sink","Missing"))</f>
        <v>OK flow</v>
      </c>
      <c r="N62" s="6"/>
      <c r="O62" s="6" t="str">
        <f>Lifetimes_pairs!A60</f>
        <v>Home textiles (in use)</v>
      </c>
      <c r="P62" s="6" t="str">
        <f>Lifetimes_pairs!B60</f>
        <v>HomeTextilesIU</v>
      </c>
      <c r="Q62" t="str">
        <f>Lifetimes!BO1</f>
        <v>OtherPaintUsesProfOutDis</v>
      </c>
      <c r="R62" t="str">
        <f t="shared" si="2"/>
        <v>OK</v>
      </c>
      <c r="AA62" s="518" t="s">
        <v>1789</v>
      </c>
    </row>
    <row r="63" spans="10:27">
      <c r="J63" s="306" t="str">
        <v>Pellet conversion</v>
      </c>
      <c r="K63" s="311" t="str">
        <f>IF(ISBLANK(J63),"",IF(COUNTIF(L:L,J63),IF(_xlfn.XLOOKUP(J63,'Compartments_Kawecki&amp;Nowack19'!A:A,'Compartments_Kawecki&amp;Nowack19'!B:B,_xlfn.XLOOKUP(J63,Compartments_Added!A:A,Compartments_Added!B:B))="Stock","OK stock","OK flow"),IF(COUNTIF($G$4:$G$18,J63),IF(COUNTIF($E$4:$E$18,J63),"OK input","Missing"),"Missing")))</f>
        <v>OK flow</v>
      </c>
      <c r="L63" s="306" t="str">
        <v>Export of primary plastics</v>
      </c>
      <c r="M63" s="311" t="str">
        <f>IF(COUNTIF(J:J,L63),IF(_xlfn.XLOOKUP(L63,'Compartments_Kawecki&amp;Nowack19'!A:A,'Compartments_Kawecki&amp;Nowack19'!B:B,_xlfn.XLOOKUP(L63,Compartments_Added!A:A,Compartments_Added!B:B))="Stock","OK stock","OK flow"),IF(_xlfn.XLOOKUP(L63,'Compartments_Kawecki&amp;Nowack19'!A:A,'Compartments_Kawecki&amp;Nowack19'!B:B,_xlfn.XLOOKUP(L63,Compartments_Added!A:A,Compartments_Added!B:B))="Sink","OK, Sink","Missing"))</f>
        <v>OK, Sink</v>
      </c>
      <c r="N63" s="6"/>
      <c r="O63" s="6" t="str">
        <f>Lifetimes_pairs!A61</f>
        <v>Home textiles (discarded)</v>
      </c>
      <c r="P63" s="6" t="str">
        <f>Lifetimes_pairs!B61</f>
        <v>HomeTextilesDis</v>
      </c>
      <c r="Q63" t="str">
        <f>Lifetimes!BP1</f>
        <v>OtherPaintUsesProfOutIU</v>
      </c>
      <c r="R63" t="str">
        <f t="shared" si="2"/>
        <v>OK</v>
      </c>
      <c r="AA63" s="518" t="s">
        <v>1790</v>
      </c>
    </row>
    <row r="64" spans="10:27">
      <c r="J64" s="306" t="str">
        <v>Stormwater (macro)</v>
      </c>
      <c r="K64" s="311" t="str">
        <f>IF(ISBLANK(J64),"",IF(COUNTIF(L:L,J64),IF(_xlfn.XLOOKUP(J64,'Compartments_Kawecki&amp;Nowack19'!A:A,'Compartments_Kawecki&amp;Nowack19'!B:B,_xlfn.XLOOKUP(J64,Compartments_Added!A:A,Compartments_Added!B:B))="Stock","OK stock","OK flow"),IF(COUNTIF($G$4:$G$18,J64),IF(COUNTIF($E$4:$E$18,J64),"OK input","Missing"),"Missing")))</f>
        <v>OK flow</v>
      </c>
      <c r="L64" s="306" t="str">
        <v>Fertilizer additives</v>
      </c>
      <c r="M64" s="311" t="str">
        <f>IF(COUNTIF(J:J,L64),IF(_xlfn.XLOOKUP(L64,'Compartments_Kawecki&amp;Nowack19'!A:A,'Compartments_Kawecki&amp;Nowack19'!B:B,_xlfn.XLOOKUP(L64,Compartments_Added!A:A,Compartments_Added!B:B))="Stock","OK stock","OK flow"),IF(_xlfn.XLOOKUP(L64,'Compartments_Kawecki&amp;Nowack19'!A:A,'Compartments_Kawecki&amp;Nowack19'!B:B,_xlfn.XLOOKUP(L64,Compartments_Added!A:A,Compartments_Added!B:B))="Sink","OK, Sink","Missing"))</f>
        <v>OK flow</v>
      </c>
      <c r="N64" s="6"/>
      <c r="O64" s="6" t="str">
        <f>Lifetimes_pairs!A62</f>
        <v>Technical home textiles (in use)</v>
      </c>
      <c r="P64" s="6" t="str">
        <f>Lifetimes_pairs!B62</f>
        <v>TechHomeTextilesIU</v>
      </c>
      <c r="Q64" t="str">
        <f>Lifetimes!BQ1</f>
        <v>PaintsPreMadeWoodInDis</v>
      </c>
      <c r="R64" t="str">
        <f t="shared" si="2"/>
        <v>OK</v>
      </c>
      <c r="AA64" s="518" t="s">
        <v>1791</v>
      </c>
    </row>
    <row r="65" spans="10:27">
      <c r="J65" s="306" t="str">
        <v>Stormwater (micro)</v>
      </c>
      <c r="K65" s="311" t="str">
        <f>IF(ISBLANK(J65),"",IF(COUNTIF(L:L,J65),IF(_xlfn.XLOOKUP(J65,'Compartments_Kawecki&amp;Nowack19'!A:A,'Compartments_Kawecki&amp;Nowack19'!B:B,_xlfn.XLOOKUP(J65,Compartments_Added!A:A,Compartments_Added!B:B))="Stock","OK stock","OK flow"),IF(COUNTIF($G$4:$G$18,J65),IF(COUNTIF($E$4:$E$18,J65),"OK input","Missing"),"Missing")))</f>
        <v>OK flow</v>
      </c>
      <c r="L65" s="306" t="str">
        <v>Food additives</v>
      </c>
      <c r="M65" s="311" t="str">
        <f>IF(COUNTIF(J:J,L65),IF(_xlfn.XLOOKUP(L65,'Compartments_Kawecki&amp;Nowack19'!A:A,'Compartments_Kawecki&amp;Nowack19'!B:B,_xlfn.XLOOKUP(L65,Compartments_Added!A:A,Compartments_Added!B:B))="Stock","OK stock","OK flow"),IF(_xlfn.XLOOKUP(L65,'Compartments_Kawecki&amp;Nowack19'!A:A,'Compartments_Kawecki&amp;Nowack19'!B:B,_xlfn.XLOOKUP(L65,Compartments_Added!A:A,Compartments_Added!B:B))="Sink","OK, Sink","Missing"))</f>
        <v>OK flow</v>
      </c>
      <c r="N65" s="6"/>
      <c r="O65" s="6" t="str">
        <f>Lifetimes_pairs!A63</f>
        <v>Technical home textiles (discarded)</v>
      </c>
      <c r="P65" s="6" t="str">
        <f>Lifetimes_pairs!B63</f>
        <v>TechHomeTextilesDis</v>
      </c>
      <c r="Q65" t="str">
        <f>Lifetimes!BR1</f>
        <v>PaintsPreMadeWoodInIU</v>
      </c>
      <c r="R65" t="str">
        <f t="shared" si="2"/>
        <v>OK</v>
      </c>
      <c r="AA65" s="518" t="s">
        <v>1792</v>
      </c>
    </row>
    <row r="66" spans="10:27">
      <c r="J66" s="306" t="str">
        <v>Transport of primary plastics</v>
      </c>
      <c r="K66" s="311" t="str">
        <f>IF(ISBLANK(J66),"",IF(COUNTIF(L:L,J66),IF(_xlfn.XLOOKUP(J66,'Compartments_Kawecki&amp;Nowack19'!A:A,'Compartments_Kawecki&amp;Nowack19'!B:B,_xlfn.XLOOKUP(J66,Compartments_Added!A:A,Compartments_Added!B:B))="Stock","OK stock","OK flow"),IF(COUNTIF($G$4:$G$18,J66),IF(COUNTIF($E$4:$E$18,J66),"OK input","Missing"),"Missing")))</f>
        <v>OK flow</v>
      </c>
      <c r="L66" s="306" t="str">
        <v>Panty liners</v>
      </c>
      <c r="M66" s="311" t="str">
        <f>IF(COUNTIF(J:J,L66),IF(_xlfn.XLOOKUP(L66,'Compartments_Kawecki&amp;Nowack19'!A:A,'Compartments_Kawecki&amp;Nowack19'!B:B,_xlfn.XLOOKUP(L66,Compartments_Added!A:A,Compartments_Added!B:B))="Stock","OK stock","OK flow"),IF(_xlfn.XLOOKUP(L66,'Compartments_Kawecki&amp;Nowack19'!A:A,'Compartments_Kawecki&amp;Nowack19'!B:B,_xlfn.XLOOKUP(L66,Compartments_Added!A:A,Compartments_Added!B:B))="Sink","OK, Sink","Missing"))</f>
        <v>OK flow</v>
      </c>
      <c r="N66" s="6"/>
      <c r="O66" s="6" t="str">
        <f>Lifetimes_pairs!A64</f>
        <v>Building textiles (in use)</v>
      </c>
      <c r="P66" s="6" t="str">
        <f>Lifetimes_pairs!B64</f>
        <v>BuildingTextilesIU</v>
      </c>
      <c r="Q66" t="str">
        <f>Lifetimes!BS1</f>
        <v>PaintsPreMadeWoodOutDis</v>
      </c>
      <c r="R66" t="str">
        <f t="shared" si="2"/>
        <v>OK</v>
      </c>
      <c r="AA66" s="518" t="s">
        <v>1793</v>
      </c>
    </row>
    <row r="67" spans="10:27" ht="15" customHeight="1">
      <c r="J67" s="306" t="str">
        <v>Highway</v>
      </c>
      <c r="K67" s="311" t="str">
        <f>IF(ISBLANK(J67),"",IF(COUNTIF(L:L,J67),IF(_xlfn.XLOOKUP(J67,'Compartments_Kawecki&amp;Nowack19'!A:A,'Compartments_Kawecki&amp;Nowack19'!B:B,_xlfn.XLOOKUP(J67,Compartments_Added!A:A,Compartments_Added!B:B))="Stock","OK stock","OK flow"),IF(COUNTIF($G$4:$G$18,J67),IF(COUNTIF($E$4:$E$18,J67),"OK input","Missing"),"Missing")))</f>
        <v>OK flow</v>
      </c>
      <c r="L67" s="306" t="str">
        <v>Highway DAB</v>
      </c>
      <c r="M67" s="311" t="str">
        <f>IF(COUNTIF(J:J,L67),IF(_xlfn.XLOOKUP(L67,'Compartments_Kawecki&amp;Nowack19'!A:A,'Compartments_Kawecki&amp;Nowack19'!B:B,_xlfn.XLOOKUP(L67,Compartments_Added!A:A,Compartments_Added!B:B))="Stock","OK stock","OK flow"),IF(_xlfn.XLOOKUP(L67,'Compartments_Kawecki&amp;Nowack19'!A:A,'Compartments_Kawecki&amp;Nowack19'!B:B,_xlfn.XLOOKUP(L67,Compartments_Added!A:A,Compartments_Added!B:B))="Sink","OK, Sink","Missing"))</f>
        <v>OK flow</v>
      </c>
      <c r="N67" s="6"/>
      <c r="O67" s="6" t="str">
        <f>Lifetimes_pairs!A65</f>
        <v>Building textiles (discarded)</v>
      </c>
      <c r="P67" s="6" t="str">
        <f>Lifetimes_pairs!B65</f>
        <v>BuildingTextilesDis</v>
      </c>
      <c r="Q67" t="str">
        <f>Lifetimes!BT1</f>
        <v>PaintsPreMadeWoodOutIU</v>
      </c>
      <c r="R67" t="str">
        <f t="shared" si="2"/>
        <v>OK</v>
      </c>
      <c r="AA67" s="518" t="s">
        <v>1794</v>
      </c>
    </row>
    <row r="68" spans="10:27" ht="15" customHeight="1">
      <c r="J68" s="306" t="str">
        <v>Highway DAB</v>
      </c>
      <c r="K68" s="311" t="str">
        <f>IF(ISBLANK(J68),"",IF(COUNTIF(L:L,J68),IF(_xlfn.XLOOKUP(J68,'Compartments_Kawecki&amp;Nowack19'!A:A,'Compartments_Kawecki&amp;Nowack19'!B:B,_xlfn.XLOOKUP(J68,Compartments_Added!A:A,Compartments_Added!B:B))="Stock","OK stock","OK flow"),IF(COUNTIF($G$4:$G$18,J68),IF(COUNTIF($E$4:$E$18,J68),"OK input","Missing"),"Missing")))</f>
        <v>OK flow</v>
      </c>
      <c r="L68" s="306" t="str">
        <v>Highway ZOAB</v>
      </c>
      <c r="M68" s="311" t="str">
        <f>IF(COUNTIF(J:J,L68),IF(_xlfn.XLOOKUP(L68,'Compartments_Kawecki&amp;Nowack19'!A:A,'Compartments_Kawecki&amp;Nowack19'!B:B,_xlfn.XLOOKUP(L68,Compartments_Added!A:A,Compartments_Added!B:B))="Stock","OK stock","OK flow"),IF(_xlfn.XLOOKUP(L68,'Compartments_Kawecki&amp;Nowack19'!A:A,'Compartments_Kawecki&amp;Nowack19'!B:B,_xlfn.XLOOKUP(L68,Compartments_Added!A:A,Compartments_Added!B:B))="Sink","OK, Sink","Missing"))</f>
        <v>OK flow</v>
      </c>
      <c r="N68" s="6"/>
      <c r="O68" s="6" t="str">
        <f>Lifetimes_pairs!A66</f>
        <v>Agrotextiles (in use)</v>
      </c>
      <c r="P68" s="6" t="str">
        <f>Lifetimes_pairs!B66</f>
        <v>AgrotextilesIU</v>
      </c>
      <c r="Q68" t="str">
        <f>Lifetimes!BU1</f>
        <v>PlasterDiyInDis</v>
      </c>
      <c r="R68" t="str">
        <f t="shared" si="2"/>
        <v>OK</v>
      </c>
      <c r="AA68" s="466" t="s">
        <v>1795</v>
      </c>
    </row>
    <row r="69" spans="10:27">
      <c r="J69" s="306" t="str">
        <v>Combined sewer overflow (macro)</v>
      </c>
      <c r="K69" s="311" t="str">
        <f>IF(ISBLANK(J69),"",IF(COUNTIF(L:L,J69),IF(_xlfn.XLOOKUP(J69,'Compartments_Kawecki&amp;Nowack19'!A:A,'Compartments_Kawecki&amp;Nowack19'!B:B,_xlfn.XLOOKUP(J69,Compartments_Added!A:A,Compartments_Added!B:B))="Stock","OK stock","OK flow"),IF(COUNTIF($G$4:$G$18,J69),IF(COUNTIF($E$4:$E$18,J69),"OK input","Missing"),"Missing")))</f>
        <v>OK flow</v>
      </c>
      <c r="L69" s="306" t="str">
        <v>Highway DAB non cleaned</v>
      </c>
      <c r="M69" s="311" t="str">
        <f>IF(COUNTIF(J:J,L69),IF(_xlfn.XLOOKUP(L69,'Compartments_Kawecki&amp;Nowack19'!A:A,'Compartments_Kawecki&amp;Nowack19'!B:B,_xlfn.XLOOKUP(L69,Compartments_Added!A:A,Compartments_Added!B:B))="Stock","OK stock","OK flow"),IF(_xlfn.XLOOKUP(L69,'Compartments_Kawecki&amp;Nowack19'!A:A,'Compartments_Kawecki&amp;Nowack19'!B:B,_xlfn.XLOOKUP(L69,Compartments_Added!A:A,Compartments_Added!B:B))="Sink","OK, Sink","Missing"))</f>
        <v>OK flow</v>
      </c>
      <c r="N69" s="6"/>
      <c r="O69" s="6" t="str">
        <f>Lifetimes_pairs!A67</f>
        <v>Agrotextiles (discarded)</v>
      </c>
      <c r="P69" s="6" t="str">
        <f>Lifetimes_pairs!B67</f>
        <v>AgrotextilesDis</v>
      </c>
      <c r="Q69" t="str">
        <f>Lifetimes!BV1</f>
        <v>PlasterDiyInIU</v>
      </c>
      <c r="R69" t="str">
        <f t="shared" ref="R69:R132" si="5">IF(COUNTIF(P:P,Q69), "OK", "Missing")</f>
        <v>OK</v>
      </c>
      <c r="AA69" s="466" t="s">
        <v>1796</v>
      </c>
    </row>
    <row r="70" spans="10:27">
      <c r="J70" s="306" t="str">
        <v>Packaging recycling</v>
      </c>
      <c r="K70" s="311" t="str">
        <f>IF(ISBLANK(J70),"",IF(COUNTIF(L:L,J70),IF(_xlfn.XLOOKUP(J70,'Compartments_Kawecki&amp;Nowack19'!A:A,'Compartments_Kawecki&amp;Nowack19'!B:B,_xlfn.XLOOKUP(J70,Compartments_Added!A:A,Compartments_Added!B:B))="Stock","OK stock","OK flow"),IF(COUNTIF($G$4:$G$18,J70),IF(COUNTIF($E$4:$E$18,J70),"OK input","Missing"),"Missing")))</f>
        <v>OK flow</v>
      </c>
      <c r="L70" s="306" t="str">
        <v>Sanitary pads</v>
      </c>
      <c r="M70" s="311" t="str">
        <f>IF(COUNTIF(J:J,L70),IF(_xlfn.XLOOKUP(L70,'Compartments_Kawecki&amp;Nowack19'!A:A,'Compartments_Kawecki&amp;Nowack19'!B:B,_xlfn.XLOOKUP(L70,Compartments_Added!A:A,Compartments_Added!B:B))="Stock","OK stock","OK flow"),IF(_xlfn.XLOOKUP(L70,'Compartments_Kawecki&amp;Nowack19'!A:A,'Compartments_Kawecki&amp;Nowack19'!B:B,_xlfn.XLOOKUP(L70,Compartments_Added!A:A,Compartments_Added!B:B))="Sink","OK, Sink","Missing"))</f>
        <v>OK flow</v>
      </c>
      <c r="N70" s="6"/>
      <c r="O70" s="6" t="str">
        <f>Lifetimes_pairs!A68</f>
        <v>Geotextiles (in use)</v>
      </c>
      <c r="P70" s="6" t="str">
        <f>Lifetimes_pairs!B68</f>
        <v>GeotextilesIU</v>
      </c>
      <c r="Q70" t="str">
        <f>Lifetimes!BW1</f>
        <v>PlasterDiyOutDis</v>
      </c>
      <c r="R70" t="str">
        <f t="shared" si="5"/>
        <v>OK</v>
      </c>
      <c r="AA70" s="466" t="s">
        <v>1797</v>
      </c>
    </row>
    <row r="71" spans="10:27">
      <c r="J71" s="306" t="str">
        <v>Sludge (macro)</v>
      </c>
      <c r="K71" s="311" t="str">
        <f>IF(ISBLANK(J71),"",IF(COUNTIF(L:L,J71),IF(_xlfn.XLOOKUP(J71,'Compartments_Kawecki&amp;Nowack19'!A:A,'Compartments_Kawecki&amp;Nowack19'!B:B,_xlfn.XLOOKUP(J71,Compartments_Added!A:A,Compartments_Added!B:B))="Stock","OK stock","OK flow"),IF(COUNTIF($G$4:$G$18,J71),IF(COUNTIF($E$4:$E$18,J71),"OK input","Missing"),"Missing")))</f>
        <v>OK flow</v>
      </c>
      <c r="L71" s="306" t="str">
        <v>Tampons</v>
      </c>
      <c r="M71" s="311" t="str">
        <f>IF(COUNTIF(J:J,L71),IF(_xlfn.XLOOKUP(L71,'Compartments_Kawecki&amp;Nowack19'!A:A,'Compartments_Kawecki&amp;Nowack19'!B:B,_xlfn.XLOOKUP(L71,Compartments_Added!A:A,Compartments_Added!B:B))="Stock","OK stock","OK flow"),IF(_xlfn.XLOOKUP(L71,'Compartments_Kawecki&amp;Nowack19'!A:A,'Compartments_Kawecki&amp;Nowack19'!B:B,_xlfn.XLOOKUP(L71,Compartments_Added!A:A,Compartments_Added!B:B))="Sink","OK, Sink","Missing"))</f>
        <v>OK flow</v>
      </c>
      <c r="N71" s="6"/>
      <c r="O71" s="6" t="str">
        <f>Lifetimes_pairs!A69</f>
        <v>Geotextiles (discarded)</v>
      </c>
      <c r="P71" s="6" t="str">
        <f>Lifetimes_pairs!B69</f>
        <v>GeotextilesDis</v>
      </c>
      <c r="Q71" t="str">
        <f>Lifetimes!BX1</f>
        <v>PlasterDiyOutIU</v>
      </c>
      <c r="R71" t="str">
        <f t="shared" si="5"/>
        <v>OK</v>
      </c>
      <c r="AA71" s="466" t="s">
        <v>1798</v>
      </c>
    </row>
    <row r="72" spans="10:27">
      <c r="J72" s="306" t="str">
        <v>Sludge (micro)</v>
      </c>
      <c r="K72" s="311" t="str">
        <f>IF(ISBLANK(J72),"",IF(COUNTIF(L:L,J72),IF(_xlfn.XLOOKUP(J72,'Compartments_Kawecki&amp;Nowack19'!A:A,'Compartments_Kawecki&amp;Nowack19'!B:B,_xlfn.XLOOKUP(J72,Compartments_Added!A:A,Compartments_Added!B:B))="Stock","OK stock","OK flow"),IF(COUNTIF($G$4:$G$18,J72),IF(COUNTIF($E$4:$E$18,J72),"OK input","Missing"),"Missing")))</f>
        <v>OK flow</v>
      </c>
      <c r="L72" s="306" t="str">
        <v>Road cleaning</v>
      </c>
      <c r="M72" s="311" t="str">
        <f>IF(COUNTIF(J:J,L72),IF(_xlfn.XLOOKUP(L72,'Compartments_Kawecki&amp;Nowack19'!A:A,'Compartments_Kawecki&amp;Nowack19'!B:B,_xlfn.XLOOKUP(L72,Compartments_Added!A:A,Compartments_Added!B:B))="Stock","OK stock","OK flow"),IF(_xlfn.XLOOKUP(L72,'Compartments_Kawecki&amp;Nowack19'!A:A,'Compartments_Kawecki&amp;Nowack19'!B:B,_xlfn.XLOOKUP(L72,Compartments_Added!A:A,Compartments_Added!B:B))="Sink","OK, Sink","Missing"))</f>
        <v>OK flow</v>
      </c>
      <c r="N72" s="6"/>
      <c r="O72" s="6" t="str">
        <f>Lifetimes_pairs!A70</f>
        <v>Textile coating (in use)</v>
      </c>
      <c r="P72" s="6" t="str">
        <f>Lifetimes_pairs!B70</f>
        <v>TextileCoatingIU</v>
      </c>
      <c r="Q72" t="str">
        <f>Lifetimes!BY1</f>
        <v>PlasterProfInDis</v>
      </c>
      <c r="R72" t="str">
        <f t="shared" si="5"/>
        <v>OK</v>
      </c>
      <c r="AA72" s="466" t="s">
        <v>1799</v>
      </c>
    </row>
    <row r="73" spans="10:27">
      <c r="J73" s="306" t="str">
        <v>Tertiary water treatment (macro)</v>
      </c>
      <c r="K73" s="311" t="str">
        <f>IF(ISBLANK(J73),"",IF(COUNTIF(L:L,J73),IF(_xlfn.XLOOKUP(J73,'Compartments_Kawecki&amp;Nowack19'!A:A,'Compartments_Kawecki&amp;Nowack19'!B:B,_xlfn.XLOOKUP(J73,Compartments_Added!A:A,Compartments_Added!B:B))="Stock","OK stock","OK flow"),IF(COUNTIF($G$4:$G$18,J73),IF(COUNTIF($E$4:$E$18,J73),"OK input","Missing"),"Missing")))</f>
        <v>OK flow</v>
      </c>
      <c r="L73" s="306" t="str">
        <v>Indoor floors (micro)</v>
      </c>
      <c r="M73" s="311" t="str">
        <f>IF(COUNTIF(J:J,L73),IF(_xlfn.XLOOKUP(L73,'Compartments_Kawecki&amp;Nowack19'!A:A,'Compartments_Kawecki&amp;Nowack19'!B:B,_xlfn.XLOOKUP(L73,Compartments_Added!A:A,Compartments_Added!B:B))="Stock","OK stock","OK flow"),IF(_xlfn.XLOOKUP(L73,'Compartments_Kawecki&amp;Nowack19'!A:A,'Compartments_Kawecki&amp;Nowack19'!B:B,_xlfn.XLOOKUP(L73,Compartments_Added!A:A,Compartments_Added!B:B))="Sink","OK, Sink","Missing"))</f>
        <v>OK flow</v>
      </c>
      <c r="N73" s="6"/>
      <c r="O73" s="6" t="str">
        <f>Lifetimes_pairs!A71</f>
        <v>Textile coating (discarded)</v>
      </c>
      <c r="P73" s="6" t="str">
        <f>Lifetimes_pairs!B71</f>
        <v>TextileCoatingDis</v>
      </c>
      <c r="Q73" t="str">
        <f>Lifetimes!BZ1</f>
        <v>PlasterProfInIU</v>
      </c>
      <c r="R73" t="str">
        <f t="shared" si="5"/>
        <v>OK</v>
      </c>
      <c r="AA73" s="466" t="s">
        <v>1800</v>
      </c>
    </row>
    <row r="74" spans="10:27">
      <c r="J74" s="306" t="str">
        <v>Tertiary water treatment (micro)</v>
      </c>
      <c r="K74" s="311" t="str">
        <f>IF(ISBLANK(J74),"",IF(COUNTIF(L:L,J74),IF(_xlfn.XLOOKUP(J74,'Compartments_Kawecki&amp;Nowack19'!A:A,'Compartments_Kawecki&amp;Nowack19'!B:B,_xlfn.XLOOKUP(J74,Compartments_Added!A:A,Compartments_Added!B:B))="Stock","OK stock","OK flow"),IF(COUNTIF($G$4:$G$18,J74),IF(COUNTIF($E$4:$E$18,J74),"OK input","Missing"),"Missing")))</f>
        <v>OK flow</v>
      </c>
      <c r="L74" s="306" t="str">
        <v>Infill material sports fields</v>
      </c>
      <c r="M74" s="311" t="str">
        <f>IF(COUNTIF(J:J,L74),IF(_xlfn.XLOOKUP(L74,'Compartments_Kawecki&amp;Nowack19'!A:A,'Compartments_Kawecki&amp;Nowack19'!B:B,_xlfn.XLOOKUP(L74,Compartments_Added!A:A,Compartments_Added!B:B))="Stock","OK stock","OK flow"),IF(_xlfn.XLOOKUP(L74,'Compartments_Kawecki&amp;Nowack19'!A:A,'Compartments_Kawecki&amp;Nowack19'!B:B,_xlfn.XLOOKUP(L74,Compartments_Added!A:A,Compartments_Added!B:B))="Sink","OK, Sink","Missing"))</f>
        <v>OK flow</v>
      </c>
      <c r="N74" s="6"/>
      <c r="O74" s="6" t="str">
        <f>Lifetimes_pairs!A72</f>
        <v>Infill material sports fields (discarded)</v>
      </c>
      <c r="P74" s="6" t="str">
        <f>Lifetimes_pairs!B72</f>
        <v>InfillSportsFieldDis</v>
      </c>
      <c r="Q74" t="str">
        <f>Lifetimes!CA1</f>
        <v>PlasterProfOutDis</v>
      </c>
      <c r="R74" t="str">
        <f t="shared" si="5"/>
        <v>OK</v>
      </c>
      <c r="AA74" s="466" t="s">
        <v>1801</v>
      </c>
    </row>
    <row r="75" spans="10:27">
      <c r="J75" s="306" t="str">
        <v>Construction and demolition incinerable waste collection</v>
      </c>
      <c r="K75" s="311" t="str">
        <f>IF(ISBLANK(J75),"",IF(COUNTIF(L:L,J75),IF(_xlfn.XLOOKUP(J75,'Compartments_Kawecki&amp;Nowack19'!A:A,'Compartments_Kawecki&amp;Nowack19'!B:B,_xlfn.XLOOKUP(J75,Compartments_Added!A:A,Compartments_Added!B:B))="Stock","OK stock","OK flow"),IF(COUNTIF($G$4:$G$18,J75),IF(COUNTIF($E$4:$E$18,J75),"OK input","Missing"),"Missing")))</f>
        <v>OK flow</v>
      </c>
      <c r="L75" s="306" t="str">
        <v>Infill material sports fields (discarded)</v>
      </c>
      <c r="M75" s="311" t="str">
        <f>IF(COUNTIF(J:J,L75),IF(_xlfn.XLOOKUP(L75,'Compartments_Kawecki&amp;Nowack19'!A:A,'Compartments_Kawecki&amp;Nowack19'!B:B,_xlfn.XLOOKUP(L75,Compartments_Added!A:A,Compartments_Added!B:B))="Stock","OK stock","OK flow"),IF(_xlfn.XLOOKUP(L75,'Compartments_Kawecki&amp;Nowack19'!A:A,'Compartments_Kawecki&amp;Nowack19'!B:B,_xlfn.XLOOKUP(L75,Compartments_Added!A:A,Compartments_Added!B:B))="Sink","OK, Sink","Missing"))</f>
        <v>OK stock</v>
      </c>
      <c r="N75" s="6"/>
      <c r="O75" s="6" t="str">
        <f>Lifetimes_pairs!A73</f>
        <v>Infill material sports fields (in use)</v>
      </c>
      <c r="P75" s="6" t="str">
        <f>Lifetimes_pairs!B73</f>
        <v>InfillSportsFieldU</v>
      </c>
      <c r="Q75" t="str">
        <f>Lifetimes!CB1</f>
        <v>PlasterProfOutIU</v>
      </c>
      <c r="R75" t="str">
        <f t="shared" si="5"/>
        <v>OK</v>
      </c>
      <c r="AA75" s="466" t="s">
        <v>1802</v>
      </c>
    </row>
    <row r="76" spans="10:27">
      <c r="J76" s="306" t="str">
        <v>Indoor air (micro)</v>
      </c>
      <c r="K76" s="311" t="str">
        <f>IF(ISBLANK(J76),"",IF(COUNTIF(L:L,J76),IF(_xlfn.XLOOKUP(J76,'Compartments_Kawecki&amp;Nowack19'!A:A,'Compartments_Kawecki&amp;Nowack19'!B:B,_xlfn.XLOOKUP(J76,Compartments_Added!A:A,Compartments_Added!B:B))="Stock","OK stock","OK flow"),IF(COUNTIF($G$4:$G$18,J76),IF(COUNTIF($E$4:$E$18,J76),"OK input","Missing"),"Missing")))</f>
        <v>OK flow</v>
      </c>
      <c r="L76" s="152" t="str">
        <v>Infill material sports fields (in use)</v>
      </c>
      <c r="M76" s="311" t="str">
        <f>IF(COUNTIF(J:J,L76),IF(_xlfn.XLOOKUP(L76,'Compartments_Kawecki&amp;Nowack19'!A:A,'Compartments_Kawecki&amp;Nowack19'!B:B,_xlfn.XLOOKUP(L76,Compartments_Added!A:A,Compartments_Added!B:B))="Stock","OK stock","OK flow"),IF(_xlfn.XLOOKUP(L76,'Compartments_Kawecki&amp;Nowack19'!A:A,'Compartments_Kawecki&amp;Nowack19'!B:B,_xlfn.XLOOKUP(L76,Compartments_Added!A:A,Compartments_Added!B:B))="Sink","OK, Sink","Missing"))</f>
        <v>OK stock</v>
      </c>
      <c r="N76" s="7"/>
      <c r="O76" s="6" t="str">
        <f>Lifetimes_pairs!A74</f>
        <v>Consumer bags</v>
      </c>
      <c r="P76" s="6" t="str">
        <f>Lifetimes_pairs!B74</f>
        <v>ConsumerBags</v>
      </c>
      <c r="Q76" t="str">
        <f>Lifetimes!CC1</f>
        <v>ShipProfDis</v>
      </c>
      <c r="R76" t="str">
        <f t="shared" si="5"/>
        <v>OK</v>
      </c>
      <c r="AA76" s="466" t="s">
        <v>1803</v>
      </c>
    </row>
    <row r="77" spans="10:27" ht="15" customHeight="1">
      <c r="J77" s="306" t="str">
        <v>Infill material sports fields</v>
      </c>
      <c r="K77" s="311" t="str">
        <f>IF(ISBLANK(J77),"",IF(COUNTIF(L:L,J77),IF(_xlfn.XLOOKUP(J77,'Compartments_Kawecki&amp;Nowack19'!A:A,'Compartments_Kawecki&amp;Nowack19'!B:B,_xlfn.XLOOKUP(J77,Compartments_Added!A:A,Compartments_Added!B:B))="Stock","OK stock","OK flow"),IF(COUNTIF($G$4:$G$18,J77),IF(COUNTIF($E$4:$E$18,J77),"OK input","Missing"),"Missing")))</f>
        <v>OK flow</v>
      </c>
      <c r="L77" s="306" t="str">
        <v>Invitro diagnostic devices</v>
      </c>
      <c r="M77" s="311" t="str">
        <f>IF(COUNTIF(J:J,L77),IF(_xlfn.XLOOKUP(L77,'Compartments_Kawecki&amp;Nowack19'!A:A,'Compartments_Kawecki&amp;Nowack19'!B:B,_xlfn.XLOOKUP(L77,Compartments_Added!A:A,Compartments_Added!B:B))="Stock","OK stock","OK flow"),IF(_xlfn.XLOOKUP(L77,'Compartments_Kawecki&amp;Nowack19'!A:A,'Compartments_Kawecki&amp;Nowack19'!B:B,_xlfn.XLOOKUP(L77,Compartments_Added!A:A,Compartments_Added!B:B))="Sink","OK, Sink","Missing"))</f>
        <v>OK flow</v>
      </c>
      <c r="N77" s="6"/>
      <c r="O77" s="6" t="str">
        <f>Lifetimes_pairs!A75</f>
        <v>Consumer bottles</v>
      </c>
      <c r="P77" s="6" t="str">
        <f>Lifetimes_pairs!B75</f>
        <v>ConsumerBottles</v>
      </c>
      <c r="Q77" t="str">
        <f>Lifetimes!CD1</f>
        <v>ShipProfIU</v>
      </c>
      <c r="R77" t="str">
        <f t="shared" si="5"/>
        <v>OK</v>
      </c>
      <c r="AA77" s="466" t="s">
        <v>1804</v>
      </c>
    </row>
    <row r="78" spans="10:27" ht="15" customHeight="1">
      <c r="J78" s="306" t="str">
        <v>Mixed waste collection</v>
      </c>
      <c r="K78" s="311" t="str">
        <f>IF(ISBLANK(J78),"",IF(COUNTIF(L:L,J78),IF(_xlfn.XLOOKUP(J78,'Compartments_Kawecki&amp;Nowack19'!A:A,'Compartments_Kawecki&amp;Nowack19'!B:B,_xlfn.XLOOKUP(J78,Compartments_Added!A:A,Compartments_Added!B:B))="Stock","OK stock","OK flow"),IF(COUNTIF($G$4:$G$18,J78),IF(COUNTIF($E$4:$E$18,J78),"OK input","Missing"),"Missing")))</f>
        <v>OK flow</v>
      </c>
      <c r="L78" s="306" t="str">
        <v>Litter on road sides</v>
      </c>
      <c r="M78" s="311" t="str">
        <f>IF(COUNTIF(J:J,L78),IF(_xlfn.XLOOKUP(L78,'Compartments_Kawecki&amp;Nowack19'!A:A,'Compartments_Kawecki&amp;Nowack19'!B:B,_xlfn.XLOOKUP(L78,Compartments_Added!A:A,Compartments_Added!B:B))="Stock","OK stock","OK flow"),IF(_xlfn.XLOOKUP(L78,'Compartments_Kawecki&amp;Nowack19'!A:A,'Compartments_Kawecki&amp;Nowack19'!B:B,_xlfn.XLOOKUP(L78,Compartments_Added!A:A,Compartments_Added!B:B))="Sink","OK, Sink","Missing"))</f>
        <v>OK flow</v>
      </c>
      <c r="N78" s="6"/>
      <c r="O78" s="6" t="str">
        <f>Lifetimes_pairs!A76</f>
        <v>Consumer films</v>
      </c>
      <c r="P78" s="6" t="str">
        <f>Lifetimes_pairs!B76</f>
        <v>ConsumerFilms</v>
      </c>
      <c r="Q78" t="str">
        <f>Lifetimes!CE1</f>
        <v>ShipDiyDis</v>
      </c>
      <c r="R78" t="str">
        <f t="shared" si="5"/>
        <v>OK</v>
      </c>
      <c r="AA78" s="466" t="s">
        <v>1805</v>
      </c>
    </row>
    <row r="79" spans="10:27" ht="15" customHeight="1">
      <c r="J79" s="306" t="str">
        <v>Dumping</v>
      </c>
      <c r="K79" s="311" t="str">
        <f>IF(ISBLANK(J79),"",IF(COUNTIF(L:L,J79),IF(_xlfn.XLOOKUP(J79,'Compartments_Kawecki&amp;Nowack19'!A:A,'Compartments_Kawecki&amp;Nowack19'!B:B,_xlfn.XLOOKUP(J79,Compartments_Added!A:A,Compartments_Added!B:B))="Stock","OK stock","OK flow"),IF(COUNTIF($G$4:$G$18,J79),IF(COUNTIF($E$4:$E$18,J79),"OK input","Missing"),"Missing")))</f>
        <v>OK flow</v>
      </c>
      <c r="L79" s="306" t="str">
        <v>Litter in natural environments</v>
      </c>
      <c r="M79" s="311" t="str">
        <f>IF(COUNTIF(J:J,L79),IF(_xlfn.XLOOKUP(L79,'Compartments_Kawecki&amp;Nowack19'!A:A,'Compartments_Kawecki&amp;Nowack19'!B:B,_xlfn.XLOOKUP(L79,Compartments_Added!A:A,Compartments_Added!B:B))="Stock","OK stock","OK flow"),IF(_xlfn.XLOOKUP(L79,'Compartments_Kawecki&amp;Nowack19'!A:A,'Compartments_Kawecki&amp;Nowack19'!B:B,_xlfn.XLOOKUP(L79,Compartments_Added!A:A,Compartments_Added!B:B))="Sink","OK, Sink","Missing"))</f>
        <v>OK flow</v>
      </c>
      <c r="N79" s="6"/>
      <c r="O79" s="6" t="str">
        <f>Lifetimes_pairs!A77</f>
        <v>Non-consumer bags</v>
      </c>
      <c r="P79" s="6" t="str">
        <f>Lifetimes_pairs!B77</f>
        <v>NonConsumerBags</v>
      </c>
      <c r="Q79" t="str">
        <f>Lifetimes!CF1</f>
        <v>ShipDiyIU</v>
      </c>
      <c r="R79" t="str">
        <f t="shared" si="5"/>
        <v>OK</v>
      </c>
      <c r="AA79" s="466" t="s">
        <v>1806</v>
      </c>
    </row>
    <row r="80" spans="10:27" ht="15" customHeight="1">
      <c r="J80" s="306" t="str">
        <v>On-the-go consumption (nature)</v>
      </c>
      <c r="K80" s="311" t="str">
        <f>IF(ISBLANK(J80),"",IF(COUNTIF(L:L,J80),IF(_xlfn.XLOOKUP(J80,'Compartments_Kawecki&amp;Nowack19'!A:A,'Compartments_Kawecki&amp;Nowack19'!B:B,_xlfn.XLOOKUP(J80,Compartments_Added!A:A,Compartments_Added!B:B))="Stock","OK stock","OK flow"),IF(COUNTIF($G$4:$G$18,J80),IF(COUNTIF($E$4:$E$18,J80),"OK input","Missing"),"Missing")))</f>
        <v>OK flow</v>
      </c>
      <c r="L80" s="306" t="str">
        <v>Litter in residential environments</v>
      </c>
      <c r="M80" s="311" t="str">
        <f>IF(COUNTIF(J:J,L80),IF(_xlfn.XLOOKUP(L80,'Compartments_Kawecki&amp;Nowack19'!A:A,'Compartments_Kawecki&amp;Nowack19'!B:B,_xlfn.XLOOKUP(L80,Compartments_Added!A:A,Compartments_Added!B:B))="Stock","OK stock","OK flow"),IF(_xlfn.XLOOKUP(L80,'Compartments_Kawecki&amp;Nowack19'!A:A,'Compartments_Kawecki&amp;Nowack19'!B:B,_xlfn.XLOOKUP(L80,Compartments_Added!A:A,Compartments_Added!B:B))="Sink","OK, Sink","Missing"))</f>
        <v>OK flow</v>
      </c>
      <c r="N80" s="6"/>
      <c r="O80" s="6" t="str">
        <f>Lifetimes_pairs!A78</f>
        <v>Other consumer packaging</v>
      </c>
      <c r="P80" s="6" t="str">
        <f>Lifetimes_pairs!B78</f>
        <v>ConsumerOther</v>
      </c>
      <c r="Q80" t="str">
        <f>Lifetimes!CG1</f>
        <v>WallPaintDiyIndoorAppliedDis</v>
      </c>
      <c r="R80" t="str">
        <f t="shared" si="5"/>
        <v>OK</v>
      </c>
      <c r="AA80" t="s">
        <v>1807</v>
      </c>
    </row>
    <row r="81" spans="10:27" ht="15" customHeight="1">
      <c r="J81" s="306" t="str">
        <v>On-the-go consumption (residential)</v>
      </c>
      <c r="K81" s="311" t="str">
        <f>IF(ISBLANK(J81),"",IF(COUNTIF(L:L,J81),IF(_xlfn.XLOOKUP(J81,'Compartments_Kawecki&amp;Nowack19'!A:A,'Compartments_Kawecki&amp;Nowack19'!B:B,_xlfn.XLOOKUP(J81,Compartments_Added!A:A,Compartments_Added!B:B))="Stock","OK stock","OK flow"),IF(COUNTIF($G$4:$G$18,J81),IF(COUNTIF($E$4:$E$18,J81),"OK input","Missing"),"Missing")))</f>
        <v>OK flow</v>
      </c>
      <c r="L81" s="306" t="str">
        <v>Wet wipes</v>
      </c>
      <c r="M81" s="311" t="str">
        <f>IF(COUNTIF(J:J,L81),IF(_xlfn.XLOOKUP(L81,'Compartments_Kawecki&amp;Nowack19'!A:A,'Compartments_Kawecki&amp;Nowack19'!B:B,_xlfn.XLOOKUP(L81,Compartments_Added!A:A,Compartments_Added!B:B))="Stock","OK stock","OK flow"),IF(_xlfn.XLOOKUP(L81,'Compartments_Kawecki&amp;Nowack19'!A:A,'Compartments_Kawecki&amp;Nowack19'!B:B,_xlfn.XLOOKUP(L81,Compartments_Added!A:A,Compartments_Added!B:B))="Sink","OK, Sink","Missing"))</f>
        <v>OK flow</v>
      </c>
      <c r="N81" s="6"/>
      <c r="O81" s="6" t="str">
        <f>Lifetimes_pairs!A79</f>
        <v>Other non-consumer films</v>
      </c>
      <c r="P81" s="6" t="str">
        <f>Lifetimes_pairs!B79</f>
        <v>OtherNonConsumerFilms</v>
      </c>
      <c r="Q81" t="str">
        <f>Lifetimes!CH1</f>
        <v>WallPaintDiyIndoorAppliedIU</v>
      </c>
      <c r="R81" t="str">
        <f t="shared" si="5"/>
        <v>OK</v>
      </c>
      <c r="AA81" t="s">
        <v>1808</v>
      </c>
    </row>
    <row r="82" spans="10:27">
      <c r="J82" s="306" t="str">
        <v>Mixed waste collection (micro)</v>
      </c>
      <c r="K82" s="311" t="str">
        <f>IF(ISBLANK(J82),"",IF(COUNTIF(L:L,J82),IF(_xlfn.XLOOKUP(J82,'Compartments_Kawecki&amp;Nowack19'!A:A,'Compartments_Kawecki&amp;Nowack19'!B:B,_xlfn.XLOOKUP(J82,Compartments_Added!A:A,Compartments_Added!B:B))="Stock","OK stock","OK flow"),IF(COUNTIF($G$4:$G$18,J82),IF(COUNTIF($E$4:$E$18,J82),"OK input","Missing"),"Missing")))</f>
        <v>OK flow</v>
      </c>
      <c r="L82" s="306" t="str">
        <v>Medicine diffusion limitation (slow release)</v>
      </c>
      <c r="M82" s="311" t="str">
        <f>IF(COUNTIF(J:J,L82),IF(_xlfn.XLOOKUP(L82,'Compartments_Kawecki&amp;Nowack19'!A:A,'Compartments_Kawecki&amp;Nowack19'!B:B,_xlfn.XLOOKUP(L82,Compartments_Added!A:A,Compartments_Added!B:B))="Stock","OK stock","OK flow"),IF(_xlfn.XLOOKUP(L82,'Compartments_Kawecki&amp;Nowack19'!A:A,'Compartments_Kawecki&amp;Nowack19'!B:B,_xlfn.XLOOKUP(L82,Compartments_Added!A:A,Compartments_Added!B:B))="Sink","OK, Sink","Missing"))</f>
        <v>OK flow</v>
      </c>
      <c r="N82" s="6"/>
      <c r="O82" s="6" t="str">
        <f>Lifetimes_pairs!A80</f>
        <v>Other non-consumer packaging</v>
      </c>
      <c r="P82" s="6" t="str">
        <f>Lifetimes_pairs!B80</f>
        <v>NonConsumerOther</v>
      </c>
      <c r="Q82" t="str">
        <f>Lifetimes!CI1</f>
        <v>WallPaintDiyOutDis</v>
      </c>
      <c r="R82" t="str">
        <f t="shared" si="5"/>
        <v>OK</v>
      </c>
      <c r="AA82" t="s">
        <v>1809</v>
      </c>
    </row>
    <row r="83" spans="10:27">
      <c r="J83" s="306" t="str">
        <v>On-the-go consumption (transport)</v>
      </c>
      <c r="K83" s="311" t="str">
        <f>IF(ISBLANK(J83),"",IF(COUNTIF(L:L,J83),IF(_xlfn.XLOOKUP(J83,'Compartments_Kawecki&amp;Nowack19'!A:A,'Compartments_Kawecki&amp;Nowack19'!B:B,_xlfn.XLOOKUP(J83,Compartments_Added!A:A,Compartments_Added!B:B))="Stock","OK stock","OK flow"),IF(COUNTIF($G$4:$G$18,J83),IF(COUNTIF($E$4:$E$18,J83),"OK input","Missing"),"Missing")))</f>
        <v>OK flow</v>
      </c>
      <c r="L83" s="306" t="str">
        <v>Natural soil (macro)</v>
      </c>
      <c r="M83" s="311" t="str">
        <f>IF(COUNTIF(J:J,L83),IF(_xlfn.XLOOKUP(L83,'Compartments_Kawecki&amp;Nowack19'!A:A,'Compartments_Kawecki&amp;Nowack19'!B:B,_xlfn.XLOOKUP(L83,Compartments_Added!A:A,Compartments_Added!B:B))="Stock","OK stock","OK flow"),IF(_xlfn.XLOOKUP(L83,'Compartments_Kawecki&amp;Nowack19'!A:A,'Compartments_Kawecki&amp;Nowack19'!B:B,_xlfn.XLOOKUP(L83,Compartments_Added!A:A,Compartments_Added!B:B))="Sink","OK, Sink","Missing"))</f>
        <v>OK, Sink</v>
      </c>
      <c r="N83" s="6"/>
      <c r="O83" s="6" t="str">
        <f>Lifetimes_pairs!A81</f>
        <v>Agricultural packaging films</v>
      </c>
      <c r="P83" s="6" t="str">
        <f>Lifetimes_pairs!B81</f>
        <v>AgriculturalPackagingFilms</v>
      </c>
      <c r="Q83" t="str">
        <f>Lifetimes!CJ1</f>
        <v>WallPaintDiyOutIU</v>
      </c>
      <c r="R83" t="str">
        <f t="shared" si="5"/>
        <v>OK</v>
      </c>
      <c r="AA83" t="s">
        <v>1810</v>
      </c>
    </row>
    <row r="84" spans="10:27">
      <c r="J84" s="306" t="str">
        <v>Litter in natural environments</v>
      </c>
      <c r="K84" s="311" t="str">
        <f>IF(ISBLANK(J84),"",IF(COUNTIF(L:L,J84),IF(_xlfn.XLOOKUP(J84,'Compartments_Kawecki&amp;Nowack19'!A:A,'Compartments_Kawecki&amp;Nowack19'!B:B,_xlfn.XLOOKUP(J84,Compartments_Added!A:A,Compartments_Added!B:B))="Stock","OK stock","OK flow"),IF(COUNTIF($G$4:$G$18,J84),IF(COUNTIF($E$4:$E$18,J84),"OK input","Missing"),"Missing")))</f>
        <v>OK flow</v>
      </c>
      <c r="L84" s="306" t="str">
        <v>ELV textiles collection</v>
      </c>
      <c r="M84" s="311" t="str">
        <f>IF(COUNTIF(J:J,L84),IF(_xlfn.XLOOKUP(L84,'Compartments_Kawecki&amp;Nowack19'!A:A,'Compartments_Kawecki&amp;Nowack19'!B:B,_xlfn.XLOOKUP(L84,Compartments_Added!A:A,Compartments_Added!B:B))="Stock","OK stock","OK flow"),IF(_xlfn.XLOOKUP(L84,'Compartments_Kawecki&amp;Nowack19'!A:A,'Compartments_Kawecki&amp;Nowack19'!B:B,_xlfn.XLOOKUP(L84,Compartments_Added!A:A,Compartments_Added!B:B))="Sink","OK, Sink","Missing"))</f>
        <v>OK flow</v>
      </c>
      <c r="N84" s="6"/>
      <c r="O84" s="6" t="str">
        <f>Lifetimes_pairs!A82</f>
        <v>Clothing (in use) wear &amp; tear</v>
      </c>
      <c r="P84" s="6" t="str">
        <f>Lifetimes_pairs!B82</f>
        <v>ClothingIUWearTear</v>
      </c>
      <c r="Q84" t="str">
        <f>Lifetimes!CK1</f>
        <v>WallPaintProfInDis</v>
      </c>
      <c r="R84" t="str">
        <f t="shared" si="5"/>
        <v>OK</v>
      </c>
      <c r="AA84" t="s">
        <v>1811</v>
      </c>
    </row>
    <row r="85" spans="10:27">
      <c r="J85" s="306" t="str">
        <v>Indoor floors (micro)</v>
      </c>
      <c r="K85" s="311" t="str">
        <f>IF(ISBLANK(J85),"",IF(COUNTIF(L:L,J85),IF(_xlfn.XLOOKUP(J85,'Compartments_Kawecki&amp;Nowack19'!A:A,'Compartments_Kawecki&amp;Nowack19'!B:B,_xlfn.XLOOKUP(J85,Compartments_Added!A:A,Compartments_Added!B:B))="Stock","OK stock","OK flow"),IF(COUNTIF($G$4:$G$18,J85),IF(COUNTIF($E$4:$E$18,J85),"OK input","Missing"),"Missing")))</f>
        <v>OK flow</v>
      </c>
      <c r="L85" s="306" t="str">
        <v>Mixed waste collection (micro)</v>
      </c>
      <c r="M85" s="311" t="str">
        <f>IF(COUNTIF(J:J,L85),IF(_xlfn.XLOOKUP(L85,'Compartments_Kawecki&amp;Nowack19'!A:A,'Compartments_Kawecki&amp;Nowack19'!B:B,_xlfn.XLOOKUP(L85,Compartments_Added!A:A,Compartments_Added!B:B))="Stock","OK stock","OK flow"),IF(_xlfn.XLOOKUP(L85,'Compartments_Kawecki&amp;Nowack19'!A:A,'Compartments_Kawecki&amp;Nowack19'!B:B,_xlfn.XLOOKUP(L85,Compartments_Added!A:A,Compartments_Added!B:B))="Sink","OK, Sink","Missing"))</f>
        <v>OK flow</v>
      </c>
      <c r="N85" s="6"/>
      <c r="O85" s="6" t="str">
        <f>Lifetimes_pairs!A83</f>
        <v>Home textiles (discarded)</v>
      </c>
      <c r="P85" s="6" t="str">
        <f>Lifetimes_pairs!B83</f>
        <v>HomeTextilesDis</v>
      </c>
      <c r="Q85" t="str">
        <f>Lifetimes!CL1</f>
        <v>WallPaintProfInIU</v>
      </c>
      <c r="R85" t="str">
        <f t="shared" si="5"/>
        <v>OK</v>
      </c>
      <c r="AA85" t="s">
        <v>1812</v>
      </c>
    </row>
    <row r="86" spans="10:27">
      <c r="J86" s="306" t="str">
        <v>Litter in residential environments</v>
      </c>
      <c r="K86" s="311" t="str">
        <f>IF(ISBLANK(J86),"",IF(COUNTIF(L:L,J86),IF(_xlfn.XLOOKUP(J86,'Compartments_Kawecki&amp;Nowack19'!A:A,'Compartments_Kawecki&amp;Nowack19'!B:B,_xlfn.XLOOKUP(J86,Compartments_Added!A:A,Compartments_Added!B:B))="Stock","OK stock","OK flow"),IF(COUNTIF($G$4:$G$18,J86),IF(COUNTIF($E$4:$E$18,J86),"OK input","Missing"),"Missing")))</f>
        <v>OK flow</v>
      </c>
      <c r="L86" s="306" t="str">
        <v>Technical home textiles (discarded)</v>
      </c>
      <c r="M86" s="311" t="str">
        <f>IF(COUNTIF(J:J,L86),IF(_xlfn.XLOOKUP(L86,'Compartments_Kawecki&amp;Nowack19'!A:A,'Compartments_Kawecki&amp;Nowack19'!B:B,_xlfn.XLOOKUP(L86,Compartments_Added!A:A,Compartments_Added!B:B))="Stock","OK stock","OK flow"),IF(_xlfn.XLOOKUP(L86,'Compartments_Kawecki&amp;Nowack19'!A:A,'Compartments_Kawecki&amp;Nowack19'!B:B,_xlfn.XLOOKUP(L86,Compartments_Added!A:A,Compartments_Added!B:B))="Sink","OK, Sink","Missing"))</f>
        <v>OK stock</v>
      </c>
      <c r="N86" s="6"/>
      <c r="O86" s="6" t="str">
        <f>Lifetimes_pairs!A84</f>
        <v>Medical textiles</v>
      </c>
      <c r="P86" s="6" t="str">
        <f>Lifetimes_pairs!B84</f>
        <v>MedicalTextiles</v>
      </c>
      <c r="Q86" t="str">
        <f>Lifetimes!CM1</f>
        <v>WallPaintProfOutDis</v>
      </c>
      <c r="R86" t="str">
        <f t="shared" si="5"/>
        <v>OK</v>
      </c>
      <c r="AA86" t="s">
        <v>1813</v>
      </c>
    </row>
    <row r="87" spans="10:27">
      <c r="J87" s="306" t="str">
        <v>Medical textiles</v>
      </c>
      <c r="K87" s="311" t="str">
        <f>IF(ISBLANK(J87),"",IF(COUNTIF(L:L,J87),IF(_xlfn.XLOOKUP(J87,'Compartments_Kawecki&amp;Nowack19'!A:A,'Compartments_Kawecki&amp;Nowack19'!B:B,_xlfn.XLOOKUP(J87,Compartments_Added!A:A,Compartments_Added!B:B))="Stock","OK stock","OK flow"),IF(COUNTIF($G$4:$G$18,J87),IF(COUNTIF($E$4:$E$18,J87),"OK input","Missing"),"Missing")))</f>
        <v>OK stock</v>
      </c>
      <c r="L87" s="306" t="str">
        <v>Technical home textiles (in use)</v>
      </c>
      <c r="M87" s="311" t="str">
        <f>IF(COUNTIF(J:J,L87),IF(_xlfn.XLOOKUP(L87,'Compartments_Kawecki&amp;Nowack19'!A:A,'Compartments_Kawecki&amp;Nowack19'!B:B,_xlfn.XLOOKUP(L87,Compartments_Added!A:A,Compartments_Added!B:B))="Stock","OK stock","OK flow"),IF(_xlfn.XLOOKUP(L87,'Compartments_Kawecki&amp;Nowack19'!A:A,'Compartments_Kawecki&amp;Nowack19'!B:B,_xlfn.XLOOKUP(L87,Compartments_Added!A:A,Compartments_Added!B:B))="Sink","OK, Sink","Missing"))</f>
        <v>OK stock</v>
      </c>
      <c r="N87" s="6"/>
      <c r="O87" s="6" t="str">
        <f>Lifetimes_pairs!A85</f>
        <v>Mobility textiles</v>
      </c>
      <c r="P87" s="6" t="str">
        <f>Lifetimes_pairs!B85</f>
        <v>MobilityTextiles</v>
      </c>
      <c r="Q87" t="str">
        <f>Lifetimes!CN1</f>
        <v>WallPaintProfOutIU</v>
      </c>
      <c r="R87" t="str">
        <f t="shared" si="5"/>
        <v>OK</v>
      </c>
      <c r="AA87" t="s">
        <v>1814</v>
      </c>
    </row>
    <row r="88" spans="10:27">
      <c r="J88" s="306" t="str">
        <v>Mobility textiles</v>
      </c>
      <c r="K88" s="311" t="str">
        <f>IF(ISBLANK(J88),"",IF(COUNTIF(L:L,J88),IF(_xlfn.XLOOKUP(J88,'Compartments_Kawecki&amp;Nowack19'!A:A,'Compartments_Kawecki&amp;Nowack19'!B:B,_xlfn.XLOOKUP(J88,Compartments_Added!A:A,Compartments_Added!B:B))="Stock","OK stock","OK flow"),IF(COUNTIF($G$4:$G$18,J88),IF(COUNTIF($E$4:$E$18,J88),"OK input","Missing"),"Missing")))</f>
        <v>OK stock</v>
      </c>
      <c r="L88" s="306" t="str">
        <v>Agrotextiles</v>
      </c>
      <c r="M88" s="311" t="str">
        <f>IF(COUNTIF(J:J,L88),IF(_xlfn.XLOOKUP(L88,'Compartments_Kawecki&amp;Nowack19'!A:A,'Compartments_Kawecki&amp;Nowack19'!B:B,_xlfn.XLOOKUP(L88,Compartments_Added!A:A,Compartments_Added!B:B))="Stock","OK stock","OK flow"),IF(_xlfn.XLOOKUP(L88,'Compartments_Kawecki&amp;Nowack19'!A:A,'Compartments_Kawecki&amp;Nowack19'!B:B,_xlfn.XLOOKUP(L88,Compartments_Added!A:A,Compartments_Added!B:B))="Sink","OK, Sink","Missing"))</f>
        <v>OK flow</v>
      </c>
      <c r="N88" s="6"/>
      <c r="O88" s="6" t="str">
        <f>Lifetimes_pairs!A86</f>
        <v>Other technical textiles</v>
      </c>
      <c r="P88" s="6" t="str">
        <f>Lifetimes_pairs!B86</f>
        <v>OtherTechnicalTextiles</v>
      </c>
      <c r="Q88" t="str">
        <f>Lifetimes!CO1</f>
        <v>WoodStainDiyInDis</v>
      </c>
      <c r="R88" t="str">
        <f t="shared" si="5"/>
        <v>OK</v>
      </c>
      <c r="AA88" t="s">
        <v>1815</v>
      </c>
    </row>
    <row r="89" spans="10:27">
      <c r="J89" s="306" t="str">
        <v>Textile coating (discarded)</v>
      </c>
      <c r="K89" s="311" t="str">
        <f>IF(ISBLANK(J89),"",IF(COUNTIF(L:L,J89),IF(_xlfn.XLOOKUP(J89,'Compartments_Kawecki&amp;Nowack19'!A:A,'Compartments_Kawecki&amp;Nowack19'!B:B,_xlfn.XLOOKUP(J89,Compartments_Added!A:A,Compartments_Added!B:B))="Stock","OK stock","OK flow"),IF(COUNTIF($G$4:$G$18,J89),IF(COUNTIF($E$4:$E$18,J89),"OK input","Missing"),"Missing")))</f>
        <v>OK stock</v>
      </c>
      <c r="L89" s="306" t="str">
        <v>Natural soil (micro)</v>
      </c>
      <c r="M89" s="311" t="str">
        <f>IF(COUNTIF(J:J,L89),IF(_xlfn.XLOOKUP(L89,'Compartments_Kawecki&amp;Nowack19'!A:A,'Compartments_Kawecki&amp;Nowack19'!B:B,_xlfn.XLOOKUP(L89,Compartments_Added!A:A,Compartments_Added!B:B))="Stock","OK stock","OK flow"),IF(_xlfn.XLOOKUP(L89,'Compartments_Kawecki&amp;Nowack19'!A:A,'Compartments_Kawecki&amp;Nowack19'!B:B,_xlfn.XLOOKUP(L89,Compartments_Added!A:A,Compartments_Added!B:B))="Sink","OK, Sink","Missing"))</f>
        <v>OK, Sink</v>
      </c>
      <c r="N89" s="6"/>
      <c r="O89" s="6" t="str">
        <f>Lifetimes_pairs!A87</f>
        <v>Clothing (in use) wash &amp; dry</v>
      </c>
      <c r="P89" s="6" t="str">
        <f>Lifetimes_pairs!B87</f>
        <v>ClothingIUWashDry</v>
      </c>
      <c r="Q89" t="str">
        <f>Lifetimes!CP1</f>
        <v>WoodStainDiyInIU</v>
      </c>
      <c r="R89" t="str">
        <f t="shared" si="5"/>
        <v>OK</v>
      </c>
      <c r="AA89" t="s">
        <v>1816</v>
      </c>
    </row>
    <row r="90" spans="10:27">
      <c r="J90" s="306" t="str">
        <v>Wet wipes</v>
      </c>
      <c r="K90" s="311" t="str">
        <f>IF(ISBLANK(J90),"",IF(COUNTIF(L:L,J90),IF(_xlfn.XLOOKUP(J90,'Compartments_Kawecki&amp;Nowack19'!A:A,'Compartments_Kawecki&amp;Nowack19'!B:B,_xlfn.XLOOKUP(J90,Compartments_Added!A:A,Compartments_Added!B:B))="Stock","OK stock","OK flow"),IF(COUNTIF($G$4:$G$18,J90),IF(COUNTIF($E$4:$E$18,J90),"OK input","Missing"),"Missing")))</f>
        <v>OK flow</v>
      </c>
      <c r="L90" s="306" t="str">
        <v>Non-consumer bags</v>
      </c>
      <c r="M90" s="311" t="str">
        <f>IF(COUNTIF(J:J,L90),IF(_xlfn.XLOOKUP(L90,'Compartments_Kawecki&amp;Nowack19'!A:A,'Compartments_Kawecki&amp;Nowack19'!B:B,_xlfn.XLOOKUP(L90,Compartments_Added!A:A,Compartments_Added!B:B))="Stock","OK stock","OK flow"),IF(_xlfn.XLOOKUP(L90,'Compartments_Kawecki&amp;Nowack19'!A:A,'Compartments_Kawecki&amp;Nowack19'!B:B,_xlfn.XLOOKUP(L90,Compartments_Added!A:A,Compartments_Added!B:B))="Sink","OK, Sink","Missing"))</f>
        <v>OK stock</v>
      </c>
      <c r="N90" s="6"/>
      <c r="O90" s="6" t="str">
        <f>Lifetimes_pairs!A88</f>
        <v>Apparel accessories</v>
      </c>
      <c r="P90" s="6" t="str">
        <f>Lifetimes_pairs!B88</f>
        <v>ClothingDis</v>
      </c>
      <c r="Q90" t="str">
        <f>Lifetimes!CQ1</f>
        <v>WoodStainDiyOutDis</v>
      </c>
      <c r="R90" t="str">
        <f t="shared" si="5"/>
        <v>OK</v>
      </c>
      <c r="AA90" t="s">
        <v>1817</v>
      </c>
    </row>
    <row r="91" spans="10:27">
      <c r="J91" s="306" t="str">
        <v>Detergents and maintenance products</v>
      </c>
      <c r="K91" s="311" t="str">
        <f>IF(ISBLANK(J91),"",IF(COUNTIF(L:L,J91),IF(_xlfn.XLOOKUP(J91,'Compartments_Kawecki&amp;Nowack19'!A:A,'Compartments_Kawecki&amp;Nowack19'!B:B,_xlfn.XLOOKUP(J91,Compartments_Added!A:A,Compartments_Added!B:B))="Stock","OK stock","OK flow"),IF(COUNTIF($G$4:$G$18,J91),IF(COUNTIF($E$4:$E$18,J91),"OK input","Missing"),"Missing")))</f>
        <v>OK flow</v>
      </c>
      <c r="L91" s="306" t="str">
        <v>Offshore oil &amp; gas applications</v>
      </c>
      <c r="M91" s="311" t="str">
        <f>IF(COUNTIF(J:J,L91),IF(_xlfn.XLOOKUP(L91,'Compartments_Kawecki&amp;Nowack19'!A:A,'Compartments_Kawecki&amp;Nowack19'!B:B,_xlfn.XLOOKUP(L91,Compartments_Added!A:A,Compartments_Added!B:B))="Stock","OK stock","OK flow"),IF(_xlfn.XLOOKUP(L91,'Compartments_Kawecki&amp;Nowack19'!A:A,'Compartments_Kawecki&amp;Nowack19'!B:B,_xlfn.XLOOKUP(L91,Compartments_Added!A:A,Compartments_Added!B:B))="Sink","OK, Sink","Missing"))</f>
        <v>OK flow</v>
      </c>
      <c r="N91" s="6"/>
      <c r="O91" s="6" t="str">
        <f>Lifetimes_pairs!A89</f>
        <v>Boots</v>
      </c>
      <c r="P91" s="6" t="str">
        <f>Lifetimes_pairs!B89</f>
        <v>ClothingDis</v>
      </c>
      <c r="Q91" t="str">
        <f>Lifetimes!CR1</f>
        <v>WoodStainDiyOutIU</v>
      </c>
      <c r="R91" t="str">
        <f t="shared" si="5"/>
        <v>OK</v>
      </c>
      <c r="AA91" t="s">
        <v>1818</v>
      </c>
    </row>
    <row r="92" spans="10:27">
      <c r="J92" s="306" t="str">
        <v>Infill material sports fields (in use)</v>
      </c>
      <c r="K92" s="311" t="str">
        <f>IF(ISBLANK(J92),"",IF(COUNTIF(L:L,J92),IF(_xlfn.XLOOKUP(J92,'Compartments_Kawecki&amp;Nowack19'!A:A,'Compartments_Kawecki&amp;Nowack19'!B:B,_xlfn.XLOOKUP(J92,Compartments_Added!A:A,Compartments_Added!B:B))="Stock","OK stock","OK flow"),IF(COUNTIF($G$4:$G$18,J92),IF(COUNTIF($E$4:$E$18,J92),"OK input","Missing"),"Missing")))</f>
        <v>OK stock</v>
      </c>
      <c r="L92" s="306" t="str">
        <v>On-site sewage facility (macro)</v>
      </c>
      <c r="M92" s="311" t="str">
        <f>IF(COUNTIF(J:J,L92),IF(_xlfn.XLOOKUP(L92,'Compartments_Kawecki&amp;Nowack19'!A:A,'Compartments_Kawecki&amp;Nowack19'!B:B,_xlfn.XLOOKUP(L92,Compartments_Added!A:A,Compartments_Added!B:B))="Stock","OK stock","OK flow"),IF(_xlfn.XLOOKUP(L92,'Compartments_Kawecki&amp;Nowack19'!A:A,'Compartments_Kawecki&amp;Nowack19'!B:B,_xlfn.XLOOKUP(L92,Compartments_Added!A:A,Compartments_Added!B:B))="Sink","OK, Sink","Missing"))</f>
        <v>OK flow</v>
      </c>
      <c r="N92" s="6"/>
      <c r="O92" s="6" t="str">
        <f>Lifetimes_pairs!A90</f>
        <v>Closed-toed shoes</v>
      </c>
      <c r="P92" s="6" t="str">
        <f>Lifetimes_pairs!B90</f>
        <v>ClothingDis</v>
      </c>
      <c r="Q92" t="str">
        <f>Lifetimes!CS1</f>
        <v>WoodStainProfInDis</v>
      </c>
      <c r="R92" t="str">
        <f t="shared" si="5"/>
        <v>OK</v>
      </c>
      <c r="AA92" t="s">
        <v>1819</v>
      </c>
    </row>
    <row r="93" spans="10:27">
      <c r="J93" s="306" t="str">
        <v>Infill material sports fields (discarded)</v>
      </c>
      <c r="K93" s="311" t="str">
        <f>IF(ISBLANK(J93),"",IF(COUNTIF(L:L,J93),IF(_xlfn.XLOOKUP(J93,'Compartments_Kawecki&amp;Nowack19'!A:A,'Compartments_Kawecki&amp;Nowack19'!B:B,_xlfn.XLOOKUP(J93,Compartments_Added!A:A,Compartments_Added!B:B))="Stock","OK stock","OK flow"),IF(COUNTIF($G$4:$G$18,J93),IF(COUNTIF($E$4:$E$18,J93),"OK input","Missing"),"Missing")))</f>
        <v>OK stock</v>
      </c>
      <c r="L93" s="306" t="str">
        <v>On-site sewage facility (micro)</v>
      </c>
      <c r="M93" s="311" t="str">
        <f>IF(COUNTIF(J:J,L93),IF(_xlfn.XLOOKUP(L93,'Compartments_Kawecki&amp;Nowack19'!A:A,'Compartments_Kawecki&amp;Nowack19'!B:B,_xlfn.XLOOKUP(L93,Compartments_Added!A:A,Compartments_Added!B:B))="Stock","OK stock","OK flow"),IF(_xlfn.XLOOKUP(L93,'Compartments_Kawecki&amp;Nowack19'!A:A,'Compartments_Kawecki&amp;Nowack19'!B:B,_xlfn.XLOOKUP(L93,Compartments_Added!A:A,Compartments_Added!B:B))="Sink","OK, Sink","Missing"))</f>
        <v>OK flow</v>
      </c>
      <c r="N93" s="6"/>
      <c r="O93" s="6" t="str">
        <f>Lifetimes_pairs!A91</f>
        <v>Jackets and coats</v>
      </c>
      <c r="P93" s="6" t="str">
        <f>Lifetimes_pairs!B91</f>
        <v>ClothingDis</v>
      </c>
      <c r="Q93" t="str">
        <f>Lifetimes!CT1</f>
        <v>WoodStainProfInIU</v>
      </c>
      <c r="R93" t="str">
        <f t="shared" si="5"/>
        <v>OK</v>
      </c>
      <c r="AA93" t="s">
        <v>1820</v>
      </c>
    </row>
    <row r="94" spans="10:27">
      <c r="J94" s="306" t="str">
        <v>Food additives</v>
      </c>
      <c r="K94" s="311" t="str">
        <f>IF(ISBLANK(J94),"",IF(COUNTIF(L:L,J94),IF(_xlfn.XLOOKUP(J94,'Compartments_Kawecki&amp;Nowack19'!A:A,'Compartments_Kawecki&amp;Nowack19'!B:B,_xlfn.XLOOKUP(J94,Compartments_Added!A:A,Compartments_Added!B:B))="Stock","OK stock","OK flow"),IF(COUNTIF($G$4:$G$18,J94),IF(COUNTIF($E$4:$E$18,J94),"OK input","Missing"),"Missing")))</f>
        <v>OK flow</v>
      </c>
      <c r="L94" s="306" t="str">
        <v>On-the-go consumption</v>
      </c>
      <c r="M94" s="311" t="str">
        <f>IF(COUNTIF(J:J,L94),IF(_xlfn.XLOOKUP(L94,'Compartments_Kawecki&amp;Nowack19'!A:A,'Compartments_Kawecki&amp;Nowack19'!B:B,_xlfn.XLOOKUP(L94,Compartments_Added!A:A,Compartments_Added!B:B))="Stock","OK stock","OK flow"),IF(_xlfn.XLOOKUP(L94,'Compartments_Kawecki&amp;Nowack19'!A:A,'Compartments_Kawecki&amp;Nowack19'!B:B,_xlfn.XLOOKUP(L94,Compartments_Added!A:A,Compartments_Added!B:B))="Sink","OK, Sink","Missing"))</f>
        <v>OK flow</v>
      </c>
      <c r="N94" s="6"/>
      <c r="O94" s="6" t="str">
        <f>Lifetimes_pairs!A92</f>
        <v>Open-toed shoes</v>
      </c>
      <c r="P94" s="6" t="str">
        <f>Lifetimes_pairs!B92</f>
        <v>ClothingDis</v>
      </c>
      <c r="Q94" t="str">
        <f>Lifetimes!CU1</f>
        <v>WoodStainProfOutDis</v>
      </c>
      <c r="R94" t="str">
        <f t="shared" si="5"/>
        <v>OK</v>
      </c>
      <c r="AA94" t="s">
        <v>1821</v>
      </c>
    </row>
    <row r="95" spans="10:27">
      <c r="J95" s="306" t="str">
        <v>Invitro diagnostic devices</v>
      </c>
      <c r="K95" s="311" t="str">
        <f>IF(ISBLANK(J95),"",IF(COUNTIF(L:L,J95),IF(_xlfn.XLOOKUP(J95,'Compartments_Kawecki&amp;Nowack19'!A:A,'Compartments_Kawecki&amp;Nowack19'!B:B,_xlfn.XLOOKUP(J95,Compartments_Added!A:A,Compartments_Added!B:B))="Stock","OK stock","OK flow"),IF(COUNTIF($G$4:$G$18,J95),IF(COUNTIF($E$4:$E$18,J95),"OK input","Missing"),"Missing")))</f>
        <v>OK flow</v>
      </c>
      <c r="L95" s="306" t="str">
        <v>On-the-go consumption (nature)</v>
      </c>
      <c r="M95" s="311" t="str">
        <f>IF(COUNTIF(J:J,L95),IF(_xlfn.XLOOKUP(L95,'Compartments_Kawecki&amp;Nowack19'!A:A,'Compartments_Kawecki&amp;Nowack19'!B:B,_xlfn.XLOOKUP(L95,Compartments_Added!A:A,Compartments_Added!B:B))="Stock","OK stock","OK flow"),IF(_xlfn.XLOOKUP(L95,'Compartments_Kawecki&amp;Nowack19'!A:A,'Compartments_Kawecki&amp;Nowack19'!B:B,_xlfn.XLOOKUP(L95,Compartments_Added!A:A,Compartments_Added!B:B))="Sink","OK, Sink","Missing"))</f>
        <v>OK flow</v>
      </c>
      <c r="N95" s="6"/>
      <c r="O95" s="6" t="str">
        <f>Lifetimes_pairs!A93</f>
        <v>Dresses skirts and jumpsuits</v>
      </c>
      <c r="P95" s="6" t="str">
        <f>Lifetimes_pairs!B93</f>
        <v>ClothingDis</v>
      </c>
      <c r="Q95" t="str">
        <f>Lifetimes!CV1</f>
        <v>WoodStainProfOutIU</v>
      </c>
      <c r="R95" t="str">
        <f t="shared" si="5"/>
        <v>OK</v>
      </c>
      <c r="AA95" t="s">
        <v>1822</v>
      </c>
    </row>
    <row r="96" spans="10:27">
      <c r="J96" s="306" t="str">
        <v>Medicine diffusion limitation (slow release)</v>
      </c>
      <c r="K96" s="311" t="str">
        <f>IF(ISBLANK(J96),"",IF(COUNTIF(L:L,J96),IF(_xlfn.XLOOKUP(J96,'Compartments_Kawecki&amp;Nowack19'!A:A,'Compartments_Kawecki&amp;Nowack19'!B:B,_xlfn.XLOOKUP(J96,Compartments_Added!A:A,Compartments_Added!B:B))="Stock","OK stock","OK flow"),IF(COUNTIF($G$4:$G$18,J96),IF(COUNTIF($E$4:$E$18,J96),"OK input","Missing"),"Missing")))</f>
        <v>OK flow</v>
      </c>
      <c r="L96" s="306" t="str">
        <v>On-the-go consumption (residential)</v>
      </c>
      <c r="M96" s="311" t="str">
        <f>IF(COUNTIF(J:J,L96),IF(_xlfn.XLOOKUP(L96,'Compartments_Kawecki&amp;Nowack19'!A:A,'Compartments_Kawecki&amp;Nowack19'!B:B,_xlfn.XLOOKUP(L96,Compartments_Added!A:A,Compartments_Added!B:B))="Stock","OK stock","OK flow"),IF(_xlfn.XLOOKUP(L96,'Compartments_Kawecki&amp;Nowack19'!A:A,'Compartments_Kawecki&amp;Nowack19'!B:B,_xlfn.XLOOKUP(L96,Compartments_Added!A:A,Compartments_Added!B:B))="Sink","OK, Sink","Missing"))</f>
        <v>OK flow</v>
      </c>
      <c r="N96" s="6"/>
      <c r="O96" s="6" t="str">
        <f>Lifetimes_pairs!A94</f>
        <v>Leggings stockings tights and socks</v>
      </c>
      <c r="P96" s="6" t="str">
        <f>Lifetimes_pairs!B94</f>
        <v>ClothingDis</v>
      </c>
      <c r="Q96">
        <f>Lifetimes!CW1</f>
        <v>0</v>
      </c>
      <c r="R96" t="str">
        <f t="shared" si="5"/>
        <v>OK</v>
      </c>
      <c r="AA96" t="s">
        <v>1823</v>
      </c>
    </row>
    <row r="97" spans="10:27">
      <c r="J97" s="306" t="str">
        <v>PCCP</v>
      </c>
      <c r="K97" s="311" t="str">
        <f>IF(ISBLANK(J97),"",IF(COUNTIF(L:L,J97),IF(_xlfn.XLOOKUP(J97,'Compartments_Kawecki&amp;Nowack19'!A:A,'Compartments_Kawecki&amp;Nowack19'!B:B,_xlfn.XLOOKUP(J97,Compartments_Added!A:A,Compartments_Added!B:B))="Stock","OK stock","OK flow"),IF(COUNTIF($G$4:$G$18,J97),IF(COUNTIF($E$4:$E$18,J97),"OK input","Missing"),"Missing")))</f>
        <v>OK flow</v>
      </c>
      <c r="L97" s="306" t="str">
        <v>On-the-go consumption (transport)</v>
      </c>
      <c r="M97" s="311" t="str">
        <f>IF(COUNTIF(J:J,L97),IF(_xlfn.XLOOKUP(L97,'Compartments_Kawecki&amp;Nowack19'!A:A,'Compartments_Kawecki&amp;Nowack19'!B:B,_xlfn.XLOOKUP(L97,Compartments_Added!A:A,Compartments_Added!B:B))="Stock","OK stock","OK flow"),IF(_xlfn.XLOOKUP(L97,'Compartments_Kawecki&amp;Nowack19'!A:A,'Compartments_Kawecki&amp;Nowack19'!B:B,_xlfn.XLOOKUP(L97,Compartments_Added!A:A,Compartments_Added!B:B))="Sink","OK, Sink","Missing"))</f>
        <v>OK flow</v>
      </c>
      <c r="N97" s="6"/>
      <c r="O97" s="6" t="str">
        <f>Lifetimes_pairs!A95</f>
        <v>Pants and shorts</v>
      </c>
      <c r="P97" s="6" t="str">
        <f>Lifetimes_pairs!B95</f>
        <v>ClothingDis</v>
      </c>
      <c r="Q97">
        <f>Lifetimes!CX1</f>
        <v>0</v>
      </c>
      <c r="R97" t="str">
        <f t="shared" si="5"/>
        <v>OK</v>
      </c>
      <c r="AA97" t="s">
        <v>1824</v>
      </c>
    </row>
    <row r="98" spans="10:27">
      <c r="J98" s="306" t="str">
        <v>Technical home textiles</v>
      </c>
      <c r="K98" s="311" t="str">
        <f>IF(ISBLANK(J98),"",IF(COUNTIF(L:L,J98),IF(_xlfn.XLOOKUP(J98,'Compartments_Kawecki&amp;Nowack19'!A:A,'Compartments_Kawecki&amp;Nowack19'!B:B,_xlfn.XLOOKUP(J98,Compartments_Added!A:A,Compartments_Added!B:B))="Stock","OK stock","OK flow"),IF(COUNTIF($G$4:$G$18,J98),IF(COUNTIF($E$4:$E$18,J98),"OK input","Missing"),"Missing")))</f>
        <v>OK flow</v>
      </c>
      <c r="L98" s="306" t="str">
        <v>Other consumer packaging</v>
      </c>
      <c r="M98" s="311" t="str">
        <f>IF(COUNTIF(J:J,L98),IF(_xlfn.XLOOKUP(L98,'Compartments_Kawecki&amp;Nowack19'!A:A,'Compartments_Kawecki&amp;Nowack19'!B:B,_xlfn.XLOOKUP(L98,Compartments_Added!A:A,Compartments_Added!B:B))="Stock","OK stock","OK flow"),IF(_xlfn.XLOOKUP(L98,'Compartments_Kawecki&amp;Nowack19'!A:A,'Compartments_Kawecki&amp;Nowack19'!B:B,_xlfn.XLOOKUP(L98,Compartments_Added!A:A,Compartments_Added!B:B))="Sink","OK, Sink","Missing"))</f>
        <v>OK stock</v>
      </c>
      <c r="N98" s="6"/>
      <c r="O98" s="6" t="str">
        <f>Lifetimes_pairs!A96</f>
        <v>Shirts and blouses</v>
      </c>
      <c r="P98" s="6" t="str">
        <f>Lifetimes_pairs!B96</f>
        <v>ClothingDis</v>
      </c>
      <c r="Q98">
        <f>Lifetimes!CY1</f>
        <v>0</v>
      </c>
      <c r="R98" t="str">
        <f t="shared" si="5"/>
        <v>OK</v>
      </c>
      <c r="AA98" t="s">
        <v>1825</v>
      </c>
    </row>
    <row r="99" spans="10:27">
      <c r="J99" s="306" t="str">
        <v>Technical home textiles (in use)</v>
      </c>
      <c r="K99" s="311" t="str">
        <f>IF(ISBLANK(J99),"",IF(COUNTIF(L:L,J99),IF(_xlfn.XLOOKUP(J99,'Compartments_Kawecki&amp;Nowack19'!A:A,'Compartments_Kawecki&amp;Nowack19'!B:B,_xlfn.XLOOKUP(J99,Compartments_Added!A:A,Compartments_Added!B:B))="Stock","OK stock","OK flow"),IF(COUNTIF($G$4:$G$18,J99),IF(COUNTIF($E$4:$E$18,J99),"OK input","Missing"),"Missing")))</f>
        <v>OK stock</v>
      </c>
      <c r="L99" s="306" t="str">
        <v>Other non-consumer films</v>
      </c>
      <c r="M99" s="311" t="str">
        <f>IF(COUNTIF(J:J,L99),IF(_xlfn.XLOOKUP(L99,'Compartments_Kawecki&amp;Nowack19'!A:A,'Compartments_Kawecki&amp;Nowack19'!B:B,_xlfn.XLOOKUP(L99,Compartments_Added!A:A,Compartments_Added!B:B))="Stock","OK stock","OK flow"),IF(_xlfn.XLOOKUP(L99,'Compartments_Kawecki&amp;Nowack19'!A:A,'Compartments_Kawecki&amp;Nowack19'!B:B,_xlfn.XLOOKUP(L99,Compartments_Added!A:A,Compartments_Added!B:B))="Sink","OK, Sink","Missing"))</f>
        <v>OK stock</v>
      </c>
      <c r="N99" s="6"/>
      <c r="O99" s="6" t="str">
        <f>Lifetimes_pairs!A97</f>
        <v>Sweaters and midlayers</v>
      </c>
      <c r="P99" s="6" t="str">
        <f>Lifetimes_pairs!B97</f>
        <v>ClothingDis</v>
      </c>
      <c r="Q99">
        <f>Lifetimes!CZ1</f>
        <v>0</v>
      </c>
      <c r="R99" t="str">
        <f t="shared" si="5"/>
        <v>OK</v>
      </c>
      <c r="AA99" t="s">
        <v>1826</v>
      </c>
    </row>
    <row r="100" spans="10:27">
      <c r="J100" s="306" t="str">
        <v>Technical textiles</v>
      </c>
      <c r="K100" s="311" t="str">
        <f>IF(ISBLANK(J100),"",IF(COUNTIF(L:L,J100),IF(_xlfn.XLOOKUP(J100,'Compartments_Kawecki&amp;Nowack19'!A:A,'Compartments_Kawecki&amp;Nowack19'!B:B,_xlfn.XLOOKUP(J100,Compartments_Added!A:A,Compartments_Added!B:B))="Stock","OK stock","OK flow"),IF(COUNTIF($G$4:$G$18,J100),IF(COUNTIF($E$4:$E$18,J100),"OK input","Missing"),"Missing")))</f>
        <v>OK input</v>
      </c>
      <c r="L100" s="306" t="str">
        <v>Other non-consumer packaging</v>
      </c>
      <c r="M100" s="311" t="str">
        <f>IF(COUNTIF(J:J,L100),IF(_xlfn.XLOOKUP(L100,'Compartments_Kawecki&amp;Nowack19'!A:A,'Compartments_Kawecki&amp;Nowack19'!B:B,_xlfn.XLOOKUP(L100,Compartments_Added!A:A,Compartments_Added!B:B))="Stock","OK stock","OK flow"),IF(_xlfn.XLOOKUP(L100,'Compartments_Kawecki&amp;Nowack19'!A:A,'Compartments_Kawecki&amp;Nowack19'!B:B,_xlfn.XLOOKUP(L100,Compartments_Added!A:A,Compartments_Added!B:B))="Sink","OK, Sink","Missing"))</f>
        <v>OK stock</v>
      </c>
      <c r="N100" s="6"/>
      <c r="O100" s="6" t="str">
        <f>Lifetimes_pairs!A98</f>
        <v>Swimwear</v>
      </c>
      <c r="P100" s="6" t="str">
        <f>Lifetimes_pairs!B98</f>
        <v>ClothingDis</v>
      </c>
      <c r="Q100">
        <f>Lifetimes!DA1</f>
        <v>0</v>
      </c>
      <c r="R100" t="str">
        <f t="shared" si="5"/>
        <v>OK</v>
      </c>
      <c r="AA100" t="s">
        <v>1827</v>
      </c>
    </row>
    <row r="101" spans="10:27">
      <c r="J101" s="306" t="str">
        <v>Textile coating (in use)</v>
      </c>
      <c r="K101" s="311" t="str">
        <f>IF(ISBLANK(J101),"",IF(COUNTIF(L:L,J101),IF(_xlfn.XLOOKUP(J101,'Compartments_Kawecki&amp;Nowack19'!A:A,'Compartments_Kawecki&amp;Nowack19'!B:B,_xlfn.XLOOKUP(J101,Compartments_Added!A:A,Compartments_Added!B:B))="Stock","OK stock","OK flow"),IF(COUNTIF($G$4:$G$18,J101),IF(COUNTIF($E$4:$E$18,J101),"OK input","Missing"),"Missing")))</f>
        <v>OK stock</v>
      </c>
      <c r="L101" s="306" t="str">
        <v>Building textiles</v>
      </c>
      <c r="M101" s="311" t="str">
        <f>IF(COUNTIF(J:J,L101),IF(_xlfn.XLOOKUP(L101,'Compartments_Kawecki&amp;Nowack19'!A:A,'Compartments_Kawecki&amp;Nowack19'!B:B,_xlfn.XLOOKUP(L101,Compartments_Added!A:A,Compartments_Added!B:B))="Stock","OK stock","OK flow"),IF(_xlfn.XLOOKUP(L101,'Compartments_Kawecki&amp;Nowack19'!A:A,'Compartments_Kawecki&amp;Nowack19'!B:B,_xlfn.XLOOKUP(L101,Compartments_Added!A:A,Compartments_Added!B:B))="Sink","OK, Sink","Missing"))</f>
        <v>OK flow</v>
      </c>
      <c r="N101" s="6"/>
      <c r="O101" s="6" t="str">
        <f>Lifetimes_pairs!A99</f>
        <v>T-shirts</v>
      </c>
      <c r="P101" s="6" t="str">
        <f>Lifetimes_pairs!B99</f>
        <v>ClothingDis</v>
      </c>
      <c r="Q101">
        <f>Lifetimes!DB1</f>
        <v>0</v>
      </c>
      <c r="R101" t="str">
        <f t="shared" si="5"/>
        <v>OK</v>
      </c>
      <c r="AA101" t="s">
        <v>1828</v>
      </c>
    </row>
    <row r="102" spans="10:27">
      <c r="J102" s="306" t="str">
        <v>Wastewater (macro)</v>
      </c>
      <c r="K102" s="311" t="str">
        <f>IF(ISBLANK(J102),"",IF(COUNTIF(L:L,J102),IF(_xlfn.XLOOKUP(J102,'Compartments_Kawecki&amp;Nowack19'!A:A,'Compartments_Kawecki&amp;Nowack19'!B:B,_xlfn.XLOOKUP(J102,Compartments_Added!A:A,Compartments_Added!B:B))="Stock","OK stock","OK flow"),IF(COUNTIF($G$4:$G$18,J102),IF(COUNTIF($E$4:$E$18,J102),"OK input","Missing"),"Missing")))</f>
        <v>OK flow</v>
      </c>
      <c r="L102" s="306" t="str">
        <v>Road side soil (micro)</v>
      </c>
      <c r="M102" s="311" t="str">
        <f>IF(COUNTIF(J:J,L102),IF(_xlfn.XLOOKUP(L102,'Compartments_Kawecki&amp;Nowack19'!A:A,'Compartments_Kawecki&amp;Nowack19'!B:B,_xlfn.XLOOKUP(L102,Compartments_Added!A:A,Compartments_Added!B:B))="Stock","OK stock","OK flow"),IF(_xlfn.XLOOKUP(L102,'Compartments_Kawecki&amp;Nowack19'!A:A,'Compartments_Kawecki&amp;Nowack19'!B:B,_xlfn.XLOOKUP(L102,Compartments_Added!A:A,Compartments_Added!B:B))="Sink","OK, Sink","Missing"))</f>
        <v>OK, Sink</v>
      </c>
      <c r="N102" s="6"/>
      <c r="O102" s="6" t="str">
        <f>Lifetimes_pairs!A100</f>
        <v>Underwear</v>
      </c>
      <c r="P102" s="6" t="str">
        <f>Lifetimes_pairs!B100</f>
        <v>ClothingDis</v>
      </c>
      <c r="Q102">
        <f>Lifetimes!DC1</f>
        <v>0</v>
      </c>
      <c r="R102" t="str">
        <f t="shared" si="5"/>
        <v>OK</v>
      </c>
      <c r="AA102" t="s">
        <v>1829</v>
      </c>
    </row>
    <row r="103" spans="10:27">
      <c r="J103" s="306" t="str">
        <v>Wastewater (micro)</v>
      </c>
      <c r="K103" s="311" t="str">
        <f>IF(ISBLANK(J103),"",IF(COUNTIF(L:L,J103),IF(_xlfn.XLOOKUP(J103,'Compartments_Kawecki&amp;Nowack19'!A:A,'Compartments_Kawecki&amp;Nowack19'!B:B,_xlfn.XLOOKUP(J103,Compartments_Added!A:A,Compartments_Added!B:B))="Stock","OK stock","OK flow"),IF(COUNTIF($G$4:$G$18,J103),IF(COUNTIF($E$4:$E$18,J103),"OK input","Missing"),"Missing")))</f>
        <v>OK flow</v>
      </c>
      <c r="L103" s="306" t="str">
        <v>Highway ZOAB non cleaned</v>
      </c>
      <c r="M103" s="311" t="str">
        <f>IF(COUNTIF(J:J,L103),IF(_xlfn.XLOOKUP(L103,'Compartments_Kawecki&amp;Nowack19'!A:A,'Compartments_Kawecki&amp;Nowack19'!B:B,_xlfn.XLOOKUP(L103,Compartments_Added!A:A,Compartments_Added!B:B))="Stock","OK stock","OK flow"),IF(_xlfn.XLOOKUP(L103,'Compartments_Kawecki&amp;Nowack19'!A:A,'Compartments_Kawecki&amp;Nowack19'!B:B,_xlfn.XLOOKUP(L103,Compartments_Added!A:A,Compartments_Added!B:B))="Sink","OK, Sink","Missing"))</f>
        <v>OK flow</v>
      </c>
      <c r="N103" s="6"/>
      <c r="O103" s="6">
        <f>Lifetimes_pairs!A101</f>
        <v>0</v>
      </c>
      <c r="P103" s="6">
        <f>Lifetimes_pairs!B101</f>
        <v>0</v>
      </c>
      <c r="Q103">
        <f>Lifetimes!DD1</f>
        <v>0</v>
      </c>
      <c r="R103" t="str">
        <f t="shared" si="5"/>
        <v>OK</v>
      </c>
      <c r="AA103" t="s">
        <v>1830</v>
      </c>
    </row>
    <row r="104" spans="10:27">
      <c r="J104" s="306" t="str">
        <v>On-the-go consumption</v>
      </c>
      <c r="K104" s="311" t="str">
        <f>IF(ISBLANK(J104),"",IF(COUNTIF(L:L,J104),IF(_xlfn.XLOOKUP(J104,'Compartments_Kawecki&amp;Nowack19'!A:A,'Compartments_Kawecki&amp;Nowack19'!B:B,_xlfn.XLOOKUP(J104,Compartments_Added!A:A,Compartments_Added!B:B))="Stock","OK stock","OK flow"),IF(COUNTIF($G$4:$G$18,J104),IF(COUNTIF($E$4:$E$18,J104),"OK input","Missing"),"Missing")))</f>
        <v>OK flow</v>
      </c>
      <c r="L104" s="306" t="str">
        <v>Packaging collection</v>
      </c>
      <c r="M104" s="311" t="str">
        <f>IF(COUNTIF(J:J,L104),IF(_xlfn.XLOOKUP(L104,'Compartments_Kawecki&amp;Nowack19'!A:A,'Compartments_Kawecki&amp;Nowack19'!B:B,_xlfn.XLOOKUP(L104,Compartments_Added!A:A,Compartments_Added!B:B))="Stock","OK stock","OK flow"),IF(_xlfn.XLOOKUP(L104,'Compartments_Kawecki&amp;Nowack19'!A:A,'Compartments_Kawecki&amp;Nowack19'!B:B,_xlfn.XLOOKUP(L104,Compartments_Added!A:A,Compartments_Added!B:B))="Sink","OK, Sink","Missing"))</f>
        <v>OK flow</v>
      </c>
      <c r="N104" s="6"/>
      <c r="O104" s="6">
        <f>Lifetimes_pairs!A102</f>
        <v>0</v>
      </c>
      <c r="P104" s="6">
        <f>Lifetimes_pairs!B102</f>
        <v>0</v>
      </c>
      <c r="Q104">
        <f>Lifetimes!DE1</f>
        <v>0</v>
      </c>
      <c r="R104" t="str">
        <f t="shared" si="5"/>
        <v>OK</v>
      </c>
      <c r="AA104" t="s">
        <v>1831</v>
      </c>
    </row>
    <row r="105" spans="10:27">
      <c r="J105" s="306" t="str">
        <v>Highway DAB non cleaned</v>
      </c>
      <c r="K105" s="311" t="str">
        <f>IF(ISBLANK(J105),"",IF(COUNTIF(L:L,J105),IF(_xlfn.XLOOKUP(J105,'Compartments_Kawecki&amp;Nowack19'!A:A,'Compartments_Kawecki&amp;Nowack19'!B:B,_xlfn.XLOOKUP(J105,Compartments_Added!A:A,Compartments_Added!B:B))="Stock","OK stock","OK flow"),IF(COUNTIF($G$4:$G$18,J105),IF(COUNTIF($E$4:$E$18,J105),"OK input","Missing"),"Missing")))</f>
        <v>OK flow</v>
      </c>
      <c r="L105" s="306" t="str">
        <v>Packaging recycling</v>
      </c>
      <c r="M105" s="311" t="str">
        <f>IF(COUNTIF(J:J,L105),IF(_xlfn.XLOOKUP(L105,'Compartments_Kawecki&amp;Nowack19'!A:A,'Compartments_Kawecki&amp;Nowack19'!B:B,_xlfn.XLOOKUP(L105,Compartments_Added!A:A,Compartments_Added!B:B))="Stock","OK stock","OK flow"),IF(_xlfn.XLOOKUP(L105,'Compartments_Kawecki&amp;Nowack19'!A:A,'Compartments_Kawecki&amp;Nowack19'!B:B,_xlfn.XLOOKUP(L105,Compartments_Added!A:A,Compartments_Added!B:B))="Sink","OK, Sink","Missing"))</f>
        <v>OK flow</v>
      </c>
      <c r="N105" s="6"/>
      <c r="O105" s="6">
        <f>Lifetimes_pairs!A103</f>
        <v>0</v>
      </c>
      <c r="P105" s="6">
        <f>Lifetimes_pairs!B103</f>
        <v>0</v>
      </c>
      <c r="Q105">
        <f>Lifetimes!DF1</f>
        <v>0</v>
      </c>
      <c r="R105" t="str">
        <f t="shared" si="5"/>
        <v>OK</v>
      </c>
      <c r="AA105" t="s">
        <v>1832</v>
      </c>
    </row>
    <row r="106" spans="10:27">
      <c r="J106" s="306" t="str">
        <v>Highway ZOAB</v>
      </c>
      <c r="K106" s="311" t="str">
        <f>IF(ISBLANK(J106),"",IF(COUNTIF(L:L,J106),IF(_xlfn.XLOOKUP(J106,'Compartments_Kawecki&amp;Nowack19'!A:A,'Compartments_Kawecki&amp;Nowack19'!B:B,_xlfn.XLOOKUP(J106,Compartments_Added!A:A,Compartments_Added!B:B))="Stock","OK stock","OK flow"),IF(COUNTIF($G$4:$G$18,J106),IF(COUNTIF($E$4:$E$18,J106),"OK input","Missing"),"Missing")))</f>
        <v>OK flow</v>
      </c>
      <c r="L106" s="306" t="str">
        <v>Geotextiles</v>
      </c>
      <c r="M106" s="311" t="str">
        <f>IF(COUNTIF(J:J,L106),IF(_xlfn.XLOOKUP(L106,'Compartments_Kawecki&amp;Nowack19'!A:A,'Compartments_Kawecki&amp;Nowack19'!B:B,_xlfn.XLOOKUP(L106,Compartments_Added!A:A,Compartments_Added!B:B))="Stock","OK stock","OK flow"),IF(_xlfn.XLOOKUP(L106,'Compartments_Kawecki&amp;Nowack19'!A:A,'Compartments_Kawecki&amp;Nowack19'!B:B,_xlfn.XLOOKUP(L106,Compartments_Added!A:A,Compartments_Added!B:B))="Sink","OK, Sink","Missing"))</f>
        <v>OK flow</v>
      </c>
      <c r="N106" s="6"/>
      <c r="O106" s="6">
        <f>Lifetimes_pairs!A104</f>
        <v>0</v>
      </c>
      <c r="P106" s="6">
        <f>Lifetimes_pairs!B104</f>
        <v>0</v>
      </c>
      <c r="Q106">
        <f>Lifetimes!DG1</f>
        <v>0</v>
      </c>
      <c r="R106" t="str">
        <f t="shared" si="5"/>
        <v>OK</v>
      </c>
      <c r="AA106" t="s">
        <v>1833</v>
      </c>
    </row>
    <row r="107" spans="10:27">
      <c r="J107" s="306" t="str">
        <v>Textile waste collection</v>
      </c>
      <c r="K107" s="311" t="str">
        <f>IF(ISBLANK(J107),"",IF(COUNTIF(L:L,J107),IF(_xlfn.XLOOKUP(J107,'Compartments_Kawecki&amp;Nowack19'!A:A,'Compartments_Kawecki&amp;Nowack19'!B:B,_xlfn.XLOOKUP(J107,Compartments_Added!A:A,Compartments_Added!B:B))="Stock","OK stock","OK flow"),IF(COUNTIF($G$4:$G$18,J107),IF(COUNTIF($E$4:$E$18,J107),"OK input","Missing"),"Missing")))</f>
        <v>OK flow</v>
      </c>
      <c r="L107" s="306" t="str">
        <v>PCCP</v>
      </c>
      <c r="M107" s="311" t="str">
        <f>IF(COUNTIF(J:J,L107),IF(_xlfn.XLOOKUP(L107,'Compartments_Kawecki&amp;Nowack19'!A:A,'Compartments_Kawecki&amp;Nowack19'!B:B,_xlfn.XLOOKUP(L107,Compartments_Added!A:A,Compartments_Added!B:B))="Stock","OK stock","OK flow"),IF(_xlfn.XLOOKUP(L107,'Compartments_Kawecki&amp;Nowack19'!A:A,'Compartments_Kawecki&amp;Nowack19'!B:B,_xlfn.XLOOKUP(L107,Compartments_Added!A:A,Compartments_Added!B:B))="Sink","OK, Sink","Missing"))</f>
        <v>OK flow</v>
      </c>
      <c r="N107" s="6"/>
      <c r="O107" s="6">
        <f>Lifetimes_pairs!A105</f>
        <v>0</v>
      </c>
      <c r="P107" s="6">
        <f>Lifetimes_pairs!B105</f>
        <v>0</v>
      </c>
      <c r="Q107">
        <f>Lifetimes!DH1</f>
        <v>0</v>
      </c>
      <c r="R107" t="str">
        <f t="shared" si="5"/>
        <v>OK</v>
      </c>
      <c r="AA107" t="s">
        <v>1834</v>
      </c>
    </row>
    <row r="108" spans="10:27">
      <c r="J108" s="306" t="str">
        <v>Highway ZOAB non cleaned</v>
      </c>
      <c r="K108" s="311" t="str">
        <f>IF(ISBLANK(J108),"",IF(COUNTIF(L:L,J108),IF(_xlfn.XLOOKUP(J108,'Compartments_Kawecki&amp;Nowack19'!A:A,'Compartments_Kawecki&amp;Nowack19'!B:B,_xlfn.XLOOKUP(J108,Compartments_Added!A:A,Compartments_Added!B:B))="Stock","OK stock","OK flow"),IF(COUNTIF($G$4:$G$18,J108),IF(COUNTIF($E$4:$E$18,J108),"OK input","Missing"),"Missing")))</f>
        <v>OK flow</v>
      </c>
      <c r="L108" s="306" t="str">
        <v>Plant protection products</v>
      </c>
      <c r="M108" s="311" t="str">
        <f>IF(COUNTIF(J:J,L108),IF(_xlfn.XLOOKUP(L108,'Compartments_Kawecki&amp;Nowack19'!A:A,'Compartments_Kawecki&amp;Nowack19'!B:B,_xlfn.XLOOKUP(L108,Compartments_Added!A:A,Compartments_Added!B:B))="Stock","OK stock","OK flow"),IF(_xlfn.XLOOKUP(L108,'Compartments_Kawecki&amp;Nowack19'!A:A,'Compartments_Kawecki&amp;Nowack19'!B:B,_xlfn.XLOOKUP(L108,Compartments_Added!A:A,Compartments_Added!B:B))="Sink","OK, Sink","Missing"))</f>
        <v>OK flow</v>
      </c>
      <c r="N108" s="6"/>
      <c r="O108" s="6">
        <f>Lifetimes_pairs!A106</f>
        <v>0</v>
      </c>
      <c r="P108" s="6">
        <f>Lifetimes_pairs!B106</f>
        <v>0</v>
      </c>
      <c r="Q108">
        <f>Lifetimes!DI1</f>
        <v>0</v>
      </c>
      <c r="R108" t="str">
        <f t="shared" si="5"/>
        <v>OK</v>
      </c>
      <c r="AA108" t="s">
        <v>1835</v>
      </c>
    </row>
    <row r="109" spans="10:27">
      <c r="J109" s="306" t="str">
        <v>Road cleaning</v>
      </c>
      <c r="K109" s="311" t="str">
        <f>IF(ISBLANK(J109),"",IF(COUNTIF(L:L,J109),IF(_xlfn.XLOOKUP(J109,'Compartments_Kawecki&amp;Nowack19'!A:A,'Compartments_Kawecki&amp;Nowack19'!B:B,_xlfn.XLOOKUP(J109,Compartments_Added!A:A,Compartments_Added!B:B))="Stock","OK stock","OK flow"),IF(COUNTIF($G$4:$G$18,J109),IF(COUNTIF($E$4:$E$18,J109),"OK input","Missing"),"Missing")))</f>
        <v>OK flow</v>
      </c>
      <c r="L109" s="306" t="str">
        <v>Primary water treatment (macro)</v>
      </c>
      <c r="M109" s="311" t="str">
        <f>IF(COUNTIF(J:J,L109),IF(_xlfn.XLOOKUP(L109,'Compartments_Kawecki&amp;Nowack19'!A:A,'Compartments_Kawecki&amp;Nowack19'!B:B,_xlfn.XLOOKUP(L109,Compartments_Added!A:A,Compartments_Added!B:B))="Stock","OK stock","OK flow"),IF(_xlfn.XLOOKUP(L109,'Compartments_Kawecki&amp;Nowack19'!A:A,'Compartments_Kawecki&amp;Nowack19'!B:B,_xlfn.XLOOKUP(L109,Compartments_Added!A:A,Compartments_Added!B:B))="Sink","OK, Sink","Missing"))</f>
        <v>OK flow</v>
      </c>
      <c r="N109" s="6"/>
      <c r="O109" s="6">
        <f>Lifetimes_pairs!A107</f>
        <v>0</v>
      </c>
      <c r="P109" s="6">
        <f>Lifetimes_pairs!B107</f>
        <v>0</v>
      </c>
      <c r="Q109">
        <f>Lifetimes!DJ1</f>
        <v>0</v>
      </c>
      <c r="R109" t="str">
        <f t="shared" si="5"/>
        <v>OK</v>
      </c>
      <c r="AA109" t="s">
        <v>1836</v>
      </c>
    </row>
    <row r="110" spans="10:27">
      <c r="J110" s="306" t="str">
        <v>Road runoff</v>
      </c>
      <c r="K110" s="311" t="str">
        <f>IF(ISBLANK(J110),"",IF(COUNTIF(L:L,J110),IF(_xlfn.XLOOKUP(J110,'Compartments_Kawecki&amp;Nowack19'!A:A,'Compartments_Kawecki&amp;Nowack19'!B:B,_xlfn.XLOOKUP(J110,Compartments_Added!A:A,Compartments_Added!B:B))="Stock","OK stock","OK flow"),IF(COUNTIF($G$4:$G$18,J110),IF(COUNTIF($E$4:$E$18,J110),"OK input","Missing"),"Missing")))</f>
        <v>OK flow</v>
      </c>
      <c r="L110" s="306" t="str">
        <v>Primary water treatment (micro)</v>
      </c>
      <c r="M110" s="311" t="str">
        <f>IF(COUNTIF(J:J,L110),IF(_xlfn.XLOOKUP(L110,'Compartments_Kawecki&amp;Nowack19'!A:A,'Compartments_Kawecki&amp;Nowack19'!B:B,_xlfn.XLOOKUP(L110,Compartments_Added!A:A,Compartments_Added!B:B))="Stock","OK stock","OK flow"),IF(_xlfn.XLOOKUP(L110,'Compartments_Kawecki&amp;Nowack19'!A:A,'Compartments_Kawecki&amp;Nowack19'!B:B,_xlfn.XLOOKUP(L110,Compartments_Added!A:A,Compartments_Added!B:B))="Sink","OK, Sink","Missing"))</f>
        <v>OK flow</v>
      </c>
      <c r="N110" s="6"/>
      <c r="O110" s="6">
        <f>Lifetimes_pairs!A108</f>
        <v>0</v>
      </c>
      <c r="P110" s="6">
        <f>Lifetimes_pairs!B108</f>
        <v>0</v>
      </c>
      <c r="Q110">
        <f>Lifetimes!DK1</f>
        <v>0</v>
      </c>
      <c r="R110" t="str">
        <f t="shared" si="5"/>
        <v>OK</v>
      </c>
      <c r="AA110" t="s">
        <v>1837</v>
      </c>
    </row>
    <row r="111" spans="10:27">
      <c r="J111" s="306" t="str">
        <v>Rural roads</v>
      </c>
      <c r="K111" s="311" t="str">
        <f>IF(ISBLANK(J111),"",IF(COUNTIF(L:L,J111),IF(_xlfn.XLOOKUP(J111,'Compartments_Kawecki&amp;Nowack19'!A:A,'Compartments_Kawecki&amp;Nowack19'!B:B,_xlfn.XLOOKUP(J111,Compartments_Added!A:A,Compartments_Added!B:B))="Stock","OK stock","OK flow"),IF(COUNTIF($G$4:$G$18,J111),IF(COUNTIF($E$4:$E$18,J111),"OK input","Missing"),"Missing")))</f>
        <v>OK flow</v>
      </c>
      <c r="L111" s="306" t="str">
        <v>Stormwater (macro)</v>
      </c>
      <c r="M111" s="311" t="str">
        <f>IF(COUNTIF(J:J,L111),IF(_xlfn.XLOOKUP(L111,'Compartments_Kawecki&amp;Nowack19'!A:A,'Compartments_Kawecki&amp;Nowack19'!B:B,_xlfn.XLOOKUP(L111,Compartments_Added!A:A,Compartments_Added!B:B))="Stock","OK stock","OK flow"),IF(_xlfn.XLOOKUP(L111,'Compartments_Kawecki&amp;Nowack19'!A:A,'Compartments_Kawecki&amp;Nowack19'!B:B,_xlfn.XLOOKUP(L111,Compartments_Added!A:A,Compartments_Added!B:B))="Sink","OK, Sink","Missing"))</f>
        <v>OK flow</v>
      </c>
      <c r="N111" s="6"/>
      <c r="O111" s="6">
        <f>Lifetimes_pairs!A109</f>
        <v>0</v>
      </c>
      <c r="P111" s="6">
        <f>Lifetimes_pairs!B109</f>
        <v>0</v>
      </c>
      <c r="Q111">
        <f>Lifetimes!DL1</f>
        <v>0</v>
      </c>
      <c r="R111" t="str">
        <f t="shared" si="5"/>
        <v>OK</v>
      </c>
      <c r="AA111" t="s">
        <v>1838</v>
      </c>
    </row>
    <row r="112" spans="10:27">
      <c r="J112" s="306" t="str">
        <v>Tyre wear</v>
      </c>
      <c r="K112" s="311" t="str">
        <f>IF(ISBLANK(J112),"",IF(COUNTIF(L:L,J112),IF(_xlfn.XLOOKUP(J112,'Compartments_Kawecki&amp;Nowack19'!A:A,'Compartments_Kawecki&amp;Nowack19'!B:B,_xlfn.XLOOKUP(J112,Compartments_Added!A:A,Compartments_Added!B:B))="Stock","OK stock","OK flow"),IF(COUNTIF($G$4:$G$18,J112),IF(COUNTIF($E$4:$E$18,J112),"OK input","Missing"),"Missing")))</f>
        <v>OK input</v>
      </c>
      <c r="L112" s="306" t="str">
        <v>Stormwater (micro)</v>
      </c>
      <c r="M112" s="311" t="str">
        <f>IF(COUNTIF(J:J,L112),IF(_xlfn.XLOOKUP(L112,'Compartments_Kawecki&amp;Nowack19'!A:A,'Compartments_Kawecki&amp;Nowack19'!B:B,_xlfn.XLOOKUP(L112,Compartments_Added!A:A,Compartments_Added!B:B))="Stock","OK stock","OK flow"),IF(_xlfn.XLOOKUP(L112,'Compartments_Kawecki&amp;Nowack19'!A:A,'Compartments_Kawecki&amp;Nowack19'!B:B,_xlfn.XLOOKUP(L112,Compartments_Added!A:A,Compartments_Added!B:B))="Sink","OK, Sink","Missing"))</f>
        <v>OK flow</v>
      </c>
      <c r="N112" s="6"/>
      <c r="O112" s="6">
        <f>Lifetimes_pairs!A110</f>
        <v>0</v>
      </c>
      <c r="P112" s="6">
        <f>Lifetimes_pairs!B110</f>
        <v>0</v>
      </c>
      <c r="Q112">
        <f>Lifetimes!DM1</f>
        <v>0</v>
      </c>
      <c r="R112" t="str">
        <f t="shared" si="5"/>
        <v>OK</v>
      </c>
      <c r="AA112" t="s">
        <v>1839</v>
      </c>
    </row>
    <row r="113" spans="10:27">
      <c r="J113" s="306" t="str">
        <v>Primary water treatment (macro)</v>
      </c>
      <c r="K113" s="311" t="str">
        <f>IF(ISBLANK(J113),"",IF(COUNTIF(L:L,J113),IF(_xlfn.XLOOKUP(J113,'Compartments_Kawecki&amp;Nowack19'!A:A,'Compartments_Kawecki&amp;Nowack19'!B:B,_xlfn.XLOOKUP(J113,Compartments_Added!A:A,Compartments_Added!B:B))="Stock","OK stock","OK flow"),IF(COUNTIF($G$4:$G$18,J113),IF(COUNTIF($E$4:$E$18,J113),"OK input","Missing"),"Missing")))</f>
        <v>OK flow</v>
      </c>
      <c r="L113" s="306" t="str">
        <v>Highway</v>
      </c>
      <c r="M113" s="311" t="str">
        <f>IF(COUNTIF(J:J,L113),IF(_xlfn.XLOOKUP(L113,'Compartments_Kawecki&amp;Nowack19'!A:A,'Compartments_Kawecki&amp;Nowack19'!B:B,_xlfn.XLOOKUP(L113,Compartments_Added!A:A,Compartments_Added!B:B))="Stock","OK stock","OK flow"),IF(_xlfn.XLOOKUP(L113,'Compartments_Kawecki&amp;Nowack19'!A:A,'Compartments_Kawecki&amp;Nowack19'!B:B,_xlfn.XLOOKUP(L113,Compartments_Added!A:A,Compartments_Added!B:B))="Sink","OK, Sink","Missing"))</f>
        <v>OK flow</v>
      </c>
      <c r="N113" s="6"/>
      <c r="O113" s="6">
        <f>Lifetimes_pairs!A111</f>
        <v>0</v>
      </c>
      <c r="P113" s="6">
        <f>Lifetimes_pairs!B111</f>
        <v>0</v>
      </c>
      <c r="Q113">
        <f>Lifetimes!DN1</f>
        <v>0</v>
      </c>
      <c r="R113" t="str">
        <f t="shared" si="5"/>
        <v>OK</v>
      </c>
      <c r="AA113" t="s">
        <v>1840</v>
      </c>
    </row>
    <row r="114" spans="10:27">
      <c r="J114" s="306" t="str">
        <v>Primary water treatment (micro)</v>
      </c>
      <c r="K114" s="311" t="str">
        <f>IF(ISBLANK(J114),"",IF(COUNTIF(L:L,J114),IF(_xlfn.XLOOKUP(J114,'Compartments_Kawecki&amp;Nowack19'!A:A,'Compartments_Kawecki&amp;Nowack19'!B:B,_xlfn.XLOOKUP(J114,Compartments_Added!A:A,Compartments_Added!B:B))="Stock","OK stock","OK flow"),IF(COUNTIF($G$4:$G$18,J114),IF(COUNTIF($E$4:$E$18,J114),"OK input","Missing"),"Missing")))</f>
        <v>OK flow</v>
      </c>
      <c r="L114" s="306" t="str">
        <v>Rural roads</v>
      </c>
      <c r="M114" s="311" t="str">
        <f>IF(COUNTIF(J:J,L114),IF(_xlfn.XLOOKUP(L114,'Compartments_Kawecki&amp;Nowack19'!A:A,'Compartments_Kawecki&amp;Nowack19'!B:B,_xlfn.XLOOKUP(L114,Compartments_Added!A:A,Compartments_Added!B:B))="Stock","OK stock","OK flow"),IF(_xlfn.XLOOKUP(L114,'Compartments_Kawecki&amp;Nowack19'!A:A,'Compartments_Kawecki&amp;Nowack19'!B:B,_xlfn.XLOOKUP(L114,Compartments_Added!A:A,Compartments_Added!B:B))="Sink","OK, Sink","Missing"))</f>
        <v>OK flow</v>
      </c>
      <c r="N114" s="6"/>
      <c r="O114" s="6">
        <f>Lifetimes_pairs!A112</f>
        <v>0</v>
      </c>
      <c r="P114" s="6">
        <f>Lifetimes_pairs!B112</f>
        <v>0</v>
      </c>
      <c r="Q114">
        <f>Lifetimes!DO1</f>
        <v>0</v>
      </c>
      <c r="R114" t="str">
        <f t="shared" si="5"/>
        <v>OK</v>
      </c>
      <c r="AA114" t="s">
        <v>1841</v>
      </c>
    </row>
    <row r="115" spans="10:27">
      <c r="J115" s="306" t="str">
        <v>On-site sewage facility (macro)</v>
      </c>
      <c r="K115" s="311" t="str">
        <f>IF(ISBLANK(J115),"",IF(COUNTIF(L:L,J115),IF(_xlfn.XLOOKUP(J115,'Compartments_Kawecki&amp;Nowack19'!A:A,'Compartments_Kawecki&amp;Nowack19'!B:B,_xlfn.XLOOKUP(J115,Compartments_Added!A:A,Compartments_Added!B:B))="Stock","OK stock","OK flow"),IF(COUNTIF($G$4:$G$18,J115),IF(COUNTIF($E$4:$E$18,J115),"OK input","Missing"),"Missing")))</f>
        <v>OK flow</v>
      </c>
      <c r="L115" s="306" t="str">
        <v>Urban roads</v>
      </c>
      <c r="M115" s="311" t="str">
        <f>IF(COUNTIF(J:J,L115),IF(_xlfn.XLOOKUP(L115,'Compartments_Kawecki&amp;Nowack19'!A:A,'Compartments_Kawecki&amp;Nowack19'!B:B,_xlfn.XLOOKUP(L115,Compartments_Added!A:A,Compartments_Added!B:B))="Stock","OK stock","OK flow"),IF(_xlfn.XLOOKUP(L115,'Compartments_Kawecki&amp;Nowack19'!A:A,'Compartments_Kawecki&amp;Nowack19'!B:B,_xlfn.XLOOKUP(L115,Compartments_Added!A:A,Compartments_Added!B:B))="Sink","OK, Sink","Missing"))</f>
        <v>OK flow</v>
      </c>
      <c r="N115" s="6"/>
      <c r="O115" s="6">
        <f>Lifetimes_pairs!A113</f>
        <v>0</v>
      </c>
      <c r="P115" s="6">
        <f>Lifetimes_pairs!B113</f>
        <v>0</v>
      </c>
      <c r="Q115">
        <f>Lifetimes!DP1</f>
        <v>0</v>
      </c>
      <c r="R115" t="str">
        <f t="shared" si="5"/>
        <v>OK</v>
      </c>
      <c r="AA115" t="s">
        <v>1842</v>
      </c>
    </row>
    <row r="116" spans="10:27">
      <c r="J116" s="306" t="str">
        <v>Secondary water treatment (macro)</v>
      </c>
      <c r="K116" s="311" t="str">
        <f>IF(ISBLANK(J116),"",IF(COUNTIF(L:L,J116),IF(_xlfn.XLOOKUP(J116,'Compartments_Kawecki&amp;Nowack19'!A:A,'Compartments_Kawecki&amp;Nowack19'!B:B,_xlfn.XLOOKUP(J116,Compartments_Added!A:A,Compartments_Added!B:B))="Stock","OK stock","OK flow"),IF(COUNTIF($G$4:$G$18,J116),IF(COUNTIF($E$4:$E$18,J116),"OK input","Missing"),"Missing")))</f>
        <v>OK flow</v>
      </c>
      <c r="L116" s="306" t="str">
        <v>Medical textiles</v>
      </c>
      <c r="M116" s="311" t="str">
        <f>IF(COUNTIF(J:J,L116),IF(_xlfn.XLOOKUP(L116,'Compartments_Kawecki&amp;Nowack19'!A:A,'Compartments_Kawecki&amp;Nowack19'!B:B,_xlfn.XLOOKUP(L116,Compartments_Added!A:A,Compartments_Added!B:B))="Stock","OK stock","OK flow"),IF(_xlfn.XLOOKUP(L116,'Compartments_Kawecki&amp;Nowack19'!A:A,'Compartments_Kawecki&amp;Nowack19'!B:B,_xlfn.XLOOKUP(L116,Compartments_Added!A:A,Compartments_Added!B:B))="Sink","OK, Sink","Missing"))</f>
        <v>OK stock</v>
      </c>
      <c r="N116" s="6"/>
      <c r="O116" s="6">
        <f>Lifetimes_pairs!A114</f>
        <v>0</v>
      </c>
      <c r="P116" s="6">
        <f>Lifetimes_pairs!B114</f>
        <v>0</v>
      </c>
      <c r="Q116">
        <f>Lifetimes!DQ1</f>
        <v>0</v>
      </c>
      <c r="R116" t="str">
        <f t="shared" si="5"/>
        <v>OK</v>
      </c>
      <c r="AA116" t="s">
        <v>1843</v>
      </c>
    </row>
    <row r="117" spans="10:27">
      <c r="J117" s="306" t="str">
        <v>On-site sewage facility (micro)</v>
      </c>
      <c r="K117" s="311" t="str">
        <f>IF(ISBLANK(J117),"",IF(COUNTIF(L:L,J117),IF(_xlfn.XLOOKUP(J117,'Compartments_Kawecki&amp;Nowack19'!A:A,'Compartments_Kawecki&amp;Nowack19'!B:B,_xlfn.XLOOKUP(J117,Compartments_Added!A:A,Compartments_Added!B:B))="Stock","OK stock","OK flow"),IF(COUNTIF($G$4:$G$18,J117),IF(COUNTIF($E$4:$E$18,J117),"OK input","Missing"),"Missing")))</f>
        <v>OK flow</v>
      </c>
      <c r="L117" s="306" t="str">
        <v>Secondary water treatment (macro)</v>
      </c>
      <c r="M117" s="311" t="str">
        <f>IF(COUNTIF(J:J,L117),IF(_xlfn.XLOOKUP(L117,'Compartments_Kawecki&amp;Nowack19'!A:A,'Compartments_Kawecki&amp;Nowack19'!B:B,_xlfn.XLOOKUP(L117,Compartments_Added!A:A,Compartments_Added!B:B))="Stock","OK stock","OK flow"),IF(_xlfn.XLOOKUP(L117,'Compartments_Kawecki&amp;Nowack19'!A:A,'Compartments_Kawecki&amp;Nowack19'!B:B,_xlfn.XLOOKUP(L117,Compartments_Added!A:A,Compartments_Added!B:B))="Sink","OK, Sink","Missing"))</f>
        <v>OK flow</v>
      </c>
      <c r="N117" s="6"/>
      <c r="O117" s="6">
        <f>Lifetimes_pairs!A115</f>
        <v>0</v>
      </c>
      <c r="P117" s="6">
        <f>Lifetimes_pairs!B115</f>
        <v>0</v>
      </c>
      <c r="Q117">
        <f>Lifetimes!DR1</f>
        <v>0</v>
      </c>
      <c r="R117" t="str">
        <f t="shared" si="5"/>
        <v>OK</v>
      </c>
      <c r="AA117" t="s">
        <v>1844</v>
      </c>
    </row>
    <row r="118" spans="10:27">
      <c r="J118" s="306" t="str">
        <v>Secondary water treatment (micro)</v>
      </c>
      <c r="K118" s="311" t="str">
        <f>IF(ISBLANK(J118),"",IF(COUNTIF(L:L,J118),IF(_xlfn.XLOOKUP(J118,'Compartments_Kawecki&amp;Nowack19'!A:A,'Compartments_Kawecki&amp;Nowack19'!B:B,_xlfn.XLOOKUP(J118,Compartments_Added!A:A,Compartments_Added!B:B))="Stock","OK stock","OK flow"),IF(COUNTIF($G$4:$G$18,J118),IF(COUNTIF($E$4:$E$18,J118),"OK input","Missing"),"Missing")))</f>
        <v>OK flow</v>
      </c>
      <c r="L118" s="306" t="str">
        <v>Secondary water treatment (micro)</v>
      </c>
      <c r="M118" s="311" t="str">
        <f>IF(COUNTIF(J:J,L118),IF(_xlfn.XLOOKUP(L118,'Compartments_Kawecki&amp;Nowack19'!A:A,'Compartments_Kawecki&amp;Nowack19'!B:B,_xlfn.XLOOKUP(L118,Compartments_Added!A:A,Compartments_Added!B:B))="Stock","OK stock","OK flow"),IF(_xlfn.XLOOKUP(L118,'Compartments_Kawecki&amp;Nowack19'!A:A,'Compartments_Kawecki&amp;Nowack19'!B:B,_xlfn.XLOOKUP(L118,Compartments_Added!A:A,Compartments_Added!B:B))="Sink","OK, Sink","Missing"))</f>
        <v>OK flow</v>
      </c>
      <c r="N118" s="6"/>
      <c r="O118" s="6">
        <f>Lifetimes_pairs!A116</f>
        <v>0</v>
      </c>
      <c r="P118" s="6">
        <f>Lifetimes_pairs!B116</f>
        <v>0</v>
      </c>
      <c r="Q118">
        <f>Lifetimes!DS1</f>
        <v>0</v>
      </c>
      <c r="R118" t="str">
        <f t="shared" si="5"/>
        <v>OK</v>
      </c>
      <c r="AA118" t="s">
        <v>1845</v>
      </c>
    </row>
    <row r="119" spans="10:27">
      <c r="J119" s="306" t="str">
        <v>Litter on road sides</v>
      </c>
      <c r="K119" s="311" t="str">
        <f>IF(ISBLANK(J119),"",IF(COUNTIF(L:L,J119),IF(_xlfn.XLOOKUP(J119,'Compartments_Kawecki&amp;Nowack19'!A:A,'Compartments_Kawecki&amp;Nowack19'!B:B,_xlfn.XLOOKUP(J119,Compartments_Added!A:A,Compartments_Added!B:B))="Stock","OK stock","OK flow"),IF(COUNTIF($G$4:$G$18,J119),IF(COUNTIF($E$4:$E$18,J119),"OK input","Missing"),"Missing")))</f>
        <v>OK flow</v>
      </c>
      <c r="L119" s="306" t="str">
        <v>Seed coating</v>
      </c>
      <c r="M119" s="311" t="str">
        <f>IF(COUNTIF(J:J,L119),IF(_xlfn.XLOOKUP(L119,'Compartments_Kawecki&amp;Nowack19'!A:A,'Compartments_Kawecki&amp;Nowack19'!B:B,_xlfn.XLOOKUP(L119,Compartments_Added!A:A,Compartments_Added!B:B))="Stock","OK stock","OK flow"),IF(_xlfn.XLOOKUP(L119,'Compartments_Kawecki&amp;Nowack19'!A:A,'Compartments_Kawecki&amp;Nowack19'!B:B,_xlfn.XLOOKUP(L119,Compartments_Added!A:A,Compartments_Added!B:B))="Sink","OK, Sink","Missing"))</f>
        <v>OK flow</v>
      </c>
      <c r="N119" s="6"/>
      <c r="O119" s="6">
        <f>Lifetimes_pairs!A117</f>
        <v>0</v>
      </c>
      <c r="P119" s="6">
        <f>Lifetimes_pairs!B117</f>
        <v>0</v>
      </c>
      <c r="Q119">
        <f>Lifetimes!DT1</f>
        <v>0</v>
      </c>
      <c r="R119" t="str">
        <f t="shared" si="5"/>
        <v>OK</v>
      </c>
      <c r="AA119" t="s">
        <v>1846</v>
      </c>
    </row>
    <row r="120" spans="10:27">
      <c r="J120" s="306" t="str">
        <v>Combined sewer overflow (micro)</v>
      </c>
      <c r="K120" s="311" t="str">
        <f>IF(ISBLANK(J120),"",IF(COUNTIF(L:L,J120),IF(_xlfn.XLOOKUP(J120,'Compartments_Kawecki&amp;Nowack19'!A:A,'Compartments_Kawecki&amp;Nowack19'!B:B,_xlfn.XLOOKUP(J120,Compartments_Added!A:A,Compartments_Added!B:B))="Stock","OK stock","OK flow"),IF(COUNTIF($G$4:$G$18,J120),IF(COUNTIF($E$4:$E$18,J120),"OK input","Missing"),"Missing")))</f>
        <v>OK flow</v>
      </c>
      <c r="L120" s="306" t="str">
        <v>Sludge (macro)</v>
      </c>
      <c r="M120" s="311" t="str">
        <f>IF(COUNTIF(J:J,L120),IF(_xlfn.XLOOKUP(L120,'Compartments_Kawecki&amp;Nowack19'!A:A,'Compartments_Kawecki&amp;Nowack19'!B:B,_xlfn.XLOOKUP(L120,Compartments_Added!A:A,Compartments_Added!B:B))="Stock","OK stock","OK flow"),IF(_xlfn.XLOOKUP(L120,'Compartments_Kawecki&amp;Nowack19'!A:A,'Compartments_Kawecki&amp;Nowack19'!B:B,_xlfn.XLOOKUP(L120,Compartments_Added!A:A,Compartments_Added!B:B))="Sink","OK, Sink","Missing"))</f>
        <v>OK flow</v>
      </c>
      <c r="N120" s="6"/>
      <c r="O120" s="6">
        <f>Lifetimes_pairs!A118</f>
        <v>0</v>
      </c>
      <c r="P120" s="6">
        <f>Lifetimes_pairs!B118</f>
        <v>0</v>
      </c>
      <c r="Q120">
        <f>Lifetimes!DU1</f>
        <v>0</v>
      </c>
      <c r="R120" t="str">
        <f t="shared" si="5"/>
        <v>OK</v>
      </c>
      <c r="AA120" t="s">
        <v>1847</v>
      </c>
    </row>
    <row r="121" spans="10:27">
      <c r="J121" s="306" t="str">
        <v>Urban roads</v>
      </c>
      <c r="K121" s="311" t="str">
        <f>IF(ISBLANK(J121),"",IF(COUNTIF(L:L,J121),IF(_xlfn.XLOOKUP(J121,'Compartments_Kawecki&amp;Nowack19'!A:A,'Compartments_Kawecki&amp;Nowack19'!B:B,_xlfn.XLOOKUP(J121,Compartments_Added!A:A,Compartments_Added!B:B))="Stock","OK stock","OK flow"),IF(COUNTIF($G$4:$G$18,J121),IF(COUNTIF($E$4:$E$18,J121),"OK input","Missing"),"Missing")))</f>
        <v>OK flow</v>
      </c>
      <c r="L121" s="306" t="str">
        <v>Sludge (micro)</v>
      </c>
      <c r="M121" s="311" t="str">
        <f>IF(COUNTIF(J:J,L121),IF(_xlfn.XLOOKUP(L121,'Compartments_Kawecki&amp;Nowack19'!A:A,'Compartments_Kawecki&amp;Nowack19'!B:B,_xlfn.XLOOKUP(L121,Compartments_Added!A:A,Compartments_Added!B:B))="Stock","OK stock","OK flow"),IF(_xlfn.XLOOKUP(L121,'Compartments_Kawecki&amp;Nowack19'!A:A,'Compartments_Kawecki&amp;Nowack19'!B:B,_xlfn.XLOOKUP(L121,Compartments_Added!A:A,Compartments_Added!B:B))="Sink","OK, Sink","Missing"))</f>
        <v>OK flow</v>
      </c>
      <c r="N121" s="6"/>
      <c r="O121" s="6">
        <f>Lifetimes_pairs!A119</f>
        <v>0</v>
      </c>
      <c r="P121" s="6">
        <f>Lifetimes_pairs!B119</f>
        <v>0</v>
      </c>
      <c r="Q121">
        <f>Lifetimes!DV1</f>
        <v>0</v>
      </c>
      <c r="R121" t="str">
        <f t="shared" si="5"/>
        <v>OK</v>
      </c>
      <c r="AA121" t="s">
        <v>1848</v>
      </c>
    </row>
    <row r="122" spans="10:27">
      <c r="J122" s="306" t="str">
        <v>Offshore oil &amp; gas applications</v>
      </c>
      <c r="K122" s="311" t="str">
        <f>IF(ISBLANK(J122),"",IF(COUNTIF(L:L,J122),IF(_xlfn.XLOOKUP(J122,'Compartments_Kawecki&amp;Nowack19'!A:A,'Compartments_Kawecki&amp;Nowack19'!B:B,_xlfn.XLOOKUP(J122,Compartments_Added!A:A,Compartments_Added!B:B))="Stock","OK stock","OK flow"),IF(COUNTIF($G$4:$G$18,J122),IF(COUNTIF($E$4:$E$18,J122),"OK input","Missing"),"Missing")))</f>
        <v>OK flow</v>
      </c>
      <c r="L122" s="306" t="str">
        <v>Textile recycling</v>
      </c>
      <c r="M122" s="311" t="str">
        <f>IF(COUNTIF(J:J,L122),IF(_xlfn.XLOOKUP(L122,'Compartments_Kawecki&amp;Nowack19'!A:A,'Compartments_Kawecki&amp;Nowack19'!B:B,_xlfn.XLOOKUP(L122,Compartments_Added!A:A,Compartments_Added!B:B))="Stock","OK stock","OK flow"),IF(_xlfn.XLOOKUP(L122,'Compartments_Kawecki&amp;Nowack19'!A:A,'Compartments_Kawecki&amp;Nowack19'!B:B,_xlfn.XLOOKUP(L122,Compartments_Added!A:A,Compartments_Added!B:B))="Sink","OK, Sink","Missing"))</f>
        <v>OK flow</v>
      </c>
      <c r="N122" s="6"/>
      <c r="O122" s="6">
        <f>Lifetimes_pairs!A120</f>
        <v>0</v>
      </c>
      <c r="P122" s="6">
        <f>Lifetimes_pairs!B120</f>
        <v>0</v>
      </c>
      <c r="Q122">
        <f>Lifetimes!DW1</f>
        <v>0</v>
      </c>
      <c r="R122" t="str">
        <f t="shared" si="5"/>
        <v>OK</v>
      </c>
      <c r="AA122" t="s">
        <v>1849</v>
      </c>
    </row>
    <row r="123" spans="10:27">
      <c r="J123" s="306" t="str">
        <v>Textile coating</v>
      </c>
      <c r="K123" s="311" t="str">
        <f>IF(ISBLANK(J123),"",IF(COUNTIF(L:L,J123),IF(_xlfn.XLOOKUP(J123,'Compartments_Kawecki&amp;Nowack19'!A:A,'Compartments_Kawecki&amp;Nowack19'!B:B,_xlfn.XLOOKUP(J123,Compartments_Added!A:A,Compartments_Added!B:B))="Stock","OK stock","OK flow"),IF(COUNTIF($G$4:$G$18,J123),IF(COUNTIF($E$4:$E$18,J123),"OK input","Missing"),"Missing")))</f>
        <v>OK flow</v>
      </c>
      <c r="L123" s="306" t="str">
        <v>Road side soil (macro)</v>
      </c>
      <c r="M123" s="311" t="str">
        <f>IF(COUNTIF(J:J,L123),IF(_xlfn.XLOOKUP(L123,'Compartments_Kawecki&amp;Nowack19'!A:A,'Compartments_Kawecki&amp;Nowack19'!B:B,_xlfn.XLOOKUP(L123,Compartments_Added!A:A,Compartments_Added!B:B))="Stock","OK stock","OK flow"),IF(_xlfn.XLOOKUP(L123,'Compartments_Kawecki&amp;Nowack19'!A:A,'Compartments_Kawecki&amp;Nowack19'!B:B,_xlfn.XLOOKUP(L123,Compartments_Added!A:A,Compartments_Added!B:B))="Sink","OK, Sink","Missing"))</f>
        <v>OK, Sink</v>
      </c>
      <c r="N123" s="6"/>
      <c r="O123" s="6">
        <f>Lifetimes_pairs!A121</f>
        <v>0</v>
      </c>
      <c r="P123" s="6">
        <f>Lifetimes_pairs!B121</f>
        <v>0</v>
      </c>
      <c r="Q123">
        <f>Lifetimes!DX1</f>
        <v>0</v>
      </c>
      <c r="R123" t="str">
        <f t="shared" si="5"/>
        <v>OK</v>
      </c>
      <c r="AA123" t="s">
        <v>1850</v>
      </c>
    </row>
    <row r="124" spans="10:27">
      <c r="J124" s="306" t="str">
        <v>Textile recycling</v>
      </c>
      <c r="K124" s="311" t="str">
        <f>IF(ISBLANK(J124),"",IF(COUNTIF(L:L,J124),IF(_xlfn.XLOOKUP(J124,'Compartments_Kawecki&amp;Nowack19'!A:A,'Compartments_Kawecki&amp;Nowack19'!B:B,_xlfn.XLOOKUP(J124,Compartments_Added!A:A,Compartments_Added!B:B))="Stock","OK stock","OK flow"),IF(COUNTIF($G$4:$G$18,J124),IF(COUNTIF($E$4:$E$18,J124),"OK input","Missing"),"Missing")))</f>
        <v>OK flow</v>
      </c>
      <c r="L124" s="306" t="str">
        <v>Road runoff</v>
      </c>
      <c r="M124" s="311" t="str">
        <f>IF(COUNTIF(J:J,L124),IF(_xlfn.XLOOKUP(L124,'Compartments_Kawecki&amp;Nowack19'!A:A,'Compartments_Kawecki&amp;Nowack19'!B:B,_xlfn.XLOOKUP(L124,Compartments_Added!A:A,Compartments_Added!B:B))="Stock","OK stock","OK flow"),IF(_xlfn.XLOOKUP(L124,'Compartments_Kawecki&amp;Nowack19'!A:A,'Compartments_Kawecki&amp;Nowack19'!B:B,_xlfn.XLOOKUP(L124,Compartments_Added!A:A,Compartments_Added!B:B))="Sink","OK, Sink","Missing"))</f>
        <v>OK flow</v>
      </c>
      <c r="N124" s="6"/>
      <c r="O124" s="6">
        <f>Lifetimes_pairs!A122</f>
        <v>0</v>
      </c>
      <c r="P124" s="6">
        <f>Lifetimes_pairs!B122</f>
        <v>0</v>
      </c>
      <c r="Q124">
        <f>Lifetimes!DY1</f>
        <v>0</v>
      </c>
      <c r="R124" t="str">
        <f t="shared" si="5"/>
        <v>OK</v>
      </c>
      <c r="AA124" t="s">
        <v>1851</v>
      </c>
    </row>
    <row r="125" spans="10:27">
      <c r="J125" s="306" t="str">
        <v>Pellet losses transport land</v>
      </c>
      <c r="K125" s="311" t="str">
        <f>IF(ISBLANK(J125),"",IF(COUNTIF(L:L,J125),IF(_xlfn.XLOOKUP(J125,'Compartments_Kawecki&amp;Nowack19'!A:A,'Compartments_Kawecki&amp;Nowack19'!B:B,_xlfn.XLOOKUP(J125,Compartments_Added!A:A,Compartments_Added!B:B))="Stock","OK stock","OK flow"),IF(COUNTIF($G$4:$G$18,J125),IF(COUNTIF($E$4:$E$18,J125),"OK input","Missing"),"Missing")))</f>
        <v>OK flow</v>
      </c>
      <c r="L125" s="306" t="str">
        <v>Mobility textiles</v>
      </c>
      <c r="M125" s="311" t="str">
        <f>IF(COUNTIF(J:J,L125),IF(_xlfn.XLOOKUP(L125,'Compartments_Kawecki&amp;Nowack19'!A:A,'Compartments_Kawecki&amp;Nowack19'!B:B,_xlfn.XLOOKUP(L125,Compartments_Added!A:A,Compartments_Added!B:B))="Stock","OK stock","OK flow"),IF(_xlfn.XLOOKUP(L125,'Compartments_Kawecki&amp;Nowack19'!A:A,'Compartments_Kawecki&amp;Nowack19'!B:B,_xlfn.XLOOKUP(L125,Compartments_Added!A:A,Compartments_Added!B:B))="Sink","OK, Sink","Missing"))</f>
        <v>OK stock</v>
      </c>
      <c r="N125" s="6"/>
      <c r="O125" s="6">
        <f>Lifetimes_pairs!A123</f>
        <v>0</v>
      </c>
      <c r="P125" s="6">
        <f>Lifetimes_pairs!B123</f>
        <v>0</v>
      </c>
      <c r="Q125">
        <f>Lifetimes!DZ1</f>
        <v>0</v>
      </c>
      <c r="R125" t="str">
        <f t="shared" si="5"/>
        <v>OK</v>
      </c>
      <c r="AA125" t="s">
        <v>1852</v>
      </c>
    </row>
    <row r="126" spans="10:27">
      <c r="J126" s="306" t="str">
        <v>Pellet losses industrial plants</v>
      </c>
      <c r="K126" s="311" t="str">
        <f>IF(ISBLANK(J126),"",IF(COUNTIF(L:L,J126),IF(_xlfn.XLOOKUP(J126,'Compartments_Kawecki&amp;Nowack19'!A:A,'Compartments_Kawecki&amp;Nowack19'!B:B,_xlfn.XLOOKUP(J126,Compartments_Added!A:A,Compartments_Added!B:B))="Stock","OK stock","OK flow"),IF(COUNTIF($G$4:$G$18,J126),IF(COUNTIF($E$4:$E$18,J126),"OK input","Missing"),"Missing")))</f>
        <v>OK flow</v>
      </c>
      <c r="L126" s="306" t="str">
        <v>Other technical textiles</v>
      </c>
      <c r="M126" s="311" t="str">
        <f>IF(COUNTIF(J:J,L126),IF(_xlfn.XLOOKUP(L126,'Compartments_Kawecki&amp;Nowack19'!A:A,'Compartments_Kawecki&amp;Nowack19'!B:B,_xlfn.XLOOKUP(L126,Compartments_Added!A:A,Compartments_Added!B:B))="Stock","OK stock","OK flow"),IF(_xlfn.XLOOKUP(L126,'Compartments_Kawecki&amp;Nowack19'!A:A,'Compartments_Kawecki&amp;Nowack19'!B:B,_xlfn.XLOOKUP(L126,Compartments_Added!A:A,Compartments_Added!B:B))="Sink","OK, Sink","Missing"))</f>
        <v>OK stock</v>
      </c>
      <c r="N126" s="6"/>
      <c r="O126" s="6">
        <f>Lifetimes_pairs!A124</f>
        <v>0</v>
      </c>
      <c r="P126" s="6">
        <f>Lifetimes_pairs!B124</f>
        <v>0</v>
      </c>
      <c r="Q126">
        <f>Lifetimes!EA1</f>
        <v>0</v>
      </c>
      <c r="R126" t="str">
        <f t="shared" si="5"/>
        <v>OK</v>
      </c>
      <c r="AA126" t="s">
        <v>1853</v>
      </c>
    </row>
    <row r="127" spans="10:27">
      <c r="J127" s="306" t="str">
        <v>Paint</v>
      </c>
      <c r="K127" s="311" t="str">
        <f>IF(ISBLANK(J127),"",IF(COUNTIF(L:L,J127),IF(_xlfn.XLOOKUP(J127,'Compartments_Kawecki&amp;Nowack19'!A:A,'Compartments_Kawecki&amp;Nowack19'!B:B,_xlfn.XLOOKUP(J127,Compartments_Added!A:A,Compartments_Added!B:B))="Stock","OK stock","OK flow"),IF(COUNTIF($G$4:$G$18,J127),IF(COUNTIF($E$4:$E$18,J127),"OK input","Missing"),"Missing")))</f>
        <v>OK input</v>
      </c>
      <c r="L127" s="306" t="str">
        <v>Tertiary water treatment (macro)</v>
      </c>
      <c r="M127" s="311" t="str">
        <f>IF(COUNTIF(J:J,L127),IF(_xlfn.XLOOKUP(L127,'Compartments_Kawecki&amp;Nowack19'!A:A,'Compartments_Kawecki&amp;Nowack19'!B:B,_xlfn.XLOOKUP(L127,Compartments_Added!A:A,Compartments_Added!B:B))="Stock","OK stock","OK flow"),IF(_xlfn.XLOOKUP(L127,'Compartments_Kawecki&amp;Nowack19'!A:A,'Compartments_Kawecki&amp;Nowack19'!B:B,_xlfn.XLOOKUP(L127,Compartments_Added!A:A,Compartments_Added!B:B))="Sink","OK, Sink","Missing"))</f>
        <v>OK flow</v>
      </c>
      <c r="N127" s="6"/>
      <c r="O127" s="6">
        <f>Lifetimes_pairs!A125</f>
        <v>0</v>
      </c>
      <c r="P127" s="6">
        <f>Lifetimes_pairs!B125</f>
        <v>0</v>
      </c>
      <c r="Q127">
        <f>Lifetimes!EB1</f>
        <v>0</v>
      </c>
      <c r="R127" t="str">
        <f t="shared" si="5"/>
        <v>OK</v>
      </c>
      <c r="AA127" t="s">
        <v>1854</v>
      </c>
    </row>
    <row r="128" spans="10:27">
      <c r="J128" s="306" t="str">
        <v>Ship paint (prof)</v>
      </c>
      <c r="K128" s="311" t="str">
        <f>IF(ISBLANK(J128),"",IF(COUNTIF(L:L,J128),IF(_xlfn.XLOOKUP(J128,'Compartments_Kawecki&amp;Nowack19'!A:A,'Compartments_Kawecki&amp;Nowack19'!B:B,_xlfn.XLOOKUP(J128,Compartments_Added!A:A,Compartments_Added!B:B))="Stock","OK stock","OK flow"),IF(COUNTIF($G$4:$G$18,J128),IF(COUNTIF($E$4:$E$18,J128),"OK input","Missing"),"Missing")))</f>
        <v>OK flow</v>
      </c>
      <c r="L128" s="306" t="str">
        <v>Tertiary water treatment (micro)</v>
      </c>
      <c r="M128" s="311" t="str">
        <f>IF(COUNTIF(J:J,L128),IF(_xlfn.XLOOKUP(L128,'Compartments_Kawecki&amp;Nowack19'!A:A,'Compartments_Kawecki&amp;Nowack19'!B:B,_xlfn.XLOOKUP(L128,Compartments_Added!A:A,Compartments_Added!B:B))="Stock","OK stock","OK flow"),IF(_xlfn.XLOOKUP(L128,'Compartments_Kawecki&amp;Nowack19'!A:A,'Compartments_Kawecki&amp;Nowack19'!B:B,_xlfn.XLOOKUP(L128,Compartments_Added!A:A,Compartments_Added!B:B))="Sink","OK, Sink","Missing"))</f>
        <v>OK flow</v>
      </c>
      <c r="N128" s="6"/>
      <c r="O128" s="6">
        <f>Lifetimes_pairs!A126</f>
        <v>0</v>
      </c>
      <c r="P128" s="6">
        <f>Lifetimes_pairs!B126</f>
        <v>0</v>
      </c>
      <c r="Q128">
        <f>Lifetimes!EC1</f>
        <v>0</v>
      </c>
      <c r="R128" t="str">
        <f t="shared" si="5"/>
        <v>OK</v>
      </c>
      <c r="AA128" t="s">
        <v>1855</v>
      </c>
    </row>
    <row r="129" spans="10:27">
      <c r="J129" s="306" t="str">
        <v>Ship paint (prof) (in use)</v>
      </c>
      <c r="K129" s="311" t="str">
        <f>IF(ISBLANK(J129),"",IF(COUNTIF(L:L,J129),IF(_xlfn.XLOOKUP(J129,'Compartments_Kawecki&amp;Nowack19'!A:A,'Compartments_Kawecki&amp;Nowack19'!B:B,_xlfn.XLOOKUP(J129,Compartments_Added!A:A,Compartments_Added!B:B))="Stock","OK stock","OK flow"),IF(COUNTIF($G$4:$G$18,J129),IF(COUNTIF($E$4:$E$18,J129),"OK input","Missing"),"Missing")))</f>
        <v>OK stock</v>
      </c>
      <c r="L129" s="306" t="str">
        <v>Technical home textiles</v>
      </c>
      <c r="M129" s="311" t="str">
        <f>IF(COUNTIF(J:J,L129),IF(_xlfn.XLOOKUP(L129,'Compartments_Kawecki&amp;Nowack19'!A:A,'Compartments_Kawecki&amp;Nowack19'!B:B,_xlfn.XLOOKUP(L129,Compartments_Added!A:A,Compartments_Added!B:B))="Stock","OK stock","OK flow"),IF(_xlfn.XLOOKUP(L129,'Compartments_Kawecki&amp;Nowack19'!A:A,'Compartments_Kawecki&amp;Nowack19'!B:B,_xlfn.XLOOKUP(L129,Compartments_Added!A:A,Compartments_Added!B:B))="Sink","OK, Sink","Missing"))</f>
        <v>OK flow</v>
      </c>
      <c r="N129" s="6"/>
      <c r="O129" s="6">
        <f>Lifetimes_pairs!A127</f>
        <v>0</v>
      </c>
      <c r="P129" s="6">
        <f>Lifetimes_pairs!B127</f>
        <v>0</v>
      </c>
      <c r="Q129">
        <f>Lifetimes!ED1</f>
        <v>0</v>
      </c>
      <c r="R129" t="str">
        <f t="shared" si="5"/>
        <v>OK</v>
      </c>
      <c r="AA129" t="s">
        <v>1856</v>
      </c>
    </row>
    <row r="130" spans="10:27">
      <c r="J130" s="306" t="str">
        <v>Ship paint (recr)</v>
      </c>
      <c r="K130" s="311" t="str">
        <f>IF(ISBLANK(J130),"",IF(COUNTIF(L:L,J130),IF(_xlfn.XLOOKUP(J130,'Compartments_Kawecki&amp;Nowack19'!A:A,'Compartments_Kawecki&amp;Nowack19'!B:B,_xlfn.XLOOKUP(J130,Compartments_Added!A:A,Compartments_Added!B:B))="Stock","OK stock","OK flow"),IF(COUNTIF($G$4:$G$18,J130),IF(COUNTIF($E$4:$E$18,J130),"OK input","Missing"),"Missing")))</f>
        <v>OK flow</v>
      </c>
      <c r="L130" s="306" t="str">
        <v>Textile coating (discarded)</v>
      </c>
      <c r="M130" s="311" t="str">
        <f>IF(COUNTIF(J:J,L130),IF(_xlfn.XLOOKUP(L130,'Compartments_Kawecki&amp;Nowack19'!A:A,'Compartments_Kawecki&amp;Nowack19'!B:B,_xlfn.XLOOKUP(L130,Compartments_Added!A:A,Compartments_Added!B:B))="Stock","OK stock","OK flow"),IF(_xlfn.XLOOKUP(L130,'Compartments_Kawecki&amp;Nowack19'!A:A,'Compartments_Kawecki&amp;Nowack19'!B:B,_xlfn.XLOOKUP(L130,Compartments_Added!A:A,Compartments_Added!B:B))="Sink","OK, Sink","Missing"))</f>
        <v>OK stock</v>
      </c>
      <c r="N130" s="6"/>
      <c r="O130" s="6">
        <f>Lifetimes_pairs!A128</f>
        <v>0</v>
      </c>
      <c r="P130" s="6">
        <f>Lifetimes_pairs!B128</f>
        <v>0</v>
      </c>
      <c r="Q130">
        <f>Lifetimes!EE1</f>
        <v>0</v>
      </c>
      <c r="R130" t="str">
        <f t="shared" si="5"/>
        <v>OK</v>
      </c>
      <c r="AA130" t="s">
        <v>1857</v>
      </c>
    </row>
    <row r="131" spans="10:27">
      <c r="J131" s="306" t="str">
        <v>Ship paint (recr) (in use)</v>
      </c>
      <c r="K131" s="311" t="str">
        <f>IF(ISBLANK(J131),"",IF(COUNTIF(L:L,J131),IF(_xlfn.XLOOKUP(J131,'Compartments_Kawecki&amp;Nowack19'!A:A,'Compartments_Kawecki&amp;Nowack19'!B:B,_xlfn.XLOOKUP(J131,Compartments_Added!A:A,Compartments_Added!B:B))="Stock","OK stock","OK flow"),IF(COUNTIF($G$4:$G$18,J131),IF(COUNTIF($E$4:$E$18,J131),"OK input","Missing"),"Missing")))</f>
        <v>OK stock</v>
      </c>
      <c r="L131" s="306" t="str">
        <v>Textile coating (in use)</v>
      </c>
      <c r="M131" s="311" t="str">
        <f>IF(COUNTIF(J:J,L131),IF(_xlfn.XLOOKUP(L131,'Compartments_Kawecki&amp;Nowack19'!A:A,'Compartments_Kawecki&amp;Nowack19'!B:B,_xlfn.XLOOKUP(L131,Compartments_Added!A:A,Compartments_Added!B:B))="Stock","OK stock","OK flow"),IF(_xlfn.XLOOKUP(L131,'Compartments_Kawecki&amp;Nowack19'!A:A,'Compartments_Kawecki&amp;Nowack19'!B:B,_xlfn.XLOOKUP(L131,Compartments_Added!A:A,Compartments_Added!B:B))="Sink","OK, Sink","Missing"))</f>
        <v>OK stock</v>
      </c>
      <c r="N131" s="6"/>
      <c r="O131" s="6">
        <f>Lifetimes_pairs!A129</f>
        <v>0</v>
      </c>
      <c r="P131" s="6">
        <f>Lifetimes_pairs!B129</f>
        <v>0</v>
      </c>
      <c r="Q131">
        <f>Lifetimes!EF1</f>
        <v>0</v>
      </c>
      <c r="R131" t="str">
        <f t="shared" si="5"/>
        <v>OK</v>
      </c>
      <c r="AA131" t="s">
        <v>1858</v>
      </c>
    </row>
    <row r="132" spans="10:27">
      <c r="J132" s="306" t="str">
        <v>Ship paint (prof) (discarded)</v>
      </c>
      <c r="K132" s="311" t="str">
        <f>IF(ISBLANK(J132),"",IF(COUNTIF(L:L,J132),IF(_xlfn.XLOOKUP(J132,'Compartments_Kawecki&amp;Nowack19'!A:A,'Compartments_Kawecki&amp;Nowack19'!B:B,_xlfn.XLOOKUP(J132,Compartments_Added!A:A,Compartments_Added!B:B))="Stock","OK stock","OK flow"),IF(COUNTIF($G$4:$G$18,J132),IF(COUNTIF($E$4:$E$18,J132),"OK input","Missing"),"Missing")))</f>
        <v>OK stock</v>
      </c>
      <c r="L132" s="306" t="str">
        <v>Textile reuse</v>
      </c>
      <c r="M132" s="311" t="str">
        <f>IF(COUNTIF(J:J,L132),IF(_xlfn.XLOOKUP(L132,'Compartments_Kawecki&amp;Nowack19'!A:A,'Compartments_Kawecki&amp;Nowack19'!B:B,_xlfn.XLOOKUP(L132,Compartments_Added!A:A,Compartments_Added!B:B))="Stock","OK stock","OK flow"),IF(_xlfn.XLOOKUP(L132,'Compartments_Kawecki&amp;Nowack19'!A:A,'Compartments_Kawecki&amp;Nowack19'!B:B,_xlfn.XLOOKUP(L132,Compartments_Added!A:A,Compartments_Added!B:B))="Sink","OK, Sink","Missing"))</f>
        <v>OK, Sink</v>
      </c>
      <c r="N132" s="6"/>
      <c r="O132" s="6">
        <f>Lifetimes_pairs!A130</f>
        <v>0</v>
      </c>
      <c r="P132" s="6">
        <f>Lifetimes_pairs!B130</f>
        <v>0</v>
      </c>
      <c r="Q132">
        <f>Lifetimes!EG1</f>
        <v>0</v>
      </c>
      <c r="R132" t="str">
        <f t="shared" si="5"/>
        <v>OK</v>
      </c>
      <c r="AA132" t="s">
        <v>1859</v>
      </c>
    </row>
    <row r="133" spans="10:27">
      <c r="J133" s="306" t="str">
        <v>Ship paint (recr) (discarded)</v>
      </c>
      <c r="K133" s="311" t="str">
        <f>IF(ISBLANK(J133),"",IF(COUNTIF(L:L,J133),IF(_xlfn.XLOOKUP(J133,'Compartments_Kawecki&amp;Nowack19'!A:A,'Compartments_Kawecki&amp;Nowack19'!B:B,_xlfn.XLOOKUP(J133,Compartments_Added!A:A,Compartments_Added!B:B))="Stock","OK stock","OK flow"),IF(COUNTIF($G$4:$G$18,J133),IF(COUNTIF($E$4:$E$18,J133),"OK input","Missing"),"Missing")))</f>
        <v>OK stock</v>
      </c>
      <c r="L133" s="306" t="str">
        <v>Wastewater (macro)</v>
      </c>
      <c r="M133" s="311" t="str">
        <f>IF(COUNTIF(J:J,L133),IF(_xlfn.XLOOKUP(L133,'Compartments_Kawecki&amp;Nowack19'!A:A,'Compartments_Kawecki&amp;Nowack19'!B:B,_xlfn.XLOOKUP(L133,Compartments_Added!A:A,Compartments_Added!B:B))="Stock","OK stock","OK flow"),IF(_xlfn.XLOOKUP(L133,'Compartments_Kawecki&amp;Nowack19'!A:A,'Compartments_Kawecki&amp;Nowack19'!B:B,_xlfn.XLOOKUP(L133,Compartments_Added!A:A,Compartments_Added!B:B))="Sink","OK, Sink","Missing"))</f>
        <v>OK flow</v>
      </c>
      <c r="N133" s="6"/>
      <c r="O133" s="6">
        <f>Lifetimes_pairs!A131</f>
        <v>0</v>
      </c>
      <c r="P133" s="6">
        <f>Lifetimes_pairs!B131</f>
        <v>0</v>
      </c>
      <c r="Q133">
        <f>Lifetimes!EH1</f>
        <v>0</v>
      </c>
      <c r="R133" t="str">
        <f t="shared" ref="R133:R196" si="6">IF(COUNTIF(P:P,Q133), "OK", "Missing")</f>
        <v>OK</v>
      </c>
      <c r="AA133" t="s">
        <v>1860</v>
      </c>
    </row>
    <row r="134" spans="10:27">
      <c r="J134" s="306" t="str">
        <v>Concrete paint (prof)</v>
      </c>
      <c r="K134" s="311" t="str">
        <f>IF(ISBLANK(J134),"",IF(COUNTIF(L:L,J134),IF(_xlfn.XLOOKUP(J134,'Compartments_Kawecki&amp;Nowack19'!A:A,'Compartments_Kawecki&amp;Nowack19'!B:B,_xlfn.XLOOKUP(J134,Compartments_Added!A:A,Compartments_Added!B:B))="Stock","OK stock","OK flow"),IF(COUNTIF($G$4:$G$18,J134),IF(COUNTIF($E$4:$E$18,J134),"OK input","Missing"),"Missing")))</f>
        <v>OK flow</v>
      </c>
      <c r="L134" s="306" t="str">
        <v>Pellet conversion</v>
      </c>
      <c r="M134" s="311" t="str">
        <f>IF(COUNTIF(J:J,L134),IF(_xlfn.XLOOKUP(L134,'Compartments_Kawecki&amp;Nowack19'!A:A,'Compartments_Kawecki&amp;Nowack19'!B:B,_xlfn.XLOOKUP(L134,Compartments_Added!A:A,Compartments_Added!B:B))="Stock","OK stock","OK flow"),IF(_xlfn.XLOOKUP(L134,'Compartments_Kawecki&amp;Nowack19'!A:A,'Compartments_Kawecki&amp;Nowack19'!B:B,_xlfn.XLOOKUP(L134,Compartments_Added!A:A,Compartments_Added!B:B))="Sink","OK, Sink","Missing"))</f>
        <v>OK flow</v>
      </c>
      <c r="N134" s="6"/>
      <c r="O134" s="6">
        <f>Lifetimes_pairs!A132</f>
        <v>0</v>
      </c>
      <c r="P134" s="6">
        <f>Lifetimes_pairs!B132</f>
        <v>0</v>
      </c>
      <c r="Q134">
        <f>Lifetimes!EI1</f>
        <v>0</v>
      </c>
      <c r="R134" t="str">
        <f t="shared" si="6"/>
        <v>OK</v>
      </c>
      <c r="AA134" t="s">
        <v>1861</v>
      </c>
    </row>
    <row r="135" spans="10:27">
      <c r="J135" s="306" t="str">
        <v>Concrete paint (prof) outdoor</v>
      </c>
      <c r="K135" s="311" t="str">
        <f>IF(ISBLANK(J135),"",IF(COUNTIF(L:L,J135),IF(_xlfn.XLOOKUP(J135,'Compartments_Kawecki&amp;Nowack19'!A:A,'Compartments_Kawecki&amp;Nowack19'!B:B,_xlfn.XLOOKUP(J135,Compartments_Added!A:A,Compartments_Added!B:B))="Stock","OK stock","OK flow"),IF(COUNTIF($G$4:$G$18,J135),IF(COUNTIF($E$4:$E$18,J135),"OK input","Missing"),"Missing")))</f>
        <v>OK flow</v>
      </c>
      <c r="L135" s="306" t="str">
        <v>Textile coating</v>
      </c>
      <c r="M135" s="311" t="str">
        <f>IF(COUNTIF(J:J,L135),IF(_xlfn.XLOOKUP(L135,'Compartments_Kawecki&amp;Nowack19'!A:A,'Compartments_Kawecki&amp;Nowack19'!B:B,_xlfn.XLOOKUP(L135,Compartments_Added!A:A,Compartments_Added!B:B))="Stock","OK stock","OK flow"),IF(_xlfn.XLOOKUP(L135,'Compartments_Kawecki&amp;Nowack19'!A:A,'Compartments_Kawecki&amp;Nowack19'!B:B,_xlfn.XLOOKUP(L135,Compartments_Added!A:A,Compartments_Added!B:B))="Sink","OK, Sink","Missing"))</f>
        <v>OK flow</v>
      </c>
      <c r="N135" s="6"/>
      <c r="O135" s="6">
        <f>Lifetimes_pairs!A133</f>
        <v>0</v>
      </c>
      <c r="P135" s="6">
        <f>Lifetimes_pairs!B133</f>
        <v>0</v>
      </c>
      <c r="Q135">
        <f>Lifetimes!EJ1</f>
        <v>0</v>
      </c>
      <c r="R135" t="str">
        <f t="shared" si="6"/>
        <v>OK</v>
      </c>
      <c r="AA135" t="s">
        <v>1862</v>
      </c>
    </row>
    <row r="136" spans="10:27">
      <c r="J136" s="306" t="str">
        <v>Concrete paint (prof) outdoor (in use)</v>
      </c>
      <c r="K136" s="311" t="str">
        <f>IF(ISBLANK(J136),"",IF(COUNTIF(L:L,J136),IF(_xlfn.XLOOKUP(J136,'Compartments_Kawecki&amp;Nowack19'!A:A,'Compartments_Kawecki&amp;Nowack19'!B:B,_xlfn.XLOOKUP(J136,Compartments_Added!A:A,Compartments_Added!B:B))="Stock","OK stock","OK flow"),IF(COUNTIF($G$4:$G$18,J136),IF(COUNTIF($E$4:$E$18,J136),"OK input","Missing"),"Missing")))</f>
        <v>OK stock</v>
      </c>
      <c r="L136" s="306" t="str">
        <v>Pellet losses transport land</v>
      </c>
      <c r="M136" s="311" t="str">
        <f>IF(COUNTIF(J:J,L136),IF(_xlfn.XLOOKUP(L136,'Compartments_Kawecki&amp;Nowack19'!A:A,'Compartments_Kawecki&amp;Nowack19'!B:B,_xlfn.XLOOKUP(L136,Compartments_Added!A:A,Compartments_Added!B:B))="Stock","OK stock","OK flow"),IF(_xlfn.XLOOKUP(L136,'Compartments_Kawecki&amp;Nowack19'!A:A,'Compartments_Kawecki&amp;Nowack19'!B:B,_xlfn.XLOOKUP(L136,Compartments_Added!A:A,Compartments_Added!B:B))="Sink","OK, Sink","Missing"))</f>
        <v>OK flow</v>
      </c>
      <c r="N136" s="6"/>
      <c r="O136" s="6">
        <f>Lifetimes_pairs!A134</f>
        <v>0</v>
      </c>
      <c r="P136" s="6">
        <f>Lifetimes_pairs!B134</f>
        <v>0</v>
      </c>
      <c r="Q136">
        <f>Lifetimes!EK1</f>
        <v>0</v>
      </c>
      <c r="R136" t="str">
        <f t="shared" si="6"/>
        <v>OK</v>
      </c>
      <c r="AA136" t="s">
        <v>1863</v>
      </c>
    </row>
    <row r="137" spans="10:27">
      <c r="J137" s="306" t="str">
        <v>Concrete paint (prof) indoor</v>
      </c>
      <c r="K137" s="311" t="str">
        <f>IF(ISBLANK(J137),"",IF(COUNTIF(L:L,J137),IF(_xlfn.XLOOKUP(J137,'Compartments_Kawecki&amp;Nowack19'!A:A,'Compartments_Kawecki&amp;Nowack19'!B:B,_xlfn.XLOOKUP(J137,Compartments_Added!A:A,Compartments_Added!B:B))="Stock","OK stock","OK flow"),IF(COUNTIF($G$4:$G$18,J137),IF(COUNTIF($E$4:$E$18,J137),"OK input","Missing"),"Missing")))</f>
        <v>OK flow</v>
      </c>
      <c r="L137" s="306" t="str">
        <v>Sea water (micro)</v>
      </c>
      <c r="M137" s="311" t="str">
        <f>IF(COUNTIF(J:J,L137),IF(_xlfn.XLOOKUP(L137,'Compartments_Kawecki&amp;Nowack19'!A:A,'Compartments_Kawecki&amp;Nowack19'!B:B,_xlfn.XLOOKUP(L137,Compartments_Added!A:A,Compartments_Added!B:B))="Stock","OK stock","OK flow"),IF(_xlfn.XLOOKUP(L137,'Compartments_Kawecki&amp;Nowack19'!A:A,'Compartments_Kawecki&amp;Nowack19'!B:B,_xlfn.XLOOKUP(L137,Compartments_Added!A:A,Compartments_Added!B:B))="Sink","OK, Sink","Missing"))</f>
        <v>OK, Sink</v>
      </c>
      <c r="N137" s="6"/>
      <c r="O137" s="6">
        <f>Lifetimes_pairs!A135</f>
        <v>0</v>
      </c>
      <c r="P137" s="6">
        <f>Lifetimes_pairs!B135</f>
        <v>0</v>
      </c>
      <c r="Q137">
        <f>Lifetimes!EL1</f>
        <v>0</v>
      </c>
      <c r="R137" t="str">
        <f t="shared" si="6"/>
        <v>OK</v>
      </c>
      <c r="AA137" t="s">
        <v>1864</v>
      </c>
    </row>
    <row r="138" spans="10:27">
      <c r="J138" s="306" t="str">
        <v>Concrete paint (prof) indoor (in use)</v>
      </c>
      <c r="K138" s="311" t="str">
        <f>IF(ISBLANK(J138),"",IF(COUNTIF(L:L,J138),IF(_xlfn.XLOOKUP(J138,'Compartments_Kawecki&amp;Nowack19'!A:A,'Compartments_Kawecki&amp;Nowack19'!B:B,_xlfn.XLOOKUP(J138,Compartments_Added!A:A,Compartments_Added!B:B))="Stock","OK stock","OK flow"),IF(COUNTIF($G$4:$G$18,J138),IF(COUNTIF($E$4:$E$18,J138),"OK input","Missing"),"Missing")))</f>
        <v>OK stock</v>
      </c>
      <c r="L138" s="306" t="str">
        <v>Pellet losses industrial plants</v>
      </c>
      <c r="M138" s="311" t="str">
        <f>IF(COUNTIF(J:J,L138),IF(_xlfn.XLOOKUP(L138,'Compartments_Kawecki&amp;Nowack19'!A:A,'Compartments_Kawecki&amp;Nowack19'!B:B,_xlfn.XLOOKUP(L138,Compartments_Added!A:A,Compartments_Added!B:B))="Stock","OK stock","OK flow"),IF(_xlfn.XLOOKUP(L138,'Compartments_Kawecki&amp;Nowack19'!A:A,'Compartments_Kawecki&amp;Nowack19'!B:B,_xlfn.XLOOKUP(L138,Compartments_Added!A:A,Compartments_Added!B:B))="Sink","OK, Sink","Missing"))</f>
        <v>OK flow</v>
      </c>
      <c r="N138" s="6"/>
      <c r="O138" s="6">
        <f>Lifetimes_pairs!A136</f>
        <v>0</v>
      </c>
      <c r="P138" s="6">
        <f>Lifetimes_pairs!B136</f>
        <v>0</v>
      </c>
      <c r="Q138">
        <f>Lifetimes!EM1</f>
        <v>0</v>
      </c>
      <c r="R138" t="str">
        <f t="shared" si="6"/>
        <v>OK</v>
      </c>
      <c r="AA138" t="s">
        <v>1865</v>
      </c>
    </row>
    <row r="139" spans="10:27">
      <c r="J139" s="306" t="str">
        <v>Concrete paint (prof) outdoor (discarded)</v>
      </c>
      <c r="K139" s="311" t="str">
        <f>IF(ISBLANK(J139),"",IF(COUNTIF(L:L,J139),IF(_xlfn.XLOOKUP(J139,'Compartments_Kawecki&amp;Nowack19'!A:A,'Compartments_Kawecki&amp;Nowack19'!B:B,_xlfn.XLOOKUP(J139,Compartments_Added!A:A,Compartments_Added!B:B))="Stock","OK stock","OK flow"),IF(COUNTIF($G$4:$G$18,J139),IF(COUNTIF($E$4:$E$18,J139),"OK input","Missing"),"Missing")))</f>
        <v>OK stock</v>
      </c>
      <c r="L139" s="306" t="str">
        <v>Concrete paint (prof)</v>
      </c>
      <c r="M139" s="311" t="str">
        <f>IF(COUNTIF(J:J,L139),IF(_xlfn.XLOOKUP(L139,'Compartments_Kawecki&amp;Nowack19'!A:A,'Compartments_Kawecki&amp;Nowack19'!B:B,_xlfn.XLOOKUP(L139,Compartments_Added!A:A,Compartments_Added!B:B))="Stock","OK stock","OK flow"),IF(_xlfn.XLOOKUP(L139,'Compartments_Kawecki&amp;Nowack19'!A:A,'Compartments_Kawecki&amp;Nowack19'!B:B,_xlfn.XLOOKUP(L139,Compartments_Added!A:A,Compartments_Added!B:B))="Sink","OK, Sink","Missing"))</f>
        <v>OK flow</v>
      </c>
      <c r="N139" s="6"/>
      <c r="O139" s="6">
        <f>Lifetimes_pairs!A137</f>
        <v>0</v>
      </c>
      <c r="P139" s="6">
        <f>Lifetimes_pairs!B137</f>
        <v>0</v>
      </c>
      <c r="Q139">
        <f>Lifetimes!EN1</f>
        <v>0</v>
      </c>
      <c r="R139" t="str">
        <f t="shared" si="6"/>
        <v>OK</v>
      </c>
      <c r="AA139" t="s">
        <v>1866</v>
      </c>
    </row>
    <row r="140" spans="10:27">
      <c r="J140" s="306" t="str">
        <v>Concrete paint (prof) indoor (discarded)</v>
      </c>
      <c r="K140" s="311" t="str">
        <f>IF(ISBLANK(J140),"",IF(COUNTIF(L:L,J140),IF(_xlfn.XLOOKUP(J140,'Compartments_Kawecki&amp;Nowack19'!A:A,'Compartments_Kawecki&amp;Nowack19'!B:B,_xlfn.XLOOKUP(J140,Compartments_Added!A:A,Compartments_Added!B:B))="Stock","OK stock","OK flow"),IF(COUNTIF($G$4:$G$18,J140),IF(COUNTIF($E$4:$E$18,J140),"OK input","Missing"),"Missing")))</f>
        <v>OK stock</v>
      </c>
      <c r="L140" s="306" t="str">
        <v>Lacquer (prof)</v>
      </c>
      <c r="M140" s="311" t="str">
        <f>IF(COUNTIF(J:J,L140),IF(_xlfn.XLOOKUP(L140,'Compartments_Kawecki&amp;Nowack19'!A:A,'Compartments_Kawecki&amp;Nowack19'!B:B,_xlfn.XLOOKUP(L140,Compartments_Added!A:A,Compartments_Added!B:B))="Stock","OK stock","OK flow"),IF(_xlfn.XLOOKUP(L140,'Compartments_Kawecki&amp;Nowack19'!A:A,'Compartments_Kawecki&amp;Nowack19'!B:B,_xlfn.XLOOKUP(L140,Compartments_Added!A:A,Compartments_Added!B:B))="Sink","OK, Sink","Missing"))</f>
        <v>OK flow</v>
      </c>
      <c r="N140" s="6"/>
      <c r="O140" s="6">
        <f>Lifetimes_pairs!A138</f>
        <v>0</v>
      </c>
      <c r="P140" s="6">
        <f>Lifetimes_pairs!B138</f>
        <v>0</v>
      </c>
      <c r="Q140">
        <f>Lifetimes!EO1</f>
        <v>0</v>
      </c>
      <c r="R140" t="str">
        <f t="shared" si="6"/>
        <v>OK</v>
      </c>
      <c r="AA140" t="s">
        <v>1867</v>
      </c>
    </row>
    <row r="141" spans="10:27">
      <c r="J141" s="306" t="str">
        <v>Lacquer (prof)</v>
      </c>
      <c r="K141" s="311" t="str">
        <f>IF(ISBLANK(J141),"",IF(COUNTIF(L:L,J141),IF(_xlfn.XLOOKUP(J141,'Compartments_Kawecki&amp;Nowack19'!A:A,'Compartments_Kawecki&amp;Nowack19'!B:B,_xlfn.XLOOKUP(J141,Compartments_Added!A:A,Compartments_Added!B:B))="Stock","OK stock","OK flow"),IF(COUNTIF($G$4:$G$18,J141),IF(COUNTIF($E$4:$E$18,J141),"OK input","Missing"),"Missing")))</f>
        <v>OK flow</v>
      </c>
      <c r="L141" s="306" t="str">
        <v>Wood stain (prof)</v>
      </c>
      <c r="M141" s="311" t="str">
        <f>IF(COUNTIF(J:J,L141),IF(_xlfn.XLOOKUP(L141,'Compartments_Kawecki&amp;Nowack19'!A:A,'Compartments_Kawecki&amp;Nowack19'!B:B,_xlfn.XLOOKUP(L141,Compartments_Added!A:A,Compartments_Added!B:B))="Stock","OK stock","OK flow"),IF(_xlfn.XLOOKUP(L141,'Compartments_Kawecki&amp;Nowack19'!A:A,'Compartments_Kawecki&amp;Nowack19'!B:B,_xlfn.XLOOKUP(L141,Compartments_Added!A:A,Compartments_Added!B:B))="Sink","OK, Sink","Missing"))</f>
        <v>OK flow</v>
      </c>
      <c r="N141" s="6"/>
      <c r="O141" s="6">
        <f>Lifetimes_pairs!A139</f>
        <v>0</v>
      </c>
      <c r="P141" s="6">
        <f>Lifetimes_pairs!B139</f>
        <v>0</v>
      </c>
      <c r="Q141">
        <f>Lifetimes!EP1</f>
        <v>0</v>
      </c>
      <c r="R141" t="str">
        <f t="shared" si="6"/>
        <v>OK</v>
      </c>
      <c r="AA141" t="s">
        <v>1868</v>
      </c>
    </row>
    <row r="142" spans="10:27" ht="14.45" customHeight="1">
      <c r="J142" s="306" t="str">
        <v>Lacquer (prof) outdoor</v>
      </c>
      <c r="K142" s="311" t="str">
        <f>IF(ISBLANK(J142),"",IF(COUNTIF(L:L,J142),IF(_xlfn.XLOOKUP(J142,'Compartments_Kawecki&amp;Nowack19'!A:A,'Compartments_Kawecki&amp;Nowack19'!B:B,_xlfn.XLOOKUP(J142,Compartments_Added!A:A,Compartments_Added!B:B))="Stock","OK stock","OK flow"),IF(COUNTIF($G$4:$G$18,J142),IF(COUNTIF($E$4:$E$18,J142),"OK input","Missing"),"Missing")))</f>
        <v>OK flow</v>
      </c>
      <c r="L142" s="306" t="str">
        <v>Wall paint (prof)</v>
      </c>
      <c r="M142" s="311" t="str">
        <f>IF(COUNTIF(J:J,L142),IF(_xlfn.XLOOKUP(L142,'Compartments_Kawecki&amp;Nowack19'!A:A,'Compartments_Kawecki&amp;Nowack19'!B:B,_xlfn.XLOOKUP(L142,Compartments_Added!A:A,Compartments_Added!B:B))="Stock","OK stock","OK flow"),IF(_xlfn.XLOOKUP(L142,'Compartments_Kawecki&amp;Nowack19'!A:A,'Compartments_Kawecki&amp;Nowack19'!B:B,_xlfn.XLOOKUP(L142,Compartments_Added!A:A,Compartments_Added!B:B))="Sink","OK, Sink","Missing"))</f>
        <v>OK flow</v>
      </c>
      <c r="N142" s="6"/>
      <c r="O142" s="6">
        <f>Lifetimes_pairs!A140</f>
        <v>0</v>
      </c>
      <c r="P142" s="6">
        <f>Lifetimes_pairs!B140</f>
        <v>0</v>
      </c>
      <c r="Q142">
        <f>Lifetimes!EQ1</f>
        <v>0</v>
      </c>
      <c r="R142" t="str">
        <f t="shared" si="6"/>
        <v>OK</v>
      </c>
      <c r="AA142" t="s">
        <v>1869</v>
      </c>
    </row>
    <row r="143" spans="10:27" ht="14.45" customHeight="1">
      <c r="J143" s="306" t="str">
        <v>Lacquer (prof) outdoor (in use)</v>
      </c>
      <c r="K143" s="311" t="str">
        <f>IF(ISBLANK(J143),"",IF(COUNTIF(L:L,J143),IF(_xlfn.XLOOKUP(J143,'Compartments_Kawecki&amp;Nowack19'!A:A,'Compartments_Kawecki&amp;Nowack19'!B:B,_xlfn.XLOOKUP(J143,Compartments_Added!A:A,Compartments_Added!B:B))="Stock","OK stock","OK flow"),IF(COUNTIF($G$4:$G$18,J143),IF(COUNTIF($E$4:$E$18,J143),"OK input","Missing"),"Missing")))</f>
        <v>OK stock</v>
      </c>
      <c r="L143" s="306" t="str">
        <v>Plaster (prof)</v>
      </c>
      <c r="M143" s="311" t="str">
        <f>IF(COUNTIF(J:J,L143),IF(_xlfn.XLOOKUP(L143,'Compartments_Kawecki&amp;Nowack19'!A:A,'Compartments_Kawecki&amp;Nowack19'!B:B,_xlfn.XLOOKUP(L143,Compartments_Added!A:A,Compartments_Added!B:B))="Stock","OK stock","OK flow"),IF(_xlfn.XLOOKUP(L143,'Compartments_Kawecki&amp;Nowack19'!A:A,'Compartments_Kawecki&amp;Nowack19'!B:B,_xlfn.XLOOKUP(L143,Compartments_Added!A:A,Compartments_Added!B:B))="Sink","OK, Sink","Missing"))</f>
        <v>OK flow</v>
      </c>
      <c r="N143" s="6"/>
      <c r="O143" s="6">
        <f>Lifetimes_pairs!A141</f>
        <v>0</v>
      </c>
      <c r="P143" s="6">
        <f>Lifetimes_pairs!B141</f>
        <v>0</v>
      </c>
      <c r="Q143">
        <f>Lifetimes!ER1</f>
        <v>0</v>
      </c>
      <c r="R143" t="str">
        <f t="shared" si="6"/>
        <v>OK</v>
      </c>
      <c r="AA143" t="s">
        <v>1870</v>
      </c>
    </row>
    <row r="144" spans="10:27">
      <c r="J144" s="306" t="str">
        <v>Lacquer (prof) indoor</v>
      </c>
      <c r="K144" s="311" t="str">
        <f>IF(ISBLANK(J144),"",IF(COUNTIF(L:L,J144),IF(_xlfn.XLOOKUP(J144,'Compartments_Kawecki&amp;Nowack19'!A:A,'Compartments_Kawecki&amp;Nowack19'!B:B,_xlfn.XLOOKUP(J144,Compartments_Added!A:A,Compartments_Added!B:B))="Stock","OK stock","OK flow"),IF(COUNTIF($G$4:$G$18,J144),IF(COUNTIF($E$4:$E$18,J144),"OK input","Missing"),"Missing")))</f>
        <v>OK flow</v>
      </c>
      <c r="L144" s="306" t="str">
        <v>Other paint uses (prof)</v>
      </c>
      <c r="M144" s="311" t="str">
        <f>IF(COUNTIF(J:J,L144),IF(_xlfn.XLOOKUP(L144,'Compartments_Kawecki&amp;Nowack19'!A:A,'Compartments_Kawecki&amp;Nowack19'!B:B,_xlfn.XLOOKUP(L144,Compartments_Added!A:A,Compartments_Added!B:B))="Stock","OK stock","OK flow"),IF(_xlfn.XLOOKUP(L144,'Compartments_Kawecki&amp;Nowack19'!A:A,'Compartments_Kawecki&amp;Nowack19'!B:B,_xlfn.XLOOKUP(L144,Compartments_Added!A:A,Compartments_Added!B:B))="Sink","OK, Sink","Missing"))</f>
        <v>OK flow</v>
      </c>
      <c r="N144" s="6"/>
      <c r="O144" s="6">
        <f>Lifetimes_pairs!A142</f>
        <v>0</v>
      </c>
      <c r="P144" s="6">
        <f>Lifetimes_pairs!B142</f>
        <v>0</v>
      </c>
      <c r="Q144">
        <f>Lifetimes!ES1</f>
        <v>0</v>
      </c>
      <c r="R144" t="str">
        <f t="shared" si="6"/>
        <v>OK</v>
      </c>
      <c r="AA144" t="s">
        <v>1871</v>
      </c>
    </row>
    <row r="145" spans="10:27">
      <c r="J145" s="306" t="str">
        <v>Lacquer (prof) indoor (in use)</v>
      </c>
      <c r="K145" s="311" t="str">
        <f>IF(ISBLANK(J145),"",IF(COUNTIF(L:L,J145),IF(_xlfn.XLOOKUP(J145,'Compartments_Kawecki&amp;Nowack19'!A:A,'Compartments_Kawecki&amp;Nowack19'!B:B,_xlfn.XLOOKUP(J145,Compartments_Added!A:A,Compartments_Added!B:B))="Stock","OK stock","OK flow"),IF(COUNTIF($G$4:$G$18,J145),IF(COUNTIF($E$4:$E$18,J145),"OK input","Missing"),"Missing")))</f>
        <v>OK stock</v>
      </c>
      <c r="L145" s="306" t="str">
        <v>Paints used in pre-made wooden products</v>
      </c>
      <c r="M145" s="311" t="str">
        <f>IF(COUNTIF(J:J,L145),IF(_xlfn.XLOOKUP(L145,'Compartments_Kawecki&amp;Nowack19'!A:A,'Compartments_Kawecki&amp;Nowack19'!B:B,_xlfn.XLOOKUP(L145,Compartments_Added!A:A,Compartments_Added!B:B))="Stock","OK stock","OK flow"),IF(_xlfn.XLOOKUP(L145,'Compartments_Kawecki&amp;Nowack19'!A:A,'Compartments_Kawecki&amp;Nowack19'!B:B,_xlfn.XLOOKUP(L145,Compartments_Added!A:A,Compartments_Added!B:B))="Sink","OK, Sink","Missing"))</f>
        <v>OK flow</v>
      </c>
      <c r="N145" s="6"/>
      <c r="O145" s="6">
        <f>Lifetimes_pairs!A143</f>
        <v>0</v>
      </c>
      <c r="P145" s="6">
        <f>Lifetimes_pairs!B143</f>
        <v>0</v>
      </c>
      <c r="Q145">
        <f>Lifetimes!ET1</f>
        <v>0</v>
      </c>
      <c r="R145" t="str">
        <f t="shared" si="6"/>
        <v>OK</v>
      </c>
      <c r="AA145" t="s">
        <v>1872</v>
      </c>
    </row>
    <row r="146" spans="10:27" ht="15" customHeight="1">
      <c r="J146" s="306" t="str">
        <v>Lacquer (prof) outdoor (discarded)</v>
      </c>
      <c r="K146" s="311" t="str">
        <f>IF(ISBLANK(J146),"",IF(COUNTIF(L:L,J146),IF(_xlfn.XLOOKUP(J146,'Compartments_Kawecki&amp;Nowack19'!A:A,'Compartments_Kawecki&amp;Nowack19'!B:B,_xlfn.XLOOKUP(J146,Compartments_Added!A:A,Compartments_Added!B:B))="Stock","OK stock","OK flow"),IF(COUNTIF($G$4:$G$18,J146),IF(COUNTIF($E$4:$E$18,J146),"OK input","Missing"),"Missing")))</f>
        <v>OK stock</v>
      </c>
      <c r="L146" s="306" t="str">
        <v>Lacquer (DIY)</v>
      </c>
      <c r="M146" s="311" t="str">
        <f>IF(COUNTIF(J:J,L146),IF(_xlfn.XLOOKUP(L146,'Compartments_Kawecki&amp;Nowack19'!A:A,'Compartments_Kawecki&amp;Nowack19'!B:B,_xlfn.XLOOKUP(L146,Compartments_Added!A:A,Compartments_Added!B:B))="Stock","OK stock","OK flow"),IF(_xlfn.XLOOKUP(L146,'Compartments_Kawecki&amp;Nowack19'!A:A,'Compartments_Kawecki&amp;Nowack19'!B:B,_xlfn.XLOOKUP(L146,Compartments_Added!A:A,Compartments_Added!B:B))="Sink","OK, Sink","Missing"))</f>
        <v>OK flow</v>
      </c>
      <c r="N146" s="6"/>
      <c r="O146" s="6">
        <f>Lifetimes_pairs!A144</f>
        <v>0</v>
      </c>
      <c r="P146" s="6">
        <f>Lifetimes_pairs!B144</f>
        <v>0</v>
      </c>
      <c r="Q146">
        <f>Lifetimes!EU1</f>
        <v>0</v>
      </c>
      <c r="R146" t="str">
        <f t="shared" si="6"/>
        <v>OK</v>
      </c>
      <c r="AA146" t="s">
        <v>1873</v>
      </c>
    </row>
    <row r="147" spans="10:27">
      <c r="J147" s="306" t="str">
        <v>Lacquer (prof) indoor (discarded)</v>
      </c>
      <c r="K147" s="311" t="str">
        <f>IF(ISBLANK(J147),"",IF(COUNTIF(L:L,J147),IF(_xlfn.XLOOKUP(J147,'Compartments_Kawecki&amp;Nowack19'!A:A,'Compartments_Kawecki&amp;Nowack19'!B:B,_xlfn.XLOOKUP(J147,Compartments_Added!A:A,Compartments_Added!B:B))="Stock","OK stock","OK flow"),IF(COUNTIF($G$4:$G$18,J147),IF(COUNTIF($E$4:$E$18,J147),"OK input","Missing"),"Missing")))</f>
        <v>OK stock</v>
      </c>
      <c r="L147" s="306" t="str">
        <v>Wood stain (DIY)</v>
      </c>
      <c r="M147" s="311" t="str">
        <f>IF(COUNTIF(J:J,L147),IF(_xlfn.XLOOKUP(L147,'Compartments_Kawecki&amp;Nowack19'!A:A,'Compartments_Kawecki&amp;Nowack19'!B:B,_xlfn.XLOOKUP(L147,Compartments_Added!A:A,Compartments_Added!B:B))="Stock","OK stock","OK flow"),IF(_xlfn.XLOOKUP(L147,'Compartments_Kawecki&amp;Nowack19'!A:A,'Compartments_Kawecki&amp;Nowack19'!B:B,_xlfn.XLOOKUP(L147,Compartments_Added!A:A,Compartments_Added!B:B))="Sink","OK, Sink","Missing"))</f>
        <v>OK flow</v>
      </c>
      <c r="N147" s="6"/>
      <c r="O147" s="6">
        <f>Lifetimes_pairs!A145</f>
        <v>0</v>
      </c>
      <c r="P147" s="6">
        <f>Lifetimes_pairs!B145</f>
        <v>0</v>
      </c>
      <c r="Q147">
        <f>Lifetimes!EV1</f>
        <v>0</v>
      </c>
      <c r="R147" t="str">
        <f t="shared" si="6"/>
        <v>OK</v>
      </c>
      <c r="AA147" t="s">
        <v>1874</v>
      </c>
    </row>
    <row r="148" spans="10:27">
      <c r="J148" s="306" t="str">
        <v>Wood stain (prof)</v>
      </c>
      <c r="K148" s="311" t="str">
        <f>IF(ISBLANK(J148),"",IF(COUNTIF(L:L,J148),IF(_xlfn.XLOOKUP(J148,'Compartments_Kawecki&amp;Nowack19'!A:A,'Compartments_Kawecki&amp;Nowack19'!B:B,_xlfn.XLOOKUP(J148,Compartments_Added!A:A,Compartments_Added!B:B))="Stock","OK stock","OK flow"),IF(COUNTIF($G$4:$G$18,J148),IF(COUNTIF($E$4:$E$18,J148),"OK input","Missing"),"Missing")))</f>
        <v>OK flow</v>
      </c>
      <c r="L148" s="306" t="str">
        <v>Wall paint (DIY)</v>
      </c>
      <c r="M148" s="311" t="str">
        <f>IF(COUNTIF(J:J,L148),IF(_xlfn.XLOOKUP(L148,'Compartments_Kawecki&amp;Nowack19'!A:A,'Compartments_Kawecki&amp;Nowack19'!B:B,_xlfn.XLOOKUP(L148,Compartments_Added!A:A,Compartments_Added!B:B))="Stock","OK stock","OK flow"),IF(_xlfn.XLOOKUP(L148,'Compartments_Kawecki&amp;Nowack19'!A:A,'Compartments_Kawecki&amp;Nowack19'!B:B,_xlfn.XLOOKUP(L148,Compartments_Added!A:A,Compartments_Added!B:B))="Sink","OK, Sink","Missing"))</f>
        <v>OK flow</v>
      </c>
      <c r="N148" s="6"/>
      <c r="O148" s="6">
        <f>Lifetimes_pairs!A146</f>
        <v>0</v>
      </c>
      <c r="P148" s="6">
        <f>Lifetimes_pairs!B146</f>
        <v>0</v>
      </c>
      <c r="Q148">
        <f>Lifetimes!EW1</f>
        <v>0</v>
      </c>
      <c r="R148" t="str">
        <f t="shared" si="6"/>
        <v>OK</v>
      </c>
      <c r="AA148" t="s">
        <v>1875</v>
      </c>
    </row>
    <row r="149" spans="10:27">
      <c r="J149" s="306" t="str">
        <v>Wood stain (prof) outdoor</v>
      </c>
      <c r="K149" s="311" t="str">
        <f>IF(ISBLANK(J149),"",IF(COUNTIF(L:L,J149),IF(_xlfn.XLOOKUP(J149,'Compartments_Kawecki&amp;Nowack19'!A:A,'Compartments_Kawecki&amp;Nowack19'!B:B,_xlfn.XLOOKUP(J149,Compartments_Added!A:A,Compartments_Added!B:B))="Stock","OK stock","OK flow"),IF(COUNTIF($G$4:$G$18,J149),IF(COUNTIF($E$4:$E$18,J149),"OK input","Missing"),"Missing")))</f>
        <v>OK flow</v>
      </c>
      <c r="L149" s="306" t="str">
        <v>Plaster (DIY)</v>
      </c>
      <c r="M149" s="311" t="str">
        <f>IF(COUNTIF(J:J,L149),IF(_xlfn.XLOOKUP(L149,'Compartments_Kawecki&amp;Nowack19'!A:A,'Compartments_Kawecki&amp;Nowack19'!B:B,_xlfn.XLOOKUP(L149,Compartments_Added!A:A,Compartments_Added!B:B))="Stock","OK stock","OK flow"),IF(_xlfn.XLOOKUP(L149,'Compartments_Kawecki&amp;Nowack19'!A:A,'Compartments_Kawecki&amp;Nowack19'!B:B,_xlfn.XLOOKUP(L149,Compartments_Added!A:A,Compartments_Added!B:B))="Sink","OK, Sink","Missing"))</f>
        <v>OK flow</v>
      </c>
      <c r="N149" s="6"/>
      <c r="O149" s="6">
        <f>Lifetimes_pairs!A147</f>
        <v>0</v>
      </c>
      <c r="P149" s="6">
        <f>Lifetimes_pairs!B147</f>
        <v>0</v>
      </c>
      <c r="Q149">
        <f>Lifetimes!EX1</f>
        <v>0</v>
      </c>
      <c r="R149" t="str">
        <f t="shared" si="6"/>
        <v>OK</v>
      </c>
      <c r="AA149" t="s">
        <v>1876</v>
      </c>
    </row>
    <row r="150" spans="10:27" ht="15" customHeight="1">
      <c r="J150" s="306" t="str">
        <v>Wood stain (prof) outdoor (in use)</v>
      </c>
      <c r="K150" s="311" t="str">
        <f>IF(ISBLANK(J150),"",IF(COUNTIF(L:L,J150),IF(_xlfn.XLOOKUP(J150,'Compartments_Kawecki&amp;Nowack19'!A:A,'Compartments_Kawecki&amp;Nowack19'!B:B,_xlfn.XLOOKUP(J150,Compartments_Added!A:A,Compartments_Added!B:B))="Stock","OK stock","OK flow"),IF(COUNTIF($G$4:$G$18,J150),IF(COUNTIF($E$4:$E$18,J150),"OK input","Missing"),"Missing")))</f>
        <v>OK stock</v>
      </c>
      <c r="L150" s="306" t="str">
        <v>Other paint uses (DIY)</v>
      </c>
      <c r="M150" s="311" t="str">
        <f>IF(COUNTIF(J:J,L150),IF(_xlfn.XLOOKUP(L150,'Compartments_Kawecki&amp;Nowack19'!A:A,'Compartments_Kawecki&amp;Nowack19'!B:B,_xlfn.XLOOKUP(L150,Compartments_Added!A:A,Compartments_Added!B:B))="Stock","OK stock","OK flow"),IF(_xlfn.XLOOKUP(L150,'Compartments_Kawecki&amp;Nowack19'!A:A,'Compartments_Kawecki&amp;Nowack19'!B:B,_xlfn.XLOOKUP(L150,Compartments_Added!A:A,Compartments_Added!B:B))="Sink","OK, Sink","Missing"))</f>
        <v>OK flow</v>
      </c>
      <c r="N150" s="6"/>
      <c r="O150" s="6">
        <f>Lifetimes_pairs!A148</f>
        <v>0</v>
      </c>
      <c r="P150" s="6">
        <f>Lifetimes_pairs!B148</f>
        <v>0</v>
      </c>
      <c r="Q150">
        <f>Lifetimes!EY1</f>
        <v>0</v>
      </c>
      <c r="R150" t="str">
        <f t="shared" si="6"/>
        <v>OK</v>
      </c>
      <c r="AA150" t="s">
        <v>1877</v>
      </c>
    </row>
    <row r="151" spans="10:27">
      <c r="J151" s="306" t="str">
        <v>Wood stain (prof) indoor</v>
      </c>
      <c r="K151" s="311" t="str">
        <f>IF(ISBLANK(J151),"",IF(COUNTIF(L:L,J151),IF(_xlfn.XLOOKUP(J151,'Compartments_Kawecki&amp;Nowack19'!A:A,'Compartments_Kawecki&amp;Nowack19'!B:B,_xlfn.XLOOKUP(J151,Compartments_Added!A:A,Compartments_Added!B:B))="Stock","OK stock","OK flow"),IF(COUNTIF($G$4:$G$18,J151),IF(COUNTIF($E$4:$E$18,J151),"OK input","Missing"),"Missing")))</f>
        <v>OK flow</v>
      </c>
      <c r="L151" s="306" t="str">
        <v>Ship paint (prof)</v>
      </c>
      <c r="M151" s="311" t="str">
        <f>IF(COUNTIF(J:J,L151),IF(_xlfn.XLOOKUP(L151,'Compartments_Kawecki&amp;Nowack19'!A:A,'Compartments_Kawecki&amp;Nowack19'!B:B,_xlfn.XLOOKUP(L151,Compartments_Added!A:A,Compartments_Added!B:B))="Stock","OK stock","OK flow"),IF(_xlfn.XLOOKUP(L151,'Compartments_Kawecki&amp;Nowack19'!A:A,'Compartments_Kawecki&amp;Nowack19'!B:B,_xlfn.XLOOKUP(L151,Compartments_Added!A:A,Compartments_Added!B:B))="Sink","OK, Sink","Missing"))</f>
        <v>OK flow</v>
      </c>
      <c r="N151" s="6"/>
      <c r="O151" s="6"/>
      <c r="P151" s="6"/>
      <c r="Q151">
        <f>Lifetimes!EZ1</f>
        <v>0</v>
      </c>
      <c r="R151" t="str">
        <f t="shared" si="6"/>
        <v>OK</v>
      </c>
      <c r="AA151" t="s">
        <v>1878</v>
      </c>
    </row>
    <row r="152" spans="10:27">
      <c r="J152" s="306" t="str">
        <v>Wood stain (prof) indoor (in use)</v>
      </c>
      <c r="K152" s="311" t="str">
        <f>IF(ISBLANK(J152),"",IF(COUNTIF(L:L,J152),IF(_xlfn.XLOOKUP(J152,'Compartments_Kawecki&amp;Nowack19'!A:A,'Compartments_Kawecki&amp;Nowack19'!B:B,_xlfn.XLOOKUP(J152,Compartments_Added!A:A,Compartments_Added!B:B))="Stock","OK stock","OK flow"),IF(COUNTIF($G$4:$G$18,J152),IF(COUNTIF($E$4:$E$18,J152),"OK input","Missing"),"Missing")))</f>
        <v>OK stock</v>
      </c>
      <c r="L152" s="306" t="str">
        <v>Ship paint (recr)</v>
      </c>
      <c r="M152" s="311" t="str">
        <f>IF(COUNTIF(J:J,L152),IF(_xlfn.XLOOKUP(L152,'Compartments_Kawecki&amp;Nowack19'!A:A,'Compartments_Kawecki&amp;Nowack19'!B:B,_xlfn.XLOOKUP(L152,Compartments_Added!A:A,Compartments_Added!B:B))="Stock","OK stock","OK flow"),IF(_xlfn.XLOOKUP(L152,'Compartments_Kawecki&amp;Nowack19'!A:A,'Compartments_Kawecki&amp;Nowack19'!B:B,_xlfn.XLOOKUP(L152,Compartments_Added!A:A,Compartments_Added!B:B))="Sink","OK, Sink","Missing"))</f>
        <v>OK flow</v>
      </c>
      <c r="N152" s="6"/>
      <c r="O152" s="6"/>
      <c r="P152" s="6"/>
      <c r="Q152">
        <f>Lifetimes!FA1</f>
        <v>0</v>
      </c>
      <c r="R152" t="str">
        <f t="shared" si="6"/>
        <v>OK</v>
      </c>
      <c r="AA152" t="s">
        <v>1879</v>
      </c>
    </row>
    <row r="153" spans="10:27">
      <c r="J153" s="306" t="str">
        <v>Wood stain (prof) outdoor (discarded)</v>
      </c>
      <c r="K153" s="311" t="str">
        <f>IF(ISBLANK(J153),"",IF(COUNTIF(L:L,J153),IF(_xlfn.XLOOKUP(J153,'Compartments_Kawecki&amp;Nowack19'!A:A,'Compartments_Kawecki&amp;Nowack19'!B:B,_xlfn.XLOOKUP(J153,Compartments_Added!A:A,Compartments_Added!B:B))="Stock","OK stock","OK flow"),IF(COUNTIF($G$4:$G$18,J153),IF(COUNTIF($E$4:$E$18,J153),"OK input","Missing"),"Missing")))</f>
        <v>OK stock</v>
      </c>
      <c r="L153" s="306" t="str">
        <v>Ship paint (prof) (in use)</v>
      </c>
      <c r="M153" s="311" t="str">
        <f>IF(COUNTIF(J:J,L153),IF(_xlfn.XLOOKUP(L153,'Compartments_Kawecki&amp;Nowack19'!A:A,'Compartments_Kawecki&amp;Nowack19'!B:B,_xlfn.XLOOKUP(L153,Compartments_Added!A:A,Compartments_Added!B:B))="Stock","OK stock","OK flow"),IF(_xlfn.XLOOKUP(L153,'Compartments_Kawecki&amp;Nowack19'!A:A,'Compartments_Kawecki&amp;Nowack19'!B:B,_xlfn.XLOOKUP(L153,Compartments_Added!A:A,Compartments_Added!B:B))="Sink","OK, Sink","Missing"))</f>
        <v>OK stock</v>
      </c>
      <c r="N153" s="6"/>
      <c r="O153" s="6"/>
      <c r="P153" s="6"/>
      <c r="Q153">
        <f>Lifetimes!FB1</f>
        <v>0</v>
      </c>
      <c r="R153" t="str">
        <f t="shared" si="6"/>
        <v>OK</v>
      </c>
      <c r="AA153" t="s">
        <v>1880</v>
      </c>
    </row>
    <row r="154" spans="10:27">
      <c r="J154" s="306" t="str">
        <v>Wood stain (prof) indoor (discarded)</v>
      </c>
      <c r="K154" s="311" t="str">
        <f>IF(ISBLANK(J154),"",IF(COUNTIF(L:L,J154),IF(_xlfn.XLOOKUP(J154,'Compartments_Kawecki&amp;Nowack19'!A:A,'Compartments_Kawecki&amp;Nowack19'!B:B,_xlfn.XLOOKUP(J154,Compartments_Added!A:A,Compartments_Added!B:B))="Stock","OK stock","OK flow"),IF(COUNTIF($G$4:$G$18,J154),IF(COUNTIF($E$4:$E$18,J154),"OK input","Missing"),"Missing")))</f>
        <v>OK stock</v>
      </c>
      <c r="L154" s="306" t="str">
        <v>Ship paint (prof) (discarded)</v>
      </c>
      <c r="M154" s="311" t="str">
        <f>IF(COUNTIF(J:J,L154),IF(_xlfn.XLOOKUP(L154,'Compartments_Kawecki&amp;Nowack19'!A:A,'Compartments_Kawecki&amp;Nowack19'!B:B,_xlfn.XLOOKUP(L154,Compartments_Added!A:A,Compartments_Added!B:B))="Stock","OK stock","OK flow"),IF(_xlfn.XLOOKUP(L154,'Compartments_Kawecki&amp;Nowack19'!A:A,'Compartments_Kawecki&amp;Nowack19'!B:B,_xlfn.XLOOKUP(L154,Compartments_Added!A:A,Compartments_Added!B:B))="Sink","OK, Sink","Missing"))</f>
        <v>OK stock</v>
      </c>
      <c r="N154" s="6"/>
      <c r="O154" s="6"/>
      <c r="P154" s="6"/>
      <c r="Q154">
        <f>Lifetimes!FC1</f>
        <v>0</v>
      </c>
      <c r="R154" t="str">
        <f t="shared" si="6"/>
        <v>OK</v>
      </c>
      <c r="AA154" t="s">
        <v>1881</v>
      </c>
    </row>
    <row r="155" spans="10:27">
      <c r="J155" s="306" t="str">
        <v>Wall paint (prof)</v>
      </c>
      <c r="K155" s="311" t="str">
        <f>IF(ISBLANK(J155),"",IF(COUNTIF(L:L,J155),IF(_xlfn.XLOOKUP(J155,'Compartments_Kawecki&amp;Nowack19'!A:A,'Compartments_Kawecki&amp;Nowack19'!B:B,_xlfn.XLOOKUP(J155,Compartments_Added!A:A,Compartments_Added!B:B))="Stock","OK stock","OK flow"),IF(COUNTIF($G$4:$G$18,J155),IF(COUNTIF($E$4:$E$18,J155),"OK input","Missing"),"Missing")))</f>
        <v>OK flow</v>
      </c>
      <c r="L155" s="306" t="str">
        <v>Ship paint (recr) (in use)</v>
      </c>
      <c r="M155" s="311" t="str">
        <f>IF(COUNTIF(J:J,L155),IF(_xlfn.XLOOKUP(L155,'Compartments_Kawecki&amp;Nowack19'!A:A,'Compartments_Kawecki&amp;Nowack19'!B:B,_xlfn.XLOOKUP(L155,Compartments_Added!A:A,Compartments_Added!B:B))="Stock","OK stock","OK flow"),IF(_xlfn.XLOOKUP(L155,'Compartments_Kawecki&amp;Nowack19'!A:A,'Compartments_Kawecki&amp;Nowack19'!B:B,_xlfn.XLOOKUP(L155,Compartments_Added!A:A,Compartments_Added!B:B))="Sink","OK, Sink","Missing"))</f>
        <v>OK stock</v>
      </c>
      <c r="N155" s="6"/>
      <c r="O155" s="6"/>
      <c r="P155" s="6"/>
      <c r="Q155">
        <f>Lifetimes!FD1</f>
        <v>0</v>
      </c>
      <c r="R155" t="str">
        <f t="shared" si="6"/>
        <v>OK</v>
      </c>
      <c r="AA155" t="s">
        <v>1882</v>
      </c>
    </row>
    <row r="156" spans="10:27">
      <c r="J156" s="306" t="str">
        <v>Wall paint (prof) outdoor</v>
      </c>
      <c r="K156" s="311" t="str">
        <f>IF(ISBLANK(J156),"",IF(COUNTIF(L:L,J156),IF(_xlfn.XLOOKUP(J156,'Compartments_Kawecki&amp;Nowack19'!A:A,'Compartments_Kawecki&amp;Nowack19'!B:B,_xlfn.XLOOKUP(J156,Compartments_Added!A:A,Compartments_Added!B:B))="Stock","OK stock","OK flow"),IF(COUNTIF($G$4:$G$18,J156),IF(COUNTIF($E$4:$E$18,J156),"OK input","Missing"),"Missing")))</f>
        <v>OK flow</v>
      </c>
      <c r="L156" s="306" t="str">
        <v>Ship paint (recr) (discarded)</v>
      </c>
      <c r="M156" s="311" t="str">
        <f>IF(COUNTIF(J:J,L156),IF(_xlfn.XLOOKUP(L156,'Compartments_Kawecki&amp;Nowack19'!A:A,'Compartments_Kawecki&amp;Nowack19'!B:B,_xlfn.XLOOKUP(L156,Compartments_Added!A:A,Compartments_Added!B:B))="Stock","OK stock","OK flow"),IF(_xlfn.XLOOKUP(L156,'Compartments_Kawecki&amp;Nowack19'!A:A,'Compartments_Kawecki&amp;Nowack19'!B:B,_xlfn.XLOOKUP(L156,Compartments_Added!A:A,Compartments_Added!B:B))="Sink","OK, Sink","Missing"))</f>
        <v>OK stock</v>
      </c>
      <c r="N156" s="6"/>
      <c r="O156" s="6"/>
      <c r="P156" s="6"/>
      <c r="Q156">
        <f>Lifetimes!FE1</f>
        <v>0</v>
      </c>
      <c r="R156" t="str">
        <f t="shared" si="6"/>
        <v>OK</v>
      </c>
      <c r="AA156" t="s">
        <v>1883</v>
      </c>
    </row>
    <row r="157" spans="10:27">
      <c r="J157" s="306" t="str">
        <v>Wall paint (prof) outdoor (in use)</v>
      </c>
      <c r="K157" s="311" t="str">
        <f>IF(ISBLANK(J157),"",IF(COUNTIF(L:L,J157),IF(_xlfn.XLOOKUP(J157,'Compartments_Kawecki&amp;Nowack19'!A:A,'Compartments_Kawecki&amp;Nowack19'!B:B,_xlfn.XLOOKUP(J157,Compartments_Added!A:A,Compartments_Added!B:B))="Stock","OK stock","OK flow"),IF(COUNTIF($G$4:$G$18,J157),IF(COUNTIF($E$4:$E$18,J157),"OK input","Missing"),"Missing")))</f>
        <v>OK stock</v>
      </c>
      <c r="L157" s="306" t="str">
        <v>Concrete paint (prof) outdoor</v>
      </c>
      <c r="M157" s="311" t="str">
        <f>IF(COUNTIF(J:J,L157),IF(_xlfn.XLOOKUP(L157,'Compartments_Kawecki&amp;Nowack19'!A:A,'Compartments_Kawecki&amp;Nowack19'!B:B,_xlfn.XLOOKUP(L157,Compartments_Added!A:A,Compartments_Added!B:B))="Stock","OK stock","OK flow"),IF(_xlfn.XLOOKUP(L157,'Compartments_Kawecki&amp;Nowack19'!A:A,'Compartments_Kawecki&amp;Nowack19'!B:B,_xlfn.XLOOKUP(L157,Compartments_Added!A:A,Compartments_Added!B:B))="Sink","OK, Sink","Missing"))</f>
        <v>OK flow</v>
      </c>
      <c r="N157" s="6"/>
      <c r="O157" s="6"/>
      <c r="P157" s="6"/>
      <c r="Q157">
        <f>Lifetimes!FF1</f>
        <v>0</v>
      </c>
      <c r="R157" t="str">
        <f t="shared" si="6"/>
        <v>OK</v>
      </c>
      <c r="AA157" t="s">
        <v>1884</v>
      </c>
    </row>
    <row r="158" spans="10:27">
      <c r="J158" s="306" t="str">
        <v>Wall paint (prof) indoor</v>
      </c>
      <c r="K158" s="311" t="str">
        <f>IF(ISBLANK(J158),"",IF(COUNTIF(L:L,J158),IF(_xlfn.XLOOKUP(J158,'Compartments_Kawecki&amp;Nowack19'!A:A,'Compartments_Kawecki&amp;Nowack19'!B:B,_xlfn.XLOOKUP(J158,Compartments_Added!A:A,Compartments_Added!B:B))="Stock","OK stock","OK flow"),IF(COUNTIF($G$4:$G$18,J158),IF(COUNTIF($E$4:$E$18,J158),"OK input","Missing"),"Missing")))</f>
        <v>OK flow</v>
      </c>
      <c r="L158" s="306" t="str">
        <v>Concrete paint (prof) indoor</v>
      </c>
      <c r="M158" s="311" t="str">
        <f>IF(COUNTIF(J:J,L158),IF(_xlfn.XLOOKUP(L158,'Compartments_Kawecki&amp;Nowack19'!A:A,'Compartments_Kawecki&amp;Nowack19'!B:B,_xlfn.XLOOKUP(L158,Compartments_Added!A:A,Compartments_Added!B:B))="Stock","OK stock","OK flow"),IF(_xlfn.XLOOKUP(L158,'Compartments_Kawecki&amp;Nowack19'!A:A,'Compartments_Kawecki&amp;Nowack19'!B:B,_xlfn.XLOOKUP(L158,Compartments_Added!A:A,Compartments_Added!B:B))="Sink","OK, Sink","Missing"))</f>
        <v>OK flow</v>
      </c>
      <c r="N158" s="6"/>
      <c r="O158" s="6"/>
      <c r="P158" s="6"/>
      <c r="Q158">
        <f>Lifetimes!FG1</f>
        <v>0</v>
      </c>
      <c r="R158" t="str">
        <f t="shared" si="6"/>
        <v>OK</v>
      </c>
      <c r="AA158" t="s">
        <v>1885</v>
      </c>
    </row>
    <row r="159" spans="10:27">
      <c r="J159" s="306" t="str">
        <v>Wall paint (prof) indoor (in use)</v>
      </c>
      <c r="K159" s="311" t="str">
        <f>IF(ISBLANK(J159),"",IF(COUNTIF(L:L,J159),IF(_xlfn.XLOOKUP(J159,'Compartments_Kawecki&amp;Nowack19'!A:A,'Compartments_Kawecki&amp;Nowack19'!B:B,_xlfn.XLOOKUP(J159,Compartments_Added!A:A,Compartments_Added!B:B))="Stock","OK stock","OK flow"),IF(COUNTIF($G$4:$G$18,J159),IF(COUNTIF($E$4:$E$18,J159),"OK input","Missing"),"Missing")))</f>
        <v>OK stock</v>
      </c>
      <c r="L159" s="306" t="str">
        <v>Concrete paint (prof) outdoor (in use)</v>
      </c>
      <c r="M159" s="311" t="str">
        <f>IF(COUNTIF(J:J,L159),IF(_xlfn.XLOOKUP(L159,'Compartments_Kawecki&amp;Nowack19'!A:A,'Compartments_Kawecki&amp;Nowack19'!B:B,_xlfn.XLOOKUP(L159,Compartments_Added!A:A,Compartments_Added!B:B))="Stock","OK stock","OK flow"),IF(_xlfn.XLOOKUP(L159,'Compartments_Kawecki&amp;Nowack19'!A:A,'Compartments_Kawecki&amp;Nowack19'!B:B,_xlfn.XLOOKUP(L159,Compartments_Added!A:A,Compartments_Added!B:B))="Sink","OK, Sink","Missing"))</f>
        <v>OK stock</v>
      </c>
      <c r="N159" s="6"/>
      <c r="O159" s="6"/>
      <c r="P159" s="6"/>
      <c r="Q159">
        <f>Lifetimes!FH1</f>
        <v>0</v>
      </c>
      <c r="R159" t="str">
        <f t="shared" si="6"/>
        <v>OK</v>
      </c>
      <c r="AA159" t="s">
        <v>1886</v>
      </c>
    </row>
    <row r="160" spans="10:27">
      <c r="J160" s="306" t="str">
        <v>Wall paint (prof) outdoor (discarded)</v>
      </c>
      <c r="K160" s="311" t="str">
        <f>IF(ISBLANK(J160),"",IF(COUNTIF(L:L,J160),IF(_xlfn.XLOOKUP(J160,'Compartments_Kawecki&amp;Nowack19'!A:A,'Compartments_Kawecki&amp;Nowack19'!B:B,_xlfn.XLOOKUP(J160,Compartments_Added!A:A,Compartments_Added!B:B))="Stock","OK stock","OK flow"),IF(COUNTIF($G$4:$G$18,J160),IF(COUNTIF($E$4:$E$18,J160),"OK input","Missing"),"Missing")))</f>
        <v>OK stock</v>
      </c>
      <c r="L160" s="306" t="str">
        <v>Concrete paint (prof) outdoor (discarded)</v>
      </c>
      <c r="M160" s="311" t="str">
        <f>IF(COUNTIF(J:J,L160),IF(_xlfn.XLOOKUP(L160,'Compartments_Kawecki&amp;Nowack19'!A:A,'Compartments_Kawecki&amp;Nowack19'!B:B,_xlfn.XLOOKUP(L160,Compartments_Added!A:A,Compartments_Added!B:B))="Stock","OK stock","OK flow"),IF(_xlfn.XLOOKUP(L160,'Compartments_Kawecki&amp;Nowack19'!A:A,'Compartments_Kawecki&amp;Nowack19'!B:B,_xlfn.XLOOKUP(L160,Compartments_Added!A:A,Compartments_Added!B:B))="Sink","OK, Sink","Missing"))</f>
        <v>OK stock</v>
      </c>
      <c r="N160" s="6"/>
      <c r="O160" s="6"/>
      <c r="P160" s="6"/>
      <c r="Q160">
        <f>Lifetimes!FI1</f>
        <v>0</v>
      </c>
      <c r="R160" t="str">
        <f t="shared" si="6"/>
        <v>OK</v>
      </c>
      <c r="AA160" t="s">
        <v>1887</v>
      </c>
    </row>
    <row r="161" spans="10:27">
      <c r="J161" s="306" t="str">
        <v>Wall paint (prof) indoor (discarded)</v>
      </c>
      <c r="K161" s="311" t="str">
        <f>IF(ISBLANK(J161),"",IF(COUNTIF(L:L,J161),IF(_xlfn.XLOOKUP(J161,'Compartments_Kawecki&amp;Nowack19'!A:A,'Compartments_Kawecki&amp;Nowack19'!B:B,_xlfn.XLOOKUP(J161,Compartments_Added!A:A,Compartments_Added!B:B))="Stock","OK stock","OK flow"),IF(COUNTIF($G$4:$G$18,J161),IF(COUNTIF($E$4:$E$18,J161),"OK input","Missing"),"Missing")))</f>
        <v>OK stock</v>
      </c>
      <c r="L161" s="306" t="str">
        <v>Concrete paint (prof) indoor (in use)</v>
      </c>
      <c r="M161" s="311" t="str">
        <f>IF(COUNTIF(J:J,L161),IF(_xlfn.XLOOKUP(L161,'Compartments_Kawecki&amp;Nowack19'!A:A,'Compartments_Kawecki&amp;Nowack19'!B:B,_xlfn.XLOOKUP(L161,Compartments_Added!A:A,Compartments_Added!B:B))="Stock","OK stock","OK flow"),IF(_xlfn.XLOOKUP(L161,'Compartments_Kawecki&amp;Nowack19'!A:A,'Compartments_Kawecki&amp;Nowack19'!B:B,_xlfn.XLOOKUP(L161,Compartments_Added!A:A,Compartments_Added!B:B))="Sink","OK, Sink","Missing"))</f>
        <v>OK stock</v>
      </c>
      <c r="N161" s="6"/>
      <c r="O161" s="6"/>
      <c r="P161" s="6"/>
      <c r="Q161">
        <f>Lifetimes!FJ1</f>
        <v>0</v>
      </c>
      <c r="R161" t="str">
        <f t="shared" si="6"/>
        <v>OK</v>
      </c>
      <c r="AA161" t="s">
        <v>1888</v>
      </c>
    </row>
    <row r="162" spans="10:27">
      <c r="J162" s="306" t="str">
        <v>Plaster (prof)</v>
      </c>
      <c r="K162" s="311" t="str">
        <f>IF(ISBLANK(J162),"",IF(COUNTIF(L:L,J162),IF(_xlfn.XLOOKUP(J162,'Compartments_Kawecki&amp;Nowack19'!A:A,'Compartments_Kawecki&amp;Nowack19'!B:B,_xlfn.XLOOKUP(J162,Compartments_Added!A:A,Compartments_Added!B:B))="Stock","OK stock","OK flow"),IF(COUNTIF($G$4:$G$18,J162),IF(COUNTIF($E$4:$E$18,J162),"OK input","Missing"),"Missing")))</f>
        <v>OK flow</v>
      </c>
      <c r="L162" s="306" t="str">
        <v>Concrete paint (prof) indoor (discarded)</v>
      </c>
      <c r="M162" s="311" t="str">
        <f>IF(COUNTIF(J:J,L162),IF(_xlfn.XLOOKUP(L162,'Compartments_Kawecki&amp;Nowack19'!A:A,'Compartments_Kawecki&amp;Nowack19'!B:B,_xlfn.XLOOKUP(L162,Compartments_Added!A:A,Compartments_Added!B:B))="Stock","OK stock","OK flow"),IF(_xlfn.XLOOKUP(L162,'Compartments_Kawecki&amp;Nowack19'!A:A,'Compartments_Kawecki&amp;Nowack19'!B:B,_xlfn.XLOOKUP(L162,Compartments_Added!A:A,Compartments_Added!B:B))="Sink","OK, Sink","Missing"))</f>
        <v>OK stock</v>
      </c>
      <c r="N162" s="6"/>
      <c r="O162" s="6"/>
      <c r="P162" s="6"/>
      <c r="Q162">
        <f>Lifetimes!FK1</f>
        <v>0</v>
      </c>
      <c r="R162" t="str">
        <f t="shared" si="6"/>
        <v>OK</v>
      </c>
      <c r="AA162" t="s">
        <v>1889</v>
      </c>
    </row>
    <row r="163" spans="10:27">
      <c r="J163" s="306" t="str">
        <v>Plaster (prof) outdoor</v>
      </c>
      <c r="K163" s="311" t="str">
        <f>IF(ISBLANK(J163),"",IF(COUNTIF(L:L,J163),IF(_xlfn.XLOOKUP(J163,'Compartments_Kawecki&amp;Nowack19'!A:A,'Compartments_Kawecki&amp;Nowack19'!B:B,_xlfn.XLOOKUP(J163,Compartments_Added!A:A,Compartments_Added!B:B))="Stock","OK stock","OK flow"),IF(COUNTIF($G$4:$G$18,J163),IF(COUNTIF($E$4:$E$18,J163),"OK input","Missing"),"Missing")))</f>
        <v>OK flow</v>
      </c>
      <c r="L163" s="306" t="str">
        <v>Lacquer (prof) outdoor</v>
      </c>
      <c r="M163" s="311" t="str">
        <f>IF(COUNTIF(J:J,L163),IF(_xlfn.XLOOKUP(L163,'Compartments_Kawecki&amp;Nowack19'!A:A,'Compartments_Kawecki&amp;Nowack19'!B:B,_xlfn.XLOOKUP(L163,Compartments_Added!A:A,Compartments_Added!B:B))="Stock","OK stock","OK flow"),IF(_xlfn.XLOOKUP(L163,'Compartments_Kawecki&amp;Nowack19'!A:A,'Compartments_Kawecki&amp;Nowack19'!B:B,_xlfn.XLOOKUP(L163,Compartments_Added!A:A,Compartments_Added!B:B))="Sink","OK, Sink","Missing"))</f>
        <v>OK flow</v>
      </c>
      <c r="N163" s="6"/>
      <c r="O163" s="6"/>
      <c r="P163" s="6"/>
      <c r="Q163">
        <f>Lifetimes!FL1</f>
        <v>0</v>
      </c>
      <c r="R163" t="str">
        <f t="shared" si="6"/>
        <v>OK</v>
      </c>
      <c r="AA163" t="s">
        <v>1890</v>
      </c>
    </row>
    <row r="164" spans="10:27">
      <c r="J164" s="306" t="str">
        <v>Plaster (prof) outdoor (in use)</v>
      </c>
      <c r="K164" s="311" t="str">
        <f>IF(ISBLANK(J164),"",IF(COUNTIF(L:L,J164),IF(_xlfn.XLOOKUP(J164,'Compartments_Kawecki&amp;Nowack19'!A:A,'Compartments_Kawecki&amp;Nowack19'!B:B,_xlfn.XLOOKUP(J164,Compartments_Added!A:A,Compartments_Added!B:B))="Stock","OK stock","OK flow"),IF(COUNTIF($G$4:$G$18,J164),IF(COUNTIF($E$4:$E$18,J164),"OK input","Missing"),"Missing")))</f>
        <v>OK stock</v>
      </c>
      <c r="L164" s="306" t="str">
        <v>Lacquer (prof) indoor</v>
      </c>
      <c r="M164" s="311" t="str">
        <f>IF(COUNTIF(J:J,L164),IF(_xlfn.XLOOKUP(L164,'Compartments_Kawecki&amp;Nowack19'!A:A,'Compartments_Kawecki&amp;Nowack19'!B:B,_xlfn.XLOOKUP(L164,Compartments_Added!A:A,Compartments_Added!B:B))="Stock","OK stock","OK flow"),IF(_xlfn.XLOOKUP(L164,'Compartments_Kawecki&amp;Nowack19'!A:A,'Compartments_Kawecki&amp;Nowack19'!B:B,_xlfn.XLOOKUP(L164,Compartments_Added!A:A,Compartments_Added!B:B))="Sink","OK, Sink","Missing"))</f>
        <v>OK flow</v>
      </c>
      <c r="N164" s="6"/>
      <c r="O164" s="6"/>
      <c r="P164" s="6"/>
      <c r="Q164">
        <f>Lifetimes!FM1</f>
        <v>0</v>
      </c>
      <c r="R164" t="str">
        <f t="shared" si="6"/>
        <v>OK</v>
      </c>
      <c r="AA164" t="s">
        <v>1891</v>
      </c>
    </row>
    <row r="165" spans="10:27">
      <c r="J165" s="306" t="str">
        <v>Plaster (prof) indoor</v>
      </c>
      <c r="K165" s="311" t="str">
        <f>IF(ISBLANK(J165),"",IF(COUNTIF(L:L,J165),IF(_xlfn.XLOOKUP(J165,'Compartments_Kawecki&amp;Nowack19'!A:A,'Compartments_Kawecki&amp;Nowack19'!B:B,_xlfn.XLOOKUP(J165,Compartments_Added!A:A,Compartments_Added!B:B))="Stock","OK stock","OK flow"),IF(COUNTIF($G$4:$G$18,J165),IF(COUNTIF($E$4:$E$18,J165),"OK input","Missing"),"Missing")))</f>
        <v>OK flow</v>
      </c>
      <c r="L165" s="306" t="str">
        <v>Lacquer (prof) outdoor (in use)</v>
      </c>
      <c r="M165" s="311" t="str">
        <f>IF(COUNTIF(J:J,L165),IF(_xlfn.XLOOKUP(L165,'Compartments_Kawecki&amp;Nowack19'!A:A,'Compartments_Kawecki&amp;Nowack19'!B:B,_xlfn.XLOOKUP(L165,Compartments_Added!A:A,Compartments_Added!B:B))="Stock","OK stock","OK flow"),IF(_xlfn.XLOOKUP(L165,'Compartments_Kawecki&amp;Nowack19'!A:A,'Compartments_Kawecki&amp;Nowack19'!B:B,_xlfn.XLOOKUP(L165,Compartments_Added!A:A,Compartments_Added!B:B))="Sink","OK, Sink","Missing"))</f>
        <v>OK stock</v>
      </c>
      <c r="N165" s="6"/>
      <c r="O165" s="6"/>
      <c r="P165" s="6"/>
      <c r="Q165">
        <f>Lifetimes!FN1</f>
        <v>0</v>
      </c>
      <c r="R165" t="str">
        <f t="shared" si="6"/>
        <v>OK</v>
      </c>
      <c r="AA165" t="s">
        <v>1892</v>
      </c>
    </row>
    <row r="166" spans="10:27">
      <c r="J166" s="306" t="str">
        <v>Plaster (prof) indoor (in use)</v>
      </c>
      <c r="K166" s="311" t="str">
        <f>IF(ISBLANK(J166),"",IF(COUNTIF(L:L,J166),IF(_xlfn.XLOOKUP(J166,'Compartments_Kawecki&amp;Nowack19'!A:A,'Compartments_Kawecki&amp;Nowack19'!B:B,_xlfn.XLOOKUP(J166,Compartments_Added!A:A,Compartments_Added!B:B))="Stock","OK stock","OK flow"),IF(COUNTIF($G$4:$G$18,J166),IF(COUNTIF($E$4:$E$18,J166),"OK input","Missing"),"Missing")))</f>
        <v>OK stock</v>
      </c>
      <c r="L166" s="306" t="str">
        <v>Lacquer (prof) outdoor (discarded)</v>
      </c>
      <c r="M166" s="311" t="str">
        <f>IF(COUNTIF(J:J,L166),IF(_xlfn.XLOOKUP(L166,'Compartments_Kawecki&amp;Nowack19'!A:A,'Compartments_Kawecki&amp;Nowack19'!B:B,_xlfn.XLOOKUP(L166,Compartments_Added!A:A,Compartments_Added!B:B))="Stock","OK stock","OK flow"),IF(_xlfn.XLOOKUP(L166,'Compartments_Kawecki&amp;Nowack19'!A:A,'Compartments_Kawecki&amp;Nowack19'!B:B,_xlfn.XLOOKUP(L166,Compartments_Added!A:A,Compartments_Added!B:B))="Sink","OK, Sink","Missing"))</f>
        <v>OK stock</v>
      </c>
      <c r="N166" s="6"/>
      <c r="O166" s="6"/>
      <c r="P166" s="6"/>
      <c r="Q166">
        <f>Lifetimes!FO1</f>
        <v>0</v>
      </c>
      <c r="R166" t="str">
        <f t="shared" si="6"/>
        <v>OK</v>
      </c>
      <c r="AA166" t="s">
        <v>1893</v>
      </c>
    </row>
    <row r="167" spans="10:27">
      <c r="J167" s="306" t="str">
        <v>Plaster (prof) outdoor (discarded)</v>
      </c>
      <c r="K167" s="311" t="str">
        <f>IF(ISBLANK(J167),"",IF(COUNTIF(L:L,J167),IF(_xlfn.XLOOKUP(J167,'Compartments_Kawecki&amp;Nowack19'!A:A,'Compartments_Kawecki&amp;Nowack19'!B:B,_xlfn.XLOOKUP(J167,Compartments_Added!A:A,Compartments_Added!B:B))="Stock","OK stock","OK flow"),IF(COUNTIF($G$4:$G$18,J167),IF(COUNTIF($E$4:$E$18,J167),"OK input","Missing"),"Missing")))</f>
        <v>OK stock</v>
      </c>
      <c r="L167" s="306" t="str">
        <v>Lacquer (prof) indoor (in use)</v>
      </c>
      <c r="M167" s="311" t="str">
        <f>IF(COUNTIF(J:J,L167),IF(_xlfn.XLOOKUP(L167,'Compartments_Kawecki&amp;Nowack19'!A:A,'Compartments_Kawecki&amp;Nowack19'!B:B,_xlfn.XLOOKUP(L167,Compartments_Added!A:A,Compartments_Added!B:B))="Stock","OK stock","OK flow"),IF(_xlfn.XLOOKUP(L167,'Compartments_Kawecki&amp;Nowack19'!A:A,'Compartments_Kawecki&amp;Nowack19'!B:B,_xlfn.XLOOKUP(L167,Compartments_Added!A:A,Compartments_Added!B:B))="Sink","OK, Sink","Missing"))</f>
        <v>OK stock</v>
      </c>
      <c r="N167" s="6"/>
      <c r="O167" s="6"/>
      <c r="P167" s="6"/>
      <c r="Q167">
        <f>Lifetimes!FP1</f>
        <v>0</v>
      </c>
      <c r="R167" t="str">
        <f t="shared" si="6"/>
        <v>OK</v>
      </c>
      <c r="AA167" t="s">
        <v>1894</v>
      </c>
    </row>
    <row r="168" spans="10:27">
      <c r="J168" s="306" t="str">
        <v>Plaster (prof) indoor (discarded)</v>
      </c>
      <c r="K168" s="311" t="str">
        <f>IF(ISBLANK(J168),"",IF(COUNTIF(L:L,J168),IF(_xlfn.XLOOKUP(J168,'Compartments_Kawecki&amp;Nowack19'!A:A,'Compartments_Kawecki&amp;Nowack19'!B:B,_xlfn.XLOOKUP(J168,Compartments_Added!A:A,Compartments_Added!B:B))="Stock","OK stock","OK flow"),IF(COUNTIF($G$4:$G$18,J168),IF(COUNTIF($E$4:$E$18,J168),"OK input","Missing"),"Missing")))</f>
        <v>OK stock</v>
      </c>
      <c r="L168" s="306" t="str">
        <v>Lacquer (prof) indoor (discarded)</v>
      </c>
      <c r="M168" s="311" t="str">
        <f>IF(COUNTIF(J:J,L168),IF(_xlfn.XLOOKUP(L168,'Compartments_Kawecki&amp;Nowack19'!A:A,'Compartments_Kawecki&amp;Nowack19'!B:B,_xlfn.XLOOKUP(L168,Compartments_Added!A:A,Compartments_Added!B:B))="Stock","OK stock","OK flow"),IF(_xlfn.XLOOKUP(L168,'Compartments_Kawecki&amp;Nowack19'!A:A,'Compartments_Kawecki&amp;Nowack19'!B:B,_xlfn.XLOOKUP(L168,Compartments_Added!A:A,Compartments_Added!B:B))="Sink","OK, Sink","Missing"))</f>
        <v>OK stock</v>
      </c>
      <c r="N168" s="6"/>
      <c r="O168" s="6"/>
      <c r="P168" s="6"/>
      <c r="Q168">
        <f>Lifetimes!FQ1</f>
        <v>0</v>
      </c>
      <c r="R168" t="str">
        <f t="shared" si="6"/>
        <v>OK</v>
      </c>
      <c r="AA168" t="s">
        <v>1895</v>
      </c>
    </row>
    <row r="169" spans="10:27">
      <c r="J169" s="306" t="str">
        <v>Other paint uses (prof)</v>
      </c>
      <c r="K169" s="311" t="str">
        <f>IF(ISBLANK(J169),"",IF(COUNTIF(L:L,J169),IF(_xlfn.XLOOKUP(J169,'Compartments_Kawecki&amp;Nowack19'!A:A,'Compartments_Kawecki&amp;Nowack19'!B:B,_xlfn.XLOOKUP(J169,Compartments_Added!A:A,Compartments_Added!B:B))="Stock","OK stock","OK flow"),IF(COUNTIF($G$4:$G$18,J169),IF(COUNTIF($E$4:$E$18,J169),"OK input","Missing"),"Missing")))</f>
        <v>OK flow</v>
      </c>
      <c r="L169" s="306" t="str">
        <v>Wood stain (prof) outdoor</v>
      </c>
      <c r="M169" s="311" t="str">
        <f>IF(COUNTIF(J:J,L169),IF(_xlfn.XLOOKUP(L169,'Compartments_Kawecki&amp;Nowack19'!A:A,'Compartments_Kawecki&amp;Nowack19'!B:B,_xlfn.XLOOKUP(L169,Compartments_Added!A:A,Compartments_Added!B:B))="Stock","OK stock","OK flow"),IF(_xlfn.XLOOKUP(L169,'Compartments_Kawecki&amp;Nowack19'!A:A,'Compartments_Kawecki&amp;Nowack19'!B:B,_xlfn.XLOOKUP(L169,Compartments_Added!A:A,Compartments_Added!B:B))="Sink","OK, Sink","Missing"))</f>
        <v>OK flow</v>
      </c>
      <c r="N169" s="7"/>
      <c r="O169" s="6"/>
      <c r="P169" s="6"/>
      <c r="Q169">
        <f>Lifetimes!FR1</f>
        <v>0</v>
      </c>
      <c r="R169" t="str">
        <f t="shared" si="6"/>
        <v>OK</v>
      </c>
      <c r="AA169" t="s">
        <v>1896</v>
      </c>
    </row>
    <row r="170" spans="10:27">
      <c r="J170" s="306" t="str">
        <v>Other paint uses (prof) outdoor</v>
      </c>
      <c r="K170" s="311" t="str">
        <f>IF(ISBLANK(J170),"",IF(COUNTIF(L:L,J170),IF(_xlfn.XLOOKUP(J170,'Compartments_Kawecki&amp;Nowack19'!A:A,'Compartments_Kawecki&amp;Nowack19'!B:B,_xlfn.XLOOKUP(J170,Compartments_Added!A:A,Compartments_Added!B:B))="Stock","OK stock","OK flow"),IF(COUNTIF($G$4:$G$18,J170),IF(COUNTIF($E$4:$E$18,J170),"OK input","Missing"),"Missing")))</f>
        <v>OK flow</v>
      </c>
      <c r="L170" s="306" t="str">
        <v>Wood stain (prof) indoor</v>
      </c>
      <c r="M170" s="311" t="str">
        <f>IF(COUNTIF(J:J,L170),IF(_xlfn.XLOOKUP(L170,'Compartments_Kawecki&amp;Nowack19'!A:A,'Compartments_Kawecki&amp;Nowack19'!B:B,_xlfn.XLOOKUP(L170,Compartments_Added!A:A,Compartments_Added!B:B))="Stock","OK stock","OK flow"),IF(_xlfn.XLOOKUP(L170,'Compartments_Kawecki&amp;Nowack19'!A:A,'Compartments_Kawecki&amp;Nowack19'!B:B,_xlfn.XLOOKUP(L170,Compartments_Added!A:A,Compartments_Added!B:B))="Sink","OK, Sink","Missing"))</f>
        <v>OK flow</v>
      </c>
      <c r="N170" s="7"/>
      <c r="O170" s="6"/>
      <c r="P170" s="6"/>
      <c r="Q170">
        <f>Lifetimes!FS1</f>
        <v>0</v>
      </c>
      <c r="R170" t="str">
        <f t="shared" si="6"/>
        <v>OK</v>
      </c>
      <c r="AA170" t="s">
        <v>1897</v>
      </c>
    </row>
    <row r="171" spans="10:27">
      <c r="J171" s="306" t="str">
        <v>Other paint uses (prof) outdoor (in use)</v>
      </c>
      <c r="K171" s="311" t="str">
        <f>IF(ISBLANK(J171),"",IF(COUNTIF(L:L,J171),IF(_xlfn.XLOOKUP(J171,'Compartments_Kawecki&amp;Nowack19'!A:A,'Compartments_Kawecki&amp;Nowack19'!B:B,_xlfn.XLOOKUP(J171,Compartments_Added!A:A,Compartments_Added!B:B))="Stock","OK stock","OK flow"),IF(COUNTIF($G$4:$G$18,J171),IF(COUNTIF($E$4:$E$18,J171),"OK input","Missing"),"Missing")))</f>
        <v>OK stock</v>
      </c>
      <c r="L171" s="306" t="str">
        <v>Wood stain (prof) outdoor (in use)</v>
      </c>
      <c r="M171" s="311" t="str">
        <f>IF(COUNTIF(J:J,L171),IF(_xlfn.XLOOKUP(L171,'Compartments_Kawecki&amp;Nowack19'!A:A,'Compartments_Kawecki&amp;Nowack19'!B:B,_xlfn.XLOOKUP(L171,Compartments_Added!A:A,Compartments_Added!B:B))="Stock","OK stock","OK flow"),IF(_xlfn.XLOOKUP(L171,'Compartments_Kawecki&amp;Nowack19'!A:A,'Compartments_Kawecki&amp;Nowack19'!B:B,_xlfn.XLOOKUP(L171,Compartments_Added!A:A,Compartments_Added!B:B))="Sink","OK, Sink","Missing"))</f>
        <v>OK stock</v>
      </c>
      <c r="N171" s="7"/>
      <c r="O171" s="6"/>
      <c r="P171" s="6"/>
      <c r="Q171">
        <f>Lifetimes!FT1</f>
        <v>0</v>
      </c>
      <c r="R171" t="str">
        <f t="shared" si="6"/>
        <v>OK</v>
      </c>
      <c r="AA171" t="s">
        <v>1898</v>
      </c>
    </row>
    <row r="172" spans="10:27">
      <c r="J172" s="306" t="str">
        <v>Other paint uses (prof) indoor</v>
      </c>
      <c r="K172" s="311" t="str">
        <f>IF(ISBLANK(J172),"",IF(COUNTIF(L:L,J172),IF(_xlfn.XLOOKUP(J172,'Compartments_Kawecki&amp;Nowack19'!A:A,'Compartments_Kawecki&amp;Nowack19'!B:B,_xlfn.XLOOKUP(J172,Compartments_Added!A:A,Compartments_Added!B:B))="Stock","OK stock","OK flow"),IF(COUNTIF($G$4:$G$18,J172),IF(COUNTIF($E$4:$E$18,J172),"OK input","Missing"),"Missing")))</f>
        <v>OK flow</v>
      </c>
      <c r="L172" s="306" t="str">
        <v>Wood stain (prof) outdoor (discarded)</v>
      </c>
      <c r="M172" s="311" t="str">
        <f>IF(COUNTIF(J:J,L172),IF(_xlfn.XLOOKUP(L172,'Compartments_Kawecki&amp;Nowack19'!A:A,'Compartments_Kawecki&amp;Nowack19'!B:B,_xlfn.XLOOKUP(L172,Compartments_Added!A:A,Compartments_Added!B:B))="Stock","OK stock","OK flow"),IF(_xlfn.XLOOKUP(L172,'Compartments_Kawecki&amp;Nowack19'!A:A,'Compartments_Kawecki&amp;Nowack19'!B:B,_xlfn.XLOOKUP(L172,Compartments_Added!A:A,Compartments_Added!B:B))="Sink","OK, Sink","Missing"))</f>
        <v>OK stock</v>
      </c>
      <c r="N172" s="7"/>
      <c r="O172" s="6"/>
      <c r="P172" s="6"/>
      <c r="Q172">
        <f>Lifetimes!FU1</f>
        <v>0</v>
      </c>
      <c r="R172" t="str">
        <f t="shared" si="6"/>
        <v>OK</v>
      </c>
      <c r="AA172" t="s">
        <v>1899</v>
      </c>
    </row>
    <row r="173" spans="10:27">
      <c r="J173" s="306" t="str">
        <v>Other paint uses (prof) indoor (in use)</v>
      </c>
      <c r="K173" s="311" t="str">
        <f>IF(ISBLANK(J173),"",IF(COUNTIF(L:L,J173),IF(_xlfn.XLOOKUP(J173,'Compartments_Kawecki&amp;Nowack19'!A:A,'Compartments_Kawecki&amp;Nowack19'!B:B,_xlfn.XLOOKUP(J173,Compartments_Added!A:A,Compartments_Added!B:B))="Stock","OK stock","OK flow"),IF(COUNTIF($G$4:$G$18,J173),IF(COUNTIF($E$4:$E$18,J173),"OK input","Missing"),"Missing")))</f>
        <v>OK stock</v>
      </c>
      <c r="L173" s="306" t="str">
        <v>Wood stain (prof) indoor (in use)</v>
      </c>
      <c r="M173" s="311" t="str">
        <f>IF(COUNTIF(J:J,L173),IF(_xlfn.XLOOKUP(L173,'Compartments_Kawecki&amp;Nowack19'!A:A,'Compartments_Kawecki&amp;Nowack19'!B:B,_xlfn.XLOOKUP(L173,Compartments_Added!A:A,Compartments_Added!B:B))="Stock","OK stock","OK flow"),IF(_xlfn.XLOOKUP(L173,'Compartments_Kawecki&amp;Nowack19'!A:A,'Compartments_Kawecki&amp;Nowack19'!B:B,_xlfn.XLOOKUP(L173,Compartments_Added!A:A,Compartments_Added!B:B))="Sink","OK, Sink","Missing"))</f>
        <v>OK stock</v>
      </c>
      <c r="N173" s="7"/>
      <c r="O173" s="6"/>
      <c r="P173" s="6"/>
      <c r="Q173">
        <f>Lifetimes!FV1</f>
        <v>0</v>
      </c>
      <c r="R173" t="str">
        <f t="shared" si="6"/>
        <v>OK</v>
      </c>
      <c r="AA173" t="s">
        <v>1900</v>
      </c>
    </row>
    <row r="174" spans="10:27">
      <c r="J174" s="306" t="str">
        <v>Other paint uses (prof) outdoor (discarded)</v>
      </c>
      <c r="K174" s="311" t="str">
        <f>IF(ISBLANK(J174),"",IF(COUNTIF(L:L,J174),IF(_xlfn.XLOOKUP(J174,'Compartments_Kawecki&amp;Nowack19'!A:A,'Compartments_Kawecki&amp;Nowack19'!B:B,_xlfn.XLOOKUP(J174,Compartments_Added!A:A,Compartments_Added!B:B))="Stock","OK stock","OK flow"),IF(COUNTIF($G$4:$G$18,J174),IF(COUNTIF($E$4:$E$18,J174),"OK input","Missing"),"Missing")))</f>
        <v>OK stock</v>
      </c>
      <c r="L174" s="306" t="str">
        <v>Wood stain (prof) indoor (discarded)</v>
      </c>
      <c r="M174" s="311" t="str">
        <f>IF(COUNTIF(J:J,L174),IF(_xlfn.XLOOKUP(L174,'Compartments_Kawecki&amp;Nowack19'!A:A,'Compartments_Kawecki&amp;Nowack19'!B:B,_xlfn.XLOOKUP(L174,Compartments_Added!A:A,Compartments_Added!B:B))="Stock","OK stock","OK flow"),IF(_xlfn.XLOOKUP(L174,'Compartments_Kawecki&amp;Nowack19'!A:A,'Compartments_Kawecki&amp;Nowack19'!B:B,_xlfn.XLOOKUP(L174,Compartments_Added!A:A,Compartments_Added!B:B))="Sink","OK, Sink","Missing"))</f>
        <v>OK stock</v>
      </c>
      <c r="N174" s="7"/>
      <c r="O174" s="6"/>
      <c r="P174" s="6"/>
      <c r="Q174">
        <f>Lifetimes!FW1</f>
        <v>0</v>
      </c>
      <c r="R174" t="str">
        <f t="shared" si="6"/>
        <v>OK</v>
      </c>
      <c r="AA174" t="s">
        <v>1901</v>
      </c>
    </row>
    <row r="175" spans="10:27">
      <c r="J175" s="306" t="str">
        <v>Other paint uses (prof) indoor (discarded)</v>
      </c>
      <c r="K175" s="311" t="str">
        <f>IF(ISBLANK(J175),"",IF(COUNTIF(L:L,J175),IF(_xlfn.XLOOKUP(J175,'Compartments_Kawecki&amp;Nowack19'!A:A,'Compartments_Kawecki&amp;Nowack19'!B:B,_xlfn.XLOOKUP(J175,Compartments_Added!A:A,Compartments_Added!B:B))="Stock","OK stock","OK flow"),IF(COUNTIF($G$4:$G$18,J175),IF(COUNTIF($E$4:$E$18,J175),"OK input","Missing"),"Missing")))</f>
        <v>OK stock</v>
      </c>
      <c r="L175" s="306" t="str">
        <v>Wall paint (prof) outdoor</v>
      </c>
      <c r="M175" s="311" t="str">
        <f>IF(COUNTIF(J:J,L175),IF(_xlfn.XLOOKUP(L175,'Compartments_Kawecki&amp;Nowack19'!A:A,'Compartments_Kawecki&amp;Nowack19'!B:B,_xlfn.XLOOKUP(L175,Compartments_Added!A:A,Compartments_Added!B:B))="Stock","OK stock","OK flow"),IF(_xlfn.XLOOKUP(L175,'Compartments_Kawecki&amp;Nowack19'!A:A,'Compartments_Kawecki&amp;Nowack19'!B:B,_xlfn.XLOOKUP(L175,Compartments_Added!A:A,Compartments_Added!B:B))="Sink","OK, Sink","Missing"))</f>
        <v>OK flow</v>
      </c>
      <c r="N175" s="7"/>
      <c r="O175" s="6"/>
      <c r="P175" s="6"/>
      <c r="Q175">
        <f>Lifetimes!FX1</f>
        <v>0</v>
      </c>
      <c r="R175" t="str">
        <f t="shared" si="6"/>
        <v>OK</v>
      </c>
      <c r="AA175" t="s">
        <v>1902</v>
      </c>
    </row>
    <row r="176" spans="10:27">
      <c r="J176" s="306" t="str">
        <v>Paints used in pre-made wooden products</v>
      </c>
      <c r="K176" s="311" t="str">
        <f>IF(ISBLANK(J176),"",IF(COUNTIF(L:L,J176),IF(_xlfn.XLOOKUP(J176,'Compartments_Kawecki&amp;Nowack19'!A:A,'Compartments_Kawecki&amp;Nowack19'!B:B,_xlfn.XLOOKUP(J176,Compartments_Added!A:A,Compartments_Added!B:B))="Stock","OK stock","OK flow"),IF(COUNTIF($G$4:$G$18,J176),IF(COUNTIF($E$4:$E$18,J176),"OK input","Missing"),"Missing")))</f>
        <v>OK flow</v>
      </c>
      <c r="L176" s="306" t="str">
        <v>Wall paint (prof) indoor</v>
      </c>
      <c r="M176" s="311" t="str">
        <f>IF(COUNTIF(J:J,L176),IF(_xlfn.XLOOKUP(L176,'Compartments_Kawecki&amp;Nowack19'!A:A,'Compartments_Kawecki&amp;Nowack19'!B:B,_xlfn.XLOOKUP(L176,Compartments_Added!A:A,Compartments_Added!B:B))="Stock","OK stock","OK flow"),IF(_xlfn.XLOOKUP(L176,'Compartments_Kawecki&amp;Nowack19'!A:A,'Compartments_Kawecki&amp;Nowack19'!B:B,_xlfn.XLOOKUP(L176,Compartments_Added!A:A,Compartments_Added!B:B))="Sink","OK, Sink","Missing"))</f>
        <v>OK flow</v>
      </c>
      <c r="N176" s="7"/>
      <c r="O176" s="6"/>
      <c r="P176" s="6"/>
      <c r="Q176">
        <f>Lifetimes!FY1</f>
        <v>0</v>
      </c>
      <c r="R176" t="str">
        <f t="shared" si="6"/>
        <v>OK</v>
      </c>
      <c r="AA176" t="s">
        <v>1903</v>
      </c>
    </row>
    <row r="177" spans="10:27">
      <c r="J177" s="306" t="str">
        <v>Paints used in pre-made wooden products outdoor</v>
      </c>
      <c r="K177" s="311" t="str">
        <f>IF(ISBLANK(J177),"",IF(COUNTIF(L:L,J177),IF(_xlfn.XLOOKUP(J177,'Compartments_Kawecki&amp;Nowack19'!A:A,'Compartments_Kawecki&amp;Nowack19'!B:B,_xlfn.XLOOKUP(J177,Compartments_Added!A:A,Compartments_Added!B:B))="Stock","OK stock","OK flow"),IF(COUNTIF($G$4:$G$18,J177),IF(COUNTIF($E$4:$E$18,J177),"OK input","Missing"),"Missing")))</f>
        <v>OK flow</v>
      </c>
      <c r="L177" s="306" t="str">
        <v>Wall paint (prof) outdoor (in use)</v>
      </c>
      <c r="M177" s="311" t="str">
        <f>IF(COUNTIF(J:J,L177),IF(_xlfn.XLOOKUP(L177,'Compartments_Kawecki&amp;Nowack19'!A:A,'Compartments_Kawecki&amp;Nowack19'!B:B,_xlfn.XLOOKUP(L177,Compartments_Added!A:A,Compartments_Added!B:B))="Stock","OK stock","OK flow"),IF(_xlfn.XLOOKUP(L177,'Compartments_Kawecki&amp;Nowack19'!A:A,'Compartments_Kawecki&amp;Nowack19'!B:B,_xlfn.XLOOKUP(L177,Compartments_Added!A:A,Compartments_Added!B:B))="Sink","OK, Sink","Missing"))</f>
        <v>OK stock</v>
      </c>
      <c r="N177" s="7"/>
      <c r="O177" s="6"/>
      <c r="P177" s="6"/>
      <c r="Q177">
        <f>Lifetimes!FZ1</f>
        <v>0</v>
      </c>
      <c r="R177" t="str">
        <f t="shared" si="6"/>
        <v>OK</v>
      </c>
      <c r="AA177" t="s">
        <v>1904</v>
      </c>
    </row>
    <row r="178" spans="10:27">
      <c r="J178" s="306" t="str">
        <v>Paints used in pre-made wooden products outdoor (in use)</v>
      </c>
      <c r="K178" s="311" t="str">
        <f>IF(ISBLANK(J178),"",IF(COUNTIF(L:L,J178),IF(_xlfn.XLOOKUP(J178,'Compartments_Kawecki&amp;Nowack19'!A:A,'Compartments_Kawecki&amp;Nowack19'!B:B,_xlfn.XLOOKUP(J178,Compartments_Added!A:A,Compartments_Added!B:B))="Stock","OK stock","OK flow"),IF(COUNTIF($G$4:$G$18,J178),IF(COUNTIF($E$4:$E$18,J178),"OK input","Missing"),"Missing")))</f>
        <v>OK stock</v>
      </c>
      <c r="L178" s="306" t="str">
        <v>Wall paint (prof) outdoor (discarded)</v>
      </c>
      <c r="M178" s="311" t="str">
        <f>IF(COUNTIF(J:J,L178),IF(_xlfn.XLOOKUP(L178,'Compartments_Kawecki&amp;Nowack19'!A:A,'Compartments_Kawecki&amp;Nowack19'!B:B,_xlfn.XLOOKUP(L178,Compartments_Added!A:A,Compartments_Added!B:B))="Stock","OK stock","OK flow"),IF(_xlfn.XLOOKUP(L178,'Compartments_Kawecki&amp;Nowack19'!A:A,'Compartments_Kawecki&amp;Nowack19'!B:B,_xlfn.XLOOKUP(L178,Compartments_Added!A:A,Compartments_Added!B:B))="Sink","OK, Sink","Missing"))</f>
        <v>OK stock</v>
      </c>
      <c r="N178" s="7"/>
      <c r="O178" s="6"/>
      <c r="P178" s="6"/>
      <c r="Q178">
        <f>Lifetimes!GA1</f>
        <v>0</v>
      </c>
      <c r="R178" t="str">
        <f t="shared" si="6"/>
        <v>OK</v>
      </c>
      <c r="AA178" t="s">
        <v>1905</v>
      </c>
    </row>
    <row r="179" spans="10:27">
      <c r="J179" s="306" t="str">
        <v>Paints used in pre-made wooden products indoor</v>
      </c>
      <c r="K179" s="311" t="str">
        <f>IF(ISBLANK(J179),"",IF(COUNTIF(L:L,J179),IF(_xlfn.XLOOKUP(J179,'Compartments_Kawecki&amp;Nowack19'!A:A,'Compartments_Kawecki&amp;Nowack19'!B:B,_xlfn.XLOOKUP(J179,Compartments_Added!A:A,Compartments_Added!B:B))="Stock","OK stock","OK flow"),IF(COUNTIF($G$4:$G$18,J179),IF(COUNTIF($E$4:$E$18,J179),"OK input","Missing"),"Missing")))</f>
        <v>OK flow</v>
      </c>
      <c r="L179" s="306" t="str">
        <v>Wall paint (prof) indoor (in use)</v>
      </c>
      <c r="M179" s="311" t="str">
        <f>IF(COUNTIF(J:J,L179),IF(_xlfn.XLOOKUP(L179,'Compartments_Kawecki&amp;Nowack19'!A:A,'Compartments_Kawecki&amp;Nowack19'!B:B,_xlfn.XLOOKUP(L179,Compartments_Added!A:A,Compartments_Added!B:B))="Stock","OK stock","OK flow"),IF(_xlfn.XLOOKUP(L179,'Compartments_Kawecki&amp;Nowack19'!A:A,'Compartments_Kawecki&amp;Nowack19'!B:B,_xlfn.XLOOKUP(L179,Compartments_Added!A:A,Compartments_Added!B:B))="Sink","OK, Sink","Missing"))</f>
        <v>OK stock</v>
      </c>
      <c r="N179" s="7"/>
      <c r="O179" s="6"/>
      <c r="P179" s="6"/>
      <c r="Q179">
        <f>Lifetimes!GB1</f>
        <v>0</v>
      </c>
      <c r="R179" t="str">
        <f t="shared" si="6"/>
        <v>OK</v>
      </c>
      <c r="AA179" t="s">
        <v>1906</v>
      </c>
    </row>
    <row r="180" spans="10:27">
      <c r="J180" s="306" t="str">
        <v>Paints used in pre-made wooden products indoor (in use)</v>
      </c>
      <c r="K180" s="311" t="str">
        <f>IF(ISBLANK(J180),"",IF(COUNTIF(L:L,J180),IF(_xlfn.XLOOKUP(J180,'Compartments_Kawecki&amp;Nowack19'!A:A,'Compartments_Kawecki&amp;Nowack19'!B:B,_xlfn.XLOOKUP(J180,Compartments_Added!A:A,Compartments_Added!B:B))="Stock","OK stock","OK flow"),IF(COUNTIF($G$4:$G$18,J180),IF(COUNTIF($E$4:$E$18,J180),"OK input","Missing"),"Missing")))</f>
        <v>OK stock</v>
      </c>
      <c r="L180" s="306" t="str">
        <v>Wall paint (prof) indoor (discarded)</v>
      </c>
      <c r="M180" s="311" t="str">
        <f>IF(COUNTIF(J:J,L180),IF(_xlfn.XLOOKUP(L180,'Compartments_Kawecki&amp;Nowack19'!A:A,'Compartments_Kawecki&amp;Nowack19'!B:B,_xlfn.XLOOKUP(L180,Compartments_Added!A:A,Compartments_Added!B:B))="Stock","OK stock","OK flow"),IF(_xlfn.XLOOKUP(L180,'Compartments_Kawecki&amp;Nowack19'!A:A,'Compartments_Kawecki&amp;Nowack19'!B:B,_xlfn.XLOOKUP(L180,Compartments_Added!A:A,Compartments_Added!B:B))="Sink","OK, Sink","Missing"))</f>
        <v>OK stock</v>
      </c>
      <c r="N180" s="7"/>
      <c r="O180" s="6"/>
      <c r="P180" s="6"/>
      <c r="Q180">
        <f>Lifetimes!GC1</f>
        <v>0</v>
      </c>
      <c r="R180" t="str">
        <f t="shared" si="6"/>
        <v>OK</v>
      </c>
      <c r="AA180" t="s">
        <v>1907</v>
      </c>
    </row>
    <row r="181" spans="10:27">
      <c r="J181" s="306" t="str">
        <v>Paints used in pre-made wooden products outdoor (discarded)</v>
      </c>
      <c r="K181" s="311" t="str">
        <f>IF(ISBLANK(J181),"",IF(COUNTIF(L:L,J181),IF(_xlfn.XLOOKUP(J181,'Compartments_Kawecki&amp;Nowack19'!A:A,'Compartments_Kawecki&amp;Nowack19'!B:B,_xlfn.XLOOKUP(J181,Compartments_Added!A:A,Compartments_Added!B:B))="Stock","OK stock","OK flow"),IF(COUNTIF($G$4:$G$18,J181),IF(COUNTIF($E$4:$E$18,J181),"OK input","Missing"),"Missing")))</f>
        <v>OK stock</v>
      </c>
      <c r="L181" s="306" t="str">
        <v>Plaster (prof) outdoor</v>
      </c>
      <c r="M181" s="311" t="str">
        <f>IF(COUNTIF(J:J,L181),IF(_xlfn.XLOOKUP(L181,'Compartments_Kawecki&amp;Nowack19'!A:A,'Compartments_Kawecki&amp;Nowack19'!B:B,_xlfn.XLOOKUP(L181,Compartments_Added!A:A,Compartments_Added!B:B))="Stock","OK stock","OK flow"),IF(_xlfn.XLOOKUP(L181,'Compartments_Kawecki&amp;Nowack19'!A:A,'Compartments_Kawecki&amp;Nowack19'!B:B,_xlfn.XLOOKUP(L181,Compartments_Added!A:A,Compartments_Added!B:B))="Sink","OK, Sink","Missing"))</f>
        <v>OK flow</v>
      </c>
      <c r="N181" s="7"/>
      <c r="O181" s="6"/>
      <c r="P181" s="6"/>
      <c r="Q181">
        <f>Lifetimes!GD1</f>
        <v>0</v>
      </c>
      <c r="R181" t="str">
        <f t="shared" si="6"/>
        <v>OK</v>
      </c>
      <c r="AA181" t="s">
        <v>1908</v>
      </c>
    </row>
    <row r="182" spans="10:27">
      <c r="J182" s="306" t="str">
        <v>Paints used in pre-made wooden products indoor (discarded)</v>
      </c>
      <c r="K182" s="311" t="str">
        <f>IF(ISBLANK(J182),"",IF(COUNTIF(L:L,J182),IF(_xlfn.XLOOKUP(J182,'Compartments_Kawecki&amp;Nowack19'!A:A,'Compartments_Kawecki&amp;Nowack19'!B:B,_xlfn.XLOOKUP(J182,Compartments_Added!A:A,Compartments_Added!B:B))="Stock","OK stock","OK flow"),IF(COUNTIF($G$4:$G$18,J182),IF(COUNTIF($E$4:$E$18,J182),"OK input","Missing"),"Missing")))</f>
        <v>OK stock</v>
      </c>
      <c r="L182" s="306" t="str">
        <v>Plaster (prof) indoor</v>
      </c>
      <c r="M182" s="311" t="str">
        <f>IF(COUNTIF(J:J,L182),IF(_xlfn.XLOOKUP(L182,'Compartments_Kawecki&amp;Nowack19'!A:A,'Compartments_Kawecki&amp;Nowack19'!B:B,_xlfn.XLOOKUP(L182,Compartments_Added!A:A,Compartments_Added!B:B))="Stock","OK stock","OK flow"),IF(_xlfn.XLOOKUP(L182,'Compartments_Kawecki&amp;Nowack19'!A:A,'Compartments_Kawecki&amp;Nowack19'!B:B,_xlfn.XLOOKUP(L182,Compartments_Added!A:A,Compartments_Added!B:B))="Sink","OK, Sink","Missing"))</f>
        <v>OK flow</v>
      </c>
      <c r="N182" s="7"/>
      <c r="O182" s="6"/>
      <c r="P182" s="6"/>
      <c r="Q182">
        <f>Lifetimes!GE1</f>
        <v>0</v>
      </c>
      <c r="R182" t="str">
        <f t="shared" si="6"/>
        <v>OK</v>
      </c>
      <c r="AA182" t="s">
        <v>1909</v>
      </c>
    </row>
    <row r="183" spans="10:27">
      <c r="J183" s="306" t="str">
        <v>Lacquer (DIY)</v>
      </c>
      <c r="K183" s="311" t="str">
        <f>IF(ISBLANK(J183),"",IF(COUNTIF(L:L,J183),IF(_xlfn.XLOOKUP(J183,'Compartments_Kawecki&amp;Nowack19'!A:A,'Compartments_Kawecki&amp;Nowack19'!B:B,_xlfn.XLOOKUP(J183,Compartments_Added!A:A,Compartments_Added!B:B))="Stock","OK stock","OK flow"),IF(COUNTIF($G$4:$G$18,J183),IF(COUNTIF($E$4:$E$18,J183),"OK input","Missing"),"Missing")))</f>
        <v>OK flow</v>
      </c>
      <c r="L183" s="306" t="str">
        <v>Plaster (prof) outdoor (in use)</v>
      </c>
      <c r="M183" s="311" t="str">
        <f>IF(COUNTIF(J:J,L183),IF(_xlfn.XLOOKUP(L183,'Compartments_Kawecki&amp;Nowack19'!A:A,'Compartments_Kawecki&amp;Nowack19'!B:B,_xlfn.XLOOKUP(L183,Compartments_Added!A:A,Compartments_Added!B:B))="Stock","OK stock","OK flow"),IF(_xlfn.XLOOKUP(L183,'Compartments_Kawecki&amp;Nowack19'!A:A,'Compartments_Kawecki&amp;Nowack19'!B:B,_xlfn.XLOOKUP(L183,Compartments_Added!A:A,Compartments_Added!B:B))="Sink","OK, Sink","Missing"))</f>
        <v>OK stock</v>
      </c>
      <c r="N183" s="7"/>
      <c r="O183" s="6"/>
      <c r="P183" s="6"/>
      <c r="Q183">
        <f>Lifetimes!GF1</f>
        <v>0</v>
      </c>
      <c r="R183" t="str">
        <f t="shared" si="6"/>
        <v>OK</v>
      </c>
      <c r="AA183" t="s">
        <v>1910</v>
      </c>
    </row>
    <row r="184" spans="10:27">
      <c r="J184" s="306" t="str">
        <v>Lacquer (DIY) outdoor</v>
      </c>
      <c r="K184" s="311" t="str">
        <f>IF(ISBLANK(J184),"",IF(COUNTIF(L:L,J184),IF(_xlfn.XLOOKUP(J184,'Compartments_Kawecki&amp;Nowack19'!A:A,'Compartments_Kawecki&amp;Nowack19'!B:B,_xlfn.XLOOKUP(J184,Compartments_Added!A:A,Compartments_Added!B:B))="Stock","OK stock","OK flow"),IF(COUNTIF($G$4:$G$18,J184),IF(COUNTIF($E$4:$E$18,J184),"OK input","Missing"),"Missing")))</f>
        <v>OK flow</v>
      </c>
      <c r="L184" s="306" t="str">
        <v>Plaster (prof) outdoor (discarded)</v>
      </c>
      <c r="M184" s="311" t="str">
        <f>IF(COUNTIF(J:J,L184),IF(_xlfn.XLOOKUP(L184,'Compartments_Kawecki&amp;Nowack19'!A:A,'Compartments_Kawecki&amp;Nowack19'!B:B,_xlfn.XLOOKUP(L184,Compartments_Added!A:A,Compartments_Added!B:B))="Stock","OK stock","OK flow"),IF(_xlfn.XLOOKUP(L184,'Compartments_Kawecki&amp;Nowack19'!A:A,'Compartments_Kawecki&amp;Nowack19'!B:B,_xlfn.XLOOKUP(L184,Compartments_Added!A:A,Compartments_Added!B:B))="Sink","OK, Sink","Missing"))</f>
        <v>OK stock</v>
      </c>
      <c r="N184" s="7"/>
      <c r="O184" s="6"/>
      <c r="P184" s="6"/>
      <c r="Q184">
        <f>Lifetimes!GG1</f>
        <v>0</v>
      </c>
      <c r="R184" t="str">
        <f t="shared" si="6"/>
        <v>OK</v>
      </c>
      <c r="AA184" t="s">
        <v>1911</v>
      </c>
    </row>
    <row r="185" spans="10:27">
      <c r="J185" s="306" t="str">
        <v>Lacquer (DIY) outdoor (in use)</v>
      </c>
      <c r="K185" s="311" t="str">
        <f>IF(ISBLANK(J185),"",IF(COUNTIF(L:L,J185),IF(_xlfn.XLOOKUP(J185,'Compartments_Kawecki&amp;Nowack19'!A:A,'Compartments_Kawecki&amp;Nowack19'!B:B,_xlfn.XLOOKUP(J185,Compartments_Added!A:A,Compartments_Added!B:B))="Stock","OK stock","OK flow"),IF(COUNTIF($G$4:$G$18,J185),IF(COUNTIF($E$4:$E$18,J185),"OK input","Missing"),"Missing")))</f>
        <v>OK stock</v>
      </c>
      <c r="L185" s="306" t="str">
        <v>Plaster (prof) indoor (in use)</v>
      </c>
      <c r="M185" s="311" t="str">
        <f>IF(COUNTIF(J:J,L185),IF(_xlfn.XLOOKUP(L185,'Compartments_Kawecki&amp;Nowack19'!A:A,'Compartments_Kawecki&amp;Nowack19'!B:B,_xlfn.XLOOKUP(L185,Compartments_Added!A:A,Compartments_Added!B:B))="Stock","OK stock","OK flow"),IF(_xlfn.XLOOKUP(L185,'Compartments_Kawecki&amp;Nowack19'!A:A,'Compartments_Kawecki&amp;Nowack19'!B:B,_xlfn.XLOOKUP(L185,Compartments_Added!A:A,Compartments_Added!B:B))="Sink","OK, Sink","Missing"))</f>
        <v>OK stock</v>
      </c>
      <c r="N185" s="7"/>
      <c r="O185" s="6"/>
      <c r="P185" s="6"/>
      <c r="Q185">
        <f>Lifetimes!GH1</f>
        <v>0</v>
      </c>
      <c r="R185" t="str">
        <f t="shared" si="6"/>
        <v>OK</v>
      </c>
      <c r="AA185" t="s">
        <v>1912</v>
      </c>
    </row>
    <row r="186" spans="10:27">
      <c r="J186" s="306" t="str">
        <v>Lacquer (DIY) indoor</v>
      </c>
      <c r="K186" s="311" t="str">
        <f>IF(ISBLANK(J186),"",IF(COUNTIF(L:L,J186),IF(_xlfn.XLOOKUP(J186,'Compartments_Kawecki&amp;Nowack19'!A:A,'Compartments_Kawecki&amp;Nowack19'!B:B,_xlfn.XLOOKUP(J186,Compartments_Added!A:A,Compartments_Added!B:B))="Stock","OK stock","OK flow"),IF(COUNTIF($G$4:$G$18,J186),IF(COUNTIF($E$4:$E$18,J186),"OK input","Missing"),"Missing")))</f>
        <v>OK flow</v>
      </c>
      <c r="L186" s="306" t="str">
        <v>Plaster (prof) indoor (discarded)</v>
      </c>
      <c r="M186" s="311" t="str">
        <f>IF(COUNTIF(J:J,L186),IF(_xlfn.XLOOKUP(L186,'Compartments_Kawecki&amp;Nowack19'!A:A,'Compartments_Kawecki&amp;Nowack19'!B:B,_xlfn.XLOOKUP(L186,Compartments_Added!A:A,Compartments_Added!B:B))="Stock","OK stock","OK flow"),IF(_xlfn.XLOOKUP(L186,'Compartments_Kawecki&amp;Nowack19'!A:A,'Compartments_Kawecki&amp;Nowack19'!B:B,_xlfn.XLOOKUP(L186,Compartments_Added!A:A,Compartments_Added!B:B))="Sink","OK, Sink","Missing"))</f>
        <v>OK stock</v>
      </c>
      <c r="N186" s="7"/>
      <c r="O186" s="6"/>
      <c r="P186" s="6"/>
      <c r="Q186">
        <f>Lifetimes!GI1</f>
        <v>0</v>
      </c>
      <c r="R186" t="str">
        <f t="shared" si="6"/>
        <v>OK</v>
      </c>
      <c r="AA186" t="s">
        <v>1913</v>
      </c>
    </row>
    <row r="187" spans="10:27">
      <c r="J187" s="306" t="str">
        <v>Lacquer (DIY) indoor (in use)</v>
      </c>
      <c r="K187" s="311" t="str">
        <f>IF(ISBLANK(J187),"",IF(COUNTIF(L:L,J187),IF(_xlfn.XLOOKUP(J187,'Compartments_Kawecki&amp;Nowack19'!A:A,'Compartments_Kawecki&amp;Nowack19'!B:B,_xlfn.XLOOKUP(J187,Compartments_Added!A:A,Compartments_Added!B:B))="Stock","OK stock","OK flow"),IF(COUNTIF($G$4:$G$18,J187),IF(COUNTIF($E$4:$E$18,J187),"OK input","Missing"),"Missing")))</f>
        <v>OK stock</v>
      </c>
      <c r="L187" s="306" t="str">
        <v>Other paint uses (prof) outdoor</v>
      </c>
      <c r="M187" s="311" t="str">
        <f>IF(COUNTIF(J:J,L187),IF(_xlfn.XLOOKUP(L187,'Compartments_Kawecki&amp;Nowack19'!A:A,'Compartments_Kawecki&amp;Nowack19'!B:B,_xlfn.XLOOKUP(L187,Compartments_Added!A:A,Compartments_Added!B:B))="Stock","OK stock","OK flow"),IF(_xlfn.XLOOKUP(L187,'Compartments_Kawecki&amp;Nowack19'!A:A,'Compartments_Kawecki&amp;Nowack19'!B:B,_xlfn.XLOOKUP(L187,Compartments_Added!A:A,Compartments_Added!B:B))="Sink","OK, Sink","Missing"))</f>
        <v>OK flow</v>
      </c>
      <c r="N187" s="7"/>
      <c r="O187" s="6"/>
      <c r="P187" s="6"/>
      <c r="Q187">
        <f>Lifetimes!GJ1</f>
        <v>0</v>
      </c>
      <c r="R187" t="str">
        <f t="shared" si="6"/>
        <v>OK</v>
      </c>
      <c r="AA187" t="s">
        <v>1914</v>
      </c>
    </row>
    <row r="188" spans="10:27">
      <c r="J188" s="306" t="str">
        <v>Lacquer (DIY) outdoor (discarded)</v>
      </c>
      <c r="K188" s="311" t="str">
        <f>IF(ISBLANK(J188),"",IF(COUNTIF(L:L,J188),IF(_xlfn.XLOOKUP(J188,'Compartments_Kawecki&amp;Nowack19'!A:A,'Compartments_Kawecki&amp;Nowack19'!B:B,_xlfn.XLOOKUP(J188,Compartments_Added!A:A,Compartments_Added!B:B))="Stock","OK stock","OK flow"),IF(COUNTIF($G$4:$G$18,J188),IF(COUNTIF($E$4:$E$18,J188),"OK input","Missing"),"Missing")))</f>
        <v>OK stock</v>
      </c>
      <c r="L188" s="306" t="str">
        <v>Other paint uses (prof) indoor</v>
      </c>
      <c r="M188" s="311" t="str">
        <f>IF(COUNTIF(J:J,L188),IF(_xlfn.XLOOKUP(L188,'Compartments_Kawecki&amp;Nowack19'!A:A,'Compartments_Kawecki&amp;Nowack19'!B:B,_xlfn.XLOOKUP(L188,Compartments_Added!A:A,Compartments_Added!B:B))="Stock","OK stock","OK flow"),IF(_xlfn.XLOOKUP(L188,'Compartments_Kawecki&amp;Nowack19'!A:A,'Compartments_Kawecki&amp;Nowack19'!B:B,_xlfn.XLOOKUP(L188,Compartments_Added!A:A,Compartments_Added!B:B))="Sink","OK, Sink","Missing"))</f>
        <v>OK flow</v>
      </c>
      <c r="N188" s="7"/>
      <c r="O188" s="6"/>
      <c r="P188" s="6"/>
      <c r="Q188">
        <f>Lifetimes!GK1</f>
        <v>0</v>
      </c>
      <c r="R188" t="str">
        <f t="shared" si="6"/>
        <v>OK</v>
      </c>
      <c r="AA188" t="s">
        <v>1915</v>
      </c>
    </row>
    <row r="189" spans="10:27">
      <c r="J189" s="306" t="str">
        <v>Lacquer (DIY) indoor (discarded)</v>
      </c>
      <c r="K189" s="311" t="str">
        <f>IF(ISBLANK(J189),"",IF(COUNTIF(L:L,J189),IF(_xlfn.XLOOKUP(J189,'Compartments_Kawecki&amp;Nowack19'!A:A,'Compartments_Kawecki&amp;Nowack19'!B:B,_xlfn.XLOOKUP(J189,Compartments_Added!A:A,Compartments_Added!B:B))="Stock","OK stock","OK flow"),IF(COUNTIF($G$4:$G$18,J189),IF(COUNTIF($E$4:$E$18,J189),"OK input","Missing"),"Missing")))</f>
        <v>OK stock</v>
      </c>
      <c r="L189" s="306" t="str">
        <v>Other paint uses (prof) outdoor (in use)</v>
      </c>
      <c r="M189" s="311" t="str">
        <f>IF(COUNTIF(J:J,L189),IF(_xlfn.XLOOKUP(L189,'Compartments_Kawecki&amp;Nowack19'!A:A,'Compartments_Kawecki&amp;Nowack19'!B:B,_xlfn.XLOOKUP(L189,Compartments_Added!A:A,Compartments_Added!B:B))="Stock","OK stock","OK flow"),IF(_xlfn.XLOOKUP(L189,'Compartments_Kawecki&amp;Nowack19'!A:A,'Compartments_Kawecki&amp;Nowack19'!B:B,_xlfn.XLOOKUP(L189,Compartments_Added!A:A,Compartments_Added!B:B))="Sink","OK, Sink","Missing"))</f>
        <v>OK stock</v>
      </c>
      <c r="N189" s="7"/>
      <c r="O189" s="6"/>
      <c r="P189" s="6"/>
      <c r="Q189">
        <f>Lifetimes!GL1</f>
        <v>0</v>
      </c>
      <c r="R189" t="str">
        <f t="shared" si="6"/>
        <v>OK</v>
      </c>
      <c r="AA189" t="s">
        <v>1916</v>
      </c>
    </row>
    <row r="190" spans="10:27">
      <c r="J190" s="340" t="str">
        <v>Wood stain (DIY)</v>
      </c>
      <c r="K190" s="311" t="str">
        <f>IF(ISBLANK(J190),"",IF(COUNTIF(L:L,J190),IF(_xlfn.XLOOKUP(J190,'Compartments_Kawecki&amp;Nowack19'!A:A,'Compartments_Kawecki&amp;Nowack19'!B:B,_xlfn.XLOOKUP(J190,Compartments_Added!A:A,Compartments_Added!B:B))="Stock","OK stock","OK flow"),IF(COUNTIF($G$4:$G$18,J190),IF(COUNTIF($E$4:$E$18,J190),"OK input","Missing"),"Missing")))</f>
        <v>OK flow</v>
      </c>
      <c r="L190" s="97" t="str">
        <v>Other paint uses (prof) outdoor (discarded)</v>
      </c>
      <c r="M190" s="311" t="str">
        <f>IF(COUNTIF(J:J,L190),IF(_xlfn.XLOOKUP(L190,'Compartments_Kawecki&amp;Nowack19'!A:A,'Compartments_Kawecki&amp;Nowack19'!B:B,_xlfn.XLOOKUP(L190,Compartments_Added!A:A,Compartments_Added!B:B))="Stock","OK stock","OK flow"),IF(_xlfn.XLOOKUP(L190,'Compartments_Kawecki&amp;Nowack19'!A:A,'Compartments_Kawecki&amp;Nowack19'!B:B,_xlfn.XLOOKUP(L190,Compartments_Added!A:A,Compartments_Added!B:B))="Sink","OK, Sink","Missing"))</f>
        <v>OK stock</v>
      </c>
      <c r="N190" s="7"/>
      <c r="O190" s="6"/>
      <c r="P190" s="6"/>
      <c r="Q190">
        <f>Lifetimes!GM1</f>
        <v>0</v>
      </c>
      <c r="R190" t="str">
        <f t="shared" si="6"/>
        <v>OK</v>
      </c>
      <c r="AA190" t="s">
        <v>1917</v>
      </c>
    </row>
    <row r="191" spans="10:27">
      <c r="J191" s="340" t="str">
        <v>Wood stain (DIY) outdoor</v>
      </c>
      <c r="K191" s="311" t="str">
        <f>IF(ISBLANK(J191),"",IF(COUNTIF(L:L,J191),IF(_xlfn.XLOOKUP(J191,'Compartments_Kawecki&amp;Nowack19'!A:A,'Compartments_Kawecki&amp;Nowack19'!B:B,_xlfn.XLOOKUP(J191,Compartments_Added!A:A,Compartments_Added!B:B))="Stock","OK stock","OK flow"),IF(COUNTIF($G$4:$G$18,J191),IF(COUNTIF($E$4:$E$18,J191),"OK input","Missing"),"Missing")))</f>
        <v>OK flow</v>
      </c>
      <c r="L191" s="97" t="str">
        <v>Other paint uses (prof) indoor (in use)</v>
      </c>
      <c r="M191" s="311" t="str">
        <f>IF(COUNTIF(J:J,L191),IF(_xlfn.XLOOKUP(L191,'Compartments_Kawecki&amp;Nowack19'!A:A,'Compartments_Kawecki&amp;Nowack19'!B:B,_xlfn.XLOOKUP(L191,Compartments_Added!A:A,Compartments_Added!B:B))="Stock","OK stock","OK flow"),IF(_xlfn.XLOOKUP(L191,'Compartments_Kawecki&amp;Nowack19'!A:A,'Compartments_Kawecki&amp;Nowack19'!B:B,_xlfn.XLOOKUP(L191,Compartments_Added!A:A,Compartments_Added!B:B))="Sink","OK, Sink","Missing"))</f>
        <v>OK stock</v>
      </c>
      <c r="N191" s="7"/>
      <c r="O191" s="6"/>
      <c r="P191" s="6"/>
      <c r="Q191">
        <f>Lifetimes!GN1</f>
        <v>0</v>
      </c>
      <c r="R191" t="str">
        <f t="shared" si="6"/>
        <v>OK</v>
      </c>
      <c r="AA191" t="s">
        <v>1918</v>
      </c>
    </row>
    <row r="192" spans="10:27">
      <c r="J192" s="341" t="str">
        <v>Wood stain (DIY) outdoor (in use)</v>
      </c>
      <c r="K192" s="311" t="str">
        <f>IF(ISBLANK(J192),"",IF(COUNTIF(L:L,J192),IF(_xlfn.XLOOKUP(J192,'Compartments_Kawecki&amp;Nowack19'!A:A,'Compartments_Kawecki&amp;Nowack19'!B:B,_xlfn.XLOOKUP(J192,Compartments_Added!A:A,Compartments_Added!B:B))="Stock","OK stock","OK flow"),IF(COUNTIF($G$4:$G$18,J192),IF(COUNTIF($E$4:$E$18,J192),"OK input","Missing"),"Missing")))</f>
        <v>OK stock</v>
      </c>
      <c r="L192" s="97" t="str">
        <v>Other paint uses (prof) indoor (discarded)</v>
      </c>
      <c r="M192" s="311" t="str">
        <f>IF(COUNTIF(J:J,L192),IF(_xlfn.XLOOKUP(L192,'Compartments_Kawecki&amp;Nowack19'!A:A,'Compartments_Kawecki&amp;Nowack19'!B:B,_xlfn.XLOOKUP(L192,Compartments_Added!A:A,Compartments_Added!B:B))="Stock","OK stock","OK flow"),IF(_xlfn.XLOOKUP(L192,'Compartments_Kawecki&amp;Nowack19'!A:A,'Compartments_Kawecki&amp;Nowack19'!B:B,_xlfn.XLOOKUP(L192,Compartments_Added!A:A,Compartments_Added!B:B))="Sink","OK, Sink","Missing"))</f>
        <v>OK stock</v>
      </c>
      <c r="N192" s="7"/>
      <c r="O192" s="6"/>
      <c r="P192" s="6"/>
      <c r="Q192">
        <f>Lifetimes!GO1</f>
        <v>0</v>
      </c>
      <c r="R192" t="str">
        <f t="shared" si="6"/>
        <v>OK</v>
      </c>
      <c r="AA192" t="s">
        <v>1919</v>
      </c>
    </row>
    <row r="193" spans="10:27">
      <c r="J193" s="340" t="str">
        <v>Wood stain (DIY) indoor</v>
      </c>
      <c r="K193" s="311" t="str">
        <f>IF(ISBLANK(J193),"",IF(COUNTIF(L:L,J193),IF(_xlfn.XLOOKUP(J193,'Compartments_Kawecki&amp;Nowack19'!A:A,'Compartments_Kawecki&amp;Nowack19'!B:B,_xlfn.XLOOKUP(J193,Compartments_Added!A:A,Compartments_Added!B:B))="Stock","OK stock","OK flow"),IF(COUNTIF($G$4:$G$18,J193),IF(COUNTIF($E$4:$E$18,J193),"OK input","Missing"),"Missing")))</f>
        <v>OK flow</v>
      </c>
      <c r="L193" s="97" t="str">
        <v>Paints used in pre-made wooden products outdoor</v>
      </c>
      <c r="M193" s="311" t="str">
        <f>IF(COUNTIF(J:J,L193),IF(_xlfn.XLOOKUP(L193,'Compartments_Kawecki&amp;Nowack19'!A:A,'Compartments_Kawecki&amp;Nowack19'!B:B,_xlfn.XLOOKUP(L193,Compartments_Added!A:A,Compartments_Added!B:B))="Stock","OK stock","OK flow"),IF(_xlfn.XLOOKUP(L193,'Compartments_Kawecki&amp;Nowack19'!A:A,'Compartments_Kawecki&amp;Nowack19'!B:B,_xlfn.XLOOKUP(L193,Compartments_Added!A:A,Compartments_Added!B:B))="Sink","OK, Sink","Missing"))</f>
        <v>OK flow</v>
      </c>
      <c r="N193" s="7"/>
      <c r="O193" s="6"/>
      <c r="P193" s="6"/>
      <c r="Q193">
        <f>Lifetimes!GP1</f>
        <v>0</v>
      </c>
      <c r="R193" t="str">
        <f t="shared" si="6"/>
        <v>OK</v>
      </c>
      <c r="AA193" t="s">
        <v>1920</v>
      </c>
    </row>
    <row r="194" spans="10:27">
      <c r="J194" s="340" t="str">
        <v>Wood stain (DIY) indoor (in use)</v>
      </c>
      <c r="K194" s="311" t="str">
        <f>IF(ISBLANK(J194),"",IF(COUNTIF(L:L,J194),IF(_xlfn.XLOOKUP(J194,'Compartments_Kawecki&amp;Nowack19'!A:A,'Compartments_Kawecki&amp;Nowack19'!B:B,_xlfn.XLOOKUP(J194,Compartments_Added!A:A,Compartments_Added!B:B))="Stock","OK stock","OK flow"),IF(COUNTIF($G$4:$G$18,J194),IF(COUNTIF($E$4:$E$18,J194),"OK input","Missing"),"Missing")))</f>
        <v>OK stock</v>
      </c>
      <c r="L194" s="97" t="str">
        <v>Paints used in pre-made wooden products indoor</v>
      </c>
      <c r="M194" s="311" t="str">
        <f>IF(COUNTIF(J:J,L194),IF(_xlfn.XLOOKUP(L194,'Compartments_Kawecki&amp;Nowack19'!A:A,'Compartments_Kawecki&amp;Nowack19'!B:B,_xlfn.XLOOKUP(L194,Compartments_Added!A:A,Compartments_Added!B:B))="Stock","OK stock","OK flow"),IF(_xlfn.XLOOKUP(L194,'Compartments_Kawecki&amp;Nowack19'!A:A,'Compartments_Kawecki&amp;Nowack19'!B:B,_xlfn.XLOOKUP(L194,Compartments_Added!A:A,Compartments_Added!B:B))="Sink","OK, Sink","Missing"))</f>
        <v>OK flow</v>
      </c>
      <c r="N194" s="7"/>
      <c r="O194" s="6"/>
      <c r="P194" s="6"/>
      <c r="Q194">
        <f>Lifetimes!GQ1</f>
        <v>0</v>
      </c>
      <c r="R194" t="str">
        <f t="shared" si="6"/>
        <v>OK</v>
      </c>
      <c r="AA194" t="s">
        <v>1921</v>
      </c>
    </row>
    <row r="195" spans="10:27">
      <c r="J195" s="340" t="str">
        <v>Wood stain (DIY) outdoor (discarded)</v>
      </c>
      <c r="K195" s="311" t="str">
        <f>IF(ISBLANK(J195),"",IF(COUNTIF(L:L,J195),IF(_xlfn.XLOOKUP(J195,'Compartments_Kawecki&amp;Nowack19'!A:A,'Compartments_Kawecki&amp;Nowack19'!B:B,_xlfn.XLOOKUP(J195,Compartments_Added!A:A,Compartments_Added!B:B))="Stock","OK stock","OK flow"),IF(COUNTIF($G$4:$G$18,J195),IF(COUNTIF($E$4:$E$18,J195),"OK input","Missing"),"Missing")))</f>
        <v>OK stock</v>
      </c>
      <c r="L195" s="97" t="str">
        <v>Paints used in pre-made wooden products outdoor (in use)</v>
      </c>
      <c r="M195" s="311" t="str">
        <f>IF(COUNTIF(J:J,L195),IF(_xlfn.XLOOKUP(L195,'Compartments_Kawecki&amp;Nowack19'!A:A,'Compartments_Kawecki&amp;Nowack19'!B:B,_xlfn.XLOOKUP(L195,Compartments_Added!A:A,Compartments_Added!B:B))="Stock","OK stock","OK flow"),IF(_xlfn.XLOOKUP(L195,'Compartments_Kawecki&amp;Nowack19'!A:A,'Compartments_Kawecki&amp;Nowack19'!B:B,_xlfn.XLOOKUP(L195,Compartments_Added!A:A,Compartments_Added!B:B))="Sink","OK, Sink","Missing"))</f>
        <v>OK stock</v>
      </c>
      <c r="N195" s="7"/>
      <c r="O195" s="6"/>
      <c r="P195" s="6"/>
      <c r="Q195">
        <f>Lifetimes!GR1</f>
        <v>0</v>
      </c>
      <c r="R195" t="str">
        <f t="shared" si="6"/>
        <v>OK</v>
      </c>
      <c r="AA195" t="s">
        <v>1922</v>
      </c>
    </row>
    <row r="196" spans="10:27">
      <c r="J196" s="340" t="str">
        <v>Wood stain (DIY) indoor (discarded)</v>
      </c>
      <c r="K196" s="311" t="str">
        <f>IF(ISBLANK(J196),"",IF(COUNTIF(L:L,J196),IF(_xlfn.XLOOKUP(J196,'Compartments_Kawecki&amp;Nowack19'!A:A,'Compartments_Kawecki&amp;Nowack19'!B:B,_xlfn.XLOOKUP(J196,Compartments_Added!A:A,Compartments_Added!B:B))="Stock","OK stock","OK flow"),IF(COUNTIF($G$4:$G$18,J196),IF(COUNTIF($E$4:$E$18,J196),"OK input","Missing"),"Missing")))</f>
        <v>OK stock</v>
      </c>
      <c r="L196" s="97" t="str">
        <v>Paints used in pre-made wooden products outdoor (discarded)</v>
      </c>
      <c r="M196" s="311" t="str">
        <f>IF(COUNTIF(J:J,L196),IF(_xlfn.XLOOKUP(L196,'Compartments_Kawecki&amp;Nowack19'!A:A,'Compartments_Kawecki&amp;Nowack19'!B:B,_xlfn.XLOOKUP(L196,Compartments_Added!A:A,Compartments_Added!B:B))="Stock","OK stock","OK flow"),IF(_xlfn.XLOOKUP(L196,'Compartments_Kawecki&amp;Nowack19'!A:A,'Compartments_Kawecki&amp;Nowack19'!B:B,_xlfn.XLOOKUP(L196,Compartments_Added!A:A,Compartments_Added!B:B))="Sink","OK, Sink","Missing"))</f>
        <v>OK stock</v>
      </c>
      <c r="N196" s="7"/>
      <c r="O196" s="6"/>
      <c r="P196" s="6"/>
      <c r="Q196">
        <f>Lifetimes!GS1</f>
        <v>0</v>
      </c>
      <c r="R196" t="str">
        <f t="shared" si="6"/>
        <v>OK</v>
      </c>
      <c r="AA196" t="s">
        <v>1923</v>
      </c>
    </row>
    <row r="197" spans="10:27">
      <c r="J197" s="340" t="str">
        <v>Wall paint (DIY)</v>
      </c>
      <c r="K197" s="311" t="str">
        <f>IF(ISBLANK(J197),"",IF(COUNTIF(L:L,J197),IF(_xlfn.XLOOKUP(J197,'Compartments_Kawecki&amp;Nowack19'!A:A,'Compartments_Kawecki&amp;Nowack19'!B:B,_xlfn.XLOOKUP(J197,Compartments_Added!A:A,Compartments_Added!B:B))="Stock","OK stock","OK flow"),IF(COUNTIF($G$4:$G$18,J197),IF(COUNTIF($E$4:$E$18,J197),"OK input","Missing"),"Missing")))</f>
        <v>OK flow</v>
      </c>
      <c r="L197" s="340" t="str">
        <v>Paints used in pre-made wooden products indoor (in use)</v>
      </c>
      <c r="M197" s="311" t="str">
        <f>IF(COUNTIF(J:J,L197),IF(_xlfn.XLOOKUP(L197,'Compartments_Kawecki&amp;Nowack19'!A:A,'Compartments_Kawecki&amp;Nowack19'!B:B,_xlfn.XLOOKUP(L197,Compartments_Added!A:A,Compartments_Added!B:B))="Stock","OK stock","OK flow"),IF(_xlfn.XLOOKUP(L197,'Compartments_Kawecki&amp;Nowack19'!A:A,'Compartments_Kawecki&amp;Nowack19'!B:B,_xlfn.XLOOKUP(L197,Compartments_Added!A:A,Compartments_Added!B:B))="Sink","OK, Sink","Missing"))</f>
        <v>OK stock</v>
      </c>
      <c r="N197" s="7"/>
      <c r="O197" s="6"/>
      <c r="P197" s="6"/>
      <c r="Q197">
        <f>Lifetimes!GT1</f>
        <v>0</v>
      </c>
      <c r="R197" t="str">
        <f t="shared" ref="R197:R235" si="7">IF(COUNTIF(P:P,Q197), "OK", "Missing")</f>
        <v>OK</v>
      </c>
      <c r="AA197" t="s">
        <v>1924</v>
      </c>
    </row>
    <row r="198" spans="10:27">
      <c r="J198" s="340" t="str">
        <v>Wall paint (DIY) outdoor</v>
      </c>
      <c r="K198" s="311" t="str">
        <f>IF(ISBLANK(J198),"",IF(COUNTIF(L:L,J198),IF(_xlfn.XLOOKUP(J198,'Compartments_Kawecki&amp;Nowack19'!A:A,'Compartments_Kawecki&amp;Nowack19'!B:B,_xlfn.XLOOKUP(J198,Compartments_Added!A:A,Compartments_Added!B:B))="Stock","OK stock","OK flow"),IF(COUNTIF($G$4:$G$18,J198),IF(COUNTIF($E$4:$E$18,J198),"OK input","Missing"),"Missing")))</f>
        <v>OK flow</v>
      </c>
      <c r="L198" s="341" t="str">
        <v>Paints used in pre-made wooden products indoor (discarded)</v>
      </c>
      <c r="M198" s="311" t="str">
        <f>IF(COUNTIF(J:J,L198),IF(_xlfn.XLOOKUP(L198,'Compartments_Kawecki&amp;Nowack19'!A:A,'Compartments_Kawecki&amp;Nowack19'!B:B,_xlfn.XLOOKUP(L198,Compartments_Added!A:A,Compartments_Added!B:B))="Stock","OK stock","OK flow"),IF(_xlfn.XLOOKUP(L198,'Compartments_Kawecki&amp;Nowack19'!A:A,'Compartments_Kawecki&amp;Nowack19'!B:B,_xlfn.XLOOKUP(L198,Compartments_Added!A:A,Compartments_Added!B:B))="Sink","OK, Sink","Missing"))</f>
        <v>OK stock</v>
      </c>
      <c r="N198" s="7"/>
      <c r="O198" s="6"/>
      <c r="P198" s="6"/>
      <c r="Q198">
        <f>Lifetimes!GU1</f>
        <v>0</v>
      </c>
      <c r="R198" t="str">
        <f t="shared" si="7"/>
        <v>OK</v>
      </c>
      <c r="AA198" t="s">
        <v>1925</v>
      </c>
    </row>
    <row r="199" spans="10:27">
      <c r="J199" s="340" t="str">
        <v>Wall paint (DIY) outdoor (in use)</v>
      </c>
      <c r="K199" s="311" t="str">
        <f>IF(ISBLANK(J199),"",IF(COUNTIF(L:L,J199),IF(_xlfn.XLOOKUP(J199,'Compartments_Kawecki&amp;Nowack19'!A:A,'Compartments_Kawecki&amp;Nowack19'!B:B,_xlfn.XLOOKUP(J199,Compartments_Added!A:A,Compartments_Added!B:B))="Stock","OK stock","OK flow"),IF(COUNTIF($G$4:$G$18,J199),IF(COUNTIF($E$4:$E$18,J199),"OK input","Missing"),"Missing")))</f>
        <v>OK stock</v>
      </c>
      <c r="L199" s="97" t="str">
        <v>Lacquer (DIY) outdoor</v>
      </c>
      <c r="M199" s="311" t="str">
        <f>IF(COUNTIF(J:J,L199),IF(_xlfn.XLOOKUP(L199,'Compartments_Kawecki&amp;Nowack19'!A:A,'Compartments_Kawecki&amp;Nowack19'!B:B,_xlfn.XLOOKUP(L199,Compartments_Added!A:A,Compartments_Added!B:B))="Stock","OK stock","OK flow"),IF(_xlfn.XLOOKUP(L199,'Compartments_Kawecki&amp;Nowack19'!A:A,'Compartments_Kawecki&amp;Nowack19'!B:B,_xlfn.XLOOKUP(L199,Compartments_Added!A:A,Compartments_Added!B:B))="Sink","OK, Sink","Missing"))</f>
        <v>OK flow</v>
      </c>
      <c r="N199" s="7"/>
      <c r="Q199">
        <f>Lifetimes!GV1</f>
        <v>0</v>
      </c>
      <c r="R199" t="str">
        <f t="shared" si="7"/>
        <v>OK</v>
      </c>
      <c r="AA199" t="s">
        <v>1926</v>
      </c>
    </row>
    <row r="200" spans="10:27">
      <c r="J200" s="340" t="str">
        <v>Wall paint (DIY) indoor</v>
      </c>
      <c r="K200" s="311" t="str">
        <f>IF(ISBLANK(J200),"",IF(COUNTIF(L:L,J200),IF(_xlfn.XLOOKUP(J200,'Compartments_Kawecki&amp;Nowack19'!A:A,'Compartments_Kawecki&amp;Nowack19'!B:B,_xlfn.XLOOKUP(J200,Compartments_Added!A:A,Compartments_Added!B:B))="Stock","OK stock","OK flow"),IF(COUNTIF($G$4:$G$18,J200),IF(COUNTIF($E$4:$E$18,J200),"OK input","Missing"),"Missing")))</f>
        <v>OK flow</v>
      </c>
      <c r="L200" s="97" t="str">
        <v>Lacquer (DIY) indoor</v>
      </c>
      <c r="M200" s="311" t="str">
        <f>IF(COUNTIF(J:J,L200),IF(_xlfn.XLOOKUP(L200,'Compartments_Kawecki&amp;Nowack19'!A:A,'Compartments_Kawecki&amp;Nowack19'!B:B,_xlfn.XLOOKUP(L200,Compartments_Added!A:A,Compartments_Added!B:B))="Stock","OK stock","OK flow"),IF(_xlfn.XLOOKUP(L200,'Compartments_Kawecki&amp;Nowack19'!A:A,'Compartments_Kawecki&amp;Nowack19'!B:B,_xlfn.XLOOKUP(L200,Compartments_Added!A:A,Compartments_Added!B:B))="Sink","OK, Sink","Missing"))</f>
        <v>OK flow</v>
      </c>
      <c r="N200" s="7"/>
      <c r="Q200">
        <f>Lifetimes!GW1</f>
        <v>0</v>
      </c>
      <c r="R200" t="str">
        <f t="shared" si="7"/>
        <v>OK</v>
      </c>
      <c r="AA200" t="s">
        <v>1927</v>
      </c>
    </row>
    <row r="201" spans="10:27">
      <c r="J201" s="340" t="str">
        <v>Wall paint (DIY) indoor applied</v>
      </c>
      <c r="K201" s="311" t="str">
        <f>IF(ISBLANK(J201),"",IF(COUNTIF(L:L,J201),IF(_xlfn.XLOOKUP(J201,'Compartments_Kawecki&amp;Nowack19'!A:A,'Compartments_Kawecki&amp;Nowack19'!B:B,_xlfn.XLOOKUP(J201,Compartments_Added!A:A,Compartments_Added!B:B))="Stock","OK stock","OK flow"),IF(COUNTIF($G$4:$G$18,J201),IF(COUNTIF($E$4:$E$18,J201),"OK input","Missing"),"Missing")))</f>
        <v>OK flow</v>
      </c>
      <c r="L201" s="97" t="str">
        <v>Lacquer (DIY) outdoor (in use)</v>
      </c>
      <c r="M201" s="311" t="str">
        <f>IF(COUNTIF(J:J,L201),IF(_xlfn.XLOOKUP(L201,'Compartments_Kawecki&amp;Nowack19'!A:A,'Compartments_Kawecki&amp;Nowack19'!B:B,_xlfn.XLOOKUP(L201,Compartments_Added!A:A,Compartments_Added!B:B))="Stock","OK stock","OK flow"),IF(_xlfn.XLOOKUP(L201,'Compartments_Kawecki&amp;Nowack19'!A:A,'Compartments_Kawecki&amp;Nowack19'!B:B,_xlfn.XLOOKUP(L201,Compartments_Added!A:A,Compartments_Added!B:B))="Sink","OK, Sink","Missing"))</f>
        <v>OK stock</v>
      </c>
      <c r="N201" s="7"/>
      <c r="Q201">
        <f>Lifetimes!GX1</f>
        <v>0</v>
      </c>
      <c r="R201" t="str">
        <f t="shared" si="7"/>
        <v>OK</v>
      </c>
      <c r="AA201" t="s">
        <v>1928</v>
      </c>
    </row>
    <row r="202" spans="10:27">
      <c r="J202" s="340" t="str">
        <v>Wall paint (DIY) indoor applied (in use)</v>
      </c>
      <c r="K202" s="311" t="str">
        <f>IF(ISBLANK(J202),"",IF(COUNTIF(L:L,J202),IF(_xlfn.XLOOKUP(J202,'Compartments_Kawecki&amp;Nowack19'!A:A,'Compartments_Kawecki&amp;Nowack19'!B:B,_xlfn.XLOOKUP(J202,Compartments_Added!A:A,Compartments_Added!B:B))="Stock","OK stock","OK flow"),IF(COUNTIF($G$4:$G$18,J202),IF(COUNTIF($E$4:$E$18,J202),"OK input","Missing"),"Missing")))</f>
        <v>OK stock</v>
      </c>
      <c r="L202" s="97" t="str">
        <v>Lacquer (DIY) outdoor (discarded)</v>
      </c>
      <c r="M202" s="311" t="str">
        <f>IF(COUNTIF(J:J,L202),IF(_xlfn.XLOOKUP(L202,'Compartments_Kawecki&amp;Nowack19'!A:A,'Compartments_Kawecki&amp;Nowack19'!B:B,_xlfn.XLOOKUP(L202,Compartments_Added!A:A,Compartments_Added!B:B))="Stock","OK stock","OK flow"),IF(_xlfn.XLOOKUP(L202,'Compartments_Kawecki&amp;Nowack19'!A:A,'Compartments_Kawecki&amp;Nowack19'!B:B,_xlfn.XLOOKUP(L202,Compartments_Added!A:A,Compartments_Added!B:B))="Sink","OK, Sink","Missing"))</f>
        <v>OK stock</v>
      </c>
      <c r="N202" s="7"/>
      <c r="Q202">
        <f>Lifetimes!GY1</f>
        <v>0</v>
      </c>
      <c r="R202" t="str">
        <f t="shared" si="7"/>
        <v>OK</v>
      </c>
      <c r="AA202" t="s">
        <v>1929</v>
      </c>
    </row>
    <row r="203" spans="10:27">
      <c r="J203" s="340" t="str">
        <v>Wall paint (DIY) indoor on brush</v>
      </c>
      <c r="K203" s="311" t="str">
        <f>IF(ISBLANK(J203),"",IF(COUNTIF(L:L,J203),IF(_xlfn.XLOOKUP(J203,'Compartments_Kawecki&amp;Nowack19'!A:A,'Compartments_Kawecki&amp;Nowack19'!B:B,_xlfn.XLOOKUP(J203,Compartments_Added!A:A,Compartments_Added!B:B))="Stock","OK stock","OK flow"),IF(COUNTIF($G$4:$G$18,J203),IF(COUNTIF($E$4:$E$18,J203),"OK input","Missing"),"Missing")))</f>
        <v>OK flow</v>
      </c>
      <c r="L203" s="97" t="str">
        <v>Lacquer (DIY) indoor (in use)</v>
      </c>
      <c r="M203" s="311" t="str">
        <f>IF(COUNTIF(J:J,L203),IF(_xlfn.XLOOKUP(L203,'Compartments_Kawecki&amp;Nowack19'!A:A,'Compartments_Kawecki&amp;Nowack19'!B:B,_xlfn.XLOOKUP(L203,Compartments_Added!A:A,Compartments_Added!B:B))="Stock","OK stock","OK flow"),IF(_xlfn.XLOOKUP(L203,'Compartments_Kawecki&amp;Nowack19'!A:A,'Compartments_Kawecki&amp;Nowack19'!B:B,_xlfn.XLOOKUP(L203,Compartments_Added!A:A,Compartments_Added!B:B))="Sink","OK, Sink","Missing"))</f>
        <v>OK stock</v>
      </c>
      <c r="N203" s="7"/>
      <c r="Q203">
        <f>Lifetimes!GZ1</f>
        <v>0</v>
      </c>
      <c r="R203" t="str">
        <f t="shared" si="7"/>
        <v>OK</v>
      </c>
      <c r="AA203" t="s">
        <v>1930</v>
      </c>
    </row>
    <row r="204" spans="10:27">
      <c r="J204" s="340" t="str">
        <v>Wall paint (DIY) outdoor (discarded)</v>
      </c>
      <c r="K204" s="311" t="str">
        <f>IF(ISBLANK(J204),"",IF(COUNTIF(L:L,J204),IF(_xlfn.XLOOKUP(J204,'Compartments_Kawecki&amp;Nowack19'!A:A,'Compartments_Kawecki&amp;Nowack19'!B:B,_xlfn.XLOOKUP(J204,Compartments_Added!A:A,Compartments_Added!B:B))="Stock","OK stock","OK flow"),IF(COUNTIF($G$4:$G$18,J204),IF(COUNTIF($E$4:$E$18,J204),"OK input","Missing"),"Missing")))</f>
        <v>OK stock</v>
      </c>
      <c r="L204" s="97" t="str">
        <v>Lacquer (DIY) indoor (discarded)</v>
      </c>
      <c r="M204" s="311" t="str">
        <f>IF(COUNTIF(J:J,L204),IF(_xlfn.XLOOKUP(L204,'Compartments_Kawecki&amp;Nowack19'!A:A,'Compartments_Kawecki&amp;Nowack19'!B:B,_xlfn.XLOOKUP(L204,Compartments_Added!A:A,Compartments_Added!B:B))="Stock","OK stock","OK flow"),IF(_xlfn.XLOOKUP(L204,'Compartments_Kawecki&amp;Nowack19'!A:A,'Compartments_Kawecki&amp;Nowack19'!B:B,_xlfn.XLOOKUP(L204,Compartments_Added!A:A,Compartments_Added!B:B))="Sink","OK, Sink","Missing"))</f>
        <v>OK stock</v>
      </c>
      <c r="N204" s="7"/>
      <c r="Q204">
        <f>Lifetimes!HA1</f>
        <v>0</v>
      </c>
      <c r="R204" t="str">
        <f t="shared" si="7"/>
        <v>OK</v>
      </c>
      <c r="AA204" t="s">
        <v>1931</v>
      </c>
    </row>
    <row r="205" spans="10:27">
      <c r="J205" s="340" t="str">
        <v>Wall paint (DIY) indoor applied (discarded)</v>
      </c>
      <c r="K205" s="311" t="str">
        <f>IF(ISBLANK(J205),"",IF(COUNTIF(L:L,J205),IF(_xlfn.XLOOKUP(J205,'Compartments_Kawecki&amp;Nowack19'!A:A,'Compartments_Kawecki&amp;Nowack19'!B:B,_xlfn.XLOOKUP(J205,Compartments_Added!A:A,Compartments_Added!B:B))="Stock","OK stock","OK flow"),IF(COUNTIF($G$4:$G$18,J205),IF(COUNTIF($E$4:$E$18,J205),"OK input","Missing"),"Missing")))</f>
        <v>OK stock</v>
      </c>
      <c r="L205" s="97" t="str">
        <v>Wood stain (DIY) outdoor</v>
      </c>
      <c r="M205" s="311" t="str">
        <f>IF(COUNTIF(J:J,L205),IF(_xlfn.XLOOKUP(L205,'Compartments_Kawecki&amp;Nowack19'!A:A,'Compartments_Kawecki&amp;Nowack19'!B:B,_xlfn.XLOOKUP(L205,Compartments_Added!A:A,Compartments_Added!B:B))="Stock","OK stock","OK flow"),IF(_xlfn.XLOOKUP(L205,'Compartments_Kawecki&amp;Nowack19'!A:A,'Compartments_Kawecki&amp;Nowack19'!B:B,_xlfn.XLOOKUP(L205,Compartments_Added!A:A,Compartments_Added!B:B))="Sink","OK, Sink","Missing"))</f>
        <v>OK flow</v>
      </c>
      <c r="N205" s="7"/>
      <c r="Q205">
        <f>Lifetimes!HB1</f>
        <v>0</v>
      </c>
      <c r="R205" t="str">
        <f t="shared" si="7"/>
        <v>OK</v>
      </c>
      <c r="AA205" t="s">
        <v>1932</v>
      </c>
    </row>
    <row r="206" spans="10:27">
      <c r="J206" s="340" t="str">
        <v>Plaster (DIY)</v>
      </c>
      <c r="K206" s="311" t="str">
        <f>IF(ISBLANK(J206),"",IF(COUNTIF(L:L,J206),IF(_xlfn.XLOOKUP(J206,'Compartments_Kawecki&amp;Nowack19'!A:A,'Compartments_Kawecki&amp;Nowack19'!B:B,_xlfn.XLOOKUP(J206,Compartments_Added!A:A,Compartments_Added!B:B))="Stock","OK stock","OK flow"),IF(COUNTIF($G$4:$G$18,J206),IF(COUNTIF($E$4:$E$18,J206),"OK input","Missing"),"Missing")))</f>
        <v>OK flow</v>
      </c>
      <c r="L206" s="97" t="str">
        <v>Wood stain (DIY) indoor</v>
      </c>
      <c r="M206" s="311" t="str">
        <f>IF(COUNTIF(J:J,L206),IF(_xlfn.XLOOKUP(L206,'Compartments_Kawecki&amp;Nowack19'!A:A,'Compartments_Kawecki&amp;Nowack19'!B:B,_xlfn.XLOOKUP(L206,Compartments_Added!A:A,Compartments_Added!B:B))="Stock","OK stock","OK flow"),IF(_xlfn.XLOOKUP(L206,'Compartments_Kawecki&amp;Nowack19'!A:A,'Compartments_Kawecki&amp;Nowack19'!B:B,_xlfn.XLOOKUP(L206,Compartments_Added!A:A,Compartments_Added!B:B))="Sink","OK, Sink","Missing"))</f>
        <v>OK flow</v>
      </c>
      <c r="N206" s="7"/>
      <c r="Q206">
        <f>Lifetimes!HC1</f>
        <v>0</v>
      </c>
      <c r="R206" t="str">
        <f t="shared" si="7"/>
        <v>OK</v>
      </c>
      <c r="AA206" t="s">
        <v>1933</v>
      </c>
    </row>
    <row r="207" spans="10:27">
      <c r="J207" s="340" t="str">
        <v>Plaster (DIY) outdoor</v>
      </c>
      <c r="K207" s="311" t="str">
        <f>IF(ISBLANK(J207),"",IF(COUNTIF(L:L,J207),IF(_xlfn.XLOOKUP(J207,'Compartments_Kawecki&amp;Nowack19'!A:A,'Compartments_Kawecki&amp;Nowack19'!B:B,_xlfn.XLOOKUP(J207,Compartments_Added!A:A,Compartments_Added!B:B))="Stock","OK stock","OK flow"),IF(COUNTIF($G$4:$G$18,J207),IF(COUNTIF($E$4:$E$18,J207),"OK input","Missing"),"Missing")))</f>
        <v>OK flow</v>
      </c>
      <c r="L207" s="97" t="str">
        <v>Wood stain (DIY) outdoor (in use)</v>
      </c>
      <c r="M207" s="311" t="str">
        <f>IF(COUNTIF(J:J,L207),IF(_xlfn.XLOOKUP(L207,'Compartments_Kawecki&amp;Nowack19'!A:A,'Compartments_Kawecki&amp;Nowack19'!B:B,_xlfn.XLOOKUP(L207,Compartments_Added!A:A,Compartments_Added!B:B))="Stock","OK stock","OK flow"),IF(_xlfn.XLOOKUP(L207,'Compartments_Kawecki&amp;Nowack19'!A:A,'Compartments_Kawecki&amp;Nowack19'!B:B,_xlfn.XLOOKUP(L207,Compartments_Added!A:A,Compartments_Added!B:B))="Sink","OK, Sink","Missing"))</f>
        <v>OK stock</v>
      </c>
      <c r="N207" s="7"/>
      <c r="Q207">
        <f>Lifetimes!HD1</f>
        <v>0</v>
      </c>
      <c r="R207" t="str">
        <f t="shared" si="7"/>
        <v>OK</v>
      </c>
      <c r="AA207" t="s">
        <v>1934</v>
      </c>
    </row>
    <row r="208" spans="10:27">
      <c r="J208" s="340" t="str">
        <v>Plaster (DIY) outdoor (in use)</v>
      </c>
      <c r="K208" s="311" t="str">
        <f>IF(ISBLANK(J208),"",IF(COUNTIF(L:L,J208),IF(_xlfn.XLOOKUP(J208,'Compartments_Kawecki&amp;Nowack19'!A:A,'Compartments_Kawecki&amp;Nowack19'!B:B,_xlfn.XLOOKUP(J208,Compartments_Added!A:A,Compartments_Added!B:B))="Stock","OK stock","OK flow"),IF(COUNTIF($G$4:$G$18,J208),IF(COUNTIF($E$4:$E$18,J208),"OK input","Missing"),"Missing")))</f>
        <v>OK stock</v>
      </c>
      <c r="L208" s="97" t="str">
        <v>Wood stain (DIY) outdoor (discarded)</v>
      </c>
      <c r="M208" s="311" t="str">
        <f>IF(COUNTIF(J:J,L208),IF(_xlfn.XLOOKUP(L208,'Compartments_Kawecki&amp;Nowack19'!A:A,'Compartments_Kawecki&amp;Nowack19'!B:B,_xlfn.XLOOKUP(L208,Compartments_Added!A:A,Compartments_Added!B:B))="Stock","OK stock","OK flow"),IF(_xlfn.XLOOKUP(L208,'Compartments_Kawecki&amp;Nowack19'!A:A,'Compartments_Kawecki&amp;Nowack19'!B:B,_xlfn.XLOOKUP(L208,Compartments_Added!A:A,Compartments_Added!B:B))="Sink","OK, Sink","Missing"))</f>
        <v>OK stock</v>
      </c>
      <c r="N208" s="7"/>
      <c r="Q208">
        <f>Lifetimes!HE1</f>
        <v>0</v>
      </c>
      <c r="R208" t="str">
        <f t="shared" si="7"/>
        <v>OK</v>
      </c>
      <c r="AA208" t="s">
        <v>1935</v>
      </c>
    </row>
    <row r="209" spans="10:27">
      <c r="J209" s="340" t="str">
        <v>Plaster (DIY) indoor</v>
      </c>
      <c r="K209" s="311" t="str">
        <f>IF(ISBLANK(J209),"",IF(COUNTIF(L:L,J209),IF(_xlfn.XLOOKUP(J209,'Compartments_Kawecki&amp;Nowack19'!A:A,'Compartments_Kawecki&amp;Nowack19'!B:B,_xlfn.XLOOKUP(J209,Compartments_Added!A:A,Compartments_Added!B:B))="Stock","OK stock","OK flow"),IF(COUNTIF($G$4:$G$18,J209),IF(COUNTIF($E$4:$E$18,J209),"OK input","Missing"),"Missing")))</f>
        <v>OK flow</v>
      </c>
      <c r="L209" s="340" t="str">
        <v>Wood stain (DIY) indoor (in use)</v>
      </c>
      <c r="M209" s="311" t="str">
        <f>IF(COUNTIF(J:J,L209),IF(_xlfn.XLOOKUP(L209,'Compartments_Kawecki&amp;Nowack19'!A:A,'Compartments_Kawecki&amp;Nowack19'!B:B,_xlfn.XLOOKUP(L209,Compartments_Added!A:A,Compartments_Added!B:B))="Stock","OK stock","OK flow"),IF(_xlfn.XLOOKUP(L209,'Compartments_Kawecki&amp;Nowack19'!A:A,'Compartments_Kawecki&amp;Nowack19'!B:B,_xlfn.XLOOKUP(L209,Compartments_Added!A:A,Compartments_Added!B:B))="Sink","OK, Sink","Missing"))</f>
        <v>OK stock</v>
      </c>
      <c r="N209" s="7"/>
      <c r="Q209">
        <f>Lifetimes!HF1</f>
        <v>0</v>
      </c>
      <c r="R209" t="str">
        <f t="shared" si="7"/>
        <v>OK</v>
      </c>
      <c r="AA209" t="s">
        <v>1936</v>
      </c>
    </row>
    <row r="210" spans="10:27">
      <c r="J210" s="340" t="str">
        <v>Plaster (DIY) indoor (in use)</v>
      </c>
      <c r="K210" s="311" t="str">
        <f>IF(ISBLANK(J210),"",IF(COUNTIF(L:L,J210),IF(_xlfn.XLOOKUP(J210,'Compartments_Kawecki&amp;Nowack19'!A:A,'Compartments_Kawecki&amp;Nowack19'!B:B,_xlfn.XLOOKUP(J210,Compartments_Added!A:A,Compartments_Added!B:B))="Stock","OK stock","OK flow"),IF(COUNTIF($G$4:$G$18,J210),IF(COUNTIF($E$4:$E$18,J210),"OK input","Missing"),"Missing")))</f>
        <v>OK stock</v>
      </c>
      <c r="L210" s="97" t="str">
        <v>Wood stain (DIY) indoor (discarded)</v>
      </c>
      <c r="M210" s="311" t="str">
        <f>IF(COUNTIF(J:J,L210),IF(_xlfn.XLOOKUP(L210,'Compartments_Kawecki&amp;Nowack19'!A:A,'Compartments_Kawecki&amp;Nowack19'!B:B,_xlfn.XLOOKUP(L210,Compartments_Added!A:A,Compartments_Added!B:B))="Stock","OK stock","OK flow"),IF(_xlfn.XLOOKUP(L210,'Compartments_Kawecki&amp;Nowack19'!A:A,'Compartments_Kawecki&amp;Nowack19'!B:B,_xlfn.XLOOKUP(L210,Compartments_Added!A:A,Compartments_Added!B:B))="Sink","OK, Sink","Missing"))</f>
        <v>OK stock</v>
      </c>
      <c r="N210" s="7"/>
      <c r="Q210">
        <f>Lifetimes!HG1</f>
        <v>0</v>
      </c>
      <c r="R210" t="str">
        <f t="shared" si="7"/>
        <v>OK</v>
      </c>
    </row>
    <row r="211" spans="10:27" ht="15.75" thickBot="1">
      <c r="J211" s="309" t="str">
        <v>Plaster (DIY) outdoor (discarded)</v>
      </c>
      <c r="K211" s="311" t="str">
        <f>IF(ISBLANK(J211),"",IF(COUNTIF(L:L,J211),IF(_xlfn.XLOOKUP(J211,'Compartments_Kawecki&amp;Nowack19'!A:A,'Compartments_Kawecki&amp;Nowack19'!B:B,_xlfn.XLOOKUP(J211,Compartments_Added!A:A,Compartments_Added!B:B))="Stock","OK stock","OK flow"),IF(COUNTIF($G$4:$G$18,J211),IF(COUNTIF($E$4:$E$18,J211),"OK input","Missing"),"Missing")))</f>
        <v>OK stock</v>
      </c>
      <c r="L211" s="309" t="str">
        <v>Wall paint (DIY) outdoor</v>
      </c>
      <c r="M211" s="311" t="str">
        <f>IF(COUNTIF(J:J,L211),IF(_xlfn.XLOOKUP(L211,'Compartments_Kawecki&amp;Nowack19'!A:A,'Compartments_Kawecki&amp;Nowack19'!B:B,_xlfn.XLOOKUP(L211,Compartments_Added!A:A,Compartments_Added!B:B))="Stock","OK stock","OK flow"),IF(_xlfn.XLOOKUP(L211,'Compartments_Kawecki&amp;Nowack19'!A:A,'Compartments_Kawecki&amp;Nowack19'!B:B,_xlfn.XLOOKUP(L211,Compartments_Added!A:A,Compartments_Added!B:B))="Sink","OK, Sink","Missing"))</f>
        <v>OK flow</v>
      </c>
      <c r="N211" s="7"/>
      <c r="R211" t="str">
        <f t="shared" si="7"/>
        <v>OK</v>
      </c>
    </row>
    <row r="212" spans="10:27">
      <c r="J212" s="16" t="str">
        <v>Plaster (DIY) indoor (discarded)</v>
      </c>
      <c r="K212" s="311" t="str">
        <f>IF(ISBLANK(J212),"",IF(COUNTIF(L:L,J212),IF(_xlfn.XLOOKUP(J212,'Compartments_Kawecki&amp;Nowack19'!A:A,'Compartments_Kawecki&amp;Nowack19'!B:B,_xlfn.XLOOKUP(J212,Compartments_Added!A:A,Compartments_Added!B:B))="Stock","OK stock","OK flow"),IF(COUNTIF($G$4:$G$18,J212),IF(COUNTIF($E$4:$E$18,J212),"OK input","Missing"),"Missing")))</f>
        <v>OK stock</v>
      </c>
      <c r="L212" t="str">
        <v>Wall paint (DIY) indoor</v>
      </c>
      <c r="M212" s="311" t="str">
        <f>IF(COUNTIF(J:J,L212),IF(_xlfn.XLOOKUP(L212,'Compartments_Kawecki&amp;Nowack19'!A:A,'Compartments_Kawecki&amp;Nowack19'!B:B,_xlfn.XLOOKUP(L212,Compartments_Added!A:A,Compartments_Added!B:B))="Stock","OK stock","OK flow"),IF(_xlfn.XLOOKUP(L212,'Compartments_Kawecki&amp;Nowack19'!A:A,'Compartments_Kawecki&amp;Nowack19'!B:B,_xlfn.XLOOKUP(L212,Compartments_Added!A:A,Compartments_Added!B:B))="Sink","OK, Sink","Missing"))</f>
        <v>OK flow</v>
      </c>
      <c r="N212" s="7"/>
      <c r="R212" t="str">
        <f t="shared" si="7"/>
        <v>OK</v>
      </c>
    </row>
    <row r="213" spans="10:27">
      <c r="J213" s="16" t="str">
        <v>Other paint uses (DIY)</v>
      </c>
      <c r="K213" s="311" t="str">
        <f>IF(ISBLANK(J213),"",IF(COUNTIF(L:L,J213),IF(_xlfn.XLOOKUP(J213,'Compartments_Kawecki&amp;Nowack19'!A:A,'Compartments_Kawecki&amp;Nowack19'!B:B,_xlfn.XLOOKUP(J213,Compartments_Added!A:A,Compartments_Added!B:B))="Stock","OK stock","OK flow"),IF(COUNTIF($G$4:$G$18,J213),IF(COUNTIF($E$4:$E$18,J213),"OK input","Missing"),"Missing")))</f>
        <v>OK flow</v>
      </c>
      <c r="L213" t="str">
        <v>Wall paint (DIY) outdoor (in use)</v>
      </c>
      <c r="M213" s="311" t="str">
        <f>IF(COUNTIF(J:J,L213),IF(_xlfn.XLOOKUP(L213,'Compartments_Kawecki&amp;Nowack19'!A:A,'Compartments_Kawecki&amp;Nowack19'!B:B,_xlfn.XLOOKUP(L213,Compartments_Added!A:A,Compartments_Added!B:B))="Stock","OK stock","OK flow"),IF(_xlfn.XLOOKUP(L213,'Compartments_Kawecki&amp;Nowack19'!A:A,'Compartments_Kawecki&amp;Nowack19'!B:B,_xlfn.XLOOKUP(L213,Compartments_Added!A:A,Compartments_Added!B:B))="Sink","OK, Sink","Missing"))</f>
        <v>OK stock</v>
      </c>
      <c r="N213" s="7"/>
      <c r="R213" t="str">
        <f t="shared" si="7"/>
        <v>OK</v>
      </c>
    </row>
    <row r="214" spans="10:27">
      <c r="J214" s="16" t="str">
        <v>Other paint uses (DIY) outdoor</v>
      </c>
      <c r="K214" s="311" t="str">
        <f>IF(ISBLANK(J214),"",IF(COUNTIF(L:L,J214),IF(_xlfn.XLOOKUP(J214,'Compartments_Kawecki&amp;Nowack19'!A:A,'Compartments_Kawecki&amp;Nowack19'!B:B,_xlfn.XLOOKUP(J214,Compartments_Added!A:A,Compartments_Added!B:B))="Stock","OK stock","OK flow"),IF(COUNTIF($G$4:$G$18,J214),IF(COUNTIF($E$4:$E$18,J214),"OK input","Missing"),"Missing")))</f>
        <v>OK flow</v>
      </c>
      <c r="L214" t="str">
        <v>Wall paint (DIY) outdoor (discarded)</v>
      </c>
      <c r="M214" s="311" t="str">
        <f>IF(COUNTIF(J:J,L214),IF(_xlfn.XLOOKUP(L214,'Compartments_Kawecki&amp;Nowack19'!A:A,'Compartments_Kawecki&amp;Nowack19'!B:B,_xlfn.XLOOKUP(L214,Compartments_Added!A:A,Compartments_Added!B:B))="Stock","OK stock","OK flow"),IF(_xlfn.XLOOKUP(L214,'Compartments_Kawecki&amp;Nowack19'!A:A,'Compartments_Kawecki&amp;Nowack19'!B:B,_xlfn.XLOOKUP(L214,Compartments_Added!A:A,Compartments_Added!B:B))="Sink","OK, Sink","Missing"))</f>
        <v>OK stock</v>
      </c>
      <c r="N214" s="7"/>
      <c r="R214" t="str">
        <f t="shared" si="7"/>
        <v>OK</v>
      </c>
    </row>
    <row r="215" spans="10:27">
      <c r="J215" s="16" t="str">
        <v>Other paint uses (DIY) outdoor (in use)</v>
      </c>
      <c r="K215" s="311" t="str">
        <f>IF(ISBLANK(J215),"",IF(COUNTIF(L:L,J215),IF(_xlfn.XLOOKUP(J215,'Compartments_Kawecki&amp;Nowack19'!A:A,'Compartments_Kawecki&amp;Nowack19'!B:B,_xlfn.XLOOKUP(J215,Compartments_Added!A:A,Compartments_Added!B:B))="Stock","OK stock","OK flow"),IF(COUNTIF($G$4:$G$18,J215),IF(COUNTIF($E$4:$E$18,J215),"OK input","Missing"),"Missing")))</f>
        <v>OK stock</v>
      </c>
      <c r="L215" t="str">
        <v>Wall paint (DIY) indoor applied</v>
      </c>
      <c r="M215" s="311" t="str">
        <f>IF(COUNTIF(J:J,L215),IF(_xlfn.XLOOKUP(L215,'Compartments_Kawecki&amp;Nowack19'!A:A,'Compartments_Kawecki&amp;Nowack19'!B:B,_xlfn.XLOOKUP(L215,Compartments_Added!A:A,Compartments_Added!B:B))="Stock","OK stock","OK flow"),IF(_xlfn.XLOOKUP(L215,'Compartments_Kawecki&amp;Nowack19'!A:A,'Compartments_Kawecki&amp;Nowack19'!B:B,_xlfn.XLOOKUP(L215,Compartments_Added!A:A,Compartments_Added!B:B))="Sink","OK, Sink","Missing"))</f>
        <v>OK flow</v>
      </c>
      <c r="N215" s="7"/>
      <c r="R215" t="str">
        <f t="shared" si="7"/>
        <v>OK</v>
      </c>
    </row>
    <row r="216" spans="10:27">
      <c r="J216" s="16" t="str">
        <v>Other paint uses (DIY) indoor</v>
      </c>
      <c r="K216" s="311" t="str">
        <f>IF(ISBLANK(J216),"",IF(COUNTIF(L:L,J216),IF(_xlfn.XLOOKUP(J216,'Compartments_Kawecki&amp;Nowack19'!A:A,'Compartments_Kawecki&amp;Nowack19'!B:B,_xlfn.XLOOKUP(J216,Compartments_Added!A:A,Compartments_Added!B:B))="Stock","OK stock","OK flow"),IF(COUNTIF($G$4:$G$18,J216),IF(COUNTIF($E$4:$E$18,J216),"OK input","Missing"),"Missing")))</f>
        <v>OK flow</v>
      </c>
      <c r="L216" t="str">
        <v>Wall paint (DIY) indoor on brush</v>
      </c>
      <c r="M216" s="311" t="str">
        <f>IF(COUNTIF(J:J,L216),IF(_xlfn.XLOOKUP(L216,'Compartments_Kawecki&amp;Nowack19'!A:A,'Compartments_Kawecki&amp;Nowack19'!B:B,_xlfn.XLOOKUP(L216,Compartments_Added!A:A,Compartments_Added!B:B))="Stock","OK stock","OK flow"),IF(_xlfn.XLOOKUP(L216,'Compartments_Kawecki&amp;Nowack19'!A:A,'Compartments_Kawecki&amp;Nowack19'!B:B,_xlfn.XLOOKUP(L216,Compartments_Added!A:A,Compartments_Added!B:B))="Sink","OK, Sink","Missing"))</f>
        <v>OK flow</v>
      </c>
      <c r="N216" s="7"/>
      <c r="R216" t="str">
        <f t="shared" si="7"/>
        <v>OK</v>
      </c>
    </row>
    <row r="217" spans="10:27">
      <c r="J217" s="16" t="str">
        <v>Other paint uses (DIY) indoor (in use)</v>
      </c>
      <c r="K217" s="311" t="str">
        <f>IF(ISBLANK(J217),"",IF(COUNTIF(L:L,J217),IF(_xlfn.XLOOKUP(J217,'Compartments_Kawecki&amp;Nowack19'!A:A,'Compartments_Kawecki&amp;Nowack19'!B:B,_xlfn.XLOOKUP(J217,Compartments_Added!A:A,Compartments_Added!B:B))="Stock","OK stock","OK flow"),IF(COUNTIF($G$4:$G$18,J217),IF(COUNTIF($E$4:$E$18,J217),"OK input","Missing"),"Missing")))</f>
        <v>OK stock</v>
      </c>
      <c r="L217" t="str">
        <v>Wall paint (DIY) indoor applied (in use)</v>
      </c>
      <c r="M217" s="311" t="str">
        <f>IF(COUNTIF(J:J,L217),IF(_xlfn.XLOOKUP(L217,'Compartments_Kawecki&amp;Nowack19'!A:A,'Compartments_Kawecki&amp;Nowack19'!B:B,_xlfn.XLOOKUP(L217,Compartments_Added!A:A,Compartments_Added!B:B))="Stock","OK stock","OK flow"),IF(_xlfn.XLOOKUP(L217,'Compartments_Kawecki&amp;Nowack19'!A:A,'Compartments_Kawecki&amp;Nowack19'!B:B,_xlfn.XLOOKUP(L217,Compartments_Added!A:A,Compartments_Added!B:B))="Sink","OK, Sink","Missing"))</f>
        <v>OK stock</v>
      </c>
      <c r="N217" s="7"/>
      <c r="R217" t="str">
        <f t="shared" si="7"/>
        <v>OK</v>
      </c>
    </row>
    <row r="218" spans="10:27">
      <c r="J218" s="16" t="str">
        <v>Other paint uses (DIY) outdoor (discarded)</v>
      </c>
      <c r="K218" s="311" t="str">
        <f>IF(ISBLANK(J218),"",IF(COUNTIF(L:L,J218),IF(_xlfn.XLOOKUP(J218,'Compartments_Kawecki&amp;Nowack19'!A:A,'Compartments_Kawecki&amp;Nowack19'!B:B,_xlfn.XLOOKUP(J218,Compartments_Added!A:A,Compartments_Added!B:B))="Stock","OK stock","OK flow"),IF(COUNTIF($G$4:$G$18,J218),IF(COUNTIF($E$4:$E$18,J218),"OK input","Missing"),"Missing")))</f>
        <v>OK stock</v>
      </c>
      <c r="L218" t="str">
        <v>Wall paint (DIY) indoor applied (discarded)</v>
      </c>
      <c r="M218" s="311" t="str">
        <f>IF(COUNTIF(J:J,L218),IF(_xlfn.XLOOKUP(L218,'Compartments_Kawecki&amp;Nowack19'!A:A,'Compartments_Kawecki&amp;Nowack19'!B:B,_xlfn.XLOOKUP(L218,Compartments_Added!A:A,Compartments_Added!B:B))="Stock","OK stock","OK flow"),IF(_xlfn.XLOOKUP(L218,'Compartments_Kawecki&amp;Nowack19'!A:A,'Compartments_Kawecki&amp;Nowack19'!B:B,_xlfn.XLOOKUP(L218,Compartments_Added!A:A,Compartments_Added!B:B))="Sink","OK, Sink","Missing"))</f>
        <v>OK stock</v>
      </c>
      <c r="N218" s="7"/>
      <c r="R218" t="str">
        <f t="shared" si="7"/>
        <v>OK</v>
      </c>
    </row>
    <row r="219" spans="10:27">
      <c r="J219" s="16" t="str">
        <v>Other paint uses (DIY) indoor (discarded)</v>
      </c>
      <c r="K219" s="311" t="str">
        <f>IF(ISBLANK(J219),"",IF(COUNTIF(L:L,J219),IF(_xlfn.XLOOKUP(J219,'Compartments_Kawecki&amp;Nowack19'!A:A,'Compartments_Kawecki&amp;Nowack19'!B:B,_xlfn.XLOOKUP(J219,Compartments_Added!A:A,Compartments_Added!B:B))="Stock","OK stock","OK flow"),IF(COUNTIF($G$4:$G$18,J219),IF(COUNTIF($E$4:$E$18,J219),"OK input","Missing"),"Missing")))</f>
        <v>OK stock</v>
      </c>
      <c r="L219" t="str">
        <v>Plaster (DIY) outdoor</v>
      </c>
      <c r="M219" s="311" t="str">
        <f>IF(COUNTIF(J:J,L219),IF(_xlfn.XLOOKUP(L219,'Compartments_Kawecki&amp;Nowack19'!A:A,'Compartments_Kawecki&amp;Nowack19'!B:B,_xlfn.XLOOKUP(L219,Compartments_Added!A:A,Compartments_Added!B:B))="Stock","OK stock","OK flow"),IF(_xlfn.XLOOKUP(L219,'Compartments_Kawecki&amp;Nowack19'!A:A,'Compartments_Kawecki&amp;Nowack19'!B:B,_xlfn.XLOOKUP(L219,Compartments_Added!A:A,Compartments_Added!B:B))="Sink","OK, Sink","Missing"))</f>
        <v>OK flow</v>
      </c>
      <c r="N219" s="7"/>
      <c r="R219" t="str">
        <f t="shared" si="7"/>
        <v>OK</v>
      </c>
    </row>
    <row r="220" spans="10:27">
      <c r="J220" s="16" t="str">
        <v>Import of clothing (EU)</v>
      </c>
      <c r="K220" s="311" t="str">
        <f>IF(ISBLANK(J220),"",IF(COUNTIF(L:L,J220),IF(_xlfn.XLOOKUP(J220,'Compartments_Kawecki&amp;Nowack19'!A:A,'Compartments_Kawecki&amp;Nowack19'!B:B,_xlfn.XLOOKUP(J220,Compartments_Added!A:A,Compartments_Added!B:B))="Stock","OK stock","OK flow"),IF(COUNTIF($G$4:$G$18,J220),IF(COUNTIF($E$4:$E$18,J220),"OK input","Missing"),"Missing")))</f>
        <v>Missing</v>
      </c>
      <c r="L220" t="str">
        <v>Plaster (DIY) indoor</v>
      </c>
      <c r="M220" s="311" t="str">
        <f>IF(COUNTIF(J:J,L220),IF(_xlfn.XLOOKUP(L220,'Compartments_Kawecki&amp;Nowack19'!A:A,'Compartments_Kawecki&amp;Nowack19'!B:B,_xlfn.XLOOKUP(L220,Compartments_Added!A:A,Compartments_Added!B:B))="Stock","OK stock","OK flow"),IF(_xlfn.XLOOKUP(L220,'Compartments_Kawecki&amp;Nowack19'!A:A,'Compartments_Kawecki&amp;Nowack19'!B:B,_xlfn.XLOOKUP(L220,Compartments_Added!A:A,Compartments_Added!B:B))="Sink","OK, Sink","Missing"))</f>
        <v>OK flow</v>
      </c>
      <c r="N220" s="7"/>
      <c r="R220" t="str">
        <f t="shared" si="7"/>
        <v>OK</v>
      </c>
    </row>
    <row r="221" spans="10:27">
      <c r="J221" s="16" t="str">
        <v>Clothing (product sector)</v>
      </c>
      <c r="K221" s="311" t="str">
        <f>IF(ISBLANK(J221),"",IF(COUNTIF(L:L,J221),IF(_xlfn.XLOOKUP(J221,'Compartments_Kawecki&amp;Nowack19'!A:A,'Compartments_Kawecki&amp;Nowack19'!B:B,_xlfn.XLOOKUP(J221,Compartments_Added!A:A,Compartments_Added!B:B))="Stock","OK stock","OK flow"),IF(COUNTIF($G$4:$G$18,J221),IF(COUNTIF($E$4:$E$18,J221),"OK input","Missing"),"Missing")))</f>
        <v>OK flow</v>
      </c>
      <c r="L221" t="str">
        <v>Plaster (DIY) outdoor (in use)</v>
      </c>
      <c r="M221" s="311" t="str">
        <f>IF(COUNTIF(J:J,L221),IF(_xlfn.XLOOKUP(L221,'Compartments_Kawecki&amp;Nowack19'!A:A,'Compartments_Kawecki&amp;Nowack19'!B:B,_xlfn.XLOOKUP(L221,Compartments_Added!A:A,Compartments_Added!B:B))="Stock","OK stock","OK flow"),IF(_xlfn.XLOOKUP(L221,'Compartments_Kawecki&amp;Nowack19'!A:A,'Compartments_Kawecki&amp;Nowack19'!B:B,_xlfn.XLOOKUP(L221,Compartments_Added!A:A,Compartments_Added!B:B))="Sink","OK, Sink","Missing"))</f>
        <v>OK stock</v>
      </c>
      <c r="N221" s="7"/>
      <c r="R221" t="str">
        <f t="shared" si="7"/>
        <v>OK</v>
      </c>
    </row>
    <row r="222" spans="10:27">
      <c r="J222" s="16" t="str">
        <v>Apparel accessories</v>
      </c>
      <c r="K222" s="311" t="str">
        <f>IF(ISBLANK(J222),"",IF(COUNTIF(L:L,J222),IF(_xlfn.XLOOKUP(J222,'Compartments_Kawecki&amp;Nowack19'!A:A,'Compartments_Kawecki&amp;Nowack19'!B:B,_xlfn.XLOOKUP(J222,Compartments_Added!A:A,Compartments_Added!B:B))="Stock","OK stock","OK flow"),IF(COUNTIF($G$4:$G$18,J222),IF(COUNTIF($E$4:$E$18,J222),"OK input","Missing"),"Missing")))</f>
        <v>OK stock</v>
      </c>
      <c r="L222" t="str">
        <v>Plaster (DIY) outdoor (discarded)</v>
      </c>
      <c r="M222" s="311" t="str">
        <f>IF(COUNTIF(J:J,L222),IF(_xlfn.XLOOKUP(L222,'Compartments_Kawecki&amp;Nowack19'!A:A,'Compartments_Kawecki&amp;Nowack19'!B:B,_xlfn.XLOOKUP(L222,Compartments_Added!A:A,Compartments_Added!B:B))="Stock","OK stock","OK flow"),IF(_xlfn.XLOOKUP(L222,'Compartments_Kawecki&amp;Nowack19'!A:A,'Compartments_Kawecki&amp;Nowack19'!B:B,_xlfn.XLOOKUP(L222,Compartments_Added!A:A,Compartments_Added!B:B))="Sink","OK, Sink","Missing"))</f>
        <v>OK stock</v>
      </c>
      <c r="N222" s="7"/>
      <c r="R222" t="str">
        <f t="shared" si="7"/>
        <v>OK</v>
      </c>
    </row>
    <row r="223" spans="10:27">
      <c r="J223" s="16" t="str">
        <v>Boots</v>
      </c>
      <c r="K223" s="311" t="str">
        <f>IF(ISBLANK(J223),"",IF(COUNTIF(L:L,J223),IF(_xlfn.XLOOKUP(J223,'Compartments_Kawecki&amp;Nowack19'!A:A,'Compartments_Kawecki&amp;Nowack19'!B:B,_xlfn.XLOOKUP(J223,Compartments_Added!A:A,Compartments_Added!B:B))="Stock","OK stock","OK flow"),IF(COUNTIF($G$4:$G$18,J223),IF(COUNTIF($E$4:$E$18,J223),"OK input","Missing"),"Missing")))</f>
        <v>OK stock</v>
      </c>
      <c r="L223" t="str">
        <v>Plaster (DIY) indoor (in use)</v>
      </c>
      <c r="M223" s="311" t="str">
        <f>IF(COUNTIF(J:J,L223),IF(_xlfn.XLOOKUP(L223,'Compartments_Kawecki&amp;Nowack19'!A:A,'Compartments_Kawecki&amp;Nowack19'!B:B,_xlfn.XLOOKUP(L223,Compartments_Added!A:A,Compartments_Added!B:B))="Stock","OK stock","OK flow"),IF(_xlfn.XLOOKUP(L223,'Compartments_Kawecki&amp;Nowack19'!A:A,'Compartments_Kawecki&amp;Nowack19'!B:B,_xlfn.XLOOKUP(L223,Compartments_Added!A:A,Compartments_Added!B:B))="Sink","OK, Sink","Missing"))</f>
        <v>OK stock</v>
      </c>
      <c r="N223" s="7"/>
      <c r="R223" t="str">
        <f t="shared" si="7"/>
        <v>OK</v>
      </c>
    </row>
    <row r="224" spans="10:27">
      <c r="J224" s="16" t="str">
        <v>Closed-toed shoes</v>
      </c>
      <c r="K224" s="311" t="str">
        <f>IF(ISBLANK(J224),"",IF(COUNTIF(L:L,J224),IF(_xlfn.XLOOKUP(J224,'Compartments_Kawecki&amp;Nowack19'!A:A,'Compartments_Kawecki&amp;Nowack19'!B:B,_xlfn.XLOOKUP(J224,Compartments_Added!A:A,Compartments_Added!B:B))="Stock","OK stock","OK flow"),IF(COUNTIF($G$4:$G$18,J224),IF(COUNTIF($E$4:$E$18,J224),"OK input","Missing"),"Missing")))</f>
        <v>OK stock</v>
      </c>
      <c r="L224" t="str">
        <v>Plaster (DIY) indoor (discarded)</v>
      </c>
      <c r="M224" s="311" t="str">
        <f>IF(COUNTIF(J:J,L224),IF(_xlfn.XLOOKUP(L224,'Compartments_Kawecki&amp;Nowack19'!A:A,'Compartments_Kawecki&amp;Nowack19'!B:B,_xlfn.XLOOKUP(L224,Compartments_Added!A:A,Compartments_Added!B:B))="Stock","OK stock","OK flow"),IF(_xlfn.XLOOKUP(L224,'Compartments_Kawecki&amp;Nowack19'!A:A,'Compartments_Kawecki&amp;Nowack19'!B:B,_xlfn.XLOOKUP(L224,Compartments_Added!A:A,Compartments_Added!B:B))="Sink","OK, Sink","Missing"))</f>
        <v>OK stock</v>
      </c>
      <c r="N224" s="7"/>
      <c r="R224" t="str">
        <f t="shared" si="7"/>
        <v>OK</v>
      </c>
    </row>
    <row r="225" spans="10:18">
      <c r="J225" s="16" t="str">
        <v>Jackets and coats</v>
      </c>
      <c r="K225" s="311" t="str">
        <f>IF(ISBLANK(J225),"",IF(COUNTIF(L:L,J225),IF(_xlfn.XLOOKUP(J225,'Compartments_Kawecki&amp;Nowack19'!A:A,'Compartments_Kawecki&amp;Nowack19'!B:B,_xlfn.XLOOKUP(J225,Compartments_Added!A:A,Compartments_Added!B:B))="Stock","OK stock","OK flow"),IF(COUNTIF($G$4:$G$18,J225),IF(COUNTIF($E$4:$E$18,J225),"OK input","Missing"),"Missing")))</f>
        <v>OK stock</v>
      </c>
      <c r="L225" t="str">
        <v>Other paint uses (DIY) outdoor</v>
      </c>
      <c r="M225" s="311" t="str">
        <f>IF(COUNTIF(J:J,L225),IF(_xlfn.XLOOKUP(L225,'Compartments_Kawecki&amp;Nowack19'!A:A,'Compartments_Kawecki&amp;Nowack19'!B:B,_xlfn.XLOOKUP(L225,Compartments_Added!A:A,Compartments_Added!B:B))="Stock","OK stock","OK flow"),IF(_xlfn.XLOOKUP(L225,'Compartments_Kawecki&amp;Nowack19'!A:A,'Compartments_Kawecki&amp;Nowack19'!B:B,_xlfn.XLOOKUP(L225,Compartments_Added!A:A,Compartments_Added!B:B))="Sink","OK, Sink","Missing"))</f>
        <v>OK flow</v>
      </c>
      <c r="N225" s="7"/>
      <c r="R225" t="str">
        <f t="shared" si="7"/>
        <v>OK</v>
      </c>
    </row>
    <row r="226" spans="10:18">
      <c r="J226" s="16" t="str">
        <v>Open-toed shoes</v>
      </c>
      <c r="K226" s="311" t="str">
        <f>IF(ISBLANK(J226),"",IF(COUNTIF(L:L,J226),IF(_xlfn.XLOOKUP(J226,'Compartments_Kawecki&amp;Nowack19'!A:A,'Compartments_Kawecki&amp;Nowack19'!B:B,_xlfn.XLOOKUP(J226,Compartments_Added!A:A,Compartments_Added!B:B))="Stock","OK stock","OK flow"),IF(COUNTIF($G$4:$G$18,J226),IF(COUNTIF($E$4:$E$18,J226),"OK input","Missing"),"Missing")))</f>
        <v>OK stock</v>
      </c>
      <c r="L226" t="str">
        <v>Other paint uses (DIY) indoor</v>
      </c>
      <c r="M226" s="311" t="str">
        <f>IF(COUNTIF(J:J,L226),IF(_xlfn.XLOOKUP(L226,'Compartments_Kawecki&amp;Nowack19'!A:A,'Compartments_Kawecki&amp;Nowack19'!B:B,_xlfn.XLOOKUP(L226,Compartments_Added!A:A,Compartments_Added!B:B))="Stock","OK stock","OK flow"),IF(_xlfn.XLOOKUP(L226,'Compartments_Kawecki&amp;Nowack19'!A:A,'Compartments_Kawecki&amp;Nowack19'!B:B,_xlfn.XLOOKUP(L226,Compartments_Added!A:A,Compartments_Added!B:B))="Sink","OK, Sink","Missing"))</f>
        <v>OK flow</v>
      </c>
      <c r="N226" s="7"/>
      <c r="R226" t="str">
        <f t="shared" si="7"/>
        <v>OK</v>
      </c>
    </row>
    <row r="227" spans="10:18">
      <c r="J227" s="16" t="str">
        <v>Dresses skirts and jumpsuits</v>
      </c>
      <c r="K227" s="311" t="str">
        <f>IF(ISBLANK(J227),"",IF(COUNTIF(L:L,J227),IF(_xlfn.XLOOKUP(J227,'Compartments_Kawecki&amp;Nowack19'!A:A,'Compartments_Kawecki&amp;Nowack19'!B:B,_xlfn.XLOOKUP(J227,Compartments_Added!A:A,Compartments_Added!B:B))="Stock","OK stock","OK flow"),IF(COUNTIF($G$4:$G$18,J227),IF(COUNTIF($E$4:$E$18,J227),"OK input","Missing"),"Missing")))</f>
        <v>OK stock</v>
      </c>
      <c r="L227" t="str">
        <v>Other paint uses (DIY) outdoor (in use)</v>
      </c>
      <c r="M227" s="311" t="str">
        <f>IF(COUNTIF(J:J,L227),IF(_xlfn.XLOOKUP(L227,'Compartments_Kawecki&amp;Nowack19'!A:A,'Compartments_Kawecki&amp;Nowack19'!B:B,_xlfn.XLOOKUP(L227,Compartments_Added!A:A,Compartments_Added!B:B))="Stock","OK stock","OK flow"),IF(_xlfn.XLOOKUP(L227,'Compartments_Kawecki&amp;Nowack19'!A:A,'Compartments_Kawecki&amp;Nowack19'!B:B,_xlfn.XLOOKUP(L227,Compartments_Added!A:A,Compartments_Added!B:B))="Sink","OK, Sink","Missing"))</f>
        <v>OK stock</v>
      </c>
      <c r="N227" s="7"/>
      <c r="R227" t="str">
        <f t="shared" si="7"/>
        <v>OK</v>
      </c>
    </row>
    <row r="228" spans="10:18">
      <c r="J228" s="16" t="str">
        <v>Leggings stockings tights and socks</v>
      </c>
      <c r="K228" s="311" t="str">
        <f>IF(ISBLANK(J228),"",IF(COUNTIF(L:L,J228),IF(_xlfn.XLOOKUP(J228,'Compartments_Kawecki&amp;Nowack19'!A:A,'Compartments_Kawecki&amp;Nowack19'!B:B,_xlfn.XLOOKUP(J228,Compartments_Added!A:A,Compartments_Added!B:B))="Stock","OK stock","OK flow"),IF(COUNTIF($G$4:$G$18,J228),IF(COUNTIF($E$4:$E$18,J228),"OK input","Missing"),"Missing")))</f>
        <v>OK stock</v>
      </c>
      <c r="L228" t="str">
        <v>Other paint uses (DIY) outdoor (discarded)</v>
      </c>
      <c r="M228" s="311" t="str">
        <f>IF(COUNTIF(J:J,L228),IF(_xlfn.XLOOKUP(L228,'Compartments_Kawecki&amp;Nowack19'!A:A,'Compartments_Kawecki&amp;Nowack19'!B:B,_xlfn.XLOOKUP(L228,Compartments_Added!A:A,Compartments_Added!B:B))="Stock","OK stock","OK flow"),IF(_xlfn.XLOOKUP(L228,'Compartments_Kawecki&amp;Nowack19'!A:A,'Compartments_Kawecki&amp;Nowack19'!B:B,_xlfn.XLOOKUP(L228,Compartments_Added!A:A,Compartments_Added!B:B))="Sink","OK, Sink","Missing"))</f>
        <v>OK stock</v>
      </c>
      <c r="N228" s="7"/>
      <c r="R228" t="str">
        <f t="shared" si="7"/>
        <v>OK</v>
      </c>
    </row>
    <row r="229" spans="10:18">
      <c r="J229" s="16" t="str">
        <v>Pants and shorts</v>
      </c>
      <c r="K229" s="311" t="str">
        <f>IF(ISBLANK(J229),"",IF(COUNTIF(L:L,J229),IF(_xlfn.XLOOKUP(J229,'Compartments_Kawecki&amp;Nowack19'!A:A,'Compartments_Kawecki&amp;Nowack19'!B:B,_xlfn.XLOOKUP(J229,Compartments_Added!A:A,Compartments_Added!B:B))="Stock","OK stock","OK flow"),IF(COUNTIF($G$4:$G$18,J229),IF(COUNTIF($E$4:$E$18,J229),"OK input","Missing"),"Missing")))</f>
        <v>OK stock</v>
      </c>
      <c r="L229" t="str">
        <v>Other paint uses (DIY) indoor (in use)</v>
      </c>
      <c r="M229" s="311" t="str">
        <f>IF(COUNTIF(J:J,L229),IF(_xlfn.XLOOKUP(L229,'Compartments_Kawecki&amp;Nowack19'!A:A,'Compartments_Kawecki&amp;Nowack19'!B:B,_xlfn.XLOOKUP(L229,Compartments_Added!A:A,Compartments_Added!B:B))="Stock","OK stock","OK flow"),IF(_xlfn.XLOOKUP(L229,'Compartments_Kawecki&amp;Nowack19'!A:A,'Compartments_Kawecki&amp;Nowack19'!B:B,_xlfn.XLOOKUP(L229,Compartments_Added!A:A,Compartments_Added!B:B))="Sink","OK, Sink","Missing"))</f>
        <v>OK stock</v>
      </c>
      <c r="N229" s="7"/>
      <c r="R229" t="str">
        <f t="shared" si="7"/>
        <v>OK</v>
      </c>
    </row>
    <row r="230" spans="10:18">
      <c r="J230" s="16" t="str">
        <v>Shirts and blouses</v>
      </c>
      <c r="K230" s="311" t="str">
        <f>IF(ISBLANK(J230),"",IF(COUNTIF(L:L,J230),IF(_xlfn.XLOOKUP(J230,'Compartments_Kawecki&amp;Nowack19'!A:A,'Compartments_Kawecki&amp;Nowack19'!B:B,_xlfn.XLOOKUP(J230,Compartments_Added!A:A,Compartments_Added!B:B))="Stock","OK stock","OK flow"),IF(COUNTIF($G$4:$G$18,J230),IF(COUNTIF($E$4:$E$18,J230),"OK input","Missing"),"Missing")))</f>
        <v>OK stock</v>
      </c>
      <c r="L230" t="str">
        <v>Other paint uses (DIY) indoor (discarded)</v>
      </c>
      <c r="M230" s="311" t="str">
        <f>IF(COUNTIF(J:J,L230),IF(_xlfn.XLOOKUP(L230,'Compartments_Kawecki&amp;Nowack19'!A:A,'Compartments_Kawecki&amp;Nowack19'!B:B,_xlfn.XLOOKUP(L230,Compartments_Added!A:A,Compartments_Added!B:B))="Stock","OK stock","OK flow"),IF(_xlfn.XLOOKUP(L230,'Compartments_Kawecki&amp;Nowack19'!A:A,'Compartments_Kawecki&amp;Nowack19'!B:B,_xlfn.XLOOKUP(L230,Compartments_Added!A:A,Compartments_Added!B:B))="Sink","OK, Sink","Missing"))</f>
        <v>OK stock</v>
      </c>
      <c r="N230" s="7"/>
      <c r="R230" t="str">
        <f t="shared" si="7"/>
        <v>OK</v>
      </c>
    </row>
    <row r="231" spans="10:18">
      <c r="J231" s="16" t="str">
        <v>Sweaters and midlayers</v>
      </c>
      <c r="K231" s="311" t="str">
        <f>IF(ISBLANK(J231),"",IF(COUNTIF(L:L,J231),IF(_xlfn.XLOOKUP(J231,'Compartments_Kawecki&amp;Nowack19'!A:A,'Compartments_Kawecki&amp;Nowack19'!B:B,_xlfn.XLOOKUP(J231,Compartments_Added!A:A,Compartments_Added!B:B))="Stock","OK stock","OK flow"),IF(COUNTIF($G$4:$G$18,J231),IF(COUNTIF($E$4:$E$18,J231),"OK input","Missing"),"Missing")))</f>
        <v>OK stock</v>
      </c>
      <c r="L231" t="str">
        <v>Clothing (product sector)</v>
      </c>
      <c r="M231" s="311" t="str">
        <f>IF(COUNTIF(J:J,L231),IF(_xlfn.XLOOKUP(L231,'Compartments_Kawecki&amp;Nowack19'!A:A,'Compartments_Kawecki&amp;Nowack19'!B:B,_xlfn.XLOOKUP(L231,Compartments_Added!A:A,Compartments_Added!B:B))="Stock","OK stock","OK flow"),IF(_xlfn.XLOOKUP(L231,'Compartments_Kawecki&amp;Nowack19'!A:A,'Compartments_Kawecki&amp;Nowack19'!B:B,_xlfn.XLOOKUP(L231,Compartments_Added!A:A,Compartments_Added!B:B))="Sink","OK, Sink","Missing"))</f>
        <v>OK flow</v>
      </c>
      <c r="N231" s="7"/>
      <c r="R231" t="str">
        <f t="shared" si="7"/>
        <v>OK</v>
      </c>
    </row>
    <row r="232" spans="10:18">
      <c r="J232" s="16" t="str">
        <v>Swimwear</v>
      </c>
      <c r="K232" s="311" t="str">
        <f>IF(ISBLANK(J232),"",IF(COUNTIF(L:L,J232),IF(_xlfn.XLOOKUP(J232,'Compartments_Kawecki&amp;Nowack19'!A:A,'Compartments_Kawecki&amp;Nowack19'!B:B,_xlfn.XLOOKUP(J232,Compartments_Added!A:A,Compartments_Added!B:B))="Stock","OK stock","OK flow"),IF(COUNTIF($G$4:$G$18,J232),IF(COUNTIF($E$4:$E$18,J232),"OK input","Missing"),"Missing")))</f>
        <v>OK stock</v>
      </c>
      <c r="L232" t="str">
        <v>Apparel accessories</v>
      </c>
      <c r="M232" s="311" t="str">
        <f>IF(COUNTIF(J:J,L232),IF(_xlfn.XLOOKUP(L232,'Compartments_Kawecki&amp;Nowack19'!A:A,'Compartments_Kawecki&amp;Nowack19'!B:B,_xlfn.XLOOKUP(L232,Compartments_Added!A:A,Compartments_Added!B:B))="Stock","OK stock","OK flow"),IF(_xlfn.XLOOKUP(L232,'Compartments_Kawecki&amp;Nowack19'!A:A,'Compartments_Kawecki&amp;Nowack19'!B:B,_xlfn.XLOOKUP(L232,Compartments_Added!A:A,Compartments_Added!B:B))="Sink","OK, Sink","Missing"))</f>
        <v>OK stock</v>
      </c>
      <c r="N232" s="7"/>
      <c r="R232" t="str">
        <f t="shared" si="7"/>
        <v>OK</v>
      </c>
    </row>
    <row r="233" spans="10:18">
      <c r="J233" s="16" t="str">
        <v>T-shirts</v>
      </c>
      <c r="K233" s="311" t="str">
        <f>IF(ISBLANK(J233),"",IF(COUNTIF(L:L,J233),IF(_xlfn.XLOOKUP(J233,'Compartments_Kawecki&amp;Nowack19'!A:A,'Compartments_Kawecki&amp;Nowack19'!B:B,_xlfn.XLOOKUP(J233,Compartments_Added!A:A,Compartments_Added!B:B))="Stock","OK stock","OK flow"),IF(COUNTIF($G$4:$G$18,J233),IF(COUNTIF($E$4:$E$18,J233),"OK input","Missing"),"Missing")))</f>
        <v>OK stock</v>
      </c>
      <c r="L233" t="str">
        <v>Boots</v>
      </c>
      <c r="M233" s="311" t="str">
        <f>IF(COUNTIF(J:J,L233),IF(_xlfn.XLOOKUP(L233,'Compartments_Kawecki&amp;Nowack19'!A:A,'Compartments_Kawecki&amp;Nowack19'!B:B,_xlfn.XLOOKUP(L233,Compartments_Added!A:A,Compartments_Added!B:B))="Stock","OK stock","OK flow"),IF(_xlfn.XLOOKUP(L233,'Compartments_Kawecki&amp;Nowack19'!A:A,'Compartments_Kawecki&amp;Nowack19'!B:B,_xlfn.XLOOKUP(L233,Compartments_Added!A:A,Compartments_Added!B:B))="Sink","OK, Sink","Missing"))</f>
        <v>OK stock</v>
      </c>
      <c r="N233" s="7"/>
      <c r="R233" t="str">
        <f t="shared" si="7"/>
        <v>OK</v>
      </c>
    </row>
    <row r="234" spans="10:18">
      <c r="J234" s="16" t="str">
        <v>Underwear</v>
      </c>
      <c r="K234" s="311" t="str">
        <f>IF(ISBLANK(J234),"",IF(COUNTIF(L:L,J234),IF(_xlfn.XLOOKUP(J234,'Compartments_Kawecki&amp;Nowack19'!A:A,'Compartments_Kawecki&amp;Nowack19'!B:B,_xlfn.XLOOKUP(J234,Compartments_Added!A:A,Compartments_Added!B:B))="Stock","OK stock","OK flow"),IF(COUNTIF($G$4:$G$18,J234),IF(COUNTIF($E$4:$E$18,J234),"OK input","Missing"),"Missing")))</f>
        <v>OK stock</v>
      </c>
      <c r="L234" t="str">
        <v>Closed-toed shoes</v>
      </c>
      <c r="M234" s="311" t="str">
        <f>IF(COUNTIF(J:J,L234),IF(_xlfn.XLOOKUP(L234,'Compartments_Kawecki&amp;Nowack19'!A:A,'Compartments_Kawecki&amp;Nowack19'!B:B,_xlfn.XLOOKUP(L234,Compartments_Added!A:A,Compartments_Added!B:B))="Stock","OK stock","OK flow"),IF(_xlfn.XLOOKUP(L234,'Compartments_Kawecki&amp;Nowack19'!A:A,'Compartments_Kawecki&amp;Nowack19'!B:B,_xlfn.XLOOKUP(L234,Compartments_Added!A:A,Compartments_Added!B:B))="Sink","OK, Sink","Missing"))</f>
        <v>OK stock</v>
      </c>
      <c r="N234" s="7"/>
      <c r="R234" t="str">
        <f t="shared" si="7"/>
        <v>OK</v>
      </c>
    </row>
    <row r="235" spans="10:18">
      <c r="J235" s="16" t="str">
        <v>Clothing washing</v>
      </c>
      <c r="K235" s="311" t="str">
        <f>IF(ISBLANK(J235),"",IF(COUNTIF(L:L,J235),IF(_xlfn.XLOOKUP(J235,'Compartments_Kawecki&amp;Nowack19'!A:A,'Compartments_Kawecki&amp;Nowack19'!B:B,_xlfn.XLOOKUP(J235,Compartments_Added!A:A,Compartments_Added!B:B))="Stock","OK stock","OK flow"),IF(COUNTIF($G$4:$G$18,J235),IF(COUNTIF($E$4:$E$18,J235),"OK input","Missing"),"Missing")))</f>
        <v>OK flow</v>
      </c>
      <c r="L235" t="str">
        <v>Dresses skirts and jumpsuits</v>
      </c>
      <c r="M235" s="311" t="str">
        <f>IF(COUNTIF(J:J,L235),IF(_xlfn.XLOOKUP(L235,'Compartments_Kawecki&amp;Nowack19'!A:A,'Compartments_Kawecki&amp;Nowack19'!B:B,_xlfn.XLOOKUP(L235,Compartments_Added!A:A,Compartments_Added!B:B))="Stock","OK stock","OK flow"),IF(_xlfn.XLOOKUP(L235,'Compartments_Kawecki&amp;Nowack19'!A:A,'Compartments_Kawecki&amp;Nowack19'!B:B,_xlfn.XLOOKUP(L235,Compartments_Added!A:A,Compartments_Added!B:B))="Sink","OK, Sink","Missing"))</f>
        <v>OK stock</v>
      </c>
      <c r="N235" s="7"/>
      <c r="R235" t="str">
        <f t="shared" si="7"/>
        <v>OK</v>
      </c>
    </row>
    <row r="236" spans="10:18">
      <c r="J236" s="16" t="str">
        <v>Clothing washing machine (with external filter)</v>
      </c>
      <c r="K236" s="311" t="str">
        <f>IF(ISBLANK(J236),"",IF(COUNTIF(L:L,J236),IF(_xlfn.XLOOKUP(J236,'Compartments_Kawecki&amp;Nowack19'!A:A,'Compartments_Kawecki&amp;Nowack19'!B:B,_xlfn.XLOOKUP(J236,Compartments_Added!A:A,Compartments_Added!B:B))="Stock","OK stock","OK flow"),IF(COUNTIF($G$4:$G$18,J236),IF(COUNTIF($E$4:$E$18,J236),"OK input","Missing"),"Missing")))</f>
        <v>OK flow</v>
      </c>
      <c r="L236" t="str">
        <v>Jackets and coats</v>
      </c>
      <c r="M236" s="311" t="str">
        <f>IF(COUNTIF(J:J,L236),IF(_xlfn.XLOOKUP(L236,'Compartments_Kawecki&amp;Nowack19'!A:A,'Compartments_Kawecki&amp;Nowack19'!B:B,_xlfn.XLOOKUP(L236,Compartments_Added!A:A,Compartments_Added!B:B))="Stock","OK stock","OK flow"),IF(_xlfn.XLOOKUP(L236,'Compartments_Kawecki&amp;Nowack19'!A:A,'Compartments_Kawecki&amp;Nowack19'!B:B,_xlfn.XLOOKUP(L236,Compartments_Added!A:A,Compartments_Added!B:B))="Sink","OK, Sink","Missing"))</f>
        <v>OK stock</v>
      </c>
    </row>
    <row r="237" spans="10:18">
      <c r="J237" s="16" t="str">
        <v>Clothing washing machine (without external filter)</v>
      </c>
      <c r="K237" s="311" t="str">
        <f>IF(ISBLANK(J237),"",IF(COUNTIF(L:L,J237),IF(_xlfn.XLOOKUP(J237,'Compartments_Kawecki&amp;Nowack19'!A:A,'Compartments_Kawecki&amp;Nowack19'!B:B,_xlfn.XLOOKUP(J237,Compartments_Added!A:A,Compartments_Added!B:B))="Stock","OK stock","OK flow"),IF(COUNTIF($G$4:$G$18,J237),IF(COUNTIF($E$4:$E$18,J237),"OK input","Missing"),"Missing")))</f>
        <v>OK flow</v>
      </c>
      <c r="L237" t="str">
        <v>Leggings stockings tights and socks</v>
      </c>
      <c r="M237" s="311" t="str">
        <f>IF(COUNTIF(J:J,L237),IF(_xlfn.XLOOKUP(L237,'Compartments_Kawecki&amp;Nowack19'!A:A,'Compartments_Kawecki&amp;Nowack19'!B:B,_xlfn.XLOOKUP(L237,Compartments_Added!A:A,Compartments_Added!B:B))="Stock","OK stock","OK flow"),IF(_xlfn.XLOOKUP(L237,'Compartments_Kawecki&amp;Nowack19'!A:A,'Compartments_Kawecki&amp;Nowack19'!B:B,_xlfn.XLOOKUP(L237,Compartments_Added!A:A,Compartments_Added!B:B))="Sink","OK, Sink","Missing"))</f>
        <v>OK stock</v>
      </c>
    </row>
    <row r="238" spans="10:18">
      <c r="J238" s="16" t="str">
        <v>Clothing washing by hand</v>
      </c>
      <c r="K238" s="311" t="str">
        <f>IF(ISBLANK(J238),"",IF(COUNTIF(L:L,J238),IF(_xlfn.XLOOKUP(J238,'Compartments_Kawecki&amp;Nowack19'!A:A,'Compartments_Kawecki&amp;Nowack19'!B:B,_xlfn.XLOOKUP(J238,Compartments_Added!A:A,Compartments_Added!B:B))="Stock","OK stock","OK flow"),IF(COUNTIF($G$4:$G$18,J238),IF(COUNTIF($E$4:$E$18,J238),"OK input","Missing"),"Missing")))</f>
        <v>OK flow</v>
      </c>
      <c r="L238" t="str">
        <v>Open-toed shoes</v>
      </c>
      <c r="M238" s="311" t="str">
        <f>IF(COUNTIF(J:J,L238),IF(_xlfn.XLOOKUP(L238,'Compartments_Kawecki&amp;Nowack19'!A:A,'Compartments_Kawecki&amp;Nowack19'!B:B,_xlfn.XLOOKUP(L238,Compartments_Added!A:A,Compartments_Added!B:B))="Stock","OK stock","OK flow"),IF(_xlfn.XLOOKUP(L238,'Compartments_Kawecki&amp;Nowack19'!A:A,'Compartments_Kawecki&amp;Nowack19'!B:B,_xlfn.XLOOKUP(L238,Compartments_Added!A:A,Compartments_Added!B:B))="Sink","OK, Sink","Missing"))</f>
        <v>OK stock</v>
      </c>
    </row>
    <row r="239" spans="10:18">
      <c r="J239" s="16" t="str">
        <v>Clothing wearing</v>
      </c>
      <c r="K239" s="311" t="str">
        <f>IF(ISBLANK(J239),"",IF(COUNTIF(L:L,J239),IF(_xlfn.XLOOKUP(J239,'Compartments_Kawecki&amp;Nowack19'!A:A,'Compartments_Kawecki&amp;Nowack19'!B:B,_xlfn.XLOOKUP(J239,Compartments_Added!A:A,Compartments_Added!B:B))="Stock","OK stock","OK flow"),IF(COUNTIF($G$4:$G$18,J239),IF(COUNTIF($E$4:$E$18,J239),"OK input","Missing"),"Missing")))</f>
        <v>OK flow</v>
      </c>
      <c r="L239" t="str">
        <v>Pants and shorts</v>
      </c>
      <c r="M239" s="311" t="str">
        <f>IF(COUNTIF(J:J,L239),IF(_xlfn.XLOOKUP(L239,'Compartments_Kawecki&amp;Nowack19'!A:A,'Compartments_Kawecki&amp;Nowack19'!B:B,_xlfn.XLOOKUP(L239,Compartments_Added!A:A,Compartments_Added!B:B))="Stock","OK stock","OK flow"),IF(_xlfn.XLOOKUP(L239,'Compartments_Kawecki&amp;Nowack19'!A:A,'Compartments_Kawecki&amp;Nowack19'!B:B,_xlfn.XLOOKUP(L239,Compartments_Added!A:A,Compartments_Added!B:B))="Sink","OK, Sink","Missing"))</f>
        <v>OK stock</v>
      </c>
    </row>
    <row r="240" spans="10:18">
      <c r="J240" s="16" t="str">
        <v>Clothing drying</v>
      </c>
      <c r="K240" s="311" t="str">
        <f>IF(ISBLANK(J240),"",IF(COUNTIF(L:L,J240),IF(_xlfn.XLOOKUP(J240,'Compartments_Kawecki&amp;Nowack19'!A:A,'Compartments_Kawecki&amp;Nowack19'!B:B,_xlfn.XLOOKUP(J240,Compartments_Added!A:A,Compartments_Added!B:B))="Stock","OK stock","OK flow"),IF(COUNTIF($G$4:$G$18,J240),IF(COUNTIF($E$4:$E$18,J240),"OK input","Missing"),"Missing")))</f>
        <v>OK flow</v>
      </c>
      <c r="L240" t="str">
        <v>Shirts and blouses</v>
      </c>
      <c r="M240" s="311" t="str">
        <f>IF(COUNTIF(J:J,L240),IF(_xlfn.XLOOKUP(L240,'Compartments_Kawecki&amp;Nowack19'!A:A,'Compartments_Kawecki&amp;Nowack19'!B:B,_xlfn.XLOOKUP(L240,Compartments_Added!A:A,Compartments_Added!B:B))="Stock","OK stock","OK flow"),IF(_xlfn.XLOOKUP(L240,'Compartments_Kawecki&amp;Nowack19'!A:A,'Compartments_Kawecki&amp;Nowack19'!B:B,_xlfn.XLOOKUP(L240,Compartments_Added!A:A,Compartments_Added!B:B))="Sink","OK, Sink","Missing"))</f>
        <v>OK stock</v>
      </c>
    </row>
    <row r="241" spans="10:13">
      <c r="J241" s="16" t="str">
        <v>Clothing indoor drying</v>
      </c>
      <c r="K241" s="311" t="str">
        <f>IF(ISBLANK(J241),"",IF(COUNTIF(L:L,J241),IF(_xlfn.XLOOKUP(J241,'Compartments_Kawecki&amp;Nowack19'!A:A,'Compartments_Kawecki&amp;Nowack19'!B:B,_xlfn.XLOOKUP(J241,Compartments_Added!A:A,Compartments_Added!B:B))="Stock","OK stock","OK flow"),IF(COUNTIF($G$4:$G$18,J241),IF(COUNTIF($E$4:$E$18,J241),"OK input","Missing"),"Missing")))</f>
        <v>OK flow</v>
      </c>
      <c r="L241" t="str">
        <v>Sweaters and midlayers</v>
      </c>
      <c r="M241" s="311" t="str">
        <f>IF(COUNTIF(J:J,L241),IF(_xlfn.XLOOKUP(L241,'Compartments_Kawecki&amp;Nowack19'!A:A,'Compartments_Kawecki&amp;Nowack19'!B:B,_xlfn.XLOOKUP(L241,Compartments_Added!A:A,Compartments_Added!B:B))="Stock","OK stock","OK flow"),IF(_xlfn.XLOOKUP(L241,'Compartments_Kawecki&amp;Nowack19'!A:A,'Compartments_Kawecki&amp;Nowack19'!B:B,_xlfn.XLOOKUP(L241,Compartments_Added!A:A,Compartments_Added!B:B))="Sink","OK, Sink","Missing"))</f>
        <v>OK stock</v>
      </c>
    </row>
    <row r="242" spans="10:13">
      <c r="J242" s="16" t="str">
        <v>Clothing outdoor drying</v>
      </c>
      <c r="K242" s="311" t="str">
        <f>IF(ISBLANK(J242),"",IF(COUNTIF(L:L,J242),IF(_xlfn.XLOOKUP(J242,'Compartments_Kawecki&amp;Nowack19'!A:A,'Compartments_Kawecki&amp;Nowack19'!B:B,_xlfn.XLOOKUP(J242,Compartments_Added!A:A,Compartments_Added!B:B))="Stock","OK stock","OK flow"),IF(COUNTIF($G$4:$G$18,J242),IF(COUNTIF($E$4:$E$18,J242),"OK input","Missing"),"Missing")))</f>
        <v>OK flow</v>
      </c>
      <c r="L242" t="str">
        <v>Swimwear</v>
      </c>
      <c r="M242" s="311" t="str">
        <f>IF(COUNTIF(J:J,L242),IF(_xlfn.XLOOKUP(L242,'Compartments_Kawecki&amp;Nowack19'!A:A,'Compartments_Kawecki&amp;Nowack19'!B:B,_xlfn.XLOOKUP(L242,Compartments_Added!A:A,Compartments_Added!B:B))="Stock","OK stock","OK flow"),IF(_xlfn.XLOOKUP(L242,'Compartments_Kawecki&amp;Nowack19'!A:A,'Compartments_Kawecki&amp;Nowack19'!B:B,_xlfn.XLOOKUP(L242,Compartments_Added!A:A,Compartments_Added!B:B))="Sink","OK, Sink","Missing"))</f>
        <v>OK stock</v>
      </c>
    </row>
    <row r="243" spans="10:13">
      <c r="J243" s="16" t="str">
        <v>Clothing drying VTD</v>
      </c>
      <c r="K243" s="311" t="str">
        <f>IF(ISBLANK(J243),"",IF(COUNTIF(L:L,J243),IF(_xlfn.XLOOKUP(J243,'Compartments_Kawecki&amp;Nowack19'!A:A,'Compartments_Kawecki&amp;Nowack19'!B:B,_xlfn.XLOOKUP(J243,Compartments_Added!A:A,Compartments_Added!B:B))="Stock","OK stock","OK flow"),IF(COUNTIF($G$4:$G$18,J243),IF(COUNTIF($E$4:$E$18,J243),"OK input","Missing"),"Missing")))</f>
        <v>OK flow</v>
      </c>
      <c r="L243" t="str">
        <v>T-shirts</v>
      </c>
      <c r="M243" s="311" t="str">
        <f>IF(COUNTIF(J:J,L243),IF(_xlfn.XLOOKUP(L243,'Compartments_Kawecki&amp;Nowack19'!A:A,'Compartments_Kawecki&amp;Nowack19'!B:B,_xlfn.XLOOKUP(L243,Compartments_Added!A:A,Compartments_Added!B:B))="Stock","OK stock","OK flow"),IF(_xlfn.XLOOKUP(L243,'Compartments_Kawecki&amp;Nowack19'!A:A,'Compartments_Kawecki&amp;Nowack19'!B:B,_xlfn.XLOOKUP(L243,Compartments_Added!A:A,Compartments_Added!B:B))="Sink","OK, Sink","Missing"))</f>
        <v>OK stock</v>
      </c>
    </row>
    <row r="244" spans="10:13">
      <c r="J244" s="16" t="str">
        <v>Clothing drying CHPTD</v>
      </c>
      <c r="K244" s="311" t="str">
        <f>IF(ISBLANK(J244),"",IF(COUNTIF(L:L,J244),IF(_xlfn.XLOOKUP(J244,'Compartments_Kawecki&amp;Nowack19'!A:A,'Compartments_Kawecki&amp;Nowack19'!B:B,_xlfn.XLOOKUP(J244,Compartments_Added!A:A,Compartments_Added!B:B))="Stock","OK stock","OK flow"),IF(COUNTIF($G$4:$G$18,J244),IF(COUNTIF($E$4:$E$18,J244),"OK input","Missing"),"Missing")))</f>
        <v>OK flow</v>
      </c>
      <c r="L244" t="str">
        <v>Underwear</v>
      </c>
      <c r="M244" s="311" t="str">
        <f>IF(COUNTIF(J:J,L244),IF(_xlfn.XLOOKUP(L244,'Compartments_Kawecki&amp;Nowack19'!A:A,'Compartments_Kawecki&amp;Nowack19'!B:B,_xlfn.XLOOKUP(L244,Compartments_Added!A:A,Compartments_Added!B:B))="Stock","OK stock","OK flow"),IF(_xlfn.XLOOKUP(L244,'Compartments_Kawecki&amp;Nowack19'!A:A,'Compartments_Kawecki&amp;Nowack19'!B:B,_xlfn.XLOOKUP(L244,Compartments_Added!A:A,Compartments_Added!B:B))="Sink","OK, Sink","Missing"))</f>
        <v>OK stock</v>
      </c>
    </row>
    <row r="245" spans="10:13">
      <c r="J245" s="16" t="str">
        <v>Clothing drying CHETD</v>
      </c>
      <c r="K245" s="311" t="str">
        <f>IF(ISBLANK(J245),"",IF(COUNTIF(L:L,J245),IF(_xlfn.XLOOKUP(J245,'Compartments_Kawecki&amp;Nowack19'!A:A,'Compartments_Kawecki&amp;Nowack19'!B:B,_xlfn.XLOOKUP(J245,Compartments_Added!A:A,Compartments_Added!B:B))="Stock","OK stock","OK flow"),IF(COUNTIF($G$4:$G$18,J245),IF(COUNTIF($E$4:$E$18,J245),"OK input","Missing"),"Missing")))</f>
        <v>OK flow</v>
      </c>
      <c r="L245" t="str">
        <v>Clothing wearing</v>
      </c>
      <c r="M245" s="311" t="str">
        <f>IF(COUNTIF(J:J,L245),IF(_xlfn.XLOOKUP(L245,'Compartments_Kawecki&amp;Nowack19'!A:A,'Compartments_Kawecki&amp;Nowack19'!B:B,_xlfn.XLOOKUP(L245,Compartments_Added!A:A,Compartments_Added!B:B))="Stock","OK stock","OK flow"),IF(_xlfn.XLOOKUP(L245,'Compartments_Kawecki&amp;Nowack19'!A:A,'Compartments_Kawecki&amp;Nowack19'!B:B,_xlfn.XLOOKUP(L245,Compartments_Added!A:A,Compartments_Added!B:B))="Sink","OK, Sink","Missing"))</f>
        <v>OK flow</v>
      </c>
    </row>
    <row r="246" spans="10:13">
      <c r="J246" s="16" t="str">
        <v>Clothing washer-dryer combo</v>
      </c>
      <c r="K246" s="311" t="str">
        <f>IF(ISBLANK(J246),"",IF(COUNTIF(L:L,J246),IF(_xlfn.XLOOKUP(J246,'Compartments_Kawecki&amp;Nowack19'!A:A,'Compartments_Kawecki&amp;Nowack19'!B:B,_xlfn.XLOOKUP(J246,Compartments_Added!A:A,Compartments_Added!B:B))="Stock","OK stock","OK flow"),IF(COUNTIF($G$4:$G$18,J246),IF(COUNTIF($E$4:$E$18,J246),"OK input","Missing"),"Missing")))</f>
        <v>OK flow</v>
      </c>
      <c r="L246" t="str">
        <v>Clothing washing</v>
      </c>
      <c r="M246" s="311" t="str">
        <f>IF(COUNTIF(J:J,L246),IF(_xlfn.XLOOKUP(L246,'Compartments_Kawecki&amp;Nowack19'!A:A,'Compartments_Kawecki&amp;Nowack19'!B:B,_xlfn.XLOOKUP(L246,Compartments_Added!A:A,Compartments_Added!B:B))="Stock","OK stock","OK flow"),IF(_xlfn.XLOOKUP(L246,'Compartments_Kawecki&amp;Nowack19'!A:A,'Compartments_Kawecki&amp;Nowack19'!B:B,_xlfn.XLOOKUP(L246,Compartments_Added!A:A,Compartments_Added!B:B))="Sink","OK, Sink","Missing"))</f>
        <v>OK flow</v>
      </c>
    </row>
    <row r="247" spans="10:13">
      <c r="J247" s="16" t="str">
        <v>Lint filter (VTD)</v>
      </c>
      <c r="K247" s="311" t="str">
        <f>IF(ISBLANK(J247),"",IF(COUNTIF(L:L,J247),IF(_xlfn.XLOOKUP(J247,'Compartments_Kawecki&amp;Nowack19'!A:A,'Compartments_Kawecki&amp;Nowack19'!B:B,_xlfn.XLOOKUP(J247,Compartments_Added!A:A,Compartments_Added!B:B))="Stock","OK stock","OK flow"),IF(COUNTIF($G$4:$G$18,J247),IF(COUNTIF($E$4:$E$18,J247),"OK input","Missing"),"Missing")))</f>
        <v>OK flow</v>
      </c>
      <c r="L247" t="str">
        <v>Clothing drying</v>
      </c>
      <c r="M247" s="311" t="str">
        <f>IF(COUNTIF(J:J,L247),IF(_xlfn.XLOOKUP(L247,'Compartments_Kawecki&amp;Nowack19'!A:A,'Compartments_Kawecki&amp;Nowack19'!B:B,_xlfn.XLOOKUP(L247,Compartments_Added!A:A,Compartments_Added!B:B))="Stock","OK stock","OK flow"),IF(_xlfn.XLOOKUP(L247,'Compartments_Kawecki&amp;Nowack19'!A:A,'Compartments_Kawecki&amp;Nowack19'!B:B,_xlfn.XLOOKUP(L247,Compartments_Added!A:A,Compartments_Added!B:B))="Sink","OK, Sink","Missing"))</f>
        <v>OK flow</v>
      </c>
    </row>
    <row r="248" spans="10:13">
      <c r="J248" s="16" t="str">
        <v>Lint filter (CHPTD)</v>
      </c>
      <c r="K248" s="311" t="str">
        <f>IF(ISBLANK(J248),"",IF(COUNTIF(L:L,J248),IF(_xlfn.XLOOKUP(J248,'Compartments_Kawecki&amp;Nowack19'!A:A,'Compartments_Kawecki&amp;Nowack19'!B:B,_xlfn.XLOOKUP(J248,Compartments_Added!A:A,Compartments_Added!B:B))="Stock","OK stock","OK flow"),IF(COUNTIF($G$4:$G$18,J248),IF(COUNTIF($E$4:$E$18,J248),"OK input","Missing"),"Missing")))</f>
        <v>OK flow</v>
      </c>
      <c r="L248" t="str">
        <v>Clothing washing machine (with external filter)</v>
      </c>
      <c r="M248" s="311" t="str">
        <f>IF(COUNTIF(J:J,L248),IF(_xlfn.XLOOKUP(L248,'Compartments_Kawecki&amp;Nowack19'!A:A,'Compartments_Kawecki&amp;Nowack19'!B:B,_xlfn.XLOOKUP(L248,Compartments_Added!A:A,Compartments_Added!B:B))="Stock","OK stock","OK flow"),IF(_xlfn.XLOOKUP(L248,'Compartments_Kawecki&amp;Nowack19'!A:A,'Compartments_Kawecki&amp;Nowack19'!B:B,_xlfn.XLOOKUP(L248,Compartments_Added!A:A,Compartments_Added!B:B))="Sink","OK, Sink","Missing"))</f>
        <v>OK flow</v>
      </c>
    </row>
    <row r="249" spans="10:13">
      <c r="J249" s="16" t="str">
        <v>Lint filter (CHETD)</v>
      </c>
      <c r="K249" s="311" t="str">
        <f>IF(ISBLANK(J249),"",IF(COUNTIF(L:L,J249),IF(_xlfn.XLOOKUP(J249,'Compartments_Kawecki&amp;Nowack19'!A:A,'Compartments_Kawecki&amp;Nowack19'!B:B,_xlfn.XLOOKUP(J249,Compartments_Added!A:A,Compartments_Added!B:B))="Stock","OK stock","OK flow"),IF(COUNTIF($G$4:$G$18,J249),IF(COUNTIF($E$4:$E$18,J249),"OK input","Missing"),"Missing")))</f>
        <v>OK flow</v>
      </c>
      <c r="L249" t="str">
        <v>Clothing washing machine (without external filter)</v>
      </c>
      <c r="M249" s="311" t="str">
        <f>IF(COUNTIF(J:J,L249),IF(_xlfn.XLOOKUP(L249,'Compartments_Kawecki&amp;Nowack19'!A:A,'Compartments_Kawecki&amp;Nowack19'!B:B,_xlfn.XLOOKUP(L249,Compartments_Added!A:A,Compartments_Added!B:B))="Stock","OK stock","OK flow"),IF(_xlfn.XLOOKUP(L249,'Compartments_Kawecki&amp;Nowack19'!A:A,'Compartments_Kawecki&amp;Nowack19'!B:B,_xlfn.XLOOKUP(L249,Compartments_Added!A:A,Compartments_Added!B:B))="Sink","OK, Sink","Missing"))</f>
        <v>OK flow</v>
      </c>
    </row>
    <row r="250" spans="10:13">
      <c r="J250" s="16" t="str">
        <v>Clean lint filter by hand</v>
      </c>
      <c r="K250" s="311" t="str">
        <f>IF(ISBLANK(J250),"",IF(COUNTIF(L:L,J250),IF(_xlfn.XLOOKUP(J250,'Compartments_Kawecki&amp;Nowack19'!A:A,'Compartments_Kawecki&amp;Nowack19'!B:B,_xlfn.XLOOKUP(J250,Compartments_Added!A:A,Compartments_Added!B:B))="Stock","OK stock","OK flow"),IF(COUNTIF($G$4:$G$18,J250),IF(COUNTIF($E$4:$E$18,J250),"OK input","Missing"),"Missing")))</f>
        <v>OK flow</v>
      </c>
      <c r="L250" t="str">
        <v>Clothing washing by hand</v>
      </c>
      <c r="M250" s="311" t="str">
        <f>IF(COUNTIF(J:J,L250),IF(_xlfn.XLOOKUP(L250,'Compartments_Kawecki&amp;Nowack19'!A:A,'Compartments_Kawecki&amp;Nowack19'!B:B,_xlfn.XLOOKUP(L250,Compartments_Added!A:A,Compartments_Added!B:B))="Stock","OK stock","OK flow"),IF(_xlfn.XLOOKUP(L250,'Compartments_Kawecki&amp;Nowack19'!A:A,'Compartments_Kawecki&amp;Nowack19'!B:B,_xlfn.XLOOKUP(L250,Compartments_Added!A:A,Compartments_Added!B:B))="Sink","OK, Sink","Missing"))</f>
        <v>OK flow</v>
      </c>
    </row>
    <row r="251" spans="10:13">
      <c r="J251" s="16" t="str">
        <v>Clean lint filter under running water</v>
      </c>
      <c r="K251" s="311" t="str">
        <f>IF(ISBLANK(J251),"",IF(COUNTIF(L:L,J251),IF(_xlfn.XLOOKUP(J251,'Compartments_Kawecki&amp;Nowack19'!A:A,'Compartments_Kawecki&amp;Nowack19'!B:B,_xlfn.XLOOKUP(J251,Compartments_Added!A:A,Compartments_Added!B:B))="Stock","OK stock","OK flow"),IF(COUNTIF($G$4:$G$18,J251),IF(COUNTIF($E$4:$E$18,J251),"OK input","Missing"),"Missing")))</f>
        <v>OK flow</v>
      </c>
      <c r="L251" t="str">
        <v>Clothing indoor drying</v>
      </c>
      <c r="M251" s="311" t="str">
        <f>IF(COUNTIF(J:J,L251),IF(_xlfn.XLOOKUP(L251,'Compartments_Kawecki&amp;Nowack19'!A:A,'Compartments_Kawecki&amp;Nowack19'!B:B,_xlfn.XLOOKUP(L251,Compartments_Added!A:A,Compartments_Added!B:B))="Stock","OK stock","OK flow"),IF(_xlfn.XLOOKUP(L251,'Compartments_Kawecki&amp;Nowack19'!A:A,'Compartments_Kawecki&amp;Nowack19'!B:B,_xlfn.XLOOKUP(L251,Compartments_Added!A:A,Compartments_Added!B:B))="Sink","OK, Sink","Missing"))</f>
        <v>OK flow</v>
      </c>
    </row>
    <row r="252" spans="10:13">
      <c r="J252" s="16" t="str">
        <v>Import of clothing (Global)</v>
      </c>
      <c r="K252" s="311" t="str">
        <f>IF(ISBLANK(J252),"",IF(COUNTIF(L:L,J252),IF(_xlfn.XLOOKUP(J252,'Compartments_Kawecki&amp;Nowack19'!A:A,'Compartments_Kawecki&amp;Nowack19'!B:B,_xlfn.XLOOKUP(J252,Compartments_Added!A:A,Compartments_Added!B:B))="Stock","OK stock","OK flow"),IF(COUNTIF($G$4:$G$18,J252),IF(COUNTIF($E$4:$E$18,J252),"OK input","Missing"),"Missing")))</f>
        <v>OK input</v>
      </c>
      <c r="L252" t="str">
        <v>Clothing outdoor drying</v>
      </c>
      <c r="M252" s="311" t="str">
        <f>IF(COUNTIF(J:J,L252),IF(_xlfn.XLOOKUP(L252,'Compartments_Kawecki&amp;Nowack19'!A:A,'Compartments_Kawecki&amp;Nowack19'!B:B,_xlfn.XLOOKUP(L252,Compartments_Added!A:A,Compartments_Added!B:B))="Stock","OK stock","OK flow"),IF(_xlfn.XLOOKUP(L252,'Compartments_Kawecki&amp;Nowack19'!A:A,'Compartments_Kawecki&amp;Nowack19'!B:B,_xlfn.XLOOKUP(L252,Compartments_Added!A:A,Compartments_Added!B:B))="Sink","OK, Sink","Missing"))</f>
        <v>OK flow</v>
      </c>
    </row>
    <row r="253" spans="10:13">
      <c r="J253" s="16" t="str">
        <v>Manufacturing of clothing</v>
      </c>
      <c r="K253" s="311" t="str">
        <f>IF(ISBLANK(J253),"",IF(COUNTIF(L:L,J253),IF(_xlfn.XLOOKUP(J253,'Compartments_Kawecki&amp;Nowack19'!A:A,'Compartments_Kawecki&amp;Nowack19'!B:B,_xlfn.XLOOKUP(J253,Compartments_Added!A:A,Compartments_Added!B:B))="Stock","OK stock","OK flow"),IF(COUNTIF($G$4:$G$18,J253),IF(COUNTIF($E$4:$E$18,J253),"OK input","Missing"),"Missing")))</f>
        <v>OK flow</v>
      </c>
      <c r="L253" t="str">
        <v>Clothing drying VTD</v>
      </c>
      <c r="M253" s="311" t="str">
        <f>IF(COUNTIF(J:J,L253),IF(_xlfn.XLOOKUP(L253,'Compartments_Kawecki&amp;Nowack19'!A:A,'Compartments_Kawecki&amp;Nowack19'!B:B,_xlfn.XLOOKUP(L253,Compartments_Added!A:A,Compartments_Added!B:B))="Stock","OK stock","OK flow"),IF(_xlfn.XLOOKUP(L253,'Compartments_Kawecki&amp;Nowack19'!A:A,'Compartments_Kawecki&amp;Nowack19'!B:B,_xlfn.XLOOKUP(L253,Compartments_Added!A:A,Compartments_Added!B:B))="Sink","OK, Sink","Missing"))</f>
        <v>OK flow</v>
      </c>
    </row>
    <row r="254" spans="10:13">
      <c r="J254" s="16" t="str">
        <v>Import of plastic sheets</v>
      </c>
      <c r="K254" s="311" t="str">
        <f>IF(ISBLANK(J254),"",IF(COUNTIF(L:L,J254),IF(_xlfn.XLOOKUP(J254,'Compartments_Kawecki&amp;Nowack19'!A:A,'Compartments_Kawecki&amp;Nowack19'!B:B,_xlfn.XLOOKUP(J254,Compartments_Added!A:A,Compartments_Added!B:B))="Stock","OK stock","OK flow"),IF(COUNTIF($G$4:$G$18,J254),IF(COUNTIF($E$4:$E$18,J254),"OK input","Missing"),"Missing")))</f>
        <v>Missing</v>
      </c>
      <c r="L254" t="str">
        <v>Clothing drying CHPTD</v>
      </c>
      <c r="M254" s="311" t="str">
        <f>IF(COUNTIF(J:J,L254),IF(_xlfn.XLOOKUP(L254,'Compartments_Kawecki&amp;Nowack19'!A:A,'Compartments_Kawecki&amp;Nowack19'!B:B,_xlfn.XLOOKUP(L254,Compartments_Added!A:A,Compartments_Added!B:B))="Stock","OK stock","OK flow"),IF(_xlfn.XLOOKUP(L254,'Compartments_Kawecki&amp;Nowack19'!A:A,'Compartments_Kawecki&amp;Nowack19'!B:B,_xlfn.XLOOKUP(L254,Compartments_Added!A:A,Compartments_Added!B:B))="Sink","OK, Sink","Missing"))</f>
        <v>OK flow</v>
      </c>
    </row>
    <row r="255" spans="10:13">
      <c r="J255" s="16" t="str">
        <v>Import of yarn</v>
      </c>
      <c r="K255" s="311" t="str">
        <f>IF(ISBLANK(J255),"",IF(COUNTIF(L:L,J255),IF(_xlfn.XLOOKUP(J255,'Compartments_Kawecki&amp;Nowack19'!A:A,'Compartments_Kawecki&amp;Nowack19'!B:B,_xlfn.XLOOKUP(J255,Compartments_Added!A:A,Compartments_Added!B:B))="Stock","OK stock","OK flow"),IF(COUNTIF($G$4:$G$18,J255),IF(COUNTIF($E$4:$E$18,J255),"OK input","Missing"),"Missing")))</f>
        <v>Missing</v>
      </c>
      <c r="L255" t="str">
        <v>Clothing drying CHETD</v>
      </c>
      <c r="M255" s="311" t="str">
        <f>IF(COUNTIF(J:J,L255),IF(_xlfn.XLOOKUP(L255,'Compartments_Kawecki&amp;Nowack19'!A:A,'Compartments_Kawecki&amp;Nowack19'!B:B,_xlfn.XLOOKUP(L255,Compartments_Added!A:A,Compartments_Added!B:B))="Stock","OK stock","OK flow"),IF(_xlfn.XLOOKUP(L255,'Compartments_Kawecki&amp;Nowack19'!A:A,'Compartments_Kawecki&amp;Nowack19'!B:B,_xlfn.XLOOKUP(L255,Compartments_Added!A:A,Compartments_Added!B:B))="Sink","OK, Sink","Missing"))</f>
        <v>OK flow</v>
      </c>
    </row>
    <row r="256" spans="10:13">
      <c r="J256" s="16">
        <v>0</v>
      </c>
      <c r="K256" s="311" t="e">
        <f>IF(ISBLANK(J256),"",IF(COUNTIF(L:L,J256),IF(_xlfn.XLOOKUP(J256,'Compartments_Kawecki&amp;Nowack19'!A:A,'Compartments_Kawecki&amp;Nowack19'!B:B,_xlfn.XLOOKUP(J256,Compartments_Added!A:A,Compartments_Added!B:B))="Stock","OK stock","OK flow"),IF(COUNTIF($G$4:$G$18,J256),IF(COUNTIF($E$4:$E$18,J256),"OK input","Missing"),"Missing")))</f>
        <v>#N/A</v>
      </c>
      <c r="L256" t="str">
        <v>Clothing washer-dryer combo</v>
      </c>
      <c r="M256" s="311" t="str">
        <f>IF(COUNTIF(J:J,L256),IF(_xlfn.XLOOKUP(L256,'Compartments_Kawecki&amp;Nowack19'!A:A,'Compartments_Kawecki&amp;Nowack19'!B:B,_xlfn.XLOOKUP(L256,Compartments_Added!A:A,Compartments_Added!B:B))="Stock","OK stock","OK flow"),IF(_xlfn.XLOOKUP(L256,'Compartments_Kawecki&amp;Nowack19'!A:A,'Compartments_Kawecki&amp;Nowack19'!B:B,_xlfn.XLOOKUP(L256,Compartments_Added!A:A,Compartments_Added!B:B))="Sink","OK, Sink","Missing"))</f>
        <v>OK flow</v>
      </c>
    </row>
    <row r="257" spans="11:13">
      <c r="K257" s="311" t="str">
        <f>IF(ISBLANK(J257),"",IF(COUNTIF(L:L,J257),IF(_xlfn.XLOOKUP(J257,'Compartments_Kawecki&amp;Nowack19'!A:A,'Compartments_Kawecki&amp;Nowack19'!B:B,_xlfn.XLOOKUP(J257,Compartments_Added!A:A,Compartments_Added!B:B))="Stock","OK stock","OK flow"),IF(COUNTIF($G$4:$G$18,J257),IF(COUNTIF($E$4:$E$18,J257),"OK input","Missing"),"Missing")))</f>
        <v/>
      </c>
      <c r="L257" t="str">
        <v>Lint filter (VTD)</v>
      </c>
      <c r="M257" s="311" t="str">
        <f>IF(COUNTIF(J:J,L257),IF(_xlfn.XLOOKUP(L257,'Compartments_Kawecki&amp;Nowack19'!A:A,'Compartments_Kawecki&amp;Nowack19'!B:B,_xlfn.XLOOKUP(L257,Compartments_Added!A:A,Compartments_Added!B:B))="Stock","OK stock","OK flow"),IF(_xlfn.XLOOKUP(L257,'Compartments_Kawecki&amp;Nowack19'!A:A,'Compartments_Kawecki&amp;Nowack19'!B:B,_xlfn.XLOOKUP(L257,Compartments_Added!A:A,Compartments_Added!B:B))="Sink","OK, Sink","Missing"))</f>
        <v>OK flow</v>
      </c>
    </row>
    <row r="258" spans="11:13">
      <c r="K258" s="311" t="str">
        <f>IF(ISBLANK(J258),"",IF(COUNTIF(L:L,J258),IF(_xlfn.XLOOKUP(J258,'Compartments_Kawecki&amp;Nowack19'!A:A,'Compartments_Kawecki&amp;Nowack19'!B:B,_xlfn.XLOOKUP(J258,Compartments_Added!A:A,Compartments_Added!B:B))="Stock","OK stock","OK flow"),IF(COUNTIF($G$4:$G$18,J258),IF(COUNTIF($E$4:$E$18,J258),"OK input","Missing"),"Missing")))</f>
        <v/>
      </c>
      <c r="L258" t="str">
        <v>Lint filter (CHPTD)</v>
      </c>
      <c r="M258" s="311" t="str">
        <f>IF(COUNTIF(J:J,L258),IF(_xlfn.XLOOKUP(L258,'Compartments_Kawecki&amp;Nowack19'!A:A,'Compartments_Kawecki&amp;Nowack19'!B:B,_xlfn.XLOOKUP(L258,Compartments_Added!A:A,Compartments_Added!B:B))="Stock","OK stock","OK flow"),IF(_xlfn.XLOOKUP(L258,'Compartments_Kawecki&amp;Nowack19'!A:A,'Compartments_Kawecki&amp;Nowack19'!B:B,_xlfn.XLOOKUP(L258,Compartments_Added!A:A,Compartments_Added!B:B))="Sink","OK, Sink","Missing"))</f>
        <v>OK flow</v>
      </c>
    </row>
    <row r="259" spans="11:13">
      <c r="K259" s="311" t="str">
        <f>IF(ISBLANK(J259),"",IF(COUNTIF(L:L,J259),IF(_xlfn.XLOOKUP(J259,'Compartments_Kawecki&amp;Nowack19'!A:A,'Compartments_Kawecki&amp;Nowack19'!B:B,_xlfn.XLOOKUP(J259,Compartments_Added!A:A,Compartments_Added!B:B))="Stock","OK stock","OK flow"),IF(COUNTIF($G$4:$G$18,J259),IF(COUNTIF($E$4:$E$18,J259),"OK input","Missing"),"Missing")))</f>
        <v/>
      </c>
      <c r="L259" t="str">
        <v>Lint filter (CHETD)</v>
      </c>
      <c r="M259" s="311" t="str">
        <f>IF(COUNTIF(J:J,L259),IF(_xlfn.XLOOKUP(L259,'Compartments_Kawecki&amp;Nowack19'!A:A,'Compartments_Kawecki&amp;Nowack19'!B:B,_xlfn.XLOOKUP(L259,Compartments_Added!A:A,Compartments_Added!B:B))="Stock","OK stock","OK flow"),IF(_xlfn.XLOOKUP(L259,'Compartments_Kawecki&amp;Nowack19'!A:A,'Compartments_Kawecki&amp;Nowack19'!B:B,_xlfn.XLOOKUP(L259,Compartments_Added!A:A,Compartments_Added!B:B))="Sink","OK, Sink","Missing"))</f>
        <v>OK flow</v>
      </c>
    </row>
    <row r="260" spans="11:13">
      <c r="K260" s="311" t="str">
        <f>IF(ISBLANK(J260),"",IF(COUNTIF(L:L,J260),IF(_xlfn.XLOOKUP(J260,'Compartments_Kawecki&amp;Nowack19'!A:A,'Compartments_Kawecki&amp;Nowack19'!B:B,_xlfn.XLOOKUP(J260,Compartments_Added!A:A,Compartments_Added!B:B))="Stock","OK stock","OK flow"),IF(COUNTIF($G$4:$G$18,J260),IF(COUNTIF($E$4:$E$18,J260),"OK input","Missing"),"Missing")))</f>
        <v/>
      </c>
      <c r="L260" t="str">
        <v>Clean lint filter by hand</v>
      </c>
      <c r="M260" s="311" t="str">
        <f>IF(COUNTIF(J:J,L260),IF(_xlfn.XLOOKUP(L260,'Compartments_Kawecki&amp;Nowack19'!A:A,'Compartments_Kawecki&amp;Nowack19'!B:B,_xlfn.XLOOKUP(L260,Compartments_Added!A:A,Compartments_Added!B:B))="Stock","OK stock","OK flow"),IF(_xlfn.XLOOKUP(L260,'Compartments_Kawecki&amp;Nowack19'!A:A,'Compartments_Kawecki&amp;Nowack19'!B:B,_xlfn.XLOOKUP(L260,Compartments_Added!A:A,Compartments_Added!B:B))="Sink","OK, Sink","Missing"))</f>
        <v>OK flow</v>
      </c>
    </row>
    <row r="261" spans="11:13">
      <c r="K261" s="311" t="str">
        <f>IF(ISBLANK(J261),"",IF(COUNTIF(L:L,J261),IF(_xlfn.XLOOKUP(J261,'Compartments_Kawecki&amp;Nowack19'!A:A,'Compartments_Kawecki&amp;Nowack19'!B:B,_xlfn.XLOOKUP(J261,Compartments_Added!A:A,Compartments_Added!B:B))="Stock","OK stock","OK flow"),IF(COUNTIF($G$4:$G$18,J261),IF(COUNTIF($E$4:$E$18,J261),"OK input","Missing"),"Missing")))</f>
        <v/>
      </c>
      <c r="L261" t="str">
        <v>Clean lint filter under running water</v>
      </c>
      <c r="M261" s="311" t="str">
        <f>IF(COUNTIF(J:J,L261),IF(_xlfn.XLOOKUP(L261,'Compartments_Kawecki&amp;Nowack19'!A:A,'Compartments_Kawecki&amp;Nowack19'!B:B,_xlfn.XLOOKUP(L261,Compartments_Added!A:A,Compartments_Added!B:B))="Stock","OK stock","OK flow"),IF(_xlfn.XLOOKUP(L261,'Compartments_Kawecki&amp;Nowack19'!A:A,'Compartments_Kawecki&amp;Nowack19'!B:B,_xlfn.XLOOKUP(L261,Compartments_Added!A:A,Compartments_Added!B:B))="Sink","OK, Sink","Missing"))</f>
        <v>OK flow</v>
      </c>
    </row>
    <row r="262" spans="11:13">
      <c r="K262" s="311" t="str">
        <f>IF(ISBLANK(J262),"",IF(COUNTIF(L:L,J262),IF(_xlfn.XLOOKUP(J262,'Compartments_Kawecki&amp;Nowack19'!A:A,'Compartments_Kawecki&amp;Nowack19'!B:B,_xlfn.XLOOKUP(J262,Compartments_Added!A:A,Compartments_Added!B:B))="Stock","OK stock","OK flow"),IF(COUNTIF($G$4:$G$18,J262),IF(COUNTIF($E$4:$E$18,J262),"OK input","Missing"),"Missing")))</f>
        <v/>
      </c>
      <c r="L262" t="str">
        <v>Manufacturing of clothing</v>
      </c>
      <c r="M262" s="311" t="str">
        <f>IF(COUNTIF(J:J,L262),IF(_xlfn.XLOOKUP(L262,'Compartments_Kawecki&amp;Nowack19'!A:A,'Compartments_Kawecki&amp;Nowack19'!B:B,_xlfn.XLOOKUP(L262,Compartments_Added!A:A,Compartments_Added!B:B))="Stock","OK stock","OK flow"),IF(_xlfn.XLOOKUP(L262,'Compartments_Kawecki&amp;Nowack19'!A:A,'Compartments_Kawecki&amp;Nowack19'!B:B,_xlfn.XLOOKUP(L262,Compartments_Added!A:A,Compartments_Added!B:B))="Sink","OK, Sink","Missing"))</f>
        <v>OK flow</v>
      </c>
    </row>
    <row r="263" spans="11:13">
      <c r="K263" s="311" t="str">
        <f>IF(ISBLANK(J263),"",IF(COUNTIF(L:L,J263),IF(_xlfn.XLOOKUP(J263,'Compartments_Kawecki&amp;Nowack19'!A:A,'Compartments_Kawecki&amp;Nowack19'!B:B,_xlfn.XLOOKUP(J263,Compartments_Added!A:A,Compartments_Added!B:B))="Stock","OK stock","OK flow"),IF(COUNTIF($G$4:$G$18,J263),IF(COUNTIF($E$4:$E$18,J263),"OK input","Missing"),"Missing")))</f>
        <v/>
      </c>
      <c r="L263">
        <v>0</v>
      </c>
      <c r="M263" s="311" t="e">
        <f>IF(COUNTIF(J:J,L263),IF(_xlfn.XLOOKUP(L263,'Compartments_Kawecki&amp;Nowack19'!A:A,'Compartments_Kawecki&amp;Nowack19'!B:B,_xlfn.XLOOKUP(L263,Compartments_Added!A:A,Compartments_Added!B:B))="Stock","OK stock","OK flow"),IF(_xlfn.XLOOKUP(L263,'Compartments_Kawecki&amp;Nowack19'!A:A,'Compartments_Kawecki&amp;Nowack19'!B:B,_xlfn.XLOOKUP(L263,Compartments_Added!A:A,Compartments_Added!B:B))="Sink","OK, Sink","Missing"))</f>
        <v>#N/A</v>
      </c>
    </row>
    <row r="264" spans="11:13">
      <c r="K264" s="311" t="str">
        <f>IF(ISBLANK(J264),"",IF(COUNTIF(L:L,J264),IF(_xlfn.XLOOKUP(J264,'Compartments_Kawecki&amp;Nowack19'!A:A,'Compartments_Kawecki&amp;Nowack19'!B:B,_xlfn.XLOOKUP(J264,Compartments_Added!A:A,Compartments_Added!B:B))="Stock","OK stock","OK flow"),IF(COUNTIF($G$4:$G$18,J264),IF(COUNTIF($E$4:$E$18,J264),"OK input","Missing"),"Missing")))</f>
        <v/>
      </c>
      <c r="M264" s="311" t="e">
        <f>IF(COUNTIF(J:J,L264),IF(_xlfn.XLOOKUP(L264,'Compartments_Kawecki&amp;Nowack19'!A:A,'Compartments_Kawecki&amp;Nowack19'!B:B,_xlfn.XLOOKUP(L264,Compartments_Added!A:A,Compartments_Added!B:B))="Stock","OK stock","OK flow"),IF(_xlfn.XLOOKUP(L264,'Compartments_Kawecki&amp;Nowack19'!A:A,'Compartments_Kawecki&amp;Nowack19'!B:B,_xlfn.XLOOKUP(L264,Compartments_Added!A:A,Compartments_Added!B:B))="Sink","OK, Sink","Missing"))</f>
        <v>#N/A</v>
      </c>
    </row>
    <row r="265" spans="11:13">
      <c r="K265" s="311" t="str">
        <f>IF(ISBLANK(J265),"",IF(COUNTIF(L:L,J265),IF(_xlfn.XLOOKUP(J265,'Compartments_Kawecki&amp;Nowack19'!A:A,'Compartments_Kawecki&amp;Nowack19'!B:B,_xlfn.XLOOKUP(J265,Compartments_Added!A:A,Compartments_Added!B:B))="Stock","OK stock","OK flow"),IF(COUNTIF($G$4:$G$18,J265),IF(COUNTIF($E$4:$E$18,J265),"OK input","Missing"),"Missing")))</f>
        <v/>
      </c>
      <c r="M265" s="311" t="e">
        <f>IF(COUNTIF(J:J,L265),IF(_xlfn.XLOOKUP(L265,'Compartments_Kawecki&amp;Nowack19'!A:A,'Compartments_Kawecki&amp;Nowack19'!B:B,_xlfn.XLOOKUP(L265,Compartments_Added!A:A,Compartments_Added!B:B))="Stock","OK stock","OK flow"),IF(_xlfn.XLOOKUP(L265,'Compartments_Kawecki&amp;Nowack19'!A:A,'Compartments_Kawecki&amp;Nowack19'!B:B,_xlfn.XLOOKUP(L265,Compartments_Added!A:A,Compartments_Added!B:B))="Sink","OK, Sink","Missing"))</f>
        <v>#N/A</v>
      </c>
    </row>
    <row r="266" spans="11:13">
      <c r="K266" s="311" t="str">
        <f>IF(ISBLANK(J266),"",IF(COUNTIF(L:L,J266),IF(_xlfn.XLOOKUP(J266,'Compartments_Kawecki&amp;Nowack19'!A:A,'Compartments_Kawecki&amp;Nowack19'!B:B,_xlfn.XLOOKUP(J266,Compartments_Added!A:A,Compartments_Added!B:B))="Stock","OK stock","OK flow"),IF(COUNTIF($G$4:$G$18,J266),IF(COUNTIF($E$4:$E$18,J266),"OK input","Missing"),"Missing")))</f>
        <v/>
      </c>
      <c r="M266" s="311" t="e">
        <f>IF(COUNTIF(J:J,L266),IF(_xlfn.XLOOKUP(L266,'Compartments_Kawecki&amp;Nowack19'!A:A,'Compartments_Kawecki&amp;Nowack19'!B:B,_xlfn.XLOOKUP(L266,Compartments_Added!A:A,Compartments_Added!B:B))="Stock","OK stock","OK flow"),IF(_xlfn.XLOOKUP(L266,'Compartments_Kawecki&amp;Nowack19'!A:A,'Compartments_Kawecki&amp;Nowack19'!B:B,_xlfn.XLOOKUP(L266,Compartments_Added!A:A,Compartments_Added!B:B))="Sink","OK, Sink","Missing"))</f>
        <v>#N/A</v>
      </c>
    </row>
    <row r="267" spans="11:13">
      <c r="K267" s="311" t="str">
        <f>IF(ISBLANK(J267),"",IF(COUNTIF(L:L,J267),IF(_xlfn.XLOOKUP(J267,'Compartments_Kawecki&amp;Nowack19'!A:A,'Compartments_Kawecki&amp;Nowack19'!B:B,_xlfn.XLOOKUP(J267,Compartments_Added!A:A,Compartments_Added!B:B))="Stock","OK stock","OK flow"),IF(COUNTIF($G$4:$G$18,J267),IF(COUNTIF($E$4:$E$18,J267),"OK input","Missing"),"Missing")))</f>
        <v/>
      </c>
      <c r="M267" s="311" t="e">
        <f>IF(COUNTIF(J:J,L267),IF(_xlfn.XLOOKUP(L267,'Compartments_Kawecki&amp;Nowack19'!A:A,'Compartments_Kawecki&amp;Nowack19'!B:B,_xlfn.XLOOKUP(L267,Compartments_Added!A:A,Compartments_Added!B:B))="Stock","OK stock","OK flow"),IF(_xlfn.XLOOKUP(L267,'Compartments_Kawecki&amp;Nowack19'!A:A,'Compartments_Kawecki&amp;Nowack19'!B:B,_xlfn.XLOOKUP(L267,Compartments_Added!A:A,Compartments_Added!B:B))="Sink","OK, Sink","Missing"))</f>
        <v>#N/A</v>
      </c>
    </row>
    <row r="268" spans="11:13">
      <c r="K268" s="311" t="str">
        <f>IF(ISBLANK(J268),"",IF(COUNTIF(L:L,J268),IF(_xlfn.XLOOKUP(J268,'Compartments_Kawecki&amp;Nowack19'!A:A,'Compartments_Kawecki&amp;Nowack19'!B:B,_xlfn.XLOOKUP(J268,Compartments_Added!A:A,Compartments_Added!B:B))="Stock","OK stock","OK flow"),IF(COUNTIF($G$4:$G$18,J268),IF(COUNTIF($E$4:$E$18,J268),"OK input","Missing"),"Missing")))</f>
        <v/>
      </c>
      <c r="M268" s="311" t="e">
        <f>IF(COUNTIF(J:J,L268),IF(_xlfn.XLOOKUP(L268,'Compartments_Kawecki&amp;Nowack19'!A:A,'Compartments_Kawecki&amp;Nowack19'!B:B,_xlfn.XLOOKUP(L268,Compartments_Added!A:A,Compartments_Added!B:B))="Stock","OK stock","OK flow"),IF(_xlfn.XLOOKUP(L268,'Compartments_Kawecki&amp;Nowack19'!A:A,'Compartments_Kawecki&amp;Nowack19'!B:B,_xlfn.XLOOKUP(L268,Compartments_Added!A:A,Compartments_Added!B:B))="Sink","OK, Sink","Missing"))</f>
        <v>#N/A</v>
      </c>
    </row>
    <row r="269" spans="11:13">
      <c r="K269" s="311" t="str">
        <f>IF(ISBLANK(J269),"",IF(COUNTIF(L:L,J269),IF(_xlfn.XLOOKUP(J269,'Compartments_Kawecki&amp;Nowack19'!A:A,'Compartments_Kawecki&amp;Nowack19'!B:B,_xlfn.XLOOKUP(J269,Compartments_Added!A:A,Compartments_Added!B:B))="Stock","OK stock","OK flow"),IF(COUNTIF($G$4:$G$18,J269),IF(COUNTIF($E$4:$E$18,J269),"OK input","Missing"),"Missing")))</f>
        <v/>
      </c>
      <c r="M269" s="311" t="e">
        <f>IF(COUNTIF(J:J,L269),IF(_xlfn.XLOOKUP(L269,'Compartments_Kawecki&amp;Nowack19'!A:A,'Compartments_Kawecki&amp;Nowack19'!B:B,_xlfn.XLOOKUP(L269,Compartments_Added!A:A,Compartments_Added!B:B))="Stock","OK stock","OK flow"),IF(_xlfn.XLOOKUP(L269,'Compartments_Kawecki&amp;Nowack19'!A:A,'Compartments_Kawecki&amp;Nowack19'!B:B,_xlfn.XLOOKUP(L269,Compartments_Added!A:A,Compartments_Added!B:B))="Sink","OK, Sink","Missing"))</f>
        <v>#N/A</v>
      </c>
    </row>
    <row r="270" spans="11:13">
      <c r="K270" s="311" t="str">
        <f>IF(ISBLANK(J270),"",IF(COUNTIF(L:L,J270),IF(_xlfn.XLOOKUP(J270,'Compartments_Kawecki&amp;Nowack19'!A:A,'Compartments_Kawecki&amp;Nowack19'!B:B,_xlfn.XLOOKUP(J270,Compartments_Added!A:A,Compartments_Added!B:B))="Stock","OK stock","OK flow"),IF(COUNTIF($G$4:$G$18,J270),IF(COUNTIF($E$4:$E$18,J270),"OK input","Missing"),"Missing")))</f>
        <v/>
      </c>
      <c r="M270" s="311" t="e">
        <f>IF(COUNTIF(J:J,L270),IF(_xlfn.XLOOKUP(L270,'Compartments_Kawecki&amp;Nowack19'!A:A,'Compartments_Kawecki&amp;Nowack19'!B:B,_xlfn.XLOOKUP(L270,Compartments_Added!A:A,Compartments_Added!B:B))="Stock","OK stock","OK flow"),IF(_xlfn.XLOOKUP(L270,'Compartments_Kawecki&amp;Nowack19'!A:A,'Compartments_Kawecki&amp;Nowack19'!B:B,_xlfn.XLOOKUP(L270,Compartments_Added!A:A,Compartments_Added!B:B))="Sink","OK, Sink","Missing"))</f>
        <v>#N/A</v>
      </c>
    </row>
    <row r="271" spans="11:13">
      <c r="K271" s="311" t="str">
        <f>IF(ISBLANK(J271),"",IF(COUNTIF(L:L,J271),IF(_xlfn.XLOOKUP(J271,'Compartments_Kawecki&amp;Nowack19'!A:A,'Compartments_Kawecki&amp;Nowack19'!B:B,_xlfn.XLOOKUP(J271,Compartments_Added!A:A,Compartments_Added!B:B))="Stock","OK stock","OK flow"),IF(COUNTIF($G$4:$G$18,J271),IF(COUNTIF($E$4:$E$18,J271),"OK input","Missing"),"Missing")))</f>
        <v/>
      </c>
      <c r="M271" s="311" t="e">
        <f>IF(COUNTIF(J:J,L271),IF(_xlfn.XLOOKUP(L271,'Compartments_Kawecki&amp;Nowack19'!A:A,'Compartments_Kawecki&amp;Nowack19'!B:B,_xlfn.XLOOKUP(L271,Compartments_Added!A:A,Compartments_Added!B:B))="Stock","OK stock","OK flow"),IF(_xlfn.XLOOKUP(L271,'Compartments_Kawecki&amp;Nowack19'!A:A,'Compartments_Kawecki&amp;Nowack19'!B:B,_xlfn.XLOOKUP(L271,Compartments_Added!A:A,Compartments_Added!B:B))="Sink","OK, Sink","Missing"))</f>
        <v>#N/A</v>
      </c>
    </row>
  </sheetData>
  <mergeCells count="3">
    <mergeCell ref="A1:C1"/>
    <mergeCell ref="E1:H1"/>
    <mergeCell ref="J1:M1"/>
  </mergeCells>
  <conditionalFormatting sqref="K4:K271">
    <cfRule type="containsText" dxfId="9" priority="4" operator="containsText" text="Stock">
      <formula>NOT(ISERROR(SEARCH("Stock",K4)))</formula>
    </cfRule>
    <cfRule type="containsText" dxfId="8" priority="5" operator="containsText" text="Sink">
      <formula>NOT(ISERROR(SEARCH("Sink",K4)))</formula>
    </cfRule>
    <cfRule type="containsText" dxfId="7" priority="6" operator="containsText" text="flow">
      <formula>NOT(ISERROR(SEARCH("flow",K4)))</formula>
    </cfRule>
    <cfRule type="containsText" dxfId="6" priority="7" operator="containsText" text="missing">
      <formula>NOT(ISERROR(SEARCH("missing",K4)))</formula>
    </cfRule>
    <cfRule type="containsErrors" dxfId="5" priority="10">
      <formula>ISERROR(K4)</formula>
    </cfRule>
  </conditionalFormatting>
  <conditionalFormatting sqref="M1:M1048576">
    <cfRule type="containsText" dxfId="4" priority="8" operator="containsText" text="Stock">
      <formula>NOT(ISERROR(SEARCH("Stock",M1)))</formula>
    </cfRule>
    <cfRule type="containsText" dxfId="3" priority="9" operator="containsText" text="Sink">
      <formula>NOT(ISERROR(SEARCH("Sink",M1)))</formula>
    </cfRule>
    <cfRule type="containsText" dxfId="2" priority="11" operator="containsText" text="flow">
      <formula>NOT(ISERROR(SEARCH("flow",M1)))</formula>
    </cfRule>
    <cfRule type="containsText" dxfId="1" priority="11" operator="containsText" text="missing">
      <formula>NOT(ISERROR(SEARCH("missing",M1)))</formula>
    </cfRule>
    <cfRule type="containsErrors" dxfId="0" priority="11">
      <formula>ISERROR(M1)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0577e6a0-5f74-4659-a81a-c7bdc984432d">
      <Terms xmlns="http://schemas.microsoft.com/office/infopath/2007/PartnerControls"/>
    </lcf76f155ced4ddcb4097134ff3c332f>
    <TaxCatchAll xmlns="f5c8fe0e-f8db-4fac-9fd3-e69469f9c90b"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F634CA3F5682C418397C6E4414BCDE3" ma:contentTypeVersion="19" ma:contentTypeDescription="Een nieuw document maken." ma:contentTypeScope="" ma:versionID="cd864e38cd6bbc6c7e0427721adcc1d0">
  <xsd:schema xmlns:xsd="http://www.w3.org/2001/XMLSchema" xmlns:xs="http://www.w3.org/2001/XMLSchema" xmlns:p="http://schemas.microsoft.com/office/2006/metadata/properties" xmlns:ns1="http://schemas.microsoft.com/sharepoint/v3" xmlns:ns2="0577e6a0-5f74-4659-a81a-c7bdc984432d" xmlns:ns3="f5c8fe0e-f8db-4fac-9fd3-e69469f9c90b" targetNamespace="http://schemas.microsoft.com/office/2006/metadata/properties" ma:root="true" ma:fieldsID="fa37df3857ed3652683061e5b337c961" ns1:_="" ns2:_="" ns3:_="">
    <xsd:import namespace="http://schemas.microsoft.com/sharepoint/v3"/>
    <xsd:import namespace="0577e6a0-5f74-4659-a81a-c7bdc984432d"/>
    <xsd:import namespace="f5c8fe0e-f8db-4fac-9fd3-e69469f9c9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Eigenschappen van het geïntegreerd beleid voor naleving" ma:hidden="true" ma:internalName="_ip_UnifiedCompliancePolicyProperties">
      <xsd:simpleType>
        <xsd:restriction base="dms:Note"/>
      </xsd:simpleType>
    </xsd:element>
    <xsd:element name="_ip_UnifiedCompliancePolicyUIAction" ma:index="21"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77e6a0-5f74-4659-a81a-c7bdc98443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9f1f8003-3544-4801-a0bb-558fc8ffc21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c8fe0e-f8db-4fac-9fd3-e69469f9c90b"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24" nillable="true" ma:displayName="Taxonomy Catch All Column" ma:hidden="true" ma:list="{706ad47a-586d-4bb3-9d51-fb8cf7aa47ff}" ma:internalName="TaxCatchAll" ma:showField="CatchAllData" ma:web="f5c8fe0e-f8db-4fac-9fd3-e69469f9c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C97711-124B-4000-9C81-94DBC44EA96A}">
  <ds:schemaRefs>
    <ds:schemaRef ds:uri="http://schemas.microsoft.com/sharepoint/v3/contenttype/forms"/>
  </ds:schemaRefs>
</ds:datastoreItem>
</file>

<file path=customXml/itemProps2.xml><?xml version="1.0" encoding="utf-8"?>
<ds:datastoreItem xmlns:ds="http://schemas.openxmlformats.org/officeDocument/2006/customXml" ds:itemID="{7711B296-E2B3-4EB8-832A-36716F7B0382}">
  <ds:schemaRefs>
    <ds:schemaRef ds:uri="http://schemas.microsoft.com/office/2006/documentManagement/types"/>
    <ds:schemaRef ds:uri="http://purl.org/dc/terms/"/>
    <ds:schemaRef ds:uri="http://schemas.microsoft.com/office/2006/metadata/properties"/>
    <ds:schemaRef ds:uri="http://schemas.microsoft.com/office/infopath/2007/PartnerControls"/>
    <ds:schemaRef ds:uri="http://schemas.openxmlformats.org/package/2006/metadata/core-properties"/>
    <ds:schemaRef ds:uri="f5c8fe0e-f8db-4fac-9fd3-e69469f9c90b"/>
    <ds:schemaRef ds:uri="http://purl.org/dc/elements/1.1/"/>
    <ds:schemaRef ds:uri="http://www.w3.org/XML/1998/namespace"/>
    <ds:schemaRef ds:uri="0577e6a0-5f74-4659-a81a-c7bdc984432d"/>
    <ds:schemaRef ds:uri="http://schemas.microsoft.com/sharepoint/v3"/>
    <ds:schemaRef ds:uri="http://purl.org/dc/dcmitype/"/>
  </ds:schemaRefs>
</ds:datastoreItem>
</file>

<file path=customXml/itemProps3.xml><?xml version="1.0" encoding="utf-8"?>
<ds:datastoreItem xmlns:ds="http://schemas.openxmlformats.org/officeDocument/2006/customXml" ds:itemID="{C81C7BF1-D71D-44A6-A2B9-941376DE30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77e6a0-5f74-4659-a81a-c7bdc984432d"/>
    <ds:schemaRef ds:uri="f5c8fe0e-f8db-4fac-9fd3-e69469f9c9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README</vt:lpstr>
      <vt:lpstr>Data Quality Indicators</vt:lpstr>
      <vt:lpstr>Materials</vt:lpstr>
      <vt:lpstr>Input_NL</vt:lpstr>
      <vt:lpstr>Input_EU</vt:lpstr>
      <vt:lpstr>Transfer coefficients</vt:lpstr>
      <vt:lpstr>Clothing</vt:lpstr>
      <vt:lpstr>Pellets</vt:lpstr>
      <vt:lpstr>Tyre wear</vt:lpstr>
      <vt:lpstr>Paints and Coatings</vt:lpstr>
      <vt:lpstr>Textiles</vt:lpstr>
      <vt:lpstr>Agriculture</vt:lpstr>
      <vt:lpstr>Intentionally_produced_MPs</vt:lpstr>
      <vt:lpstr>Packaging</vt:lpstr>
      <vt:lpstr>Recycling TCs</vt:lpstr>
      <vt:lpstr>Compost TCs</vt:lpstr>
      <vt:lpstr>Scaling tables</vt:lpstr>
      <vt:lpstr>Input projections</vt:lpstr>
      <vt:lpstr>Lifetimes</vt:lpstr>
      <vt:lpstr>Lifetimes_pairs</vt:lpstr>
      <vt:lpstr>Lifetimes_references</vt:lpstr>
      <vt:lpstr>Compartments</vt:lpstr>
      <vt:lpstr>Compartments_Kawecki&amp;Nowack19</vt:lpstr>
      <vt:lpstr>Compartments_Added</vt:lpstr>
      <vt:lpstr>Check_Compartments</vt:lpstr>
      <vt:lpstr>Aggr_2021</vt:lpstr>
      <vt:lpstr>In_EU_2018</vt:lpstr>
      <vt:lpstr>In_EU_2019</vt:lpstr>
      <vt:lpstr>IN_NL_2018_high</vt:lpstr>
      <vt:lpstr>In_NL_2018_low</vt:lpstr>
      <vt:lpstr>IN_NL_2019_high</vt:lpstr>
      <vt:lpstr>IN_NL_2019_low</vt:lpstr>
      <vt:lpstr>Intentional_Agr_EU_2020</vt:lpstr>
      <vt:lpstr>Intentional_Agr_NL_2020</vt:lpstr>
      <vt:lpstr>OECD_ref_2018</vt:lpstr>
      <vt:lpstr>OECD_ref_2019</vt:lpstr>
      <vt:lpstr>OIL_GAS_2020</vt:lpstr>
      <vt:lpstr>POP_coef_2020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2024-06-27T12:04:47Z</dcterms:created>
  <dcterms:modified xsi:type="dcterms:W3CDTF">2025-04-23T11:55:00Z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0x010100FF634CA3F5682C418397C6E4414BCDE3</vt:lpwstr>
  </property>
  <property fmtid="{D5CDD505-2E9C-101B-9397-08002B2CF9AE}" pid="3" name="MediaServiceImageTags">
    <vt:lpwstr/>
  </property>
</Properties>
</file>